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№ 2.2( 158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I208" i="1" l="1"/>
  <c r="H208" i="1"/>
  <c r="W172" i="1"/>
  <c r="CN278" i="1"/>
  <c r="CF278" i="1"/>
  <c r="CF277" i="1"/>
  <c r="CN274" i="1"/>
  <c r="CF274" i="1"/>
  <c r="CF273" i="1"/>
  <c r="CA207" i="1"/>
  <c r="BZ206" i="1"/>
  <c r="BZ205" i="1"/>
  <c r="BZ204" i="1"/>
  <c r="BZ194" i="1"/>
  <c r="BW194" i="1"/>
  <c r="BZ188" i="1"/>
  <c r="BZ187" i="1"/>
  <c r="CN172" i="1"/>
  <c r="CN171" i="1"/>
  <c r="CF167" i="1"/>
  <c r="CF165" i="1"/>
  <c r="CF40" i="1"/>
  <c r="BZ40" i="1"/>
  <c r="CF34" i="1"/>
  <c r="CF33" i="1"/>
  <c r="BZ33" i="1"/>
  <c r="BB278" i="1"/>
  <c r="AL278" i="1"/>
  <c r="AJ278" i="1"/>
  <c r="AI278" i="1"/>
  <c r="BB277" i="1"/>
  <c r="AT277" i="1"/>
  <c r="AL277" i="1"/>
  <c r="AJ277" i="1"/>
  <c r="AI277" i="1"/>
  <c r="AD277" i="1"/>
  <c r="BB274" i="1"/>
  <c r="AL274" i="1"/>
  <c r="AJ274" i="1"/>
  <c r="AI274" i="1"/>
  <c r="BB273" i="1"/>
  <c r="AT273" i="1"/>
  <c r="AL273" i="1"/>
  <c r="AJ273" i="1"/>
  <c r="AI273" i="1"/>
  <c r="AD273" i="1"/>
  <c r="BL231" i="1"/>
  <c r="AC221" i="1"/>
  <c r="AC212" i="1"/>
  <c r="BQ188" i="1"/>
  <c r="BQ187" i="1"/>
  <c r="AO172" i="1"/>
  <c r="AJ172" i="1"/>
  <c r="AI172" i="1"/>
  <c r="AO171" i="1"/>
  <c r="AJ171" i="1"/>
  <c r="AI171" i="1"/>
  <c r="BB168" i="1"/>
  <c r="BB166" i="1"/>
  <c r="AT167" i="1"/>
  <c r="AT165" i="1"/>
  <c r="BB126" i="1"/>
  <c r="BB125" i="1"/>
  <c r="BG121" i="1"/>
  <c r="BG120" i="1"/>
  <c r="BB40" i="1"/>
  <c r="AT40" i="1"/>
  <c r="AP40" i="1"/>
  <c r="AN40" i="1"/>
  <c r="AL40" i="1"/>
  <c r="AK40" i="1"/>
  <c r="AJ40" i="1"/>
  <c r="AI40" i="1"/>
  <c r="BB34" i="1"/>
  <c r="AT34" i="1"/>
  <c r="AP34" i="1"/>
  <c r="AN34" i="1"/>
  <c r="AL34" i="1"/>
  <c r="AJ34" i="1"/>
  <c r="AI34" i="1"/>
  <c r="BB33" i="1"/>
  <c r="AP33" i="1"/>
  <c r="AN33" i="1"/>
  <c r="AL33" i="1"/>
  <c r="AK33" i="1"/>
  <c r="AI33" i="1"/>
  <c r="AA278" i="1"/>
  <c r="Z278" i="1"/>
  <c r="Y278" i="1"/>
  <c r="X278" i="1"/>
  <c r="U278" i="1"/>
  <c r="P278" i="1"/>
  <c r="O278" i="1"/>
  <c r="AB277" i="1"/>
  <c r="AA277" i="1"/>
  <c r="Z277" i="1"/>
  <c r="Y277" i="1"/>
  <c r="X277" i="1"/>
  <c r="W277" i="1"/>
  <c r="U277" i="1"/>
  <c r="S277" i="1"/>
  <c r="P277" i="1"/>
  <c r="O277" i="1"/>
  <c r="K277" i="1"/>
  <c r="AA274" i="1"/>
  <c r="Z274" i="1"/>
  <c r="Y274" i="1"/>
  <c r="X274" i="1"/>
  <c r="U274" i="1"/>
  <c r="P274" i="1"/>
  <c r="O274" i="1"/>
  <c r="AB273" i="1"/>
  <c r="AA273" i="1"/>
  <c r="Z273" i="1"/>
  <c r="Y273" i="1"/>
  <c r="X273" i="1"/>
  <c r="W273" i="1"/>
  <c r="U273" i="1"/>
  <c r="S273" i="1"/>
  <c r="P273" i="1"/>
  <c r="O273" i="1"/>
  <c r="K273" i="1"/>
  <c r="H249" i="1"/>
  <c r="I237" i="1"/>
  <c r="H237" i="1"/>
  <c r="I203" i="1"/>
  <c r="H203" i="1"/>
  <c r="I202" i="1"/>
  <c r="H202" i="1"/>
  <c r="I192" i="1"/>
  <c r="H192" i="1"/>
  <c r="I191" i="1"/>
  <c r="H191" i="1"/>
  <c r="I190" i="1"/>
  <c r="H190" i="1"/>
  <c r="I185" i="1"/>
  <c r="H185" i="1"/>
  <c r="I181" i="1"/>
  <c r="H181" i="1"/>
  <c r="I180" i="1"/>
  <c r="H180" i="1"/>
  <c r="I178" i="1"/>
  <c r="H178" i="1"/>
  <c r="I177" i="1"/>
  <c r="H177" i="1"/>
  <c r="I175" i="1"/>
  <c r="H175" i="1"/>
  <c r="U172" i="1"/>
  <c r="P172" i="1"/>
  <c r="O172" i="1"/>
  <c r="I172" i="1"/>
  <c r="H172" i="1"/>
  <c r="W171" i="1"/>
  <c r="U171" i="1"/>
  <c r="P171" i="1"/>
  <c r="O171" i="1"/>
  <c r="I171" i="1"/>
  <c r="H171" i="1"/>
  <c r="I170" i="1"/>
  <c r="H170" i="1"/>
  <c r="Y167" i="1"/>
  <c r="U167" i="1"/>
  <c r="S167" i="1"/>
  <c r="P167" i="1"/>
  <c r="O167" i="1"/>
  <c r="I167" i="1"/>
  <c r="H167" i="1"/>
  <c r="Y165" i="1"/>
  <c r="U165" i="1"/>
  <c r="S165" i="1"/>
  <c r="P165" i="1"/>
  <c r="O165" i="1"/>
  <c r="I165" i="1"/>
  <c r="H165" i="1"/>
  <c r="I161" i="1"/>
  <c r="H161" i="1"/>
  <c r="I160" i="1"/>
  <c r="H160" i="1"/>
  <c r="I159" i="1"/>
  <c r="H159" i="1"/>
  <c r="I158" i="1"/>
  <c r="H158" i="1"/>
  <c r="I157" i="1"/>
  <c r="H157" i="1"/>
  <c r="I152" i="1"/>
  <c r="H152" i="1"/>
  <c r="I151" i="1"/>
  <c r="H151" i="1"/>
  <c r="I150" i="1"/>
  <c r="H150" i="1"/>
  <c r="I147" i="1"/>
  <c r="H147" i="1"/>
  <c r="I146" i="1"/>
  <c r="H146" i="1"/>
  <c r="I143" i="1"/>
  <c r="H143" i="1"/>
  <c r="I141" i="1"/>
  <c r="H141" i="1"/>
  <c r="I139" i="1"/>
  <c r="H139" i="1"/>
  <c r="I138" i="1"/>
  <c r="H138" i="1"/>
  <c r="I135" i="1"/>
  <c r="H135" i="1"/>
  <c r="I134" i="1"/>
  <c r="H134" i="1"/>
  <c r="I133" i="1"/>
  <c r="H133" i="1"/>
  <c r="I131" i="1"/>
  <c r="H131" i="1"/>
  <c r="I130" i="1"/>
  <c r="H130" i="1"/>
  <c r="I129" i="1"/>
  <c r="H129" i="1"/>
  <c r="I115" i="1"/>
  <c r="H115" i="1"/>
  <c r="I110" i="1"/>
  <c r="H110" i="1"/>
  <c r="I109" i="1"/>
  <c r="H109" i="1"/>
  <c r="I102" i="1"/>
  <c r="H102" i="1"/>
  <c r="I95" i="1"/>
  <c r="H95" i="1"/>
  <c r="I94" i="1"/>
  <c r="H94" i="1"/>
  <c r="I91" i="1"/>
  <c r="H91" i="1"/>
  <c r="I89" i="1"/>
  <c r="H89" i="1"/>
  <c r="I87" i="1"/>
  <c r="H87" i="1"/>
  <c r="I85" i="1"/>
  <c r="H85" i="1"/>
  <c r="I83" i="1"/>
  <c r="H83" i="1"/>
  <c r="I81" i="1"/>
  <c r="H81" i="1"/>
  <c r="I79" i="1"/>
  <c r="H79" i="1"/>
  <c r="I78" i="1"/>
  <c r="H78" i="1"/>
  <c r="I76" i="1"/>
  <c r="H76" i="1"/>
  <c r="I73" i="1"/>
  <c r="H73" i="1"/>
  <c r="I71" i="1"/>
  <c r="H71" i="1"/>
  <c r="I66" i="1"/>
  <c r="H66" i="1"/>
  <c r="I61" i="1"/>
  <c r="H61" i="1"/>
  <c r="I59" i="1"/>
  <c r="H59" i="1"/>
  <c r="I57" i="1"/>
  <c r="H57" i="1"/>
  <c r="I55" i="1"/>
  <c r="H55" i="1"/>
  <c r="I52" i="1"/>
  <c r="H52" i="1"/>
  <c r="I50" i="1"/>
  <c r="H50" i="1"/>
  <c r="I48" i="1"/>
  <c r="H48" i="1"/>
  <c r="I47" i="1"/>
  <c r="H47" i="1"/>
  <c r="I46" i="1"/>
  <c r="H46" i="1"/>
  <c r="I45" i="1"/>
  <c r="H45" i="1"/>
  <c r="I44" i="1"/>
  <c r="H44" i="1"/>
  <c r="I42" i="1"/>
  <c r="H42" i="1"/>
  <c r="AA40" i="1"/>
  <c r="Z40" i="1"/>
  <c r="Y40" i="1"/>
  <c r="X40" i="1"/>
  <c r="U40" i="1"/>
  <c r="S40" i="1"/>
  <c r="P40" i="1"/>
  <c r="O40" i="1"/>
  <c r="I40" i="1"/>
  <c r="H40" i="1"/>
  <c r="I39" i="1"/>
  <c r="H39" i="1"/>
  <c r="I38" i="1"/>
  <c r="I37" i="1"/>
  <c r="H37" i="1"/>
  <c r="I36" i="1"/>
  <c r="H36" i="1"/>
  <c r="I35" i="1"/>
  <c r="H35" i="1"/>
  <c r="AA34" i="1"/>
  <c r="Z34" i="1"/>
  <c r="Y34" i="1"/>
  <c r="X34" i="1"/>
  <c r="U34" i="1"/>
  <c r="S34" i="1"/>
  <c r="P34" i="1"/>
  <c r="O34" i="1"/>
  <c r="I34" i="1"/>
  <c r="H34" i="1"/>
  <c r="AA33" i="1"/>
  <c r="Z33" i="1"/>
  <c r="Y33" i="1"/>
  <c r="X33" i="1"/>
  <c r="U33" i="1"/>
  <c r="P33" i="1"/>
  <c r="O33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2" i="1"/>
  <c r="H22" i="1"/>
  <c r="I21" i="1"/>
  <c r="H21" i="1"/>
  <c r="I20" i="1"/>
  <c r="H20" i="1"/>
  <c r="I18" i="1"/>
  <c r="H18" i="1"/>
  <c r="CV277" i="1" l="1"/>
  <c r="CL277" i="1"/>
  <c r="CG277" i="1"/>
  <c r="CD277" i="1"/>
  <c r="BP277" i="1"/>
  <c r="BN277" i="1"/>
  <c r="BH277" i="1"/>
  <c r="BD277" i="1"/>
  <c r="AF277" i="1"/>
  <c r="V277" i="1"/>
  <c r="Q277" i="1"/>
  <c r="J277" i="1"/>
  <c r="CV276" i="1"/>
  <c r="CL276" i="1"/>
  <c r="CG276" i="1"/>
  <c r="CD276" i="1"/>
  <c r="BP276" i="1"/>
  <c r="BN276" i="1"/>
  <c r="BH276" i="1"/>
  <c r="BD276" i="1"/>
  <c r="AF276" i="1"/>
  <c r="V276" i="1"/>
  <c r="Q276" i="1"/>
  <c r="J276" i="1"/>
  <c r="CV220" i="1"/>
  <c r="CL220" i="1"/>
  <c r="CG220" i="1"/>
  <c r="CD220" i="1"/>
  <c r="BP220" i="1"/>
  <c r="BN220" i="1"/>
  <c r="BH220" i="1"/>
  <c r="BD220" i="1"/>
  <c r="AF220" i="1"/>
  <c r="V220" i="1"/>
  <c r="Q220" i="1"/>
  <c r="J220" i="1"/>
  <c r="CV167" i="1"/>
  <c r="CL167" i="1"/>
  <c r="CG167" i="1"/>
  <c r="CD167" i="1"/>
  <c r="BP167" i="1"/>
  <c r="BN167" i="1"/>
  <c r="BH167" i="1"/>
  <c r="BD167" i="1"/>
  <c r="AF167" i="1"/>
  <c r="V167" i="1"/>
  <c r="Q167" i="1"/>
  <c r="J167" i="1"/>
  <c r="CV166" i="1"/>
  <c r="CL166" i="1"/>
  <c r="CG166" i="1"/>
  <c r="CD166" i="1"/>
  <c r="BP166" i="1"/>
  <c r="BN166" i="1"/>
  <c r="BH166" i="1"/>
  <c r="BD166" i="1"/>
  <c r="AF166" i="1"/>
  <c r="V166" i="1"/>
  <c r="Q166" i="1"/>
  <c r="J166" i="1"/>
  <c r="CX124" i="1"/>
  <c r="CW124" i="1"/>
  <c r="CT124" i="1"/>
  <c r="CS124" i="1"/>
  <c r="CR124" i="1"/>
  <c r="CQ124" i="1"/>
  <c r="CP124" i="1"/>
  <c r="CO124" i="1"/>
  <c r="CN124" i="1"/>
  <c r="CM124" i="1"/>
  <c r="CK124" i="1"/>
  <c r="CJ124" i="1"/>
  <c r="CI124" i="1"/>
  <c r="CH124" i="1"/>
  <c r="CF124" i="1"/>
  <c r="CE124" i="1"/>
  <c r="CA124" i="1"/>
  <c r="BZ124" i="1"/>
  <c r="BY124" i="1"/>
  <c r="BX124" i="1"/>
  <c r="BW124" i="1"/>
  <c r="BV124" i="1"/>
  <c r="BU124" i="1"/>
  <c r="BT124" i="1"/>
  <c r="BS124" i="1"/>
  <c r="BR124" i="1"/>
  <c r="BQ124" i="1"/>
  <c r="BO124" i="1"/>
  <c r="BM124" i="1"/>
  <c r="BL124" i="1"/>
  <c r="BK124" i="1"/>
  <c r="BJ124" i="1"/>
  <c r="BI124" i="1"/>
  <c r="BG124" i="1"/>
  <c r="BF124" i="1"/>
  <c r="BE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E124" i="1"/>
  <c r="AD124" i="1"/>
  <c r="AC124" i="1"/>
  <c r="AB124" i="1"/>
  <c r="AA124" i="1"/>
  <c r="Z124" i="1"/>
  <c r="Y124" i="1"/>
  <c r="X124" i="1"/>
  <c r="W124" i="1"/>
  <c r="U124" i="1"/>
  <c r="T124" i="1"/>
  <c r="S124" i="1"/>
  <c r="R124" i="1"/>
  <c r="P124" i="1"/>
  <c r="O124" i="1"/>
  <c r="N124" i="1"/>
  <c r="M124" i="1"/>
  <c r="L124" i="1"/>
  <c r="K124" i="1"/>
  <c r="I124" i="1"/>
  <c r="H124" i="1"/>
  <c r="CV125" i="1"/>
  <c r="CL125" i="1"/>
  <c r="CG125" i="1"/>
  <c r="CD125" i="1"/>
  <c r="BP125" i="1"/>
  <c r="BN125" i="1"/>
  <c r="BH125" i="1"/>
  <c r="BD125" i="1"/>
  <c r="AF125" i="1"/>
  <c r="V125" i="1"/>
  <c r="Q125" i="1"/>
  <c r="J125" i="1"/>
  <c r="CX119" i="1"/>
  <c r="CW119" i="1"/>
  <c r="CT119" i="1"/>
  <c r="CS119" i="1"/>
  <c r="CR119" i="1"/>
  <c r="CQ119" i="1"/>
  <c r="CP119" i="1"/>
  <c r="CO119" i="1"/>
  <c r="CN119" i="1"/>
  <c r="CM119" i="1"/>
  <c r="CK119" i="1"/>
  <c r="CJ119" i="1"/>
  <c r="CI119" i="1"/>
  <c r="CH119" i="1"/>
  <c r="CF119" i="1"/>
  <c r="CE119" i="1"/>
  <c r="CA119" i="1"/>
  <c r="BZ119" i="1"/>
  <c r="BY119" i="1"/>
  <c r="BX119" i="1"/>
  <c r="BW119" i="1"/>
  <c r="BV119" i="1"/>
  <c r="BU119" i="1"/>
  <c r="BT119" i="1"/>
  <c r="BS119" i="1"/>
  <c r="BR119" i="1"/>
  <c r="BQ119" i="1"/>
  <c r="BO119" i="1"/>
  <c r="BM119" i="1"/>
  <c r="BL119" i="1"/>
  <c r="BK119" i="1"/>
  <c r="BJ119" i="1"/>
  <c r="BI119" i="1"/>
  <c r="BG119" i="1"/>
  <c r="BF119" i="1"/>
  <c r="BE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E119" i="1"/>
  <c r="AD119" i="1"/>
  <c r="AC119" i="1"/>
  <c r="AB119" i="1"/>
  <c r="AA119" i="1"/>
  <c r="Z119" i="1"/>
  <c r="Y119" i="1"/>
  <c r="X119" i="1"/>
  <c r="W119" i="1"/>
  <c r="U119" i="1"/>
  <c r="T119" i="1"/>
  <c r="S119" i="1"/>
  <c r="R119" i="1"/>
  <c r="P119" i="1"/>
  <c r="O119" i="1"/>
  <c r="N119" i="1"/>
  <c r="M119" i="1"/>
  <c r="L119" i="1"/>
  <c r="K119" i="1"/>
  <c r="I119" i="1"/>
  <c r="H119" i="1"/>
  <c r="CV121" i="1"/>
  <c r="CL121" i="1"/>
  <c r="CG121" i="1"/>
  <c r="CD121" i="1"/>
  <c r="BP121" i="1"/>
  <c r="BN121" i="1"/>
  <c r="BH121" i="1"/>
  <c r="BD121" i="1"/>
  <c r="AF121" i="1"/>
  <c r="V121" i="1"/>
  <c r="Q121" i="1"/>
  <c r="J121" i="1"/>
  <c r="CV317" i="1"/>
  <c r="CL317" i="1"/>
  <c r="CG317" i="1"/>
  <c r="CD317" i="1"/>
  <c r="BP317" i="1"/>
  <c r="BN317" i="1"/>
  <c r="BH317" i="1"/>
  <c r="BD317" i="1"/>
  <c r="AF317" i="1"/>
  <c r="V317" i="1"/>
  <c r="Q317" i="1"/>
  <c r="J317" i="1"/>
  <c r="CX316" i="1"/>
  <c r="CW316" i="1"/>
  <c r="CV316" i="1"/>
  <c r="CT316" i="1"/>
  <c r="CS316" i="1"/>
  <c r="CR316" i="1"/>
  <c r="CQ316" i="1"/>
  <c r="CO316" i="1"/>
  <c r="CN316" i="1"/>
  <c r="CM316" i="1"/>
  <c r="CK316" i="1"/>
  <c r="CJ316" i="1"/>
  <c r="CI316" i="1"/>
  <c r="CH316" i="1"/>
  <c r="CG316" i="1"/>
  <c r="CF316" i="1"/>
  <c r="CE316" i="1"/>
  <c r="CA316" i="1"/>
  <c r="BZ316" i="1"/>
  <c r="BY316" i="1"/>
  <c r="BX316" i="1"/>
  <c r="BW316" i="1"/>
  <c r="BV316" i="1"/>
  <c r="BU316" i="1"/>
  <c r="BT316" i="1"/>
  <c r="BS316" i="1"/>
  <c r="BR316" i="1"/>
  <c r="BQ316" i="1"/>
  <c r="BO316" i="1"/>
  <c r="BN316" i="1"/>
  <c r="BM316" i="1"/>
  <c r="BL316" i="1"/>
  <c r="BK316" i="1"/>
  <c r="BJ316" i="1"/>
  <c r="BI316" i="1"/>
  <c r="BG316" i="1"/>
  <c r="BF316" i="1"/>
  <c r="BE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U316" i="1"/>
  <c r="T316" i="1"/>
  <c r="S316" i="1"/>
  <c r="R316" i="1"/>
  <c r="Q316" i="1"/>
  <c r="P316" i="1"/>
  <c r="O316" i="1"/>
  <c r="N316" i="1"/>
  <c r="M316" i="1"/>
  <c r="L316" i="1"/>
  <c r="K316" i="1"/>
  <c r="I316" i="1"/>
  <c r="H316" i="1"/>
  <c r="CV315" i="1"/>
  <c r="CL315" i="1"/>
  <c r="CG315" i="1"/>
  <c r="CD315" i="1"/>
  <c r="BP315" i="1"/>
  <c r="BN315" i="1"/>
  <c r="BH315" i="1"/>
  <c r="BD315" i="1"/>
  <c r="AF315" i="1"/>
  <c r="V315" i="1"/>
  <c r="Q315" i="1"/>
  <c r="J315" i="1"/>
  <c r="CX314" i="1"/>
  <c r="CW314" i="1"/>
  <c r="CV314" i="1"/>
  <c r="CT314" i="1"/>
  <c r="CS314" i="1"/>
  <c r="CR314" i="1"/>
  <c r="CQ314" i="1"/>
  <c r="CO314" i="1"/>
  <c r="CN314" i="1"/>
  <c r="CM314" i="1"/>
  <c r="CK314" i="1"/>
  <c r="CJ314" i="1"/>
  <c r="CI314" i="1"/>
  <c r="CH314" i="1"/>
  <c r="CG314" i="1"/>
  <c r="CF314" i="1"/>
  <c r="CE314" i="1"/>
  <c r="CA314" i="1"/>
  <c r="BZ314" i="1"/>
  <c r="BY314" i="1"/>
  <c r="BX314" i="1"/>
  <c r="BW314" i="1"/>
  <c r="BV314" i="1"/>
  <c r="BU314" i="1"/>
  <c r="BT314" i="1"/>
  <c r="BS314" i="1"/>
  <c r="BR314" i="1"/>
  <c r="BQ314" i="1"/>
  <c r="BO314" i="1"/>
  <c r="BM314" i="1"/>
  <c r="BL314" i="1"/>
  <c r="BK314" i="1"/>
  <c r="BJ314" i="1"/>
  <c r="BI314" i="1"/>
  <c r="BG314" i="1"/>
  <c r="BF314" i="1"/>
  <c r="BE314" i="1"/>
  <c r="BD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U314" i="1"/>
  <c r="T314" i="1"/>
  <c r="S314" i="1"/>
  <c r="R314" i="1"/>
  <c r="Q314" i="1"/>
  <c r="P314" i="1"/>
  <c r="O314" i="1"/>
  <c r="N314" i="1"/>
  <c r="M314" i="1"/>
  <c r="L314" i="1"/>
  <c r="K314" i="1"/>
  <c r="I314" i="1"/>
  <c r="H314" i="1"/>
  <c r="CV313" i="1"/>
  <c r="CL313" i="1"/>
  <c r="CG313" i="1"/>
  <c r="CD313" i="1"/>
  <c r="BP313" i="1"/>
  <c r="BN313" i="1"/>
  <c r="BH313" i="1"/>
  <c r="BD313" i="1"/>
  <c r="AF313" i="1"/>
  <c r="V313" i="1"/>
  <c r="Q313" i="1"/>
  <c r="J313" i="1"/>
  <c r="CX312" i="1"/>
  <c r="CW312" i="1"/>
  <c r="CV312" i="1"/>
  <c r="CT312" i="1"/>
  <c r="CS312" i="1"/>
  <c r="CR312" i="1"/>
  <c r="CQ312" i="1"/>
  <c r="CO312" i="1"/>
  <c r="CN312" i="1"/>
  <c r="CM312" i="1"/>
  <c r="CK312" i="1"/>
  <c r="CJ312" i="1"/>
  <c r="CI312" i="1"/>
  <c r="CH312" i="1"/>
  <c r="CG312" i="1"/>
  <c r="CF312" i="1"/>
  <c r="CE312" i="1"/>
  <c r="CA312" i="1"/>
  <c r="BZ312" i="1"/>
  <c r="BY312" i="1"/>
  <c r="BX312" i="1"/>
  <c r="BW312" i="1"/>
  <c r="BV312" i="1"/>
  <c r="BU312" i="1"/>
  <c r="BT312" i="1"/>
  <c r="BS312" i="1"/>
  <c r="BR312" i="1"/>
  <c r="BQ312" i="1"/>
  <c r="BO312" i="1"/>
  <c r="BN312" i="1"/>
  <c r="BM312" i="1"/>
  <c r="BL312" i="1"/>
  <c r="BK312" i="1"/>
  <c r="BJ312" i="1"/>
  <c r="BI312" i="1"/>
  <c r="BG312" i="1"/>
  <c r="BF312" i="1"/>
  <c r="BE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U312" i="1"/>
  <c r="T312" i="1"/>
  <c r="S312" i="1"/>
  <c r="R312" i="1"/>
  <c r="Q312" i="1"/>
  <c r="P312" i="1"/>
  <c r="O312" i="1"/>
  <c r="N312" i="1"/>
  <c r="M312" i="1"/>
  <c r="L312" i="1"/>
  <c r="K312" i="1"/>
  <c r="I312" i="1"/>
  <c r="H312" i="1"/>
  <c r="CV311" i="1"/>
  <c r="CL311" i="1"/>
  <c r="CG311" i="1"/>
  <c r="CD311" i="1"/>
  <c r="BP311" i="1"/>
  <c r="BN311" i="1"/>
  <c r="BH311" i="1"/>
  <c r="BD311" i="1"/>
  <c r="AF311" i="1"/>
  <c r="V311" i="1"/>
  <c r="Q311" i="1"/>
  <c r="J311" i="1"/>
  <c r="CX310" i="1"/>
  <c r="CW310" i="1"/>
  <c r="CV310" i="1"/>
  <c r="CT310" i="1"/>
  <c r="CS310" i="1"/>
  <c r="CR310" i="1"/>
  <c r="CQ310" i="1"/>
  <c r="CO310" i="1"/>
  <c r="CN310" i="1"/>
  <c r="CM310" i="1"/>
  <c r="CK310" i="1"/>
  <c r="CJ310" i="1"/>
  <c r="CI310" i="1"/>
  <c r="CH310" i="1"/>
  <c r="CG310" i="1"/>
  <c r="CF310" i="1"/>
  <c r="CE310" i="1"/>
  <c r="CA310" i="1"/>
  <c r="BZ310" i="1"/>
  <c r="BY310" i="1"/>
  <c r="BX310" i="1"/>
  <c r="BW310" i="1"/>
  <c r="BV310" i="1"/>
  <c r="BU310" i="1"/>
  <c r="BT310" i="1"/>
  <c r="BS310" i="1"/>
  <c r="BR310" i="1"/>
  <c r="BQ310" i="1"/>
  <c r="BO310" i="1"/>
  <c r="BN310" i="1"/>
  <c r="BM310" i="1"/>
  <c r="BL310" i="1"/>
  <c r="BK310" i="1"/>
  <c r="BJ310" i="1"/>
  <c r="BI310" i="1"/>
  <c r="BG310" i="1"/>
  <c r="BF310" i="1"/>
  <c r="BE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E310" i="1"/>
  <c r="AD310" i="1"/>
  <c r="AC310" i="1"/>
  <c r="AB310" i="1"/>
  <c r="AA310" i="1"/>
  <c r="Z310" i="1"/>
  <c r="Y310" i="1"/>
  <c r="X310" i="1"/>
  <c r="W310" i="1"/>
  <c r="U310" i="1"/>
  <c r="T310" i="1"/>
  <c r="S310" i="1"/>
  <c r="R310" i="1"/>
  <c r="P310" i="1"/>
  <c r="O310" i="1"/>
  <c r="N310" i="1"/>
  <c r="M310" i="1"/>
  <c r="L310" i="1"/>
  <c r="K310" i="1"/>
  <c r="I310" i="1"/>
  <c r="H310" i="1"/>
  <c r="CV309" i="1"/>
  <c r="CT309" i="1"/>
  <c r="CT308" i="1" s="1"/>
  <c r="CN309" i="1"/>
  <c r="CL309" i="1" s="1"/>
  <c r="CK309" i="1"/>
  <c r="CK308" i="1" s="1"/>
  <c r="CJ309" i="1"/>
  <c r="CJ308" i="1" s="1"/>
  <c r="CI309" i="1"/>
  <c r="CF309" i="1"/>
  <c r="BP309" i="1"/>
  <c r="BN309" i="1"/>
  <c r="BH309" i="1"/>
  <c r="BD309" i="1"/>
  <c r="BB309" i="1"/>
  <c r="BB308" i="1" s="1"/>
  <c r="AX309" i="1"/>
  <c r="V309" i="1"/>
  <c r="Q309" i="1"/>
  <c r="P309" i="1"/>
  <c r="P308" i="1" s="1"/>
  <c r="O309" i="1"/>
  <c r="O308" i="1" s="1"/>
  <c r="K309" i="1"/>
  <c r="CX308" i="1"/>
  <c r="CW308" i="1"/>
  <c r="CS308" i="1"/>
  <c r="CR308" i="1"/>
  <c r="CQ308" i="1"/>
  <c r="CO308" i="1"/>
  <c r="CN308" i="1"/>
  <c r="CM308" i="1"/>
  <c r="CH308" i="1"/>
  <c r="CE308" i="1"/>
  <c r="CA308" i="1"/>
  <c r="BZ308" i="1"/>
  <c r="BY308" i="1"/>
  <c r="BX308" i="1"/>
  <c r="BW308" i="1"/>
  <c r="BV308" i="1"/>
  <c r="BU308" i="1"/>
  <c r="BT308" i="1"/>
  <c r="BS308" i="1"/>
  <c r="BR308" i="1"/>
  <c r="BQ308" i="1"/>
  <c r="BO308" i="1"/>
  <c r="BM308" i="1"/>
  <c r="BL308" i="1"/>
  <c r="BK308" i="1"/>
  <c r="BJ308" i="1"/>
  <c r="BI308" i="1"/>
  <c r="BG308" i="1"/>
  <c r="BF308" i="1"/>
  <c r="BE308" i="1"/>
  <c r="BA308" i="1"/>
  <c r="AZ308" i="1"/>
  <c r="AY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N308" i="1"/>
  <c r="M308" i="1"/>
  <c r="L308" i="1"/>
  <c r="I308" i="1"/>
  <c r="H308" i="1"/>
  <c r="CV307" i="1"/>
  <c r="CL307" i="1"/>
  <c r="CG307" i="1"/>
  <c r="CD307" i="1"/>
  <c r="BP307" i="1"/>
  <c r="BN307" i="1"/>
  <c r="BH307" i="1"/>
  <c r="BD307" i="1"/>
  <c r="AF307" i="1"/>
  <c r="V307" i="1"/>
  <c r="Q307" i="1"/>
  <c r="J307" i="1"/>
  <c r="CX306" i="1"/>
  <c r="CW306" i="1"/>
  <c r="CV306" i="1"/>
  <c r="CT306" i="1"/>
  <c r="CS306" i="1"/>
  <c r="CR306" i="1"/>
  <c r="CQ306" i="1"/>
  <c r="CO306" i="1"/>
  <c r="CN306" i="1"/>
  <c r="CM306" i="1"/>
  <c r="CK306" i="1"/>
  <c r="CJ306" i="1"/>
  <c r="CI306" i="1"/>
  <c r="CH306" i="1"/>
  <c r="CG306" i="1"/>
  <c r="CF306" i="1"/>
  <c r="CE306" i="1"/>
  <c r="CA306" i="1"/>
  <c r="BZ306" i="1"/>
  <c r="BY306" i="1"/>
  <c r="BX306" i="1"/>
  <c r="BW306" i="1"/>
  <c r="BV306" i="1"/>
  <c r="BU306" i="1"/>
  <c r="BT306" i="1"/>
  <c r="BS306" i="1"/>
  <c r="BR306" i="1"/>
  <c r="BQ306" i="1"/>
  <c r="BO306" i="1"/>
  <c r="BM306" i="1"/>
  <c r="BL306" i="1"/>
  <c r="BK306" i="1"/>
  <c r="BJ306" i="1"/>
  <c r="BI306" i="1"/>
  <c r="BG306" i="1"/>
  <c r="BF306" i="1"/>
  <c r="BE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E306" i="1"/>
  <c r="AD306" i="1"/>
  <c r="AC306" i="1"/>
  <c r="AB306" i="1"/>
  <c r="AA306" i="1"/>
  <c r="Z306" i="1"/>
  <c r="Y306" i="1"/>
  <c r="X306" i="1"/>
  <c r="W306" i="1"/>
  <c r="U306" i="1"/>
  <c r="T306" i="1"/>
  <c r="S306" i="1"/>
  <c r="R306" i="1"/>
  <c r="P306" i="1"/>
  <c r="O306" i="1"/>
  <c r="N306" i="1"/>
  <c r="M306" i="1"/>
  <c r="L306" i="1"/>
  <c r="K306" i="1"/>
  <c r="I306" i="1"/>
  <c r="H306" i="1"/>
  <c r="CV305" i="1"/>
  <c r="CL305" i="1"/>
  <c r="CG305" i="1"/>
  <c r="CD305" i="1"/>
  <c r="BP305" i="1"/>
  <c r="BN305" i="1"/>
  <c r="BK305" i="1"/>
  <c r="BD305" i="1"/>
  <c r="AF305" i="1"/>
  <c r="V305" i="1"/>
  <c r="Q305" i="1"/>
  <c r="J305" i="1"/>
  <c r="CX304" i="1"/>
  <c r="CW304" i="1"/>
  <c r="CT304" i="1"/>
  <c r="CS304" i="1"/>
  <c r="CR304" i="1"/>
  <c r="CQ304" i="1"/>
  <c r="CO304" i="1"/>
  <c r="CN304" i="1"/>
  <c r="CM304" i="1"/>
  <c r="CK304" i="1"/>
  <c r="CJ304" i="1"/>
  <c r="CI304" i="1"/>
  <c r="CH304" i="1"/>
  <c r="CF304" i="1"/>
  <c r="CE304" i="1"/>
  <c r="CD304" i="1"/>
  <c r="CA304" i="1"/>
  <c r="BZ304" i="1"/>
  <c r="BY304" i="1"/>
  <c r="BX304" i="1"/>
  <c r="BW304" i="1"/>
  <c r="BV304" i="1"/>
  <c r="BU304" i="1"/>
  <c r="BT304" i="1"/>
  <c r="BS304" i="1"/>
  <c r="BR304" i="1"/>
  <c r="BQ304" i="1"/>
  <c r="BO304" i="1"/>
  <c r="BM304" i="1"/>
  <c r="BL304" i="1"/>
  <c r="BJ304" i="1"/>
  <c r="BI304" i="1"/>
  <c r="BG304" i="1"/>
  <c r="BF304" i="1"/>
  <c r="BE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E304" i="1"/>
  <c r="AD304" i="1"/>
  <c r="AC304" i="1"/>
  <c r="AB304" i="1"/>
  <c r="AA304" i="1"/>
  <c r="Z304" i="1"/>
  <c r="Y304" i="1"/>
  <c r="X304" i="1"/>
  <c r="W304" i="1"/>
  <c r="U304" i="1"/>
  <c r="T304" i="1"/>
  <c r="S304" i="1"/>
  <c r="R304" i="1"/>
  <c r="P304" i="1"/>
  <c r="O304" i="1"/>
  <c r="N304" i="1"/>
  <c r="M304" i="1"/>
  <c r="L304" i="1"/>
  <c r="K304" i="1"/>
  <c r="I304" i="1"/>
  <c r="H304" i="1"/>
  <c r="CV303" i="1"/>
  <c r="CL303" i="1"/>
  <c r="CG303" i="1"/>
  <c r="CD303" i="1"/>
  <c r="BP303" i="1"/>
  <c r="BN303" i="1"/>
  <c r="BL303" i="1"/>
  <c r="BH303" i="1"/>
  <c r="BD303" i="1"/>
  <c r="AY303" i="1"/>
  <c r="V303" i="1"/>
  <c r="Q303" i="1"/>
  <c r="J303" i="1"/>
  <c r="CV302" i="1"/>
  <c r="CL302" i="1"/>
  <c r="CG302" i="1"/>
  <c r="CD302" i="1"/>
  <c r="BP302" i="1"/>
  <c r="BN302" i="1"/>
  <c r="BH302" i="1"/>
  <c r="BD302" i="1"/>
  <c r="AF302" i="1"/>
  <c r="V302" i="1"/>
  <c r="Q302" i="1"/>
  <c r="J302" i="1"/>
  <c r="CV301" i="1"/>
  <c r="CL301" i="1"/>
  <c r="CG301" i="1"/>
  <c r="CD301" i="1"/>
  <c r="BP301" i="1"/>
  <c r="BN301" i="1"/>
  <c r="BL301" i="1"/>
  <c r="BH301" i="1"/>
  <c r="BD301" i="1"/>
  <c r="AF301" i="1"/>
  <c r="V301" i="1"/>
  <c r="Q301" i="1"/>
  <c r="J301" i="1"/>
  <c r="CX300" i="1"/>
  <c r="CW300" i="1"/>
  <c r="CT300" i="1"/>
  <c r="CS300" i="1"/>
  <c r="CR300" i="1"/>
  <c r="CQ300" i="1"/>
  <c r="CO300" i="1"/>
  <c r="CN300" i="1"/>
  <c r="CM300" i="1"/>
  <c r="CK300" i="1"/>
  <c r="CJ300" i="1"/>
  <c r="CI300" i="1"/>
  <c r="CH300" i="1"/>
  <c r="CF300" i="1"/>
  <c r="CE300" i="1"/>
  <c r="CA300" i="1"/>
  <c r="BZ300" i="1"/>
  <c r="BY300" i="1"/>
  <c r="BX300" i="1"/>
  <c r="BW300" i="1"/>
  <c r="BV300" i="1"/>
  <c r="BU300" i="1"/>
  <c r="BT300" i="1"/>
  <c r="BS300" i="1"/>
  <c r="BR300" i="1"/>
  <c r="BQ300" i="1"/>
  <c r="BO300" i="1"/>
  <c r="BM300" i="1"/>
  <c r="BK300" i="1"/>
  <c r="BJ300" i="1"/>
  <c r="BI300" i="1"/>
  <c r="BG300" i="1"/>
  <c r="BF300" i="1"/>
  <c r="BE300" i="1"/>
  <c r="BB300" i="1"/>
  <c r="BA300" i="1"/>
  <c r="AZ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E300" i="1"/>
  <c r="AD300" i="1"/>
  <c r="AC300" i="1"/>
  <c r="AB300" i="1"/>
  <c r="AA300" i="1"/>
  <c r="Z300" i="1"/>
  <c r="Y300" i="1"/>
  <c r="X300" i="1"/>
  <c r="W300" i="1"/>
  <c r="U300" i="1"/>
  <c r="T300" i="1"/>
  <c r="S300" i="1"/>
  <c r="R300" i="1"/>
  <c r="P300" i="1"/>
  <c r="O300" i="1"/>
  <c r="N300" i="1"/>
  <c r="M300" i="1"/>
  <c r="L300" i="1"/>
  <c r="K300" i="1"/>
  <c r="I300" i="1"/>
  <c r="H300" i="1"/>
  <c r="CV298" i="1"/>
  <c r="CL298" i="1"/>
  <c r="CG298" i="1"/>
  <c r="CD298" i="1"/>
  <c r="BP298" i="1"/>
  <c r="BN298" i="1"/>
  <c r="BH298" i="1"/>
  <c r="BD298" i="1"/>
  <c r="AF298" i="1"/>
  <c r="V298" i="1"/>
  <c r="Q298" i="1"/>
  <c r="J298" i="1"/>
  <c r="CX297" i="1"/>
  <c r="CW297" i="1"/>
  <c r="CT297" i="1"/>
  <c r="CS297" i="1"/>
  <c r="CR297" i="1"/>
  <c r="CQ297" i="1"/>
  <c r="CO297" i="1"/>
  <c r="CN297" i="1"/>
  <c r="CM297" i="1"/>
  <c r="CL297" i="1"/>
  <c r="CK297" i="1"/>
  <c r="CJ297" i="1"/>
  <c r="CI297" i="1"/>
  <c r="CH297" i="1"/>
  <c r="CG297" i="1"/>
  <c r="CF297" i="1"/>
  <c r="CE297" i="1"/>
  <c r="CD297" i="1"/>
  <c r="CA297" i="1"/>
  <c r="BZ297" i="1"/>
  <c r="BY297" i="1"/>
  <c r="BX297" i="1"/>
  <c r="BW297" i="1"/>
  <c r="BV297" i="1"/>
  <c r="BU297" i="1"/>
  <c r="BT297" i="1"/>
  <c r="BS297" i="1"/>
  <c r="BR297" i="1"/>
  <c r="BQ297" i="1"/>
  <c r="BO297" i="1"/>
  <c r="BM297" i="1"/>
  <c r="BL297" i="1"/>
  <c r="BK297" i="1"/>
  <c r="BJ297" i="1"/>
  <c r="BI297" i="1"/>
  <c r="BG297" i="1"/>
  <c r="BF297" i="1"/>
  <c r="BE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E297" i="1"/>
  <c r="AD297" i="1"/>
  <c r="AC297" i="1"/>
  <c r="AB297" i="1"/>
  <c r="AA297" i="1"/>
  <c r="Z297" i="1"/>
  <c r="Y297" i="1"/>
  <c r="X297" i="1"/>
  <c r="W297" i="1"/>
  <c r="U297" i="1"/>
  <c r="T297" i="1"/>
  <c r="S297" i="1"/>
  <c r="R297" i="1"/>
  <c r="P297" i="1"/>
  <c r="O297" i="1"/>
  <c r="N297" i="1"/>
  <c r="M297" i="1"/>
  <c r="L297" i="1"/>
  <c r="K297" i="1"/>
  <c r="I297" i="1"/>
  <c r="H297" i="1"/>
  <c r="AU296" i="1"/>
  <c r="CV295" i="1"/>
  <c r="CL295" i="1"/>
  <c r="CG295" i="1"/>
  <c r="CD295" i="1"/>
  <c r="BP295" i="1"/>
  <c r="BN295" i="1"/>
  <c r="BH295" i="1"/>
  <c r="BD295" i="1"/>
  <c r="AF295" i="1"/>
  <c r="V295" i="1"/>
  <c r="Q295" i="1"/>
  <c r="J295" i="1"/>
  <c r="CX294" i="1"/>
  <c r="CW294" i="1"/>
  <c r="CV294" i="1"/>
  <c r="CT294" i="1"/>
  <c r="CS294" i="1"/>
  <c r="CR294" i="1"/>
  <c r="CQ294" i="1"/>
  <c r="CO294" i="1"/>
  <c r="CN294" i="1"/>
  <c r="CM294" i="1"/>
  <c r="CK294" i="1"/>
  <c r="CJ294" i="1"/>
  <c r="CI294" i="1"/>
  <c r="CH294" i="1"/>
  <c r="CF294" i="1"/>
  <c r="CE294" i="1"/>
  <c r="CA294" i="1"/>
  <c r="BZ294" i="1"/>
  <c r="BY294" i="1"/>
  <c r="BX294" i="1"/>
  <c r="BW294" i="1"/>
  <c r="BV294" i="1"/>
  <c r="BU294" i="1"/>
  <c r="BT294" i="1"/>
  <c r="BS294" i="1"/>
  <c r="BR294" i="1"/>
  <c r="BQ294" i="1"/>
  <c r="BO294" i="1"/>
  <c r="BM294" i="1"/>
  <c r="BL294" i="1"/>
  <c r="BK294" i="1"/>
  <c r="BJ294" i="1"/>
  <c r="BI294" i="1"/>
  <c r="BG294" i="1"/>
  <c r="BF294" i="1"/>
  <c r="BE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E294" i="1"/>
  <c r="AD294" i="1"/>
  <c r="AC294" i="1"/>
  <c r="AB294" i="1"/>
  <c r="AA294" i="1"/>
  <c r="Z294" i="1"/>
  <c r="Y294" i="1"/>
  <c r="X294" i="1"/>
  <c r="W294" i="1"/>
  <c r="U294" i="1"/>
  <c r="T294" i="1"/>
  <c r="S294" i="1"/>
  <c r="R294" i="1"/>
  <c r="P294" i="1"/>
  <c r="O294" i="1"/>
  <c r="N294" i="1"/>
  <c r="M294" i="1"/>
  <c r="L294" i="1"/>
  <c r="K294" i="1"/>
  <c r="I294" i="1"/>
  <c r="H294" i="1"/>
  <c r="CV293" i="1"/>
  <c r="CL293" i="1"/>
  <c r="CG293" i="1"/>
  <c r="CD293" i="1"/>
  <c r="BP293" i="1"/>
  <c r="BN293" i="1"/>
  <c r="BH293" i="1"/>
  <c r="BD293" i="1"/>
  <c r="AF293" i="1"/>
  <c r="V293" i="1"/>
  <c r="Q293" i="1"/>
  <c r="J293" i="1"/>
  <c r="CX292" i="1"/>
  <c r="CW292" i="1"/>
  <c r="CT292" i="1"/>
  <c r="CS292" i="1"/>
  <c r="CR292" i="1"/>
  <c r="CQ292" i="1"/>
  <c r="CO292" i="1"/>
  <c r="CN292" i="1"/>
  <c r="CM292" i="1"/>
  <c r="CK292" i="1"/>
  <c r="CJ292" i="1"/>
  <c r="CI292" i="1"/>
  <c r="CH292" i="1"/>
  <c r="CF292" i="1"/>
  <c r="CE292" i="1"/>
  <c r="CA292" i="1"/>
  <c r="BZ292" i="1"/>
  <c r="BY292" i="1"/>
  <c r="BX292" i="1"/>
  <c r="BW292" i="1"/>
  <c r="BV292" i="1"/>
  <c r="BU292" i="1"/>
  <c r="BT292" i="1"/>
  <c r="BS292" i="1"/>
  <c r="BR292" i="1"/>
  <c r="BQ292" i="1"/>
  <c r="BO292" i="1"/>
  <c r="BM292" i="1"/>
  <c r="BL292" i="1"/>
  <c r="BK292" i="1"/>
  <c r="BJ292" i="1"/>
  <c r="BI292" i="1"/>
  <c r="BG292" i="1"/>
  <c r="BF292" i="1"/>
  <c r="BE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E292" i="1"/>
  <c r="AD292" i="1"/>
  <c r="AC292" i="1"/>
  <c r="AB292" i="1"/>
  <c r="AA292" i="1"/>
  <c r="Z292" i="1"/>
  <c r="Y292" i="1"/>
  <c r="X292" i="1"/>
  <c r="W292" i="1"/>
  <c r="U292" i="1"/>
  <c r="T292" i="1"/>
  <c r="S292" i="1"/>
  <c r="R292" i="1"/>
  <c r="P292" i="1"/>
  <c r="O292" i="1"/>
  <c r="N292" i="1"/>
  <c r="M292" i="1"/>
  <c r="L292" i="1"/>
  <c r="K292" i="1"/>
  <c r="I292" i="1"/>
  <c r="H292" i="1"/>
  <c r="CV291" i="1"/>
  <c r="CL291" i="1"/>
  <c r="CG291" i="1"/>
  <c r="CD291" i="1"/>
  <c r="BP291" i="1"/>
  <c r="BN291" i="1"/>
  <c r="BH291" i="1"/>
  <c r="BD291" i="1"/>
  <c r="AF291" i="1"/>
  <c r="V291" i="1"/>
  <c r="Q291" i="1"/>
  <c r="J291" i="1"/>
  <c r="CV290" i="1"/>
  <c r="CL290" i="1"/>
  <c r="CG290" i="1"/>
  <c r="CD290" i="1"/>
  <c r="BP290" i="1"/>
  <c r="BN290" i="1"/>
  <c r="BH290" i="1"/>
  <c r="BD290" i="1"/>
  <c r="AF290" i="1"/>
  <c r="V290" i="1"/>
  <c r="Q290" i="1"/>
  <c r="J290" i="1"/>
  <c r="CV289" i="1"/>
  <c r="CL289" i="1"/>
  <c r="CG289" i="1"/>
  <c r="CD289" i="1"/>
  <c r="BP289" i="1"/>
  <c r="BN289" i="1"/>
  <c r="BH289" i="1"/>
  <c r="BD289" i="1"/>
  <c r="AF289" i="1"/>
  <c r="V289" i="1"/>
  <c r="Q289" i="1"/>
  <c r="J289" i="1"/>
  <c r="CV288" i="1"/>
  <c r="CL288" i="1"/>
  <c r="CG288" i="1"/>
  <c r="CD288" i="1"/>
  <c r="BP288" i="1"/>
  <c r="BN288" i="1"/>
  <c r="BH288" i="1"/>
  <c r="BD288" i="1"/>
  <c r="AF288" i="1"/>
  <c r="V288" i="1"/>
  <c r="Q288" i="1"/>
  <c r="J288" i="1"/>
  <c r="CV287" i="1"/>
  <c r="CL287" i="1"/>
  <c r="CG287" i="1"/>
  <c r="CD287" i="1"/>
  <c r="BP287" i="1"/>
  <c r="BN287" i="1"/>
  <c r="BH287" i="1"/>
  <c r="BD287" i="1"/>
  <c r="AF287" i="1"/>
  <c r="V287" i="1"/>
  <c r="Q287" i="1"/>
  <c r="J287" i="1"/>
  <c r="CV286" i="1"/>
  <c r="CL286" i="1"/>
  <c r="CG286" i="1"/>
  <c r="CD286" i="1"/>
  <c r="BP286" i="1"/>
  <c r="BN286" i="1"/>
  <c r="BH286" i="1"/>
  <c r="BD286" i="1"/>
  <c r="AF286" i="1"/>
  <c r="V286" i="1"/>
  <c r="Q286" i="1"/>
  <c r="J286" i="1"/>
  <c r="CV285" i="1"/>
  <c r="CL285" i="1"/>
  <c r="CG285" i="1"/>
  <c r="CD285" i="1"/>
  <c r="BP285" i="1"/>
  <c r="BN285" i="1"/>
  <c r="BH285" i="1"/>
  <c r="BD285" i="1"/>
  <c r="AF285" i="1"/>
  <c r="V285" i="1"/>
  <c r="Q285" i="1"/>
  <c r="J285" i="1"/>
  <c r="CV284" i="1"/>
  <c r="CL284" i="1"/>
  <c r="CG284" i="1"/>
  <c r="CD284" i="1"/>
  <c r="BP284" i="1"/>
  <c r="BN284" i="1"/>
  <c r="BH284" i="1"/>
  <c r="BD284" i="1"/>
  <c r="AF284" i="1"/>
  <c r="V284" i="1"/>
  <c r="Q284" i="1"/>
  <c r="J284" i="1"/>
  <c r="CV283" i="1"/>
  <c r="CL283" i="1"/>
  <c r="CG283" i="1"/>
  <c r="CD283" i="1"/>
  <c r="BP283" i="1"/>
  <c r="BN283" i="1"/>
  <c r="BH283" i="1"/>
  <c r="BD283" i="1"/>
  <c r="AF283" i="1"/>
  <c r="V283" i="1"/>
  <c r="Q283" i="1"/>
  <c r="J283" i="1"/>
  <c r="CV282" i="1"/>
  <c r="CL282" i="1"/>
  <c r="CG282" i="1"/>
  <c r="CD282" i="1"/>
  <c r="BP282" i="1"/>
  <c r="BN282" i="1"/>
  <c r="BH282" i="1"/>
  <c r="BD282" i="1"/>
  <c r="AF282" i="1"/>
  <c r="V282" i="1"/>
  <c r="Q282" i="1"/>
  <c r="J282" i="1"/>
  <c r="CV281" i="1"/>
  <c r="CL281" i="1"/>
  <c r="CG281" i="1"/>
  <c r="CD281" i="1"/>
  <c r="BP281" i="1"/>
  <c r="BN281" i="1"/>
  <c r="BH281" i="1"/>
  <c r="BD281" i="1"/>
  <c r="AF281" i="1"/>
  <c r="V281" i="1"/>
  <c r="Q281" i="1"/>
  <c r="J281" i="1"/>
  <c r="CV280" i="1"/>
  <c r="CL280" i="1"/>
  <c r="CG280" i="1"/>
  <c r="CD280" i="1"/>
  <c r="BP280" i="1"/>
  <c r="BN280" i="1"/>
  <c r="BH280" i="1"/>
  <c r="BD280" i="1"/>
  <c r="AF280" i="1"/>
  <c r="V280" i="1"/>
  <c r="Q280" i="1"/>
  <c r="J280" i="1"/>
  <c r="CX279" i="1"/>
  <c r="CW279" i="1"/>
  <c r="CT279" i="1"/>
  <c r="CS279" i="1"/>
  <c r="CR279" i="1"/>
  <c r="CQ279" i="1"/>
  <c r="CO279" i="1"/>
  <c r="CN279" i="1"/>
  <c r="CM279" i="1"/>
  <c r="CK279" i="1"/>
  <c r="CJ279" i="1"/>
  <c r="CI279" i="1"/>
  <c r="CH279" i="1"/>
  <c r="CF279" i="1"/>
  <c r="CE279" i="1"/>
  <c r="CA279" i="1"/>
  <c r="BZ279" i="1"/>
  <c r="BY279" i="1"/>
  <c r="BX279" i="1"/>
  <c r="BW279" i="1"/>
  <c r="BV279" i="1"/>
  <c r="BU279" i="1"/>
  <c r="BT279" i="1"/>
  <c r="BS279" i="1"/>
  <c r="BR279" i="1"/>
  <c r="BQ279" i="1"/>
  <c r="BO279" i="1"/>
  <c r="BM279" i="1"/>
  <c r="BL279" i="1"/>
  <c r="BK279" i="1"/>
  <c r="BJ279" i="1"/>
  <c r="BI279" i="1"/>
  <c r="BG279" i="1"/>
  <c r="BF279" i="1"/>
  <c r="BE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D279" i="1"/>
  <c r="AC279" i="1"/>
  <c r="AB279" i="1"/>
  <c r="AA279" i="1"/>
  <c r="Z279" i="1"/>
  <c r="Y279" i="1"/>
  <c r="X279" i="1"/>
  <c r="W279" i="1"/>
  <c r="U279" i="1"/>
  <c r="T279" i="1"/>
  <c r="S279" i="1"/>
  <c r="R279" i="1"/>
  <c r="P279" i="1"/>
  <c r="O279" i="1"/>
  <c r="N279" i="1"/>
  <c r="M279" i="1"/>
  <c r="L279" i="1"/>
  <c r="K279" i="1"/>
  <c r="I279" i="1"/>
  <c r="H279" i="1"/>
  <c r="CV278" i="1"/>
  <c r="CL278" i="1"/>
  <c r="CG278" i="1"/>
  <c r="CD278" i="1"/>
  <c r="BP278" i="1"/>
  <c r="BN278" i="1"/>
  <c r="BH278" i="1"/>
  <c r="BD278" i="1"/>
  <c r="AF278" i="1"/>
  <c r="V278" i="1"/>
  <c r="Q278" i="1"/>
  <c r="J278" i="1"/>
  <c r="CV275" i="1"/>
  <c r="CL275" i="1"/>
  <c r="CG275" i="1"/>
  <c r="CD275" i="1"/>
  <c r="BP275" i="1"/>
  <c r="BN275" i="1"/>
  <c r="BH275" i="1"/>
  <c r="BD275" i="1"/>
  <c r="AF275" i="1"/>
  <c r="V275" i="1"/>
  <c r="Q275" i="1"/>
  <c r="J275" i="1"/>
  <c r="CV274" i="1"/>
  <c r="CL274" i="1"/>
  <c r="CG274" i="1"/>
  <c r="CD274" i="1"/>
  <c r="BP274" i="1"/>
  <c r="BN274" i="1"/>
  <c r="BH274" i="1"/>
  <c r="BD274" i="1"/>
  <c r="AF274" i="1"/>
  <c r="V274" i="1"/>
  <c r="Q274" i="1"/>
  <c r="J274" i="1"/>
  <c r="CV273" i="1"/>
  <c r="CL273" i="1"/>
  <c r="CG273" i="1"/>
  <c r="CD273" i="1"/>
  <c r="BP273" i="1"/>
  <c r="BN273" i="1"/>
  <c r="BH273" i="1"/>
  <c r="BD273" i="1"/>
  <c r="AF273" i="1"/>
  <c r="V273" i="1"/>
  <c r="Q273" i="1"/>
  <c r="J273" i="1"/>
  <c r="CV272" i="1"/>
  <c r="CL272" i="1"/>
  <c r="CG272" i="1"/>
  <c r="CD272" i="1"/>
  <c r="BP272" i="1"/>
  <c r="BN272" i="1"/>
  <c r="BH272" i="1"/>
  <c r="BD272" i="1"/>
  <c r="AF272" i="1"/>
  <c r="V272" i="1"/>
  <c r="Q272" i="1"/>
  <c r="J272" i="1"/>
  <c r="CV271" i="1"/>
  <c r="CL271" i="1"/>
  <c r="CG271" i="1"/>
  <c r="CD271" i="1"/>
  <c r="BP271" i="1"/>
  <c r="BN271" i="1"/>
  <c r="BH271" i="1"/>
  <c r="BD271" i="1"/>
  <c r="AF271" i="1"/>
  <c r="V271" i="1"/>
  <c r="Q271" i="1"/>
  <c r="J271" i="1"/>
  <c r="CV270" i="1"/>
  <c r="CL270" i="1"/>
  <c r="CG270" i="1"/>
  <c r="CD270" i="1"/>
  <c r="BP270" i="1"/>
  <c r="BN270" i="1"/>
  <c r="BH270" i="1"/>
  <c r="BD270" i="1"/>
  <c r="AF270" i="1"/>
  <c r="V270" i="1"/>
  <c r="Q270" i="1"/>
  <c r="J270" i="1"/>
  <c r="CV269" i="1"/>
  <c r="CL269" i="1"/>
  <c r="CG269" i="1"/>
  <c r="CD269" i="1"/>
  <c r="BP269" i="1"/>
  <c r="BN269" i="1"/>
  <c r="BH269" i="1"/>
  <c r="BD269" i="1"/>
  <c r="AF269" i="1"/>
  <c r="V269" i="1"/>
  <c r="Q269" i="1"/>
  <c r="J269" i="1"/>
  <c r="CV268" i="1"/>
  <c r="CL268" i="1"/>
  <c r="CG268" i="1"/>
  <c r="CD268" i="1"/>
  <c r="BP268" i="1"/>
  <c r="BN268" i="1"/>
  <c r="BH268" i="1"/>
  <c r="BD268" i="1"/>
  <c r="AF268" i="1"/>
  <c r="V268" i="1"/>
  <c r="Q268" i="1"/>
  <c r="J268" i="1"/>
  <c r="CV267" i="1"/>
  <c r="CL267" i="1"/>
  <c r="CG267" i="1"/>
  <c r="CD267" i="1"/>
  <c r="BP267" i="1"/>
  <c r="BN267" i="1"/>
  <c r="BH267" i="1"/>
  <c r="BD267" i="1"/>
  <c r="AF267" i="1"/>
  <c r="V267" i="1"/>
  <c r="Q267" i="1"/>
  <c r="J267" i="1"/>
  <c r="CV266" i="1"/>
  <c r="CL266" i="1"/>
  <c r="CG266" i="1"/>
  <c r="CD266" i="1"/>
  <c r="BP266" i="1"/>
  <c r="BN266" i="1"/>
  <c r="BH266" i="1"/>
  <c r="BD266" i="1"/>
  <c r="AF266" i="1"/>
  <c r="V266" i="1"/>
  <c r="Q266" i="1"/>
  <c r="J266" i="1"/>
  <c r="CV265" i="1"/>
  <c r="CL265" i="1"/>
  <c r="CG265" i="1"/>
  <c r="CD265" i="1"/>
  <c r="BP265" i="1"/>
  <c r="BN265" i="1"/>
  <c r="BH265" i="1"/>
  <c r="BD265" i="1"/>
  <c r="AF265" i="1"/>
  <c r="V265" i="1"/>
  <c r="Q265" i="1"/>
  <c r="J265" i="1"/>
  <c r="CV264" i="1"/>
  <c r="CL264" i="1"/>
  <c r="CG264" i="1"/>
  <c r="CD264" i="1"/>
  <c r="BP264" i="1"/>
  <c r="BN264" i="1"/>
  <c r="BH264" i="1"/>
  <c r="BD264" i="1"/>
  <c r="AF264" i="1"/>
  <c r="V264" i="1"/>
  <c r="Q264" i="1"/>
  <c r="J264" i="1"/>
  <c r="CV263" i="1"/>
  <c r="CL263" i="1"/>
  <c r="CG263" i="1"/>
  <c r="CD263" i="1"/>
  <c r="BP263" i="1"/>
  <c r="BN263" i="1"/>
  <c r="BH263" i="1"/>
  <c r="BD263" i="1"/>
  <c r="AF263" i="1"/>
  <c r="V263" i="1"/>
  <c r="Q263" i="1"/>
  <c r="J263" i="1"/>
  <c r="CV262" i="1"/>
  <c r="CL262" i="1"/>
  <c r="CG262" i="1"/>
  <c r="CD262" i="1"/>
  <c r="BP262" i="1"/>
  <c r="BN262" i="1"/>
  <c r="BH262" i="1"/>
  <c r="BD262" i="1"/>
  <c r="AF262" i="1"/>
  <c r="V262" i="1"/>
  <c r="Q262" i="1"/>
  <c r="J262" i="1"/>
  <c r="CV261" i="1"/>
  <c r="CL261" i="1"/>
  <c r="CG261" i="1"/>
  <c r="CD261" i="1"/>
  <c r="BP261" i="1"/>
  <c r="BN261" i="1"/>
  <c r="BH261" i="1"/>
  <c r="BD261" i="1"/>
  <c r="AF261" i="1"/>
  <c r="V261" i="1"/>
  <c r="Q261" i="1"/>
  <c r="J261" i="1"/>
  <c r="CV260" i="1"/>
  <c r="CL260" i="1"/>
  <c r="CG260" i="1"/>
  <c r="CD260" i="1"/>
  <c r="BP260" i="1"/>
  <c r="BN260" i="1"/>
  <c r="BH260" i="1"/>
  <c r="BD260" i="1"/>
  <c r="AF260" i="1"/>
  <c r="V260" i="1"/>
  <c r="Q260" i="1"/>
  <c r="J260" i="1"/>
  <c r="CV259" i="1"/>
  <c r="CL259" i="1"/>
  <c r="CG259" i="1"/>
  <c r="CD259" i="1"/>
  <c r="BP259" i="1"/>
  <c r="BN259" i="1"/>
  <c r="BH259" i="1"/>
  <c r="BD259" i="1"/>
  <c r="AF259" i="1"/>
  <c r="V259" i="1"/>
  <c r="Q259" i="1"/>
  <c r="J259" i="1"/>
  <c r="CV258" i="1"/>
  <c r="CL258" i="1"/>
  <c r="CG258" i="1"/>
  <c r="CD258" i="1"/>
  <c r="BP258" i="1"/>
  <c r="BN258" i="1"/>
  <c r="BH258" i="1"/>
  <c r="BD258" i="1"/>
  <c r="AF258" i="1"/>
  <c r="V258" i="1"/>
  <c r="Q258" i="1"/>
  <c r="J258" i="1"/>
  <c r="CV257" i="1"/>
  <c r="CL257" i="1"/>
  <c r="CG257" i="1"/>
  <c r="CD257" i="1"/>
  <c r="BP257" i="1"/>
  <c r="BN257" i="1"/>
  <c r="BH257" i="1"/>
  <c r="BD257" i="1"/>
  <c r="AF257" i="1"/>
  <c r="V257" i="1"/>
  <c r="Q257" i="1"/>
  <c r="J257" i="1"/>
  <c r="CV256" i="1"/>
  <c r="CL256" i="1"/>
  <c r="CG256" i="1"/>
  <c r="CD256" i="1"/>
  <c r="BP256" i="1"/>
  <c r="BN256" i="1"/>
  <c r="BH256" i="1"/>
  <c r="BD256" i="1"/>
  <c r="AF256" i="1"/>
  <c r="V256" i="1"/>
  <c r="Q256" i="1"/>
  <c r="J256" i="1"/>
  <c r="CV255" i="1"/>
  <c r="CL255" i="1"/>
  <c r="CG255" i="1"/>
  <c r="CD255" i="1"/>
  <c r="BP255" i="1"/>
  <c r="BN255" i="1"/>
  <c r="BH255" i="1"/>
  <c r="BD255" i="1"/>
  <c r="AF255" i="1"/>
  <c r="V255" i="1"/>
  <c r="Q255" i="1"/>
  <c r="J255" i="1"/>
  <c r="CV254" i="1"/>
  <c r="CL254" i="1"/>
  <c r="CG254" i="1"/>
  <c r="CD254" i="1"/>
  <c r="BP254" i="1"/>
  <c r="BN254" i="1"/>
  <c r="BH254" i="1"/>
  <c r="BD254" i="1"/>
  <c r="AF254" i="1"/>
  <c r="V254" i="1"/>
  <c r="Q254" i="1"/>
  <c r="J254" i="1"/>
  <c r="CV253" i="1"/>
  <c r="CL253" i="1"/>
  <c r="CG253" i="1"/>
  <c r="CD253" i="1"/>
  <c r="BP253" i="1"/>
  <c r="BN253" i="1"/>
  <c r="BH253" i="1"/>
  <c r="BD253" i="1"/>
  <c r="AF253" i="1"/>
  <c r="V253" i="1"/>
  <c r="Q253" i="1"/>
  <c r="J253" i="1"/>
  <c r="CV252" i="1"/>
  <c r="CL252" i="1"/>
  <c r="CG252" i="1"/>
  <c r="CD252" i="1"/>
  <c r="BP252" i="1"/>
  <c r="BN252" i="1"/>
  <c r="BH252" i="1"/>
  <c r="BD252" i="1"/>
  <c r="AF252" i="1"/>
  <c r="V252" i="1"/>
  <c r="Q252" i="1"/>
  <c r="J252" i="1"/>
  <c r="CV251" i="1"/>
  <c r="CL251" i="1"/>
  <c r="CG251" i="1"/>
  <c r="CD251" i="1"/>
  <c r="BP251" i="1"/>
  <c r="BN251" i="1"/>
  <c r="BH251" i="1"/>
  <c r="BD251" i="1"/>
  <c r="AF251" i="1"/>
  <c r="V251" i="1"/>
  <c r="Q251" i="1"/>
  <c r="J251" i="1"/>
  <c r="CW250" i="1"/>
  <c r="CW238" i="1" s="1"/>
  <c r="CT250" i="1"/>
  <c r="CT238" i="1" s="1"/>
  <c r="CS250" i="1"/>
  <c r="CR250" i="1"/>
  <c r="CQ250" i="1"/>
  <c r="CQ238" i="1" s="1"/>
  <c r="CO250" i="1"/>
  <c r="CO238" i="1" s="1"/>
  <c r="CN250" i="1"/>
  <c r="CN238" i="1" s="1"/>
  <c r="CM250" i="1"/>
  <c r="CM238" i="1" s="1"/>
  <c r="CK250" i="1"/>
  <c r="CK238" i="1" s="1"/>
  <c r="CJ250" i="1"/>
  <c r="CJ238" i="1" s="1"/>
  <c r="CI250" i="1"/>
  <c r="CI238" i="1" s="1"/>
  <c r="CH250" i="1"/>
  <c r="CH238" i="1" s="1"/>
  <c r="CF250" i="1"/>
  <c r="CE250" i="1"/>
  <c r="CE238" i="1" s="1"/>
  <c r="CA250" i="1"/>
  <c r="CA238" i="1" s="1"/>
  <c r="BZ250" i="1"/>
  <c r="BZ238" i="1" s="1"/>
  <c r="BY250" i="1"/>
  <c r="BY238" i="1" s="1"/>
  <c r="BX250" i="1"/>
  <c r="BX238" i="1" s="1"/>
  <c r="BW250" i="1"/>
  <c r="BW238" i="1" s="1"/>
  <c r="BV250" i="1"/>
  <c r="BV238" i="1" s="1"/>
  <c r="BU250" i="1"/>
  <c r="BU238" i="1" s="1"/>
  <c r="BT250" i="1"/>
  <c r="BT238" i="1" s="1"/>
  <c r="BS250" i="1"/>
  <c r="BS238" i="1" s="1"/>
  <c r="BR250" i="1"/>
  <c r="BR238" i="1" s="1"/>
  <c r="BQ250" i="1"/>
  <c r="BQ238" i="1" s="1"/>
  <c r="BO250" i="1"/>
  <c r="BO238" i="1" s="1"/>
  <c r="BM250" i="1"/>
  <c r="BM238" i="1" s="1"/>
  <c r="BL250" i="1"/>
  <c r="BK250" i="1"/>
  <c r="BK238" i="1" s="1"/>
  <c r="BJ250" i="1"/>
  <c r="BJ238" i="1" s="1"/>
  <c r="BI250" i="1"/>
  <c r="BI238" i="1" s="1"/>
  <c r="BG250" i="1"/>
  <c r="BG238" i="1" s="1"/>
  <c r="BF250" i="1"/>
  <c r="BF238" i="1" s="1"/>
  <c r="BE250" i="1"/>
  <c r="BE238" i="1" s="1"/>
  <c r="BB250" i="1"/>
  <c r="BB238" i="1" s="1"/>
  <c r="BA250" i="1"/>
  <c r="BA238" i="1" s="1"/>
  <c r="AZ250" i="1"/>
  <c r="AZ238" i="1" s="1"/>
  <c r="AY250" i="1"/>
  <c r="AY238" i="1" s="1"/>
  <c r="AX250" i="1"/>
  <c r="AX238" i="1" s="1"/>
  <c r="AW250" i="1"/>
  <c r="AW238" i="1" s="1"/>
  <c r="AV250" i="1"/>
  <c r="AV238" i="1" s="1"/>
  <c r="AU250" i="1"/>
  <c r="AU238" i="1" s="1"/>
  <c r="AT250" i="1"/>
  <c r="AT238" i="1" s="1"/>
  <c r="AS250" i="1"/>
  <c r="AS238" i="1" s="1"/>
  <c r="AR250" i="1"/>
  <c r="AR238" i="1" s="1"/>
  <c r="AQ250" i="1"/>
  <c r="AQ238" i="1" s="1"/>
  <c r="AP250" i="1"/>
  <c r="AP238" i="1" s="1"/>
  <c r="AO250" i="1"/>
  <c r="AO238" i="1" s="1"/>
  <c r="AN250" i="1"/>
  <c r="AN238" i="1" s="1"/>
  <c r="AM250" i="1"/>
  <c r="AM238" i="1" s="1"/>
  <c r="AL250" i="1"/>
  <c r="AL238" i="1" s="1"/>
  <c r="AK250" i="1"/>
  <c r="AK238" i="1" s="1"/>
  <c r="AJ250" i="1"/>
  <c r="AJ238" i="1" s="1"/>
  <c r="AI250" i="1"/>
  <c r="AI238" i="1" s="1"/>
  <c r="AH250" i="1"/>
  <c r="AH238" i="1" s="1"/>
  <c r="AG250" i="1"/>
  <c r="AG238" i="1" s="1"/>
  <c r="AE250" i="1"/>
  <c r="AE238" i="1" s="1"/>
  <c r="AD250" i="1"/>
  <c r="AD238" i="1" s="1"/>
  <c r="AC250" i="1"/>
  <c r="AC238" i="1" s="1"/>
  <c r="AB250" i="1"/>
  <c r="AB238" i="1" s="1"/>
  <c r="AA250" i="1"/>
  <c r="AA238" i="1" s="1"/>
  <c r="Z250" i="1"/>
  <c r="Z238" i="1" s="1"/>
  <c r="Y250" i="1"/>
  <c r="Y238" i="1" s="1"/>
  <c r="X250" i="1"/>
  <c r="X238" i="1" s="1"/>
  <c r="W250" i="1"/>
  <c r="W238" i="1" s="1"/>
  <c r="U250" i="1"/>
  <c r="U238" i="1" s="1"/>
  <c r="T250" i="1"/>
  <c r="T238" i="1" s="1"/>
  <c r="S250" i="1"/>
  <c r="S238" i="1" s="1"/>
  <c r="R250" i="1"/>
  <c r="R238" i="1" s="1"/>
  <c r="P250" i="1"/>
  <c r="O250" i="1"/>
  <c r="O238" i="1" s="1"/>
  <c r="N250" i="1"/>
  <c r="N238" i="1" s="1"/>
  <c r="M250" i="1"/>
  <c r="M238" i="1" s="1"/>
  <c r="L250" i="1"/>
  <c r="L238" i="1" s="1"/>
  <c r="K250" i="1"/>
  <c r="K238" i="1" s="1"/>
  <c r="I250" i="1"/>
  <c r="I238" i="1" s="1"/>
  <c r="H250" i="1"/>
  <c r="CV249" i="1"/>
  <c r="CR249" i="1"/>
  <c r="CL249" i="1"/>
  <c r="CG249" i="1"/>
  <c r="CD249" i="1"/>
  <c r="BP249" i="1"/>
  <c r="BN249" i="1"/>
  <c r="BH249" i="1"/>
  <c r="BD249" i="1"/>
  <c r="AF249" i="1"/>
  <c r="V249" i="1"/>
  <c r="Q249" i="1"/>
  <c r="J249" i="1"/>
  <c r="H238" i="1"/>
  <c r="CV248" i="1"/>
  <c r="CL248" i="1"/>
  <c r="CG248" i="1"/>
  <c r="CD248" i="1"/>
  <c r="BP248" i="1"/>
  <c r="BN248" i="1"/>
  <c r="BH248" i="1"/>
  <c r="BD248" i="1"/>
  <c r="AF248" i="1"/>
  <c r="V248" i="1"/>
  <c r="Q248" i="1"/>
  <c r="J248" i="1"/>
  <c r="CV247" i="1"/>
  <c r="CL247" i="1"/>
  <c r="CG247" i="1"/>
  <c r="CD247" i="1"/>
  <c r="BP247" i="1"/>
  <c r="BN247" i="1"/>
  <c r="BL247" i="1"/>
  <c r="BH247" i="1"/>
  <c r="BD247" i="1"/>
  <c r="AF247" i="1"/>
  <c r="V247" i="1"/>
  <c r="Q247" i="1"/>
  <c r="P247" i="1"/>
  <c r="J247" i="1" s="1"/>
  <c r="CV246" i="1"/>
  <c r="CL246" i="1"/>
  <c r="CG246" i="1"/>
  <c r="CD246" i="1"/>
  <c r="BP246" i="1"/>
  <c r="BN246" i="1"/>
  <c r="BH246" i="1"/>
  <c r="BD246" i="1"/>
  <c r="AF246" i="1"/>
  <c r="V246" i="1"/>
  <c r="Q246" i="1"/>
  <c r="J246" i="1"/>
  <c r="CV245" i="1"/>
  <c r="CL245" i="1"/>
  <c r="CG245" i="1"/>
  <c r="CD245" i="1"/>
  <c r="BP245" i="1"/>
  <c r="BN245" i="1"/>
  <c r="BH245" i="1"/>
  <c r="BD245" i="1"/>
  <c r="AF245" i="1"/>
  <c r="V245" i="1"/>
  <c r="Q245" i="1"/>
  <c r="J245" i="1"/>
  <c r="CV244" i="1"/>
  <c r="CL244" i="1"/>
  <c r="CG244" i="1"/>
  <c r="CD244" i="1"/>
  <c r="BP244" i="1"/>
  <c r="BN244" i="1"/>
  <c r="BH244" i="1"/>
  <c r="BD244" i="1"/>
  <c r="AF244" i="1"/>
  <c r="V244" i="1"/>
  <c r="Q244" i="1"/>
  <c r="J244" i="1"/>
  <c r="CV243" i="1"/>
  <c r="CR243" i="1"/>
  <c r="CL243" i="1"/>
  <c r="CG243" i="1"/>
  <c r="CD243" i="1"/>
  <c r="BP243" i="1"/>
  <c r="BN243" i="1"/>
  <c r="BH243" i="1"/>
  <c r="BD243" i="1"/>
  <c r="AF243" i="1"/>
  <c r="V243" i="1"/>
  <c r="Q243" i="1"/>
  <c r="J243" i="1"/>
  <c r="CV242" i="1"/>
  <c r="CL242" i="1"/>
  <c r="CG242" i="1"/>
  <c r="CD242" i="1"/>
  <c r="BP242" i="1"/>
  <c r="BN242" i="1"/>
  <c r="BH242" i="1"/>
  <c r="BD242" i="1"/>
  <c r="AF242" i="1"/>
  <c r="V242" i="1"/>
  <c r="Q242" i="1"/>
  <c r="J242" i="1"/>
  <c r="CV241" i="1"/>
  <c r="CL241" i="1"/>
  <c r="CG241" i="1"/>
  <c r="CD241" i="1"/>
  <c r="BP241" i="1"/>
  <c r="BN241" i="1"/>
  <c r="BH241" i="1"/>
  <c r="BD241" i="1"/>
  <c r="AF241" i="1"/>
  <c r="V241" i="1"/>
  <c r="Q241" i="1"/>
  <c r="J241" i="1"/>
  <c r="CV240" i="1"/>
  <c r="CL240" i="1"/>
  <c r="CG240" i="1"/>
  <c r="CF240" i="1"/>
  <c r="BP240" i="1"/>
  <c r="BN240" i="1"/>
  <c r="BH240" i="1"/>
  <c r="BD240" i="1"/>
  <c r="AF240" i="1"/>
  <c r="V240" i="1"/>
  <c r="Q240" i="1"/>
  <c r="J240" i="1"/>
  <c r="CV239" i="1"/>
  <c r="CL239" i="1"/>
  <c r="CG239" i="1"/>
  <c r="CD239" i="1"/>
  <c r="BP239" i="1"/>
  <c r="BN239" i="1"/>
  <c r="BH239" i="1"/>
  <c r="BD239" i="1"/>
  <c r="AF239" i="1"/>
  <c r="V239" i="1"/>
  <c r="Q239" i="1"/>
  <c r="J239" i="1"/>
  <c r="CV237" i="1"/>
  <c r="CL237" i="1"/>
  <c r="CG237" i="1"/>
  <c r="CD237" i="1"/>
  <c r="BP237" i="1"/>
  <c r="BN237" i="1"/>
  <c r="BH237" i="1"/>
  <c r="BD237" i="1"/>
  <c r="AY237" i="1"/>
  <c r="V237" i="1"/>
  <c r="Q237" i="1"/>
  <c r="J237" i="1"/>
  <c r="I235" i="1"/>
  <c r="H235" i="1"/>
  <c r="CV236" i="1"/>
  <c r="CL236" i="1"/>
  <c r="CG236" i="1"/>
  <c r="CD236" i="1"/>
  <c r="BP236" i="1"/>
  <c r="BN236" i="1"/>
  <c r="BH236" i="1"/>
  <c r="BD236" i="1"/>
  <c r="AF236" i="1"/>
  <c r="V236" i="1"/>
  <c r="Q236" i="1"/>
  <c r="J236" i="1"/>
  <c r="CX235" i="1"/>
  <c r="CW235" i="1"/>
  <c r="CT235" i="1"/>
  <c r="CS235" i="1"/>
  <c r="CR235" i="1"/>
  <c r="CQ235" i="1"/>
  <c r="CO235" i="1"/>
  <c r="CN235" i="1"/>
  <c r="CM235" i="1"/>
  <c r="CK235" i="1"/>
  <c r="CJ235" i="1"/>
  <c r="CI235" i="1"/>
  <c r="CH235" i="1"/>
  <c r="CF235" i="1"/>
  <c r="CE235" i="1"/>
  <c r="CA235" i="1"/>
  <c r="BZ235" i="1"/>
  <c r="BY235" i="1"/>
  <c r="BX235" i="1"/>
  <c r="BW235" i="1"/>
  <c r="BV235" i="1"/>
  <c r="BU235" i="1"/>
  <c r="BT235" i="1"/>
  <c r="BS235" i="1"/>
  <c r="BR235" i="1"/>
  <c r="BQ235" i="1"/>
  <c r="BO235" i="1"/>
  <c r="BM235" i="1"/>
  <c r="BL235" i="1"/>
  <c r="BK235" i="1"/>
  <c r="BJ235" i="1"/>
  <c r="BI235" i="1"/>
  <c r="BH235" i="1"/>
  <c r="BG235" i="1"/>
  <c r="BF235" i="1"/>
  <c r="BE235" i="1"/>
  <c r="BB235" i="1"/>
  <c r="BA235" i="1"/>
  <c r="AZ235" i="1"/>
  <c r="AX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E235" i="1"/>
  <c r="AD235" i="1"/>
  <c r="AC235" i="1"/>
  <c r="AB235" i="1"/>
  <c r="AA235" i="1"/>
  <c r="Z235" i="1"/>
  <c r="Y235" i="1"/>
  <c r="X235" i="1"/>
  <c r="W235" i="1"/>
  <c r="U235" i="1"/>
  <c r="T235" i="1"/>
  <c r="S235" i="1"/>
  <c r="R235" i="1"/>
  <c r="P235" i="1"/>
  <c r="O235" i="1"/>
  <c r="N235" i="1"/>
  <c r="M235" i="1"/>
  <c r="L235" i="1"/>
  <c r="K235" i="1"/>
  <c r="CV234" i="1"/>
  <c r="CL234" i="1"/>
  <c r="CG234" i="1"/>
  <c r="CD234" i="1"/>
  <c r="BP234" i="1"/>
  <c r="BN234" i="1"/>
  <c r="BH234" i="1"/>
  <c r="BD234" i="1"/>
  <c r="AF234" i="1"/>
  <c r="V234" i="1"/>
  <c r="Q234" i="1"/>
  <c r="J234" i="1"/>
  <c r="CX233" i="1"/>
  <c r="CW233" i="1"/>
  <c r="CT233" i="1"/>
  <c r="CS233" i="1"/>
  <c r="CR233" i="1"/>
  <c r="CQ233" i="1"/>
  <c r="CO233" i="1"/>
  <c r="CN233" i="1"/>
  <c r="CM233" i="1"/>
  <c r="CK233" i="1"/>
  <c r="CJ233" i="1"/>
  <c r="CI233" i="1"/>
  <c r="CH233" i="1"/>
  <c r="CF233" i="1"/>
  <c r="CE233" i="1"/>
  <c r="CA233" i="1"/>
  <c r="BZ233" i="1"/>
  <c r="BY233" i="1"/>
  <c r="BX233" i="1"/>
  <c r="BW233" i="1"/>
  <c r="BV233" i="1"/>
  <c r="BU233" i="1"/>
  <c r="BT233" i="1"/>
  <c r="BS233" i="1"/>
  <c r="BR233" i="1"/>
  <c r="BQ233" i="1"/>
  <c r="BO233" i="1"/>
  <c r="BM233" i="1"/>
  <c r="BL233" i="1"/>
  <c r="BK233" i="1"/>
  <c r="BJ233" i="1"/>
  <c r="BI233" i="1"/>
  <c r="BH233" i="1"/>
  <c r="BG233" i="1"/>
  <c r="BF233" i="1"/>
  <c r="BE233" i="1"/>
  <c r="BB233" i="1"/>
  <c r="BA233" i="1"/>
  <c r="AZ233" i="1"/>
  <c r="AY233" i="1"/>
  <c r="AX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U233" i="1"/>
  <c r="T233" i="1"/>
  <c r="S233" i="1"/>
  <c r="R233" i="1"/>
  <c r="P233" i="1"/>
  <c r="O233" i="1"/>
  <c r="N233" i="1"/>
  <c r="M233" i="1"/>
  <c r="L233" i="1"/>
  <c r="K233" i="1"/>
  <c r="I233" i="1"/>
  <c r="H233" i="1"/>
  <c r="CV231" i="1"/>
  <c r="CL231" i="1"/>
  <c r="CG231" i="1"/>
  <c r="CD231" i="1"/>
  <c r="BP231" i="1"/>
  <c r="BN231" i="1"/>
  <c r="BH231" i="1"/>
  <c r="BD231" i="1"/>
  <c r="AF231" i="1"/>
  <c r="V231" i="1"/>
  <c r="Q231" i="1"/>
  <c r="J231" i="1"/>
  <c r="CV230" i="1"/>
  <c r="CL230" i="1"/>
  <c r="CG230" i="1"/>
  <c r="CD230" i="1"/>
  <c r="BP230" i="1"/>
  <c r="BN230" i="1"/>
  <c r="BH230" i="1"/>
  <c r="BD230" i="1"/>
  <c r="AF230" i="1"/>
  <c r="V230" i="1"/>
  <c r="Q230" i="1"/>
  <c r="J230" i="1"/>
  <c r="CX229" i="1"/>
  <c r="CW229" i="1"/>
  <c r="CT229" i="1"/>
  <c r="CS229" i="1"/>
  <c r="CR229" i="1"/>
  <c r="CQ229" i="1"/>
  <c r="CO229" i="1"/>
  <c r="CN229" i="1"/>
  <c r="CM229" i="1"/>
  <c r="CK229" i="1"/>
  <c r="CJ229" i="1"/>
  <c r="CI229" i="1"/>
  <c r="CH229" i="1"/>
  <c r="CF229" i="1"/>
  <c r="CE229" i="1"/>
  <c r="CA229" i="1"/>
  <c r="BZ229" i="1"/>
  <c r="BY229" i="1"/>
  <c r="BX229" i="1"/>
  <c r="BW229" i="1"/>
  <c r="BV229" i="1"/>
  <c r="BU229" i="1"/>
  <c r="BT229" i="1"/>
  <c r="BS229" i="1"/>
  <c r="BR229" i="1"/>
  <c r="BQ229" i="1"/>
  <c r="BO229" i="1"/>
  <c r="BM229" i="1"/>
  <c r="BL229" i="1"/>
  <c r="BK229" i="1"/>
  <c r="BJ229" i="1"/>
  <c r="BI229" i="1"/>
  <c r="BG229" i="1"/>
  <c r="BF229" i="1"/>
  <c r="BE229" i="1"/>
  <c r="BB229" i="1"/>
  <c r="BA229" i="1"/>
  <c r="AZ229" i="1"/>
  <c r="AY229" i="1"/>
  <c r="AX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E229" i="1"/>
  <c r="AD229" i="1"/>
  <c r="AC229" i="1"/>
  <c r="AB229" i="1"/>
  <c r="AA229" i="1"/>
  <c r="Z229" i="1"/>
  <c r="Y229" i="1"/>
  <c r="X229" i="1"/>
  <c r="W229" i="1"/>
  <c r="U229" i="1"/>
  <c r="T229" i="1"/>
  <c r="S229" i="1"/>
  <c r="R229" i="1"/>
  <c r="P229" i="1"/>
  <c r="O229" i="1"/>
  <c r="N229" i="1"/>
  <c r="M229" i="1"/>
  <c r="L229" i="1"/>
  <c r="K229" i="1"/>
  <c r="I229" i="1"/>
  <c r="H229" i="1"/>
  <c r="CX228" i="1"/>
  <c r="CV227" i="1"/>
  <c r="CR227" i="1"/>
  <c r="CL227" i="1"/>
  <c r="CG227" i="1"/>
  <c r="CD227" i="1"/>
  <c r="BP227" i="1"/>
  <c r="BN227" i="1"/>
  <c r="BH227" i="1"/>
  <c r="BD227" i="1"/>
  <c r="AF227" i="1"/>
  <c r="V227" i="1"/>
  <c r="Q227" i="1"/>
  <c r="J227" i="1"/>
  <c r="CX226" i="1"/>
  <c r="CW226" i="1"/>
  <c r="CT226" i="1"/>
  <c r="CS226" i="1"/>
  <c r="CQ226" i="1"/>
  <c r="CO226" i="1"/>
  <c r="CN226" i="1"/>
  <c r="CM226" i="1"/>
  <c r="CK226" i="1"/>
  <c r="CJ226" i="1"/>
  <c r="CI226" i="1"/>
  <c r="CH226" i="1"/>
  <c r="CF226" i="1"/>
  <c r="CE226" i="1"/>
  <c r="CA226" i="1"/>
  <c r="BZ226" i="1"/>
  <c r="BY226" i="1"/>
  <c r="BX226" i="1"/>
  <c r="BW226" i="1"/>
  <c r="BV226" i="1"/>
  <c r="BU226" i="1"/>
  <c r="BT226" i="1"/>
  <c r="BS226" i="1"/>
  <c r="BR226" i="1"/>
  <c r="BQ226" i="1"/>
  <c r="BO226" i="1"/>
  <c r="BM226" i="1"/>
  <c r="BL226" i="1"/>
  <c r="BK226" i="1"/>
  <c r="BJ226" i="1"/>
  <c r="BI226" i="1"/>
  <c r="BG226" i="1"/>
  <c r="BF226" i="1"/>
  <c r="BE226" i="1"/>
  <c r="BB226" i="1"/>
  <c r="BA226" i="1"/>
  <c r="AZ226" i="1"/>
  <c r="AY226" i="1"/>
  <c r="AX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E226" i="1"/>
  <c r="AD226" i="1"/>
  <c r="AC226" i="1"/>
  <c r="AB226" i="1"/>
  <c r="AA226" i="1"/>
  <c r="Z226" i="1"/>
  <c r="Y226" i="1"/>
  <c r="X226" i="1"/>
  <c r="W226" i="1"/>
  <c r="U226" i="1"/>
  <c r="T226" i="1"/>
  <c r="S226" i="1"/>
  <c r="R226" i="1"/>
  <c r="P226" i="1"/>
  <c r="O226" i="1"/>
  <c r="N226" i="1"/>
  <c r="M226" i="1"/>
  <c r="L226" i="1"/>
  <c r="K226" i="1"/>
  <c r="I226" i="1"/>
  <c r="H226" i="1"/>
  <c r="CE225" i="1"/>
  <c r="CV224" i="1"/>
  <c r="CL224" i="1"/>
  <c r="CG224" i="1"/>
  <c r="CD224" i="1"/>
  <c r="BP224" i="1"/>
  <c r="BN224" i="1"/>
  <c r="BH224" i="1"/>
  <c r="BD224" i="1"/>
  <c r="AF224" i="1"/>
  <c r="V224" i="1"/>
  <c r="Q224" i="1"/>
  <c r="J224" i="1"/>
  <c r="CX223" i="1"/>
  <c r="CW223" i="1"/>
  <c r="CT223" i="1"/>
  <c r="CS223" i="1"/>
  <c r="CR223" i="1"/>
  <c r="CQ223" i="1"/>
  <c r="CO223" i="1"/>
  <c r="CN223" i="1"/>
  <c r="CM223" i="1"/>
  <c r="CK223" i="1"/>
  <c r="CJ223" i="1"/>
  <c r="CI223" i="1"/>
  <c r="CH223" i="1"/>
  <c r="CF223" i="1"/>
  <c r="CE223" i="1"/>
  <c r="CA223" i="1"/>
  <c r="BZ223" i="1"/>
  <c r="BY223" i="1"/>
  <c r="BX223" i="1"/>
  <c r="BW223" i="1"/>
  <c r="BV223" i="1"/>
  <c r="BU223" i="1"/>
  <c r="BT223" i="1"/>
  <c r="BS223" i="1"/>
  <c r="BR223" i="1"/>
  <c r="BQ223" i="1"/>
  <c r="BO223" i="1"/>
  <c r="BM223" i="1"/>
  <c r="BL223" i="1"/>
  <c r="BK223" i="1"/>
  <c r="BJ223" i="1"/>
  <c r="BI223" i="1"/>
  <c r="BG223" i="1"/>
  <c r="BF223" i="1"/>
  <c r="BE223" i="1"/>
  <c r="BB223" i="1"/>
  <c r="BA223" i="1"/>
  <c r="AZ223" i="1"/>
  <c r="AY223" i="1"/>
  <c r="AX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E223" i="1"/>
  <c r="AD223" i="1"/>
  <c r="AC223" i="1"/>
  <c r="AB223" i="1"/>
  <c r="AA223" i="1"/>
  <c r="Z223" i="1"/>
  <c r="Y223" i="1"/>
  <c r="X223" i="1"/>
  <c r="W223" i="1"/>
  <c r="U223" i="1"/>
  <c r="T223" i="1"/>
  <c r="S223" i="1"/>
  <c r="R223" i="1"/>
  <c r="P223" i="1"/>
  <c r="O223" i="1"/>
  <c r="N223" i="1"/>
  <c r="M223" i="1"/>
  <c r="L223" i="1"/>
  <c r="K223" i="1"/>
  <c r="I223" i="1"/>
  <c r="H223" i="1"/>
  <c r="CV221" i="1"/>
  <c r="CL221" i="1"/>
  <c r="CG221" i="1"/>
  <c r="CD221" i="1"/>
  <c r="BP221" i="1"/>
  <c r="BN221" i="1"/>
  <c r="BH221" i="1"/>
  <c r="BD221" i="1"/>
  <c r="AF221" i="1"/>
  <c r="V221" i="1"/>
  <c r="Q221" i="1"/>
  <c r="J221" i="1"/>
  <c r="CV219" i="1"/>
  <c r="CL219" i="1"/>
  <c r="CG219" i="1"/>
  <c r="CD219" i="1"/>
  <c r="BP219" i="1"/>
  <c r="BN219" i="1"/>
  <c r="BH219" i="1"/>
  <c r="BD219" i="1"/>
  <c r="AF219" i="1"/>
  <c r="V219" i="1"/>
  <c r="Q219" i="1"/>
  <c r="J219" i="1"/>
  <c r="CV218" i="1"/>
  <c r="CL218" i="1"/>
  <c r="CG218" i="1"/>
  <c r="CD218" i="1"/>
  <c r="BP218" i="1"/>
  <c r="BN218" i="1"/>
  <c r="BH218" i="1"/>
  <c r="BD218" i="1"/>
  <c r="AF218" i="1"/>
  <c r="V218" i="1"/>
  <c r="Q218" i="1"/>
  <c r="J218" i="1"/>
  <c r="CV217" i="1"/>
  <c r="CL217" i="1"/>
  <c r="CG217" i="1"/>
  <c r="CD217" i="1"/>
  <c r="BP217" i="1"/>
  <c r="BN217" i="1"/>
  <c r="BH217" i="1"/>
  <c r="BD217" i="1"/>
  <c r="AF217" i="1"/>
  <c r="V217" i="1"/>
  <c r="Q217" i="1"/>
  <c r="J217" i="1"/>
  <c r="CV216" i="1"/>
  <c r="CL216" i="1"/>
  <c r="CG216" i="1"/>
  <c r="CD216" i="1"/>
  <c r="BP216" i="1"/>
  <c r="BN216" i="1"/>
  <c r="BH216" i="1"/>
  <c r="BD216" i="1"/>
  <c r="AF216" i="1"/>
  <c r="V216" i="1"/>
  <c r="Q216" i="1"/>
  <c r="J216" i="1"/>
  <c r="CV215" i="1"/>
  <c r="CL215" i="1"/>
  <c r="CG215" i="1"/>
  <c r="CD215" i="1"/>
  <c r="BP215" i="1"/>
  <c r="BN215" i="1"/>
  <c r="BH215" i="1"/>
  <c r="BD215" i="1"/>
  <c r="AF215" i="1"/>
  <c r="V215" i="1"/>
  <c r="Q215" i="1"/>
  <c r="J215" i="1"/>
  <c r="CV214" i="1"/>
  <c r="CL214" i="1"/>
  <c r="CG214" i="1"/>
  <c r="CD214" i="1"/>
  <c r="BP214" i="1"/>
  <c r="BN214" i="1"/>
  <c r="BH214" i="1"/>
  <c r="BD214" i="1"/>
  <c r="AF214" i="1"/>
  <c r="V214" i="1"/>
  <c r="Q214" i="1"/>
  <c r="J214" i="1"/>
  <c r="CV213" i="1"/>
  <c r="CL213" i="1"/>
  <c r="CG213" i="1"/>
  <c r="CD213" i="1"/>
  <c r="BP213" i="1"/>
  <c r="BN213" i="1"/>
  <c r="BH213" i="1"/>
  <c r="BD213" i="1"/>
  <c r="AF213" i="1"/>
  <c r="V213" i="1"/>
  <c r="Q213" i="1"/>
  <c r="J213" i="1"/>
  <c r="CV212" i="1"/>
  <c r="CL212" i="1"/>
  <c r="CG212" i="1"/>
  <c r="CD212" i="1"/>
  <c r="BP212" i="1"/>
  <c r="BN212" i="1"/>
  <c r="BH212" i="1"/>
  <c r="BD212" i="1"/>
  <c r="AF212" i="1"/>
  <c r="V212" i="1"/>
  <c r="Q212" i="1"/>
  <c r="J212" i="1"/>
  <c r="CV211" i="1"/>
  <c r="CL211" i="1"/>
  <c r="CG211" i="1"/>
  <c r="CD211" i="1"/>
  <c r="BP211" i="1"/>
  <c r="BN211" i="1"/>
  <c r="BH211" i="1"/>
  <c r="BD211" i="1"/>
  <c r="AF211" i="1"/>
  <c r="V211" i="1"/>
  <c r="Q211" i="1"/>
  <c r="J211" i="1"/>
  <c r="CX210" i="1"/>
  <c r="CW210" i="1"/>
  <c r="CT210" i="1"/>
  <c r="CS210" i="1"/>
  <c r="CR210" i="1"/>
  <c r="CQ210" i="1"/>
  <c r="CO210" i="1"/>
  <c r="CN210" i="1"/>
  <c r="CM210" i="1"/>
  <c r="CK210" i="1"/>
  <c r="CJ210" i="1"/>
  <c r="CI210" i="1"/>
  <c r="CH210" i="1"/>
  <c r="CF210" i="1"/>
  <c r="CE210" i="1"/>
  <c r="CA210" i="1"/>
  <c r="BZ210" i="1"/>
  <c r="BY210" i="1"/>
  <c r="BX210" i="1"/>
  <c r="BW210" i="1"/>
  <c r="BV210" i="1"/>
  <c r="BU210" i="1"/>
  <c r="BT210" i="1"/>
  <c r="BS210" i="1"/>
  <c r="BR210" i="1"/>
  <c r="BQ210" i="1"/>
  <c r="BO210" i="1"/>
  <c r="BM210" i="1"/>
  <c r="BL210" i="1"/>
  <c r="BK210" i="1"/>
  <c r="BJ210" i="1"/>
  <c r="BI210" i="1"/>
  <c r="BG210" i="1"/>
  <c r="BF210" i="1"/>
  <c r="BE210" i="1"/>
  <c r="BB210" i="1"/>
  <c r="BA210" i="1"/>
  <c r="AZ210" i="1"/>
  <c r="AY210" i="1"/>
  <c r="AX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E210" i="1"/>
  <c r="AD210" i="1"/>
  <c r="AC210" i="1"/>
  <c r="AB210" i="1"/>
  <c r="AA210" i="1"/>
  <c r="Z210" i="1"/>
  <c r="Y210" i="1"/>
  <c r="X210" i="1"/>
  <c r="W210" i="1"/>
  <c r="U210" i="1"/>
  <c r="T210" i="1"/>
  <c r="S210" i="1"/>
  <c r="R210" i="1"/>
  <c r="P210" i="1"/>
  <c r="O210" i="1"/>
  <c r="N210" i="1"/>
  <c r="M210" i="1"/>
  <c r="L210" i="1"/>
  <c r="K210" i="1"/>
  <c r="I210" i="1"/>
  <c r="H210" i="1"/>
  <c r="CV209" i="1"/>
  <c r="CL209" i="1"/>
  <c r="CG209" i="1"/>
  <c r="CD209" i="1"/>
  <c r="BP209" i="1"/>
  <c r="BN209" i="1"/>
  <c r="BH209" i="1"/>
  <c r="BD209" i="1"/>
  <c r="V209" i="1"/>
  <c r="Q209" i="1"/>
  <c r="J209" i="1"/>
  <c r="CV208" i="1"/>
  <c r="CL208" i="1"/>
  <c r="CG208" i="1"/>
  <c r="CD208" i="1"/>
  <c r="BP208" i="1"/>
  <c r="BN208" i="1"/>
  <c r="BH208" i="1"/>
  <c r="BD208" i="1"/>
  <c r="V208" i="1"/>
  <c r="Q208" i="1"/>
  <c r="J208" i="1"/>
  <c r="CV207" i="1"/>
  <c r="CL207" i="1"/>
  <c r="CG207" i="1"/>
  <c r="CD207" i="1"/>
  <c r="BP207" i="1"/>
  <c r="BN207" i="1"/>
  <c r="BH207" i="1"/>
  <c r="BD207" i="1"/>
  <c r="V207" i="1"/>
  <c r="Q207" i="1"/>
  <c r="J207" i="1"/>
  <c r="CV206" i="1"/>
  <c r="CL206" i="1"/>
  <c r="CG206" i="1"/>
  <c r="CD206" i="1"/>
  <c r="BP206" i="1"/>
  <c r="BN206" i="1"/>
  <c r="BH206" i="1"/>
  <c r="BD206" i="1"/>
  <c r="V206" i="1"/>
  <c r="Q206" i="1"/>
  <c r="J206" i="1"/>
  <c r="CV205" i="1"/>
  <c r="CL205" i="1"/>
  <c r="CG205" i="1"/>
  <c r="CD205" i="1"/>
  <c r="BP205" i="1"/>
  <c r="BN205" i="1"/>
  <c r="BH205" i="1"/>
  <c r="BD205" i="1"/>
  <c r="V205" i="1"/>
  <c r="Q205" i="1"/>
  <c r="J205" i="1"/>
  <c r="CV204" i="1"/>
  <c r="CL204" i="1"/>
  <c r="CG204" i="1"/>
  <c r="CD204" i="1"/>
  <c r="BP204" i="1"/>
  <c r="BN204" i="1"/>
  <c r="BH204" i="1"/>
  <c r="BD204" i="1"/>
  <c r="V204" i="1"/>
  <c r="Q204" i="1"/>
  <c r="J204" i="1"/>
  <c r="CV203" i="1"/>
  <c r="CL203" i="1"/>
  <c r="CG203" i="1"/>
  <c r="CD203" i="1"/>
  <c r="BP203" i="1"/>
  <c r="BN203" i="1"/>
  <c r="BH203" i="1"/>
  <c r="BD203" i="1"/>
  <c r="V203" i="1"/>
  <c r="Q203" i="1"/>
  <c r="J203" i="1"/>
  <c r="CV202" i="1"/>
  <c r="CL202" i="1"/>
  <c r="CG202" i="1"/>
  <c r="CD202" i="1"/>
  <c r="BP202" i="1"/>
  <c r="BN202" i="1"/>
  <c r="BH202" i="1"/>
  <c r="BD202" i="1"/>
  <c r="V202" i="1"/>
  <c r="Q202" i="1"/>
  <c r="J202" i="1"/>
  <c r="CX201" i="1"/>
  <c r="CW201" i="1"/>
  <c r="CT201" i="1"/>
  <c r="CS201" i="1"/>
  <c r="CR201" i="1"/>
  <c r="CQ201" i="1"/>
  <c r="CO201" i="1"/>
  <c r="CN201" i="1"/>
  <c r="CM201" i="1"/>
  <c r="CK201" i="1"/>
  <c r="CJ201" i="1"/>
  <c r="CI201" i="1"/>
  <c r="CH201" i="1"/>
  <c r="CF201" i="1"/>
  <c r="CE201" i="1"/>
  <c r="CA201" i="1"/>
  <c r="BZ201" i="1"/>
  <c r="BY201" i="1"/>
  <c r="BX201" i="1"/>
  <c r="BW201" i="1"/>
  <c r="BV201" i="1"/>
  <c r="BU201" i="1"/>
  <c r="BT201" i="1"/>
  <c r="BS201" i="1"/>
  <c r="BR201" i="1"/>
  <c r="BQ201" i="1"/>
  <c r="BO201" i="1"/>
  <c r="BM201" i="1"/>
  <c r="BL201" i="1"/>
  <c r="BK201" i="1"/>
  <c r="BJ201" i="1"/>
  <c r="BI201" i="1"/>
  <c r="BG201" i="1"/>
  <c r="BF201" i="1"/>
  <c r="BE201" i="1"/>
  <c r="BB201" i="1"/>
  <c r="BA201" i="1"/>
  <c r="AZ201" i="1"/>
  <c r="AY201" i="1"/>
  <c r="AX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U201" i="1"/>
  <c r="T201" i="1"/>
  <c r="S201" i="1"/>
  <c r="R201" i="1"/>
  <c r="P201" i="1"/>
  <c r="O201" i="1"/>
  <c r="N201" i="1"/>
  <c r="M201" i="1"/>
  <c r="L201" i="1"/>
  <c r="K201" i="1"/>
  <c r="I201" i="1"/>
  <c r="H201" i="1"/>
  <c r="CV200" i="1"/>
  <c r="CL200" i="1"/>
  <c r="CG200" i="1"/>
  <c r="CD200" i="1"/>
  <c r="BP200" i="1"/>
  <c r="BN200" i="1"/>
  <c r="BH200" i="1"/>
  <c r="BD200" i="1"/>
  <c r="AF200" i="1"/>
  <c r="V200" i="1"/>
  <c r="Q200" i="1"/>
  <c r="J200" i="1"/>
  <c r="CX199" i="1"/>
  <c r="CW199" i="1"/>
  <c r="CT199" i="1"/>
  <c r="CS199" i="1"/>
  <c r="CR199" i="1"/>
  <c r="CQ199" i="1"/>
  <c r="CO199" i="1"/>
  <c r="CN199" i="1"/>
  <c r="CM199" i="1"/>
  <c r="CK199" i="1"/>
  <c r="CJ199" i="1"/>
  <c r="CI199" i="1"/>
  <c r="CH199" i="1"/>
  <c r="CF199" i="1"/>
  <c r="CE199" i="1"/>
  <c r="CD199" i="1"/>
  <c r="CA199" i="1"/>
  <c r="BZ199" i="1"/>
  <c r="BY199" i="1"/>
  <c r="BX199" i="1"/>
  <c r="BW199" i="1"/>
  <c r="BV199" i="1"/>
  <c r="BU199" i="1"/>
  <c r="BT199" i="1"/>
  <c r="BS199" i="1"/>
  <c r="BR199" i="1"/>
  <c r="BQ199" i="1"/>
  <c r="BO199" i="1"/>
  <c r="BM199" i="1"/>
  <c r="BL199" i="1"/>
  <c r="BK199" i="1"/>
  <c r="BJ199" i="1"/>
  <c r="BI199" i="1"/>
  <c r="BG199" i="1"/>
  <c r="BF199" i="1"/>
  <c r="BE199" i="1"/>
  <c r="BB199" i="1"/>
  <c r="BA199" i="1"/>
  <c r="AZ199" i="1"/>
  <c r="AY199" i="1"/>
  <c r="AX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E199" i="1"/>
  <c r="AD199" i="1"/>
  <c r="AC199" i="1"/>
  <c r="AB199" i="1"/>
  <c r="AA199" i="1"/>
  <c r="Z199" i="1"/>
  <c r="Y199" i="1"/>
  <c r="X199" i="1"/>
  <c r="W199" i="1"/>
  <c r="U199" i="1"/>
  <c r="T199" i="1"/>
  <c r="S199" i="1"/>
  <c r="R199" i="1"/>
  <c r="P199" i="1"/>
  <c r="O199" i="1"/>
  <c r="N199" i="1"/>
  <c r="M199" i="1"/>
  <c r="L199" i="1"/>
  <c r="K199" i="1"/>
  <c r="I199" i="1"/>
  <c r="H199" i="1"/>
  <c r="CV198" i="1"/>
  <c r="CL198" i="1"/>
  <c r="CG198" i="1"/>
  <c r="CD198" i="1"/>
  <c r="BP198" i="1"/>
  <c r="BN198" i="1"/>
  <c r="BH198" i="1"/>
  <c r="BD198" i="1"/>
  <c r="AF198" i="1"/>
  <c r="V198" i="1"/>
  <c r="Q198" i="1"/>
  <c r="J198" i="1"/>
  <c r="CX197" i="1"/>
  <c r="CW197" i="1"/>
  <c r="CT197" i="1"/>
  <c r="CS197" i="1"/>
  <c r="CR197" i="1"/>
  <c r="CQ197" i="1"/>
  <c r="CO197" i="1"/>
  <c r="CN197" i="1"/>
  <c r="CM197" i="1"/>
  <c r="CL197" i="1"/>
  <c r="CK197" i="1"/>
  <c r="CJ197" i="1"/>
  <c r="CI197" i="1"/>
  <c r="CH197" i="1"/>
  <c r="CG197" i="1"/>
  <c r="CF197" i="1"/>
  <c r="CE197" i="1"/>
  <c r="CD197" i="1"/>
  <c r="CA197" i="1"/>
  <c r="BZ197" i="1"/>
  <c r="BY197" i="1"/>
  <c r="BX197" i="1"/>
  <c r="BW197" i="1"/>
  <c r="BV197" i="1"/>
  <c r="BU197" i="1"/>
  <c r="BT197" i="1"/>
  <c r="BS197" i="1"/>
  <c r="BR197" i="1"/>
  <c r="BQ197" i="1"/>
  <c r="BO197" i="1"/>
  <c r="BM197" i="1"/>
  <c r="BL197" i="1"/>
  <c r="BK197" i="1"/>
  <c r="BJ197" i="1"/>
  <c r="BI197" i="1"/>
  <c r="BG197" i="1"/>
  <c r="BF197" i="1"/>
  <c r="BE197" i="1"/>
  <c r="BB197" i="1"/>
  <c r="BA197" i="1"/>
  <c r="AZ197" i="1"/>
  <c r="AY197" i="1"/>
  <c r="AX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E197" i="1"/>
  <c r="AD197" i="1"/>
  <c r="AC197" i="1"/>
  <c r="AB197" i="1"/>
  <c r="AA197" i="1"/>
  <c r="Z197" i="1"/>
  <c r="Y197" i="1"/>
  <c r="X197" i="1"/>
  <c r="W197" i="1"/>
  <c r="U197" i="1"/>
  <c r="T197" i="1"/>
  <c r="S197" i="1"/>
  <c r="R197" i="1"/>
  <c r="P197" i="1"/>
  <c r="O197" i="1"/>
  <c r="N197" i="1"/>
  <c r="M197" i="1"/>
  <c r="L197" i="1"/>
  <c r="K197" i="1"/>
  <c r="I197" i="1"/>
  <c r="H197" i="1"/>
  <c r="CV196" i="1"/>
  <c r="CL196" i="1"/>
  <c r="CG196" i="1"/>
  <c r="CD196" i="1"/>
  <c r="BP196" i="1"/>
  <c r="BN196" i="1"/>
  <c r="BH196" i="1"/>
  <c r="BD196" i="1"/>
  <c r="AF196" i="1"/>
  <c r="V196" i="1"/>
  <c r="Q196" i="1"/>
  <c r="J196" i="1"/>
  <c r="CX195" i="1"/>
  <c r="CW195" i="1"/>
  <c r="CT195" i="1"/>
  <c r="CS195" i="1"/>
  <c r="CR195" i="1"/>
  <c r="CQ195" i="1"/>
  <c r="CO195" i="1"/>
  <c r="CN195" i="1"/>
  <c r="CM195" i="1"/>
  <c r="CK195" i="1"/>
  <c r="CJ195" i="1"/>
  <c r="CI195" i="1"/>
  <c r="CH195" i="1"/>
  <c r="CF195" i="1"/>
  <c r="CE195" i="1"/>
  <c r="CD195" i="1"/>
  <c r="CA195" i="1"/>
  <c r="BZ195" i="1"/>
  <c r="BY195" i="1"/>
  <c r="BX195" i="1"/>
  <c r="BW195" i="1"/>
  <c r="BV195" i="1"/>
  <c r="BU195" i="1"/>
  <c r="BT195" i="1"/>
  <c r="BS195" i="1"/>
  <c r="BR195" i="1"/>
  <c r="BQ195" i="1"/>
  <c r="BO195" i="1"/>
  <c r="BM195" i="1"/>
  <c r="BL195" i="1"/>
  <c r="BK195" i="1"/>
  <c r="BJ195" i="1"/>
  <c r="BI195" i="1"/>
  <c r="BG195" i="1"/>
  <c r="BF195" i="1"/>
  <c r="BE195" i="1"/>
  <c r="BB195" i="1"/>
  <c r="BA195" i="1"/>
  <c r="AZ195" i="1"/>
  <c r="AY195" i="1"/>
  <c r="AX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P195" i="1"/>
  <c r="O195" i="1"/>
  <c r="N195" i="1"/>
  <c r="M195" i="1"/>
  <c r="L195" i="1"/>
  <c r="K195" i="1"/>
  <c r="I195" i="1"/>
  <c r="H195" i="1"/>
  <c r="CV194" i="1"/>
  <c r="CL194" i="1"/>
  <c r="CG194" i="1"/>
  <c r="CD194" i="1"/>
  <c r="BP194" i="1"/>
  <c r="BN194" i="1"/>
  <c r="BH194" i="1"/>
  <c r="BD194" i="1"/>
  <c r="AF194" i="1"/>
  <c r="V194" i="1"/>
  <c r="Q194" i="1"/>
  <c r="J194" i="1"/>
  <c r="CX193" i="1"/>
  <c r="CW193" i="1"/>
  <c r="CT193" i="1"/>
  <c r="CS193" i="1"/>
  <c r="CR193" i="1"/>
  <c r="CQ193" i="1"/>
  <c r="CO193" i="1"/>
  <c r="CN193" i="1"/>
  <c r="CM193" i="1"/>
  <c r="CL193" i="1"/>
  <c r="CK193" i="1"/>
  <c r="CJ193" i="1"/>
  <c r="CI193" i="1"/>
  <c r="CH193" i="1"/>
  <c r="CG193" i="1"/>
  <c r="CF193" i="1"/>
  <c r="CE193" i="1"/>
  <c r="CD193" i="1"/>
  <c r="CA193" i="1"/>
  <c r="BZ193" i="1"/>
  <c r="BY193" i="1"/>
  <c r="BX193" i="1"/>
  <c r="BW193" i="1"/>
  <c r="BV193" i="1"/>
  <c r="BU193" i="1"/>
  <c r="BT193" i="1"/>
  <c r="BS193" i="1"/>
  <c r="BR193" i="1"/>
  <c r="BQ193" i="1"/>
  <c r="BO193" i="1"/>
  <c r="BM193" i="1"/>
  <c r="BL193" i="1"/>
  <c r="BK193" i="1"/>
  <c r="BJ193" i="1"/>
  <c r="BI193" i="1"/>
  <c r="BG193" i="1"/>
  <c r="BF193" i="1"/>
  <c r="BE193" i="1"/>
  <c r="BB193" i="1"/>
  <c r="BA193" i="1"/>
  <c r="AZ193" i="1"/>
  <c r="AY193" i="1"/>
  <c r="AX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U193" i="1"/>
  <c r="T193" i="1"/>
  <c r="S193" i="1"/>
  <c r="R193" i="1"/>
  <c r="P193" i="1"/>
  <c r="O193" i="1"/>
  <c r="N193" i="1"/>
  <c r="M193" i="1"/>
  <c r="L193" i="1"/>
  <c r="K193" i="1"/>
  <c r="I193" i="1"/>
  <c r="H193" i="1"/>
  <c r="CV192" i="1"/>
  <c r="CL192" i="1"/>
  <c r="CG192" i="1"/>
  <c r="CD192" i="1"/>
  <c r="BP192" i="1"/>
  <c r="BN192" i="1"/>
  <c r="BH192" i="1"/>
  <c r="BD192" i="1"/>
  <c r="AF192" i="1"/>
  <c r="V192" i="1"/>
  <c r="Q192" i="1"/>
  <c r="J192" i="1"/>
  <c r="CV191" i="1"/>
  <c r="CL191" i="1"/>
  <c r="CG191" i="1"/>
  <c r="CD191" i="1"/>
  <c r="BP191" i="1"/>
  <c r="BN191" i="1"/>
  <c r="BH191" i="1"/>
  <c r="BD191" i="1"/>
  <c r="AF191" i="1"/>
  <c r="V191" i="1"/>
  <c r="Q191" i="1"/>
  <c r="J191" i="1"/>
  <c r="CV190" i="1"/>
  <c r="CL190" i="1"/>
  <c r="CG190" i="1"/>
  <c r="CD190" i="1"/>
  <c r="BP190" i="1"/>
  <c r="BN190" i="1"/>
  <c r="BH190" i="1"/>
  <c r="BD190" i="1"/>
  <c r="AF190" i="1"/>
  <c r="V190" i="1"/>
  <c r="Q190" i="1"/>
  <c r="J190" i="1"/>
  <c r="CX189" i="1"/>
  <c r="CW189" i="1"/>
  <c r="CT189" i="1"/>
  <c r="CS189" i="1"/>
  <c r="CR189" i="1"/>
  <c r="CQ189" i="1"/>
  <c r="CO189" i="1"/>
  <c r="CN189" i="1"/>
  <c r="CM189" i="1"/>
  <c r="CK189" i="1"/>
  <c r="CJ189" i="1"/>
  <c r="CI189" i="1"/>
  <c r="CH189" i="1"/>
  <c r="CF189" i="1"/>
  <c r="CE189" i="1"/>
  <c r="CA189" i="1"/>
  <c r="BZ189" i="1"/>
  <c r="BY189" i="1"/>
  <c r="BX189" i="1"/>
  <c r="BW189" i="1"/>
  <c r="BV189" i="1"/>
  <c r="BU189" i="1"/>
  <c r="BT189" i="1"/>
  <c r="BS189" i="1"/>
  <c r="BR189" i="1"/>
  <c r="BQ189" i="1"/>
  <c r="BO189" i="1"/>
  <c r="BM189" i="1"/>
  <c r="BL189" i="1"/>
  <c r="BK189" i="1"/>
  <c r="BJ189" i="1"/>
  <c r="BI189" i="1"/>
  <c r="BG189" i="1"/>
  <c r="BF189" i="1"/>
  <c r="BE189" i="1"/>
  <c r="BB189" i="1"/>
  <c r="BA189" i="1"/>
  <c r="AZ189" i="1"/>
  <c r="AY189" i="1"/>
  <c r="AX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E189" i="1"/>
  <c r="AD189" i="1"/>
  <c r="AC189" i="1"/>
  <c r="AB189" i="1"/>
  <c r="AA189" i="1"/>
  <c r="Z189" i="1"/>
  <c r="Y189" i="1"/>
  <c r="X189" i="1"/>
  <c r="W189" i="1"/>
  <c r="U189" i="1"/>
  <c r="T189" i="1"/>
  <c r="S189" i="1"/>
  <c r="R189" i="1"/>
  <c r="P189" i="1"/>
  <c r="O189" i="1"/>
  <c r="N189" i="1"/>
  <c r="M189" i="1"/>
  <c r="L189" i="1"/>
  <c r="K189" i="1"/>
  <c r="I189" i="1"/>
  <c r="H189" i="1"/>
  <c r="CV188" i="1"/>
  <c r="CL188" i="1"/>
  <c r="CG188" i="1"/>
  <c r="CD188" i="1"/>
  <c r="BP188" i="1"/>
  <c r="BN188" i="1"/>
  <c r="BH188" i="1"/>
  <c r="BD188" i="1"/>
  <c r="AF188" i="1"/>
  <c r="V188" i="1"/>
  <c r="Q188" i="1"/>
  <c r="J188" i="1"/>
  <c r="CV187" i="1"/>
  <c r="CL187" i="1"/>
  <c r="CG187" i="1"/>
  <c r="CD187" i="1"/>
  <c r="BP187" i="1"/>
  <c r="BN187" i="1"/>
  <c r="BH187" i="1"/>
  <c r="BD187" i="1"/>
  <c r="AF187" i="1"/>
  <c r="V187" i="1"/>
  <c r="Q187" i="1"/>
  <c r="J187" i="1"/>
  <c r="CV185" i="1"/>
  <c r="CL185" i="1"/>
  <c r="CG185" i="1"/>
  <c r="CD185" i="1"/>
  <c r="BP185" i="1"/>
  <c r="BN185" i="1"/>
  <c r="BH185" i="1"/>
  <c r="BD185" i="1"/>
  <c r="AF185" i="1"/>
  <c r="V185" i="1"/>
  <c r="Q185" i="1"/>
  <c r="J185" i="1"/>
  <c r="CX184" i="1"/>
  <c r="CW184" i="1"/>
  <c r="CT184" i="1"/>
  <c r="CS184" i="1"/>
  <c r="CR184" i="1"/>
  <c r="CQ184" i="1"/>
  <c r="CO184" i="1"/>
  <c r="CN184" i="1"/>
  <c r="CM184" i="1"/>
  <c r="CK184" i="1"/>
  <c r="CJ184" i="1"/>
  <c r="CI184" i="1"/>
  <c r="CH184" i="1"/>
  <c r="CF184" i="1"/>
  <c r="CE184" i="1"/>
  <c r="CA184" i="1"/>
  <c r="BZ184" i="1"/>
  <c r="BY184" i="1"/>
  <c r="BX184" i="1"/>
  <c r="BW184" i="1"/>
  <c r="BV184" i="1"/>
  <c r="BU184" i="1"/>
  <c r="BT184" i="1"/>
  <c r="BS184" i="1"/>
  <c r="BR184" i="1"/>
  <c r="BQ184" i="1"/>
  <c r="BO184" i="1"/>
  <c r="BN184" i="1"/>
  <c r="BM184" i="1"/>
  <c r="BL184" i="1"/>
  <c r="BK184" i="1"/>
  <c r="BJ184" i="1"/>
  <c r="BI184" i="1"/>
  <c r="BG184" i="1"/>
  <c r="BF184" i="1"/>
  <c r="BE184" i="1"/>
  <c r="BB184" i="1"/>
  <c r="BA184" i="1"/>
  <c r="AZ184" i="1"/>
  <c r="AY184" i="1"/>
  <c r="AX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E184" i="1"/>
  <c r="AD184" i="1"/>
  <c r="AC184" i="1"/>
  <c r="AB184" i="1"/>
  <c r="AA184" i="1"/>
  <c r="Z184" i="1"/>
  <c r="Y184" i="1"/>
  <c r="X184" i="1"/>
  <c r="W184" i="1"/>
  <c r="U184" i="1"/>
  <c r="T184" i="1"/>
  <c r="S184" i="1"/>
  <c r="R184" i="1"/>
  <c r="P184" i="1"/>
  <c r="O184" i="1"/>
  <c r="N184" i="1"/>
  <c r="M184" i="1"/>
  <c r="L184" i="1"/>
  <c r="K184" i="1"/>
  <c r="I184" i="1"/>
  <c r="H184" i="1"/>
  <c r="CV183" i="1"/>
  <c r="CL183" i="1"/>
  <c r="CG183" i="1"/>
  <c r="CD183" i="1"/>
  <c r="BP183" i="1"/>
  <c r="BN183" i="1"/>
  <c r="BH183" i="1"/>
  <c r="BD183" i="1"/>
  <c r="V183" i="1"/>
  <c r="Q183" i="1"/>
  <c r="J183" i="1"/>
  <c r="CX182" i="1"/>
  <c r="CW182" i="1"/>
  <c r="CT182" i="1"/>
  <c r="CS182" i="1"/>
  <c r="CR182" i="1"/>
  <c r="CQ182" i="1"/>
  <c r="CO182" i="1"/>
  <c r="CN182" i="1"/>
  <c r="CM182" i="1"/>
  <c r="CK182" i="1"/>
  <c r="CJ182" i="1"/>
  <c r="CI182" i="1"/>
  <c r="CH182" i="1"/>
  <c r="CF182" i="1"/>
  <c r="CE182" i="1"/>
  <c r="CA182" i="1"/>
  <c r="BZ182" i="1"/>
  <c r="BY182" i="1"/>
  <c r="BX182" i="1"/>
  <c r="BW182" i="1"/>
  <c r="BV182" i="1"/>
  <c r="BU182" i="1"/>
  <c r="BT182" i="1"/>
  <c r="BS182" i="1"/>
  <c r="BR182" i="1"/>
  <c r="BQ182" i="1"/>
  <c r="BO182" i="1"/>
  <c r="BM182" i="1"/>
  <c r="BL182" i="1"/>
  <c r="BK182" i="1"/>
  <c r="BJ182" i="1"/>
  <c r="BI182" i="1"/>
  <c r="BG182" i="1"/>
  <c r="BF182" i="1"/>
  <c r="BE182" i="1"/>
  <c r="BB182" i="1"/>
  <c r="BA182" i="1"/>
  <c r="AZ182" i="1"/>
  <c r="AY182" i="1"/>
  <c r="AX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U182" i="1"/>
  <c r="T182" i="1"/>
  <c r="S182" i="1"/>
  <c r="R182" i="1"/>
  <c r="P182" i="1"/>
  <c r="O182" i="1"/>
  <c r="N182" i="1"/>
  <c r="M182" i="1"/>
  <c r="L182" i="1"/>
  <c r="K182" i="1"/>
  <c r="I182" i="1"/>
  <c r="H182" i="1"/>
  <c r="CV181" i="1"/>
  <c r="CL181" i="1"/>
  <c r="CG181" i="1"/>
  <c r="CD181" i="1"/>
  <c r="BP181" i="1"/>
  <c r="BN181" i="1"/>
  <c r="BH181" i="1"/>
  <c r="BD181" i="1"/>
  <c r="AF181" i="1"/>
  <c r="V181" i="1"/>
  <c r="Q181" i="1"/>
  <c r="J181" i="1"/>
  <c r="CV180" i="1"/>
  <c r="CL180" i="1"/>
  <c r="CG180" i="1"/>
  <c r="CD180" i="1"/>
  <c r="BP180" i="1"/>
  <c r="BN180" i="1"/>
  <c r="BH180" i="1"/>
  <c r="BD180" i="1"/>
  <c r="AF180" i="1"/>
  <c r="V180" i="1"/>
  <c r="Q180" i="1"/>
  <c r="J180" i="1"/>
  <c r="CX179" i="1"/>
  <c r="CW179" i="1"/>
  <c r="CT179" i="1"/>
  <c r="CS179" i="1"/>
  <c r="CR179" i="1"/>
  <c r="CQ179" i="1"/>
  <c r="CO179" i="1"/>
  <c r="CN179" i="1"/>
  <c r="CM179" i="1"/>
  <c r="CK179" i="1"/>
  <c r="CJ179" i="1"/>
  <c r="CI179" i="1"/>
  <c r="CH179" i="1"/>
  <c r="CF179" i="1"/>
  <c r="CE179" i="1"/>
  <c r="CA179" i="1"/>
  <c r="BZ179" i="1"/>
  <c r="BY179" i="1"/>
  <c r="BX179" i="1"/>
  <c r="BW179" i="1"/>
  <c r="BV179" i="1"/>
  <c r="BU179" i="1"/>
  <c r="BT179" i="1"/>
  <c r="BS179" i="1"/>
  <c r="BR179" i="1"/>
  <c r="BQ179" i="1"/>
  <c r="BO179" i="1"/>
  <c r="BM179" i="1"/>
  <c r="BL179" i="1"/>
  <c r="BK179" i="1"/>
  <c r="BJ179" i="1"/>
  <c r="BI179" i="1"/>
  <c r="BG179" i="1"/>
  <c r="BF179" i="1"/>
  <c r="BE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E179" i="1"/>
  <c r="AD179" i="1"/>
  <c r="AC179" i="1"/>
  <c r="AB179" i="1"/>
  <c r="AA179" i="1"/>
  <c r="Z179" i="1"/>
  <c r="Y179" i="1"/>
  <c r="X179" i="1"/>
  <c r="W179" i="1"/>
  <c r="U179" i="1"/>
  <c r="T179" i="1"/>
  <c r="S179" i="1"/>
  <c r="R179" i="1"/>
  <c r="P179" i="1"/>
  <c r="O179" i="1"/>
  <c r="N179" i="1"/>
  <c r="M179" i="1"/>
  <c r="L179" i="1"/>
  <c r="K179" i="1"/>
  <c r="I179" i="1"/>
  <c r="H179" i="1"/>
  <c r="CV178" i="1"/>
  <c r="CL178" i="1"/>
  <c r="CG178" i="1"/>
  <c r="CD178" i="1"/>
  <c r="BP178" i="1"/>
  <c r="BN178" i="1"/>
  <c r="BH178" i="1"/>
  <c r="BD178" i="1"/>
  <c r="AF178" i="1"/>
  <c r="V178" i="1"/>
  <c r="Q178" i="1"/>
  <c r="J178" i="1"/>
  <c r="CV177" i="1"/>
  <c r="CL177" i="1"/>
  <c r="CG177" i="1"/>
  <c r="CD177" i="1"/>
  <c r="BP177" i="1"/>
  <c r="BN177" i="1"/>
  <c r="BH177" i="1"/>
  <c r="BD177" i="1"/>
  <c r="AF177" i="1"/>
  <c r="V177" i="1"/>
  <c r="Q177" i="1"/>
  <c r="P177" i="1"/>
  <c r="CX176" i="1"/>
  <c r="CW176" i="1"/>
  <c r="CT176" i="1"/>
  <c r="CS176" i="1"/>
  <c r="CR176" i="1"/>
  <c r="CQ176" i="1"/>
  <c r="CP176" i="1"/>
  <c r="CO176" i="1"/>
  <c r="CN176" i="1"/>
  <c r="CM176" i="1"/>
  <c r="CK176" i="1"/>
  <c r="CJ176" i="1"/>
  <c r="CI176" i="1"/>
  <c r="CH176" i="1"/>
  <c r="CF176" i="1"/>
  <c r="CE176" i="1"/>
  <c r="CA176" i="1"/>
  <c r="BZ176" i="1"/>
  <c r="BY176" i="1"/>
  <c r="BX176" i="1"/>
  <c r="BW176" i="1"/>
  <c r="BV176" i="1"/>
  <c r="BU176" i="1"/>
  <c r="BT176" i="1"/>
  <c r="BS176" i="1"/>
  <c r="BR176" i="1"/>
  <c r="BQ176" i="1"/>
  <c r="BO176" i="1"/>
  <c r="BM176" i="1"/>
  <c r="BL176" i="1"/>
  <c r="BK176" i="1"/>
  <c r="BJ176" i="1"/>
  <c r="BI176" i="1"/>
  <c r="BG176" i="1"/>
  <c r="BF176" i="1"/>
  <c r="BE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E176" i="1"/>
  <c r="AD176" i="1"/>
  <c r="AC176" i="1"/>
  <c r="AB176" i="1"/>
  <c r="AA176" i="1"/>
  <c r="Z176" i="1"/>
  <c r="Y176" i="1"/>
  <c r="X176" i="1"/>
  <c r="W176" i="1"/>
  <c r="U176" i="1"/>
  <c r="T176" i="1"/>
  <c r="S176" i="1"/>
  <c r="R176" i="1"/>
  <c r="O176" i="1"/>
  <c r="N176" i="1"/>
  <c r="M176" i="1"/>
  <c r="L176" i="1"/>
  <c r="K176" i="1"/>
  <c r="I176" i="1"/>
  <c r="H176" i="1"/>
  <c r="CV175" i="1"/>
  <c r="CL175" i="1"/>
  <c r="CG175" i="1"/>
  <c r="CF175" i="1"/>
  <c r="CD175" i="1" s="1"/>
  <c r="BP175" i="1"/>
  <c r="BN175" i="1"/>
  <c r="BH175" i="1"/>
  <c r="BD175" i="1"/>
  <c r="AJ175" i="1"/>
  <c r="AF175" i="1" s="1"/>
  <c r="V175" i="1"/>
  <c r="Q175" i="1"/>
  <c r="P175" i="1"/>
  <c r="P174" i="1" s="1"/>
  <c r="M175" i="1"/>
  <c r="M174" i="1" s="1"/>
  <c r="L175" i="1"/>
  <c r="L174" i="1" s="1"/>
  <c r="K175" i="1"/>
  <c r="CX174" i="1"/>
  <c r="CW174" i="1"/>
  <c r="CT174" i="1"/>
  <c r="CS174" i="1"/>
  <c r="CR174" i="1"/>
  <c r="CQ174" i="1"/>
  <c r="CO174" i="1"/>
  <c r="CN174" i="1"/>
  <c r="CM174" i="1"/>
  <c r="CK174" i="1"/>
  <c r="CJ174" i="1"/>
  <c r="CI174" i="1"/>
  <c r="CH174" i="1"/>
  <c r="CG174" i="1"/>
  <c r="CE174" i="1"/>
  <c r="CA174" i="1"/>
  <c r="BZ174" i="1"/>
  <c r="BY174" i="1"/>
  <c r="BX174" i="1"/>
  <c r="BW174" i="1"/>
  <c r="BV174" i="1"/>
  <c r="BU174" i="1"/>
  <c r="BT174" i="1"/>
  <c r="BS174" i="1"/>
  <c r="BR174" i="1"/>
  <c r="BQ174" i="1"/>
  <c r="BO174" i="1"/>
  <c r="BM174" i="1"/>
  <c r="BL174" i="1"/>
  <c r="BK174" i="1"/>
  <c r="BJ174" i="1"/>
  <c r="BI174" i="1"/>
  <c r="BG174" i="1"/>
  <c r="BF174" i="1"/>
  <c r="BE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I174" i="1"/>
  <c r="AH174" i="1"/>
  <c r="AG174" i="1"/>
  <c r="AE174" i="1"/>
  <c r="AD174" i="1"/>
  <c r="AC174" i="1"/>
  <c r="AB174" i="1"/>
  <c r="AA174" i="1"/>
  <c r="Z174" i="1"/>
  <c r="Y174" i="1"/>
  <c r="X174" i="1"/>
  <c r="W174" i="1"/>
  <c r="U174" i="1"/>
  <c r="T174" i="1"/>
  <c r="S174" i="1"/>
  <c r="R174" i="1"/>
  <c r="O174" i="1"/>
  <c r="N174" i="1"/>
  <c r="I174" i="1"/>
  <c r="H174" i="1"/>
  <c r="CV172" i="1"/>
  <c r="CL172" i="1"/>
  <c r="CG172" i="1"/>
  <c r="CD172" i="1"/>
  <c r="BP172" i="1"/>
  <c r="BN172" i="1"/>
  <c r="BH172" i="1"/>
  <c r="BD172" i="1"/>
  <c r="V172" i="1"/>
  <c r="Q172" i="1"/>
  <c r="J172" i="1"/>
  <c r="CV171" i="1"/>
  <c r="CL171" i="1"/>
  <c r="CG171" i="1"/>
  <c r="CD171" i="1"/>
  <c r="BP171" i="1"/>
  <c r="BN171" i="1"/>
  <c r="BH171" i="1"/>
  <c r="BD171" i="1"/>
  <c r="AF171" i="1"/>
  <c r="V171" i="1"/>
  <c r="Q171" i="1"/>
  <c r="J171" i="1"/>
  <c r="CV170" i="1"/>
  <c r="CL170" i="1"/>
  <c r="CG170" i="1"/>
  <c r="CD170" i="1"/>
  <c r="BP170" i="1"/>
  <c r="BN170" i="1"/>
  <c r="BH170" i="1"/>
  <c r="BD170" i="1"/>
  <c r="AF170" i="1"/>
  <c r="V170" i="1"/>
  <c r="Q170" i="1"/>
  <c r="J170" i="1"/>
  <c r="CX169" i="1"/>
  <c r="CW169" i="1"/>
  <c r="CT169" i="1"/>
  <c r="CS169" i="1"/>
  <c r="CR169" i="1"/>
  <c r="CQ169" i="1"/>
  <c r="CO169" i="1"/>
  <c r="CN169" i="1"/>
  <c r="CM169" i="1"/>
  <c r="CK169" i="1"/>
  <c r="CJ169" i="1"/>
  <c r="CI169" i="1"/>
  <c r="CH169" i="1"/>
  <c r="CF169" i="1"/>
  <c r="CE169" i="1"/>
  <c r="CA169" i="1"/>
  <c r="BZ169" i="1"/>
  <c r="BY169" i="1"/>
  <c r="BX169" i="1"/>
  <c r="BW169" i="1"/>
  <c r="BV169" i="1"/>
  <c r="BU169" i="1"/>
  <c r="BT169" i="1"/>
  <c r="BS169" i="1"/>
  <c r="BR169" i="1"/>
  <c r="BQ169" i="1"/>
  <c r="BO169" i="1"/>
  <c r="BM169" i="1"/>
  <c r="BL169" i="1"/>
  <c r="BK169" i="1"/>
  <c r="BJ169" i="1"/>
  <c r="BI169" i="1"/>
  <c r="BG169" i="1"/>
  <c r="BF169" i="1"/>
  <c r="BE169" i="1"/>
  <c r="BB169" i="1"/>
  <c r="BA169" i="1"/>
  <c r="AZ169" i="1"/>
  <c r="AY169" i="1"/>
  <c r="AX169" i="1"/>
  <c r="AU169" i="1"/>
  <c r="AT169" i="1"/>
  <c r="AS169" i="1"/>
  <c r="AR169" i="1"/>
  <c r="AQ169" i="1"/>
  <c r="AP169" i="1"/>
  <c r="AN169" i="1"/>
  <c r="AM169" i="1"/>
  <c r="AL169" i="1"/>
  <c r="AK169" i="1"/>
  <c r="AJ169" i="1"/>
  <c r="AI169" i="1"/>
  <c r="AH169" i="1"/>
  <c r="AG169" i="1"/>
  <c r="AE169" i="1"/>
  <c r="AD169" i="1"/>
  <c r="AC169" i="1"/>
  <c r="AB169" i="1"/>
  <c r="AA169" i="1"/>
  <c r="Z169" i="1"/>
  <c r="Y169" i="1"/>
  <c r="X169" i="1"/>
  <c r="W169" i="1"/>
  <c r="U169" i="1"/>
  <c r="T169" i="1"/>
  <c r="S169" i="1"/>
  <c r="R169" i="1"/>
  <c r="P169" i="1"/>
  <c r="O169" i="1"/>
  <c r="N169" i="1"/>
  <c r="M169" i="1"/>
  <c r="L169" i="1"/>
  <c r="K169" i="1"/>
  <c r="I169" i="1"/>
  <c r="H169" i="1"/>
  <c r="CV168" i="1"/>
  <c r="CL168" i="1"/>
  <c r="CG168" i="1"/>
  <c r="CD168" i="1"/>
  <c r="BP168" i="1"/>
  <c r="BN168" i="1"/>
  <c r="BH168" i="1"/>
  <c r="BD168" i="1"/>
  <c r="AF168" i="1"/>
  <c r="V168" i="1"/>
  <c r="Q168" i="1"/>
  <c r="J168" i="1"/>
  <c r="CV165" i="1"/>
  <c r="CL165" i="1"/>
  <c r="CG165" i="1"/>
  <c r="CD165" i="1"/>
  <c r="BP165" i="1"/>
  <c r="BN165" i="1"/>
  <c r="BH165" i="1"/>
  <c r="BD165" i="1"/>
  <c r="AF165" i="1"/>
  <c r="V165" i="1"/>
  <c r="Q165" i="1"/>
  <c r="J165" i="1"/>
  <c r="CX164" i="1"/>
  <c r="CW164" i="1"/>
  <c r="CT164" i="1"/>
  <c r="CS164" i="1"/>
  <c r="CR164" i="1"/>
  <c r="CQ164" i="1"/>
  <c r="CO164" i="1"/>
  <c r="CN164" i="1"/>
  <c r="CM164" i="1"/>
  <c r="CK164" i="1"/>
  <c r="CJ164" i="1"/>
  <c r="CI164" i="1"/>
  <c r="CH164" i="1"/>
  <c r="CF164" i="1"/>
  <c r="CE164" i="1"/>
  <c r="CA164" i="1"/>
  <c r="BZ164" i="1"/>
  <c r="BY164" i="1"/>
  <c r="BX164" i="1"/>
  <c r="BW164" i="1"/>
  <c r="BV164" i="1"/>
  <c r="BU164" i="1"/>
  <c r="BT164" i="1"/>
  <c r="BS164" i="1"/>
  <c r="BR164" i="1"/>
  <c r="BQ164" i="1"/>
  <c r="BO164" i="1"/>
  <c r="BM164" i="1"/>
  <c r="BL164" i="1"/>
  <c r="BK164" i="1"/>
  <c r="BJ164" i="1"/>
  <c r="BI164" i="1"/>
  <c r="BG164" i="1"/>
  <c r="BF164" i="1"/>
  <c r="BE164" i="1"/>
  <c r="BB164" i="1"/>
  <c r="BA164" i="1"/>
  <c r="AZ164" i="1"/>
  <c r="AY164" i="1"/>
  <c r="AX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E164" i="1"/>
  <c r="AD164" i="1"/>
  <c r="AC164" i="1"/>
  <c r="AB164" i="1"/>
  <c r="AA164" i="1"/>
  <c r="Z164" i="1"/>
  <c r="Y164" i="1"/>
  <c r="X164" i="1"/>
  <c r="W164" i="1"/>
  <c r="U164" i="1"/>
  <c r="T164" i="1"/>
  <c r="S164" i="1"/>
  <c r="R164" i="1"/>
  <c r="P164" i="1"/>
  <c r="O164" i="1"/>
  <c r="N164" i="1"/>
  <c r="M164" i="1"/>
  <c r="L164" i="1"/>
  <c r="K164" i="1"/>
  <c r="I164" i="1"/>
  <c r="H164" i="1"/>
  <c r="CV162" i="1"/>
  <c r="CL162" i="1"/>
  <c r="CG162" i="1"/>
  <c r="CD162" i="1"/>
  <c r="BP162" i="1"/>
  <c r="BN162" i="1"/>
  <c r="BH162" i="1"/>
  <c r="BD162" i="1"/>
  <c r="AF162" i="1"/>
  <c r="V162" i="1"/>
  <c r="Q162" i="1"/>
  <c r="J162" i="1"/>
  <c r="CV161" i="1"/>
  <c r="CL161" i="1"/>
  <c r="CG161" i="1"/>
  <c r="CD161" i="1"/>
  <c r="BP161" i="1"/>
  <c r="BN161" i="1"/>
  <c r="BH161" i="1"/>
  <c r="BD161" i="1"/>
  <c r="AF161" i="1"/>
  <c r="V161" i="1"/>
  <c r="Q161" i="1"/>
  <c r="J161" i="1"/>
  <c r="CV160" i="1"/>
  <c r="CL160" i="1"/>
  <c r="CG160" i="1"/>
  <c r="CD160" i="1"/>
  <c r="BP160" i="1"/>
  <c r="BN160" i="1"/>
  <c r="BH160" i="1"/>
  <c r="BD160" i="1"/>
  <c r="AF160" i="1"/>
  <c r="V160" i="1"/>
  <c r="Q160" i="1"/>
  <c r="J160" i="1"/>
  <c r="CV159" i="1"/>
  <c r="CL159" i="1"/>
  <c r="CG159" i="1"/>
  <c r="CD159" i="1"/>
  <c r="BP159" i="1"/>
  <c r="BN159" i="1"/>
  <c r="BH159" i="1"/>
  <c r="BD159" i="1"/>
  <c r="AF159" i="1"/>
  <c r="V159" i="1"/>
  <c r="Q159" i="1"/>
  <c r="J159" i="1"/>
  <c r="CV158" i="1"/>
  <c r="CL158" i="1"/>
  <c r="CG158" i="1"/>
  <c r="CD158" i="1"/>
  <c r="BP158" i="1"/>
  <c r="BN158" i="1"/>
  <c r="BH158" i="1"/>
  <c r="BD158" i="1"/>
  <c r="AF158" i="1"/>
  <c r="V158" i="1"/>
  <c r="Q158" i="1"/>
  <c r="J158" i="1"/>
  <c r="CV157" i="1"/>
  <c r="CL157" i="1"/>
  <c r="CG157" i="1"/>
  <c r="CF157" i="1"/>
  <c r="CD157" i="1" s="1"/>
  <c r="BP157" i="1"/>
  <c r="BN157" i="1"/>
  <c r="BH157" i="1"/>
  <c r="BD157" i="1"/>
  <c r="BB157" i="1"/>
  <c r="AU157" i="1"/>
  <c r="AT157" i="1"/>
  <c r="V157" i="1"/>
  <c r="Q157" i="1"/>
  <c r="P157" i="1"/>
  <c r="P156" i="1" s="1"/>
  <c r="O157" i="1"/>
  <c r="O156" i="1" s="1"/>
  <c r="K157" i="1"/>
  <c r="CX156" i="1"/>
  <c r="CW156" i="1"/>
  <c r="CT156" i="1"/>
  <c r="CS156" i="1"/>
  <c r="CR156" i="1"/>
  <c r="CQ156" i="1"/>
  <c r="CO156" i="1"/>
  <c r="CN156" i="1"/>
  <c r="CM156" i="1"/>
  <c r="CK156" i="1"/>
  <c r="CJ156" i="1"/>
  <c r="CI156" i="1"/>
  <c r="CH156" i="1"/>
  <c r="CE156" i="1"/>
  <c r="CA156" i="1"/>
  <c r="BZ156" i="1"/>
  <c r="BY156" i="1"/>
  <c r="BX156" i="1"/>
  <c r="BW156" i="1"/>
  <c r="BV156" i="1"/>
  <c r="BU156" i="1"/>
  <c r="BT156" i="1"/>
  <c r="BS156" i="1"/>
  <c r="BR156" i="1"/>
  <c r="BQ156" i="1"/>
  <c r="BO156" i="1"/>
  <c r="BM156" i="1"/>
  <c r="BL156" i="1"/>
  <c r="BK156" i="1"/>
  <c r="BJ156" i="1"/>
  <c r="BI156" i="1"/>
  <c r="BG156" i="1"/>
  <c r="BF156" i="1"/>
  <c r="BE156" i="1"/>
  <c r="BB156" i="1"/>
  <c r="BA156" i="1"/>
  <c r="AZ156" i="1"/>
  <c r="AY156" i="1"/>
  <c r="AX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E156" i="1"/>
  <c r="AD156" i="1"/>
  <c r="AC156" i="1"/>
  <c r="AB156" i="1"/>
  <c r="AA156" i="1"/>
  <c r="Z156" i="1"/>
  <c r="Y156" i="1"/>
  <c r="X156" i="1"/>
  <c r="W156" i="1"/>
  <c r="U156" i="1"/>
  <c r="T156" i="1"/>
  <c r="S156" i="1"/>
  <c r="R156" i="1"/>
  <c r="N156" i="1"/>
  <c r="M156" i="1"/>
  <c r="L156" i="1"/>
  <c r="I156" i="1"/>
  <c r="H156" i="1"/>
  <c r="CV155" i="1"/>
  <c r="CL155" i="1"/>
  <c r="CG155" i="1"/>
  <c r="CD155" i="1"/>
  <c r="BP155" i="1"/>
  <c r="BN155" i="1"/>
  <c r="BH155" i="1"/>
  <c r="BD155" i="1"/>
  <c r="AF155" i="1"/>
  <c r="V155" i="1"/>
  <c r="Q155" i="1"/>
  <c r="J155" i="1"/>
  <c r="CV154" i="1"/>
  <c r="CL154" i="1"/>
  <c r="CG154" i="1"/>
  <c r="CD154" i="1"/>
  <c r="BP154" i="1"/>
  <c r="BN154" i="1"/>
  <c r="BH154" i="1"/>
  <c r="BD154" i="1"/>
  <c r="AF154" i="1"/>
  <c r="V154" i="1"/>
  <c r="Q154" i="1"/>
  <c r="J154" i="1"/>
  <c r="CX153" i="1"/>
  <c r="CW153" i="1"/>
  <c r="CT153" i="1"/>
  <c r="CS153" i="1"/>
  <c r="CR153" i="1"/>
  <c r="CQ153" i="1"/>
  <c r="CO153" i="1"/>
  <c r="CN153" i="1"/>
  <c r="CM153" i="1"/>
  <c r="CK153" i="1"/>
  <c r="CJ153" i="1"/>
  <c r="CI153" i="1"/>
  <c r="CH153" i="1"/>
  <c r="CF153" i="1"/>
  <c r="CE153" i="1"/>
  <c r="CA153" i="1"/>
  <c r="BZ153" i="1"/>
  <c r="BY153" i="1"/>
  <c r="BX153" i="1"/>
  <c r="BW153" i="1"/>
  <c r="BV153" i="1"/>
  <c r="BU153" i="1"/>
  <c r="BT153" i="1"/>
  <c r="BS153" i="1"/>
  <c r="BR153" i="1"/>
  <c r="BQ153" i="1"/>
  <c r="BO153" i="1"/>
  <c r="BM153" i="1"/>
  <c r="BL153" i="1"/>
  <c r="BK153" i="1"/>
  <c r="BJ153" i="1"/>
  <c r="BI153" i="1"/>
  <c r="BG153" i="1"/>
  <c r="BF153" i="1"/>
  <c r="BE153" i="1"/>
  <c r="BB153" i="1"/>
  <c r="BA153" i="1"/>
  <c r="AZ153" i="1"/>
  <c r="AY153" i="1"/>
  <c r="AX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E153" i="1"/>
  <c r="AD153" i="1"/>
  <c r="AC153" i="1"/>
  <c r="AB153" i="1"/>
  <c r="AA153" i="1"/>
  <c r="Z153" i="1"/>
  <c r="Y153" i="1"/>
  <c r="X153" i="1"/>
  <c r="W153" i="1"/>
  <c r="U153" i="1"/>
  <c r="T153" i="1"/>
  <c r="S153" i="1"/>
  <c r="R153" i="1"/>
  <c r="P153" i="1"/>
  <c r="O153" i="1"/>
  <c r="N153" i="1"/>
  <c r="M153" i="1"/>
  <c r="L153" i="1"/>
  <c r="K153" i="1"/>
  <c r="I153" i="1"/>
  <c r="H153" i="1"/>
  <c r="CV152" i="1"/>
  <c r="CL152" i="1"/>
  <c r="CG152" i="1"/>
  <c r="CD152" i="1"/>
  <c r="BP152" i="1"/>
  <c r="BN152" i="1"/>
  <c r="BH152" i="1"/>
  <c r="BD152" i="1"/>
  <c r="AF152" i="1"/>
  <c r="V152" i="1"/>
  <c r="Q152" i="1"/>
  <c r="J152" i="1"/>
  <c r="CV151" i="1"/>
  <c r="CL151" i="1"/>
  <c r="CG151" i="1"/>
  <c r="CD151" i="1"/>
  <c r="BP151" i="1"/>
  <c r="BN151" i="1"/>
  <c r="BH151" i="1"/>
  <c r="BD151" i="1"/>
  <c r="AF151" i="1"/>
  <c r="V151" i="1"/>
  <c r="Q151" i="1"/>
  <c r="J151" i="1"/>
  <c r="CV150" i="1"/>
  <c r="CL150" i="1"/>
  <c r="CG150" i="1"/>
  <c r="CD150" i="1"/>
  <c r="BP150" i="1"/>
  <c r="BN150" i="1"/>
  <c r="BH150" i="1"/>
  <c r="BD150" i="1"/>
  <c r="AF150" i="1"/>
  <c r="V150" i="1"/>
  <c r="Q150" i="1"/>
  <c r="J150" i="1"/>
  <c r="CX149" i="1"/>
  <c r="CW149" i="1"/>
  <c r="CT149" i="1"/>
  <c r="CS149" i="1"/>
  <c r="CR149" i="1"/>
  <c r="CQ149" i="1"/>
  <c r="CO149" i="1"/>
  <c r="CN149" i="1"/>
  <c r="CM149" i="1"/>
  <c r="CK149" i="1"/>
  <c r="CJ149" i="1"/>
  <c r="CI149" i="1"/>
  <c r="CH149" i="1"/>
  <c r="CF149" i="1"/>
  <c r="CE149" i="1"/>
  <c r="CA149" i="1"/>
  <c r="BZ149" i="1"/>
  <c r="BY149" i="1"/>
  <c r="BX149" i="1"/>
  <c r="BW149" i="1"/>
  <c r="BV149" i="1"/>
  <c r="BU149" i="1"/>
  <c r="BT149" i="1"/>
  <c r="BS149" i="1"/>
  <c r="BR149" i="1"/>
  <c r="BQ149" i="1"/>
  <c r="BO149" i="1"/>
  <c r="BM149" i="1"/>
  <c r="BL149" i="1"/>
  <c r="BK149" i="1"/>
  <c r="BJ149" i="1"/>
  <c r="BI149" i="1"/>
  <c r="BG149" i="1"/>
  <c r="BF149" i="1"/>
  <c r="BE149" i="1"/>
  <c r="BB149" i="1"/>
  <c r="BA149" i="1"/>
  <c r="AZ149" i="1"/>
  <c r="AY149" i="1"/>
  <c r="AX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E149" i="1"/>
  <c r="AD149" i="1"/>
  <c r="AC149" i="1"/>
  <c r="AB149" i="1"/>
  <c r="AA149" i="1"/>
  <c r="Z149" i="1"/>
  <c r="Y149" i="1"/>
  <c r="X149" i="1"/>
  <c r="W149" i="1"/>
  <c r="U149" i="1"/>
  <c r="T149" i="1"/>
  <c r="S149" i="1"/>
  <c r="R149" i="1"/>
  <c r="Q149" i="1"/>
  <c r="P149" i="1"/>
  <c r="O149" i="1"/>
  <c r="N149" i="1"/>
  <c r="M149" i="1"/>
  <c r="L149" i="1"/>
  <c r="K149" i="1"/>
  <c r="I149" i="1"/>
  <c r="H149" i="1"/>
  <c r="CV147" i="1"/>
  <c r="CL147" i="1"/>
  <c r="CG147" i="1"/>
  <c r="CD147" i="1"/>
  <c r="BP147" i="1"/>
  <c r="BN147" i="1"/>
  <c r="BH147" i="1"/>
  <c r="BD147" i="1"/>
  <c r="AF147" i="1"/>
  <c r="V147" i="1"/>
  <c r="Q147" i="1"/>
  <c r="J147" i="1"/>
  <c r="CV146" i="1"/>
  <c r="CL146" i="1"/>
  <c r="CG146" i="1"/>
  <c r="CD146" i="1"/>
  <c r="BP146" i="1"/>
  <c r="BN146" i="1"/>
  <c r="BH146" i="1"/>
  <c r="BD146" i="1"/>
  <c r="AF146" i="1"/>
  <c r="V146" i="1"/>
  <c r="Q146" i="1"/>
  <c r="J146" i="1"/>
  <c r="CV145" i="1"/>
  <c r="CL145" i="1"/>
  <c r="CG145" i="1"/>
  <c r="CD145" i="1"/>
  <c r="BP145" i="1"/>
  <c r="BN145" i="1"/>
  <c r="BH145" i="1"/>
  <c r="BD145" i="1"/>
  <c r="AF145" i="1"/>
  <c r="V145" i="1"/>
  <c r="Q145" i="1"/>
  <c r="J145" i="1"/>
  <c r="CX144" i="1"/>
  <c r="CW144" i="1"/>
  <c r="CT144" i="1"/>
  <c r="CS144" i="1"/>
  <c r="CR144" i="1"/>
  <c r="CQ144" i="1"/>
  <c r="CO144" i="1"/>
  <c r="CN144" i="1"/>
  <c r="CM144" i="1"/>
  <c r="CK144" i="1"/>
  <c r="CJ144" i="1"/>
  <c r="CI144" i="1"/>
  <c r="CH144" i="1"/>
  <c r="CF144" i="1"/>
  <c r="CE144" i="1"/>
  <c r="CA144" i="1"/>
  <c r="BZ144" i="1"/>
  <c r="BY144" i="1"/>
  <c r="BX144" i="1"/>
  <c r="BW144" i="1"/>
  <c r="BV144" i="1"/>
  <c r="BU144" i="1"/>
  <c r="BT144" i="1"/>
  <c r="BS144" i="1"/>
  <c r="BR144" i="1"/>
  <c r="BQ144" i="1"/>
  <c r="BO144" i="1"/>
  <c r="BM144" i="1"/>
  <c r="BL144" i="1"/>
  <c r="BK144" i="1"/>
  <c r="BJ144" i="1"/>
  <c r="BI144" i="1"/>
  <c r="BG144" i="1"/>
  <c r="BF144" i="1"/>
  <c r="BE144" i="1"/>
  <c r="BB144" i="1"/>
  <c r="BA144" i="1"/>
  <c r="AZ144" i="1"/>
  <c r="AY144" i="1"/>
  <c r="AX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E144" i="1"/>
  <c r="AD144" i="1"/>
  <c r="AC144" i="1"/>
  <c r="AB144" i="1"/>
  <c r="AA144" i="1"/>
  <c r="Z144" i="1"/>
  <c r="Y144" i="1"/>
  <c r="X144" i="1"/>
  <c r="W144" i="1"/>
  <c r="U144" i="1"/>
  <c r="T144" i="1"/>
  <c r="S144" i="1"/>
  <c r="R144" i="1"/>
  <c r="P144" i="1"/>
  <c r="O144" i="1"/>
  <c r="N144" i="1"/>
  <c r="M144" i="1"/>
  <c r="L144" i="1"/>
  <c r="K144" i="1"/>
  <c r="I144" i="1"/>
  <c r="H144" i="1"/>
  <c r="CV143" i="1"/>
  <c r="CL143" i="1"/>
  <c r="CG143" i="1"/>
  <c r="CD143" i="1"/>
  <c r="BP143" i="1"/>
  <c r="BN143" i="1"/>
  <c r="BH143" i="1"/>
  <c r="BD143" i="1"/>
  <c r="AF143" i="1"/>
  <c r="V143" i="1"/>
  <c r="Q143" i="1"/>
  <c r="J143" i="1"/>
  <c r="CX142" i="1"/>
  <c r="CW142" i="1"/>
  <c r="CT142" i="1"/>
  <c r="CS142" i="1"/>
  <c r="CR142" i="1"/>
  <c r="CQ142" i="1"/>
  <c r="CO142" i="1"/>
  <c r="CN142" i="1"/>
  <c r="CM142" i="1"/>
  <c r="CK142" i="1"/>
  <c r="CJ142" i="1"/>
  <c r="CI142" i="1"/>
  <c r="CH142" i="1"/>
  <c r="CF142" i="1"/>
  <c r="CE142" i="1"/>
  <c r="CA142" i="1"/>
  <c r="BZ142" i="1"/>
  <c r="BY142" i="1"/>
  <c r="BX142" i="1"/>
  <c r="BW142" i="1"/>
  <c r="BV142" i="1"/>
  <c r="BU142" i="1"/>
  <c r="BT142" i="1"/>
  <c r="BS142" i="1"/>
  <c r="BR142" i="1"/>
  <c r="BQ142" i="1"/>
  <c r="BO142" i="1"/>
  <c r="BM142" i="1"/>
  <c r="BL142" i="1"/>
  <c r="BK142" i="1"/>
  <c r="BJ142" i="1"/>
  <c r="BI142" i="1"/>
  <c r="BG142" i="1"/>
  <c r="BF142" i="1"/>
  <c r="BE142" i="1"/>
  <c r="BB142" i="1"/>
  <c r="BA142" i="1"/>
  <c r="AZ142" i="1"/>
  <c r="AY142" i="1"/>
  <c r="AX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E142" i="1"/>
  <c r="AD142" i="1"/>
  <c r="AC142" i="1"/>
  <c r="AB142" i="1"/>
  <c r="AA142" i="1"/>
  <c r="Z142" i="1"/>
  <c r="Y142" i="1"/>
  <c r="X142" i="1"/>
  <c r="W142" i="1"/>
  <c r="U142" i="1"/>
  <c r="T142" i="1"/>
  <c r="S142" i="1"/>
  <c r="R142" i="1"/>
  <c r="P142" i="1"/>
  <c r="O142" i="1"/>
  <c r="N142" i="1"/>
  <c r="M142" i="1"/>
  <c r="L142" i="1"/>
  <c r="K142" i="1"/>
  <c r="I142" i="1"/>
  <c r="H142" i="1"/>
  <c r="CV141" i="1"/>
  <c r="CL141" i="1"/>
  <c r="CG141" i="1"/>
  <c r="CD141" i="1"/>
  <c r="BP141" i="1"/>
  <c r="BN141" i="1"/>
  <c r="BH141" i="1"/>
  <c r="BD141" i="1"/>
  <c r="AF141" i="1"/>
  <c r="V141" i="1"/>
  <c r="Q141" i="1"/>
  <c r="J141" i="1"/>
  <c r="CX140" i="1"/>
  <c r="CW140" i="1"/>
  <c r="CT140" i="1"/>
  <c r="CS140" i="1"/>
  <c r="CR140" i="1"/>
  <c r="CQ140" i="1"/>
  <c r="CO140" i="1"/>
  <c r="CN140" i="1"/>
  <c r="CM140" i="1"/>
  <c r="CL140" i="1"/>
  <c r="CK140" i="1"/>
  <c r="CJ140" i="1"/>
  <c r="CI140" i="1"/>
  <c r="CH140" i="1"/>
  <c r="CF140" i="1"/>
  <c r="CE140" i="1"/>
  <c r="CA140" i="1"/>
  <c r="BZ140" i="1"/>
  <c r="BY140" i="1"/>
  <c r="BX140" i="1"/>
  <c r="BW140" i="1"/>
  <c r="BV140" i="1"/>
  <c r="BU140" i="1"/>
  <c r="BT140" i="1"/>
  <c r="BS140" i="1"/>
  <c r="BR140" i="1"/>
  <c r="BQ140" i="1"/>
  <c r="BO140" i="1"/>
  <c r="BM140" i="1"/>
  <c r="BL140" i="1"/>
  <c r="BK140" i="1"/>
  <c r="BJ140" i="1"/>
  <c r="BI140" i="1"/>
  <c r="BG140" i="1"/>
  <c r="BF140" i="1"/>
  <c r="BE140" i="1"/>
  <c r="BB140" i="1"/>
  <c r="BA140" i="1"/>
  <c r="AZ140" i="1"/>
  <c r="AY140" i="1"/>
  <c r="AX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E140" i="1"/>
  <c r="AD140" i="1"/>
  <c r="AC140" i="1"/>
  <c r="AB140" i="1"/>
  <c r="AA140" i="1"/>
  <c r="Z140" i="1"/>
  <c r="Y140" i="1"/>
  <c r="X140" i="1"/>
  <c r="W140" i="1"/>
  <c r="U140" i="1"/>
  <c r="T140" i="1"/>
  <c r="S140" i="1"/>
  <c r="R140" i="1"/>
  <c r="P140" i="1"/>
  <c r="O140" i="1"/>
  <c r="N140" i="1"/>
  <c r="M140" i="1"/>
  <c r="L140" i="1"/>
  <c r="K140" i="1"/>
  <c r="J140" i="1"/>
  <c r="I140" i="1"/>
  <c r="H140" i="1"/>
  <c r="CV139" i="1"/>
  <c r="CL139" i="1"/>
  <c r="CG139" i="1"/>
  <c r="CF139" i="1"/>
  <c r="CD139" i="1" s="1"/>
  <c r="BP139" i="1"/>
  <c r="BN139" i="1"/>
  <c r="BH139" i="1"/>
  <c r="BD139" i="1"/>
  <c r="AU139" i="1"/>
  <c r="AF139" i="1" s="1"/>
  <c r="V139" i="1"/>
  <c r="Q139" i="1"/>
  <c r="J139" i="1"/>
  <c r="I136" i="1"/>
  <c r="H136" i="1"/>
  <c r="CV138" i="1"/>
  <c r="CL138" i="1"/>
  <c r="CG138" i="1"/>
  <c r="CD138" i="1"/>
  <c r="BP138" i="1"/>
  <c r="BN138" i="1"/>
  <c r="BH138" i="1"/>
  <c r="BD138" i="1"/>
  <c r="AF138" i="1"/>
  <c r="V138" i="1"/>
  <c r="Q138" i="1"/>
  <c r="J138" i="1"/>
  <c r="CV137" i="1"/>
  <c r="CL137" i="1"/>
  <c r="CG137" i="1"/>
  <c r="CD137" i="1"/>
  <c r="BP137" i="1"/>
  <c r="BN137" i="1"/>
  <c r="BH137" i="1"/>
  <c r="BD137" i="1"/>
  <c r="AF137" i="1"/>
  <c r="V137" i="1"/>
  <c r="Q137" i="1"/>
  <c r="J137" i="1"/>
  <c r="CX136" i="1"/>
  <c r="CW136" i="1"/>
  <c r="CT136" i="1"/>
  <c r="CS136" i="1"/>
  <c r="CR136" i="1"/>
  <c r="CQ136" i="1"/>
  <c r="CO136" i="1"/>
  <c r="CN136" i="1"/>
  <c r="CM136" i="1"/>
  <c r="CK136" i="1"/>
  <c r="CJ136" i="1"/>
  <c r="CI136" i="1"/>
  <c r="CH136" i="1"/>
  <c r="CE136" i="1"/>
  <c r="CA136" i="1"/>
  <c r="BZ136" i="1"/>
  <c r="BY136" i="1"/>
  <c r="BX136" i="1"/>
  <c r="BW136" i="1"/>
  <c r="BV136" i="1"/>
  <c r="BU136" i="1"/>
  <c r="BT136" i="1"/>
  <c r="BS136" i="1"/>
  <c r="BR136" i="1"/>
  <c r="BQ136" i="1"/>
  <c r="BO136" i="1"/>
  <c r="BM136" i="1"/>
  <c r="BL136" i="1"/>
  <c r="BK136" i="1"/>
  <c r="BJ136" i="1"/>
  <c r="BI136" i="1"/>
  <c r="BG136" i="1"/>
  <c r="BF136" i="1"/>
  <c r="BE136" i="1"/>
  <c r="BB136" i="1"/>
  <c r="BA136" i="1"/>
  <c r="AZ136" i="1"/>
  <c r="AY136" i="1"/>
  <c r="AX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E136" i="1"/>
  <c r="AD136" i="1"/>
  <c r="AC136" i="1"/>
  <c r="AB136" i="1"/>
  <c r="AA136" i="1"/>
  <c r="Z136" i="1"/>
  <c r="Y136" i="1"/>
  <c r="X136" i="1"/>
  <c r="W136" i="1"/>
  <c r="U136" i="1"/>
  <c r="T136" i="1"/>
  <c r="S136" i="1"/>
  <c r="R136" i="1"/>
  <c r="P136" i="1"/>
  <c r="O136" i="1"/>
  <c r="N136" i="1"/>
  <c r="M136" i="1"/>
  <c r="L136" i="1"/>
  <c r="K136" i="1"/>
  <c r="CV135" i="1"/>
  <c r="CL135" i="1"/>
  <c r="CG135" i="1"/>
  <c r="CD135" i="1"/>
  <c r="BP135" i="1"/>
  <c r="BN135" i="1"/>
  <c r="BH135" i="1"/>
  <c r="BD135" i="1"/>
  <c r="AF135" i="1"/>
  <c r="V135" i="1"/>
  <c r="Q135" i="1"/>
  <c r="J135" i="1"/>
  <c r="CV134" i="1"/>
  <c r="CL134" i="1"/>
  <c r="CG134" i="1"/>
  <c r="CF134" i="1"/>
  <c r="BP134" i="1"/>
  <c r="BN134" i="1"/>
  <c r="BH134" i="1"/>
  <c r="BD134" i="1"/>
  <c r="AN134" i="1"/>
  <c r="AN132" i="1" s="1"/>
  <c r="AL134" i="1"/>
  <c r="AK134" i="1"/>
  <c r="AK132" i="1" s="1"/>
  <c r="AJ134" i="1"/>
  <c r="AJ132" i="1" s="1"/>
  <c r="V134" i="1"/>
  <c r="Q134" i="1"/>
  <c r="P134" i="1"/>
  <c r="J134" i="1" s="1"/>
  <c r="CV133" i="1"/>
  <c r="CL133" i="1"/>
  <c r="CG133" i="1"/>
  <c r="CD133" i="1"/>
  <c r="BP133" i="1"/>
  <c r="BN133" i="1"/>
  <c r="BH133" i="1"/>
  <c r="BD133" i="1"/>
  <c r="AF133" i="1"/>
  <c r="V133" i="1"/>
  <c r="Q133" i="1"/>
  <c r="J133" i="1"/>
  <c r="CX132" i="1"/>
  <c r="CW132" i="1"/>
  <c r="CT132" i="1"/>
  <c r="CS132" i="1"/>
  <c r="CR132" i="1"/>
  <c r="CQ132" i="1"/>
  <c r="CO132" i="1"/>
  <c r="CN132" i="1"/>
  <c r="CM132" i="1"/>
  <c r="CK132" i="1"/>
  <c r="CJ132" i="1"/>
  <c r="CI132" i="1"/>
  <c r="CH132" i="1"/>
  <c r="CE132" i="1"/>
  <c r="CA132" i="1"/>
  <c r="BZ132" i="1"/>
  <c r="BY132" i="1"/>
  <c r="BX132" i="1"/>
  <c r="BW132" i="1"/>
  <c r="BV132" i="1"/>
  <c r="BU132" i="1"/>
  <c r="BT132" i="1"/>
  <c r="BS132" i="1"/>
  <c r="BR132" i="1"/>
  <c r="BQ132" i="1"/>
  <c r="BO132" i="1"/>
  <c r="BM132" i="1"/>
  <c r="BL132" i="1"/>
  <c r="BK132" i="1"/>
  <c r="BJ132" i="1"/>
  <c r="BI132" i="1"/>
  <c r="BG132" i="1"/>
  <c r="BF132" i="1"/>
  <c r="BE132" i="1"/>
  <c r="BB132" i="1"/>
  <c r="BA132" i="1"/>
  <c r="AZ132" i="1"/>
  <c r="AY132" i="1"/>
  <c r="AX132" i="1"/>
  <c r="AU132" i="1"/>
  <c r="AT132" i="1"/>
  <c r="AS132" i="1"/>
  <c r="AR132" i="1"/>
  <c r="AQ132" i="1"/>
  <c r="AP132" i="1"/>
  <c r="AO132" i="1"/>
  <c r="AM132" i="1"/>
  <c r="AI132" i="1"/>
  <c r="AH132" i="1"/>
  <c r="AG132" i="1"/>
  <c r="AE132" i="1"/>
  <c r="AD132" i="1"/>
  <c r="AC132" i="1"/>
  <c r="AB132" i="1"/>
  <c r="AA132" i="1"/>
  <c r="Z132" i="1"/>
  <c r="Y132" i="1"/>
  <c r="X132" i="1"/>
  <c r="W132" i="1"/>
  <c r="U132" i="1"/>
  <c r="T132" i="1"/>
  <c r="S132" i="1"/>
  <c r="R132" i="1"/>
  <c r="O132" i="1"/>
  <c r="N132" i="1"/>
  <c r="M132" i="1"/>
  <c r="L132" i="1"/>
  <c r="K132" i="1"/>
  <c r="I132" i="1"/>
  <c r="H132" i="1"/>
  <c r="CV131" i="1"/>
  <c r="CL131" i="1"/>
  <c r="CG131" i="1"/>
  <c r="CD131" i="1"/>
  <c r="BP131" i="1"/>
  <c r="BN131" i="1"/>
  <c r="BH131" i="1"/>
  <c r="BD131" i="1"/>
  <c r="AF131" i="1"/>
  <c r="V131" i="1"/>
  <c r="Q131" i="1"/>
  <c r="J131" i="1"/>
  <c r="CV130" i="1"/>
  <c r="CL130" i="1"/>
  <c r="CG130" i="1"/>
  <c r="CD130" i="1"/>
  <c r="BP130" i="1"/>
  <c r="BN130" i="1"/>
  <c r="BH130" i="1"/>
  <c r="BD130" i="1"/>
  <c r="AF130" i="1"/>
  <c r="V130" i="1"/>
  <c r="Q130" i="1"/>
  <c r="J130" i="1"/>
  <c r="CV129" i="1"/>
  <c r="CL129" i="1"/>
  <c r="CG129" i="1"/>
  <c r="CD129" i="1"/>
  <c r="BP129" i="1"/>
  <c r="BN129" i="1"/>
  <c r="BH129" i="1"/>
  <c r="BD129" i="1"/>
  <c r="AF129" i="1"/>
  <c r="V129" i="1"/>
  <c r="Q129" i="1"/>
  <c r="J129" i="1"/>
  <c r="CX128" i="1"/>
  <c r="CW128" i="1"/>
  <c r="CT128" i="1"/>
  <c r="CS128" i="1"/>
  <c r="CR128" i="1"/>
  <c r="CQ128" i="1"/>
  <c r="CO128" i="1"/>
  <c r="CN128" i="1"/>
  <c r="CM128" i="1"/>
  <c r="CK128" i="1"/>
  <c r="CJ128" i="1"/>
  <c r="CI128" i="1"/>
  <c r="CH128" i="1"/>
  <c r="CF128" i="1"/>
  <c r="CE128" i="1"/>
  <c r="CD128" i="1"/>
  <c r="CA128" i="1"/>
  <c r="BZ128" i="1"/>
  <c r="BY128" i="1"/>
  <c r="BX128" i="1"/>
  <c r="BW128" i="1"/>
  <c r="BV128" i="1"/>
  <c r="BU128" i="1"/>
  <c r="BT128" i="1"/>
  <c r="BS128" i="1"/>
  <c r="BR128" i="1"/>
  <c r="BQ128" i="1"/>
  <c r="BO128" i="1"/>
  <c r="BM128" i="1"/>
  <c r="BL128" i="1"/>
  <c r="BK128" i="1"/>
  <c r="BJ128" i="1"/>
  <c r="BI128" i="1"/>
  <c r="BG128" i="1"/>
  <c r="BF128" i="1"/>
  <c r="BE128" i="1"/>
  <c r="BB128" i="1"/>
  <c r="BA128" i="1"/>
  <c r="AZ128" i="1"/>
  <c r="AY128" i="1"/>
  <c r="AX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E128" i="1"/>
  <c r="AD128" i="1"/>
  <c r="AC128" i="1"/>
  <c r="AB128" i="1"/>
  <c r="AA128" i="1"/>
  <c r="Z128" i="1"/>
  <c r="Y128" i="1"/>
  <c r="X128" i="1"/>
  <c r="W128" i="1"/>
  <c r="U128" i="1"/>
  <c r="T128" i="1"/>
  <c r="S128" i="1"/>
  <c r="R128" i="1"/>
  <c r="P128" i="1"/>
  <c r="O128" i="1"/>
  <c r="N128" i="1"/>
  <c r="M128" i="1"/>
  <c r="L128" i="1"/>
  <c r="K128" i="1"/>
  <c r="I128" i="1"/>
  <c r="H128" i="1"/>
  <c r="CV126" i="1"/>
  <c r="CL126" i="1"/>
  <c r="CG126" i="1"/>
  <c r="CD126" i="1"/>
  <c r="BP126" i="1"/>
  <c r="BN126" i="1"/>
  <c r="BH126" i="1"/>
  <c r="BD126" i="1"/>
  <c r="AF126" i="1"/>
  <c r="V126" i="1"/>
  <c r="Q126" i="1"/>
  <c r="J126" i="1"/>
  <c r="CV123" i="1"/>
  <c r="CL123" i="1"/>
  <c r="CG123" i="1"/>
  <c r="CD123" i="1"/>
  <c r="BP123" i="1"/>
  <c r="BN123" i="1"/>
  <c r="BH123" i="1"/>
  <c r="BD123" i="1"/>
  <c r="AF123" i="1"/>
  <c r="V123" i="1"/>
  <c r="Q123" i="1"/>
  <c r="J123" i="1"/>
  <c r="CX122" i="1"/>
  <c r="CW122" i="1"/>
  <c r="CT122" i="1"/>
  <c r="CS122" i="1"/>
  <c r="CR122" i="1"/>
  <c r="CQ122" i="1"/>
  <c r="CO122" i="1"/>
  <c r="CN122" i="1"/>
  <c r="CM122" i="1"/>
  <c r="CK122" i="1"/>
  <c r="CJ122" i="1"/>
  <c r="CI122" i="1"/>
  <c r="CH122" i="1"/>
  <c r="CF122" i="1"/>
  <c r="CE122" i="1"/>
  <c r="CD122" i="1"/>
  <c r="CA122" i="1"/>
  <c r="BZ122" i="1"/>
  <c r="BY122" i="1"/>
  <c r="BX122" i="1"/>
  <c r="BW122" i="1"/>
  <c r="BV122" i="1"/>
  <c r="BU122" i="1"/>
  <c r="BT122" i="1"/>
  <c r="BS122" i="1"/>
  <c r="BR122" i="1"/>
  <c r="BQ122" i="1"/>
  <c r="BO122" i="1"/>
  <c r="BM122" i="1"/>
  <c r="BL122" i="1"/>
  <c r="BK122" i="1"/>
  <c r="BJ122" i="1"/>
  <c r="BI122" i="1"/>
  <c r="BG122" i="1"/>
  <c r="BF122" i="1"/>
  <c r="BE122" i="1"/>
  <c r="BB122" i="1"/>
  <c r="BA122" i="1"/>
  <c r="AZ122" i="1"/>
  <c r="AY122" i="1"/>
  <c r="AX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E122" i="1"/>
  <c r="AD122" i="1"/>
  <c r="AC122" i="1"/>
  <c r="AB122" i="1"/>
  <c r="AA122" i="1"/>
  <c r="Z122" i="1"/>
  <c r="Y122" i="1"/>
  <c r="X122" i="1"/>
  <c r="W122" i="1"/>
  <c r="U122" i="1"/>
  <c r="T122" i="1"/>
  <c r="S122" i="1"/>
  <c r="R122" i="1"/>
  <c r="P122" i="1"/>
  <c r="O122" i="1"/>
  <c r="N122" i="1"/>
  <c r="M122" i="1"/>
  <c r="L122" i="1"/>
  <c r="K122" i="1"/>
  <c r="I122" i="1"/>
  <c r="H122" i="1"/>
  <c r="CV120" i="1"/>
  <c r="CL120" i="1"/>
  <c r="CG120" i="1"/>
  <c r="CD120" i="1"/>
  <c r="BP120" i="1"/>
  <c r="BN120" i="1"/>
  <c r="BH120" i="1"/>
  <c r="BD120" i="1"/>
  <c r="AF120" i="1"/>
  <c r="V120" i="1"/>
  <c r="Q120" i="1"/>
  <c r="J120" i="1"/>
  <c r="CV118" i="1"/>
  <c r="CL118" i="1"/>
  <c r="CG118" i="1"/>
  <c r="CD118" i="1"/>
  <c r="BP118" i="1"/>
  <c r="BN118" i="1"/>
  <c r="BH118" i="1"/>
  <c r="BD118" i="1"/>
  <c r="BD117" i="1" s="1"/>
  <c r="AF118" i="1"/>
  <c r="V118" i="1"/>
  <c r="Q118" i="1"/>
  <c r="J118" i="1"/>
  <c r="CX117" i="1"/>
  <c r="CW117" i="1"/>
  <c r="CV117" i="1"/>
  <c r="CT117" i="1"/>
  <c r="CS117" i="1"/>
  <c r="CR117" i="1"/>
  <c r="CQ117" i="1"/>
  <c r="CO117" i="1"/>
  <c r="CN117" i="1"/>
  <c r="CM117" i="1"/>
  <c r="CK117" i="1"/>
  <c r="CJ117" i="1"/>
  <c r="CI117" i="1"/>
  <c r="CH117" i="1"/>
  <c r="CF117" i="1"/>
  <c r="CE117" i="1"/>
  <c r="CA117" i="1"/>
  <c r="BZ117" i="1"/>
  <c r="BY117" i="1"/>
  <c r="BX117" i="1"/>
  <c r="BW117" i="1"/>
  <c r="BV117" i="1"/>
  <c r="BU117" i="1"/>
  <c r="BT117" i="1"/>
  <c r="BS117" i="1"/>
  <c r="BR117" i="1"/>
  <c r="BQ117" i="1"/>
  <c r="BO117" i="1"/>
  <c r="BM117" i="1"/>
  <c r="BL117" i="1"/>
  <c r="BK117" i="1"/>
  <c r="BJ117" i="1"/>
  <c r="BI117" i="1"/>
  <c r="BG117" i="1"/>
  <c r="BF117" i="1"/>
  <c r="BE117" i="1"/>
  <c r="BB117" i="1"/>
  <c r="BA117" i="1"/>
  <c r="AZ117" i="1"/>
  <c r="AY117" i="1"/>
  <c r="AX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E117" i="1"/>
  <c r="AD117" i="1"/>
  <c r="AC117" i="1"/>
  <c r="AB117" i="1"/>
  <c r="AA117" i="1"/>
  <c r="Z117" i="1"/>
  <c r="Y117" i="1"/>
  <c r="X117" i="1"/>
  <c r="W117" i="1"/>
  <c r="U117" i="1"/>
  <c r="T117" i="1"/>
  <c r="S117" i="1"/>
  <c r="R117" i="1"/>
  <c r="P117" i="1"/>
  <c r="O117" i="1"/>
  <c r="N117" i="1"/>
  <c r="M117" i="1"/>
  <c r="L117" i="1"/>
  <c r="K117" i="1"/>
  <c r="I117" i="1"/>
  <c r="H117" i="1"/>
  <c r="CV115" i="1"/>
  <c r="CL115" i="1"/>
  <c r="CG115" i="1"/>
  <c r="CD115" i="1"/>
  <c r="BP115" i="1"/>
  <c r="BN115" i="1"/>
  <c r="BH115" i="1"/>
  <c r="BD115" i="1"/>
  <c r="AF115" i="1"/>
  <c r="V115" i="1"/>
  <c r="Q115" i="1"/>
  <c r="J115" i="1"/>
  <c r="CX114" i="1"/>
  <c r="CW114" i="1"/>
  <c r="CT114" i="1"/>
  <c r="CS114" i="1"/>
  <c r="CR114" i="1"/>
  <c r="CQ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A114" i="1"/>
  <c r="BZ114" i="1"/>
  <c r="BY114" i="1"/>
  <c r="BX114" i="1"/>
  <c r="BW114" i="1"/>
  <c r="BV114" i="1"/>
  <c r="BU114" i="1"/>
  <c r="BT114" i="1"/>
  <c r="BS114" i="1"/>
  <c r="BR114" i="1"/>
  <c r="BQ114" i="1"/>
  <c r="BO114" i="1"/>
  <c r="BM114" i="1"/>
  <c r="BL114" i="1"/>
  <c r="BK114" i="1"/>
  <c r="BJ114" i="1"/>
  <c r="BI114" i="1"/>
  <c r="BG114" i="1"/>
  <c r="BF114" i="1"/>
  <c r="BE114" i="1"/>
  <c r="BB114" i="1"/>
  <c r="BA114" i="1"/>
  <c r="AZ114" i="1"/>
  <c r="AY114" i="1"/>
  <c r="AX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U114" i="1"/>
  <c r="T114" i="1"/>
  <c r="S114" i="1"/>
  <c r="R114" i="1"/>
  <c r="P114" i="1"/>
  <c r="O114" i="1"/>
  <c r="N114" i="1"/>
  <c r="M114" i="1"/>
  <c r="L114" i="1"/>
  <c r="K114" i="1"/>
  <c r="I114" i="1"/>
  <c r="H114" i="1"/>
  <c r="CV113" i="1"/>
  <c r="CL113" i="1"/>
  <c r="CG113" i="1"/>
  <c r="CD113" i="1"/>
  <c r="BP113" i="1"/>
  <c r="BN113" i="1"/>
  <c r="BH113" i="1"/>
  <c r="BD113" i="1"/>
  <c r="AF113" i="1"/>
  <c r="V113" i="1"/>
  <c r="Q113" i="1"/>
  <c r="J113" i="1"/>
  <c r="CX112" i="1"/>
  <c r="CW112" i="1"/>
  <c r="CT112" i="1"/>
  <c r="CS112" i="1"/>
  <c r="CR112" i="1"/>
  <c r="CQ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A112" i="1"/>
  <c r="BZ112" i="1"/>
  <c r="BY112" i="1"/>
  <c r="BX112" i="1"/>
  <c r="BW112" i="1"/>
  <c r="BV112" i="1"/>
  <c r="BU112" i="1"/>
  <c r="BT112" i="1"/>
  <c r="BS112" i="1"/>
  <c r="BR112" i="1"/>
  <c r="BQ112" i="1"/>
  <c r="BO112" i="1"/>
  <c r="BM112" i="1"/>
  <c r="BL112" i="1"/>
  <c r="BK112" i="1"/>
  <c r="BJ112" i="1"/>
  <c r="BI112" i="1"/>
  <c r="BG112" i="1"/>
  <c r="BF112" i="1"/>
  <c r="BE112" i="1"/>
  <c r="BB112" i="1"/>
  <c r="BA112" i="1"/>
  <c r="AZ112" i="1"/>
  <c r="AY112" i="1"/>
  <c r="AX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U112" i="1"/>
  <c r="T112" i="1"/>
  <c r="S112" i="1"/>
  <c r="R112" i="1"/>
  <c r="P112" i="1"/>
  <c r="O112" i="1"/>
  <c r="N112" i="1"/>
  <c r="M112" i="1"/>
  <c r="L112" i="1"/>
  <c r="K112" i="1"/>
  <c r="I112" i="1"/>
  <c r="H112" i="1"/>
  <c r="CX111" i="1"/>
  <c r="CV110" i="1"/>
  <c r="CL110" i="1"/>
  <c r="CG110" i="1"/>
  <c r="CD110" i="1"/>
  <c r="BP110" i="1"/>
  <c r="BN110" i="1"/>
  <c r="BH110" i="1"/>
  <c r="BD110" i="1"/>
  <c r="AF110" i="1"/>
  <c r="V110" i="1"/>
  <c r="Q110" i="1"/>
  <c r="J110" i="1"/>
  <c r="CV109" i="1"/>
  <c r="CL109" i="1"/>
  <c r="CG109" i="1"/>
  <c r="CD109" i="1"/>
  <c r="BP109" i="1"/>
  <c r="BN109" i="1"/>
  <c r="BH109" i="1"/>
  <c r="BD109" i="1"/>
  <c r="AF109" i="1"/>
  <c r="V109" i="1"/>
  <c r="Q109" i="1"/>
  <c r="J109" i="1"/>
  <c r="CX108" i="1"/>
  <c r="CW108" i="1"/>
  <c r="CT108" i="1"/>
  <c r="CS108" i="1"/>
  <c r="CR108" i="1"/>
  <c r="CQ108" i="1"/>
  <c r="CO108" i="1"/>
  <c r="CN108" i="1"/>
  <c r="CM108" i="1"/>
  <c r="CK108" i="1"/>
  <c r="CJ108" i="1"/>
  <c r="CI108" i="1"/>
  <c r="CH108" i="1"/>
  <c r="CF108" i="1"/>
  <c r="CE108" i="1"/>
  <c r="CA108" i="1"/>
  <c r="BZ108" i="1"/>
  <c r="BY108" i="1"/>
  <c r="BX108" i="1"/>
  <c r="BW108" i="1"/>
  <c r="BV108" i="1"/>
  <c r="BU108" i="1"/>
  <c r="BT108" i="1"/>
  <c r="BS108" i="1"/>
  <c r="BR108" i="1"/>
  <c r="BQ108" i="1"/>
  <c r="BO108" i="1"/>
  <c r="BM108" i="1"/>
  <c r="BL108" i="1"/>
  <c r="BK108" i="1"/>
  <c r="BJ108" i="1"/>
  <c r="BI108" i="1"/>
  <c r="BG108" i="1"/>
  <c r="BF108" i="1"/>
  <c r="BE108" i="1"/>
  <c r="BB108" i="1"/>
  <c r="BA108" i="1"/>
  <c r="AZ108" i="1"/>
  <c r="AY108" i="1"/>
  <c r="AX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E108" i="1"/>
  <c r="AD108" i="1"/>
  <c r="AC108" i="1"/>
  <c r="AB108" i="1"/>
  <c r="AA108" i="1"/>
  <c r="Z108" i="1"/>
  <c r="Y108" i="1"/>
  <c r="X108" i="1"/>
  <c r="W108" i="1"/>
  <c r="U108" i="1"/>
  <c r="T108" i="1"/>
  <c r="S108" i="1"/>
  <c r="R108" i="1"/>
  <c r="P108" i="1"/>
  <c r="O108" i="1"/>
  <c r="N108" i="1"/>
  <c r="M108" i="1"/>
  <c r="L108" i="1"/>
  <c r="K108" i="1"/>
  <c r="I108" i="1"/>
  <c r="H108" i="1"/>
  <c r="CR107" i="1"/>
  <c r="BY107" i="1"/>
  <c r="CV106" i="1"/>
  <c r="CL106" i="1"/>
  <c r="CG106" i="1"/>
  <c r="CG105" i="1" s="1"/>
  <c r="CG104" i="1" s="1"/>
  <c r="CD106" i="1"/>
  <c r="BP106" i="1"/>
  <c r="BN106" i="1"/>
  <c r="BH106" i="1"/>
  <c r="BD106" i="1"/>
  <c r="AF106" i="1"/>
  <c r="V106" i="1"/>
  <c r="Q106" i="1"/>
  <c r="Q105" i="1" s="1"/>
  <c r="Q104" i="1" s="1"/>
  <c r="J106" i="1"/>
  <c r="CX105" i="1"/>
  <c r="CW105" i="1"/>
  <c r="CV105" i="1"/>
  <c r="CT105" i="1"/>
  <c r="CS105" i="1"/>
  <c r="CS104" i="1" s="1"/>
  <c r="CR105" i="1"/>
  <c r="CQ105" i="1"/>
  <c r="CO105" i="1"/>
  <c r="CO104" i="1" s="1"/>
  <c r="CN105" i="1"/>
  <c r="CM105" i="1"/>
  <c r="CM104" i="1" s="1"/>
  <c r="CK105" i="1"/>
  <c r="CK104" i="1" s="1"/>
  <c r="CJ105" i="1"/>
  <c r="CI105" i="1"/>
  <c r="CI104" i="1" s="1"/>
  <c r="CH105" i="1"/>
  <c r="CF105" i="1"/>
  <c r="CE105" i="1"/>
  <c r="CE104" i="1" s="1"/>
  <c r="CA105" i="1"/>
  <c r="CA104" i="1" s="1"/>
  <c r="BZ105" i="1"/>
  <c r="BY105" i="1"/>
  <c r="BY104" i="1" s="1"/>
  <c r="BX105" i="1"/>
  <c r="BW105" i="1"/>
  <c r="BW104" i="1" s="1"/>
  <c r="BV105" i="1"/>
  <c r="BU105" i="1"/>
  <c r="BU104" i="1" s="1"/>
  <c r="BT105" i="1"/>
  <c r="BS105" i="1"/>
  <c r="BS104" i="1" s="1"/>
  <c r="BR105" i="1"/>
  <c r="BQ105" i="1"/>
  <c r="BQ104" i="1" s="1"/>
  <c r="BO105" i="1"/>
  <c r="BO104" i="1" s="1"/>
  <c r="BM105" i="1"/>
  <c r="BM104" i="1" s="1"/>
  <c r="BL105" i="1"/>
  <c r="BK105" i="1"/>
  <c r="BK104" i="1" s="1"/>
  <c r="BJ105" i="1"/>
  <c r="BI105" i="1"/>
  <c r="BI104" i="1" s="1"/>
  <c r="BG105" i="1"/>
  <c r="BG104" i="1" s="1"/>
  <c r="BF105" i="1"/>
  <c r="BE105" i="1"/>
  <c r="BE104" i="1" s="1"/>
  <c r="BB105" i="1"/>
  <c r="BA105" i="1"/>
  <c r="BA104" i="1" s="1"/>
  <c r="AZ105" i="1"/>
  <c r="AY105" i="1"/>
  <c r="AY104" i="1" s="1"/>
  <c r="AX105" i="1"/>
  <c r="AU105" i="1"/>
  <c r="AU104" i="1" s="1"/>
  <c r="AT105" i="1"/>
  <c r="AS105" i="1"/>
  <c r="AS104" i="1" s="1"/>
  <c r="AR105" i="1"/>
  <c r="AQ105" i="1"/>
  <c r="AQ104" i="1" s="1"/>
  <c r="AP105" i="1"/>
  <c r="AO105" i="1"/>
  <c r="AO104" i="1" s="1"/>
  <c r="AN105" i="1"/>
  <c r="AM105" i="1"/>
  <c r="AM104" i="1" s="1"/>
  <c r="AL105" i="1"/>
  <c r="AK105" i="1"/>
  <c r="AK104" i="1" s="1"/>
  <c r="AJ105" i="1"/>
  <c r="AI105" i="1"/>
  <c r="AI104" i="1" s="1"/>
  <c r="AH105" i="1"/>
  <c r="AG105" i="1"/>
  <c r="AG104" i="1" s="1"/>
  <c r="AE105" i="1"/>
  <c r="AE104" i="1" s="1"/>
  <c r="AD105" i="1"/>
  <c r="AC105" i="1"/>
  <c r="AC104" i="1" s="1"/>
  <c r="AB105" i="1"/>
  <c r="AA105" i="1"/>
  <c r="AA104" i="1" s="1"/>
  <c r="Z105" i="1"/>
  <c r="Y105" i="1"/>
  <c r="Y104" i="1" s="1"/>
  <c r="X105" i="1"/>
  <c r="W105" i="1"/>
  <c r="W104" i="1" s="1"/>
  <c r="U105" i="1"/>
  <c r="U104" i="1" s="1"/>
  <c r="T105" i="1"/>
  <c r="S105" i="1"/>
  <c r="S104" i="1" s="1"/>
  <c r="R105" i="1"/>
  <c r="P105" i="1"/>
  <c r="O105" i="1"/>
  <c r="O104" i="1" s="1"/>
  <c r="N105" i="1"/>
  <c r="M105" i="1"/>
  <c r="M104" i="1" s="1"/>
  <c r="L105" i="1"/>
  <c r="K105" i="1"/>
  <c r="K104" i="1" s="1"/>
  <c r="I105" i="1"/>
  <c r="I104" i="1" s="1"/>
  <c r="H105" i="1"/>
  <c r="BX104" i="1"/>
  <c r="CV103" i="1"/>
  <c r="CL103" i="1"/>
  <c r="CG103" i="1"/>
  <c r="CD103" i="1"/>
  <c r="BP103" i="1"/>
  <c r="BN103" i="1"/>
  <c r="BH103" i="1"/>
  <c r="BD103" i="1"/>
  <c r="AF103" i="1"/>
  <c r="V103" i="1"/>
  <c r="Q103" i="1"/>
  <c r="J103" i="1"/>
  <c r="CV102" i="1"/>
  <c r="CL102" i="1"/>
  <c r="CG102" i="1"/>
  <c r="CD102" i="1"/>
  <c r="BP102" i="1"/>
  <c r="BN102" i="1"/>
  <c r="BH102" i="1"/>
  <c r="BD102" i="1"/>
  <c r="AF102" i="1"/>
  <c r="V102" i="1"/>
  <c r="Q102" i="1"/>
  <c r="J102" i="1"/>
  <c r="CV101" i="1"/>
  <c r="CL101" i="1"/>
  <c r="CG101" i="1"/>
  <c r="CD101" i="1"/>
  <c r="BP101" i="1"/>
  <c r="BN101" i="1"/>
  <c r="BH101" i="1"/>
  <c r="BD101" i="1"/>
  <c r="AF101" i="1"/>
  <c r="V101" i="1"/>
  <c r="Q101" i="1"/>
  <c r="J101" i="1"/>
  <c r="CV100" i="1"/>
  <c r="CL100" i="1"/>
  <c r="CG100" i="1"/>
  <c r="CD100" i="1"/>
  <c r="BP100" i="1"/>
  <c r="BN100" i="1"/>
  <c r="BH100" i="1"/>
  <c r="BD100" i="1"/>
  <c r="AF100" i="1"/>
  <c r="V100" i="1"/>
  <c r="Q100" i="1"/>
  <c r="J100" i="1"/>
  <c r="CV99" i="1"/>
  <c r="CL99" i="1"/>
  <c r="CG99" i="1"/>
  <c r="CD99" i="1"/>
  <c r="BP99" i="1"/>
  <c r="BN99" i="1"/>
  <c r="BH99" i="1"/>
  <c r="BD99" i="1"/>
  <c r="AF99" i="1"/>
  <c r="V99" i="1"/>
  <c r="Q99" i="1"/>
  <c r="J99" i="1"/>
  <c r="CV98" i="1"/>
  <c r="CL98" i="1"/>
  <c r="CG98" i="1"/>
  <c r="CD98" i="1"/>
  <c r="BP98" i="1"/>
  <c r="BN98" i="1"/>
  <c r="BH98" i="1"/>
  <c r="BD98" i="1"/>
  <c r="AF98" i="1"/>
  <c r="V98" i="1"/>
  <c r="Q98" i="1"/>
  <c r="J98" i="1"/>
  <c r="CV97" i="1"/>
  <c r="CL97" i="1"/>
  <c r="CG97" i="1"/>
  <c r="CD97" i="1"/>
  <c r="CD96" i="1" s="1"/>
  <c r="BP97" i="1"/>
  <c r="BN97" i="1"/>
  <c r="BH97" i="1"/>
  <c r="BD97" i="1"/>
  <c r="AF97" i="1"/>
  <c r="AF96" i="1" s="1"/>
  <c r="V97" i="1"/>
  <c r="Q97" i="1"/>
  <c r="J97" i="1"/>
  <c r="CX96" i="1"/>
  <c r="CW96" i="1"/>
  <c r="CT96" i="1"/>
  <c r="CS96" i="1"/>
  <c r="CR96" i="1"/>
  <c r="CQ96" i="1"/>
  <c r="CO96" i="1"/>
  <c r="CN96" i="1"/>
  <c r="CM96" i="1"/>
  <c r="CK96" i="1"/>
  <c r="CJ96" i="1"/>
  <c r="CI96" i="1"/>
  <c r="CH96" i="1"/>
  <c r="CF96" i="1"/>
  <c r="CE96" i="1"/>
  <c r="CA96" i="1"/>
  <c r="BZ96" i="1"/>
  <c r="BY96" i="1"/>
  <c r="BX96" i="1"/>
  <c r="BW96" i="1"/>
  <c r="BV96" i="1"/>
  <c r="BU96" i="1"/>
  <c r="BT96" i="1"/>
  <c r="BS96" i="1"/>
  <c r="BR96" i="1"/>
  <c r="BQ96" i="1"/>
  <c r="BO96" i="1"/>
  <c r="BM96" i="1"/>
  <c r="BL96" i="1"/>
  <c r="BK96" i="1"/>
  <c r="BJ96" i="1"/>
  <c r="BI96" i="1"/>
  <c r="BG96" i="1"/>
  <c r="BF96" i="1"/>
  <c r="BE96" i="1"/>
  <c r="BB96" i="1"/>
  <c r="BA96" i="1"/>
  <c r="AZ96" i="1"/>
  <c r="AY96" i="1"/>
  <c r="AX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E96" i="1"/>
  <c r="AD96" i="1"/>
  <c r="AC96" i="1"/>
  <c r="AB96" i="1"/>
  <c r="AA96" i="1"/>
  <c r="Z96" i="1"/>
  <c r="Y96" i="1"/>
  <c r="X96" i="1"/>
  <c r="W96" i="1"/>
  <c r="U96" i="1"/>
  <c r="T96" i="1"/>
  <c r="S96" i="1"/>
  <c r="R96" i="1"/>
  <c r="P96" i="1"/>
  <c r="O96" i="1"/>
  <c r="N96" i="1"/>
  <c r="M96" i="1"/>
  <c r="L96" i="1"/>
  <c r="K96" i="1"/>
  <c r="I96" i="1"/>
  <c r="H96" i="1"/>
  <c r="CV95" i="1"/>
  <c r="CL95" i="1"/>
  <c r="CG95" i="1"/>
  <c r="CD95" i="1"/>
  <c r="BP95" i="1"/>
  <c r="BN95" i="1"/>
  <c r="BH95" i="1"/>
  <c r="BD95" i="1"/>
  <c r="AF95" i="1"/>
  <c r="V95" i="1"/>
  <c r="Q95" i="1"/>
  <c r="J95" i="1"/>
  <c r="CV94" i="1"/>
  <c r="CU94" i="1" s="1"/>
  <c r="CL94" i="1"/>
  <c r="CG94" i="1"/>
  <c r="CG93" i="1" s="1"/>
  <c r="CD94" i="1"/>
  <c r="BP94" i="1"/>
  <c r="BN94" i="1"/>
  <c r="BH94" i="1"/>
  <c r="BD94" i="1"/>
  <c r="AF94" i="1"/>
  <c r="V94" i="1"/>
  <c r="Q94" i="1"/>
  <c r="J94" i="1"/>
  <c r="CX93" i="1"/>
  <c r="CX92" i="1" s="1"/>
  <c r="CW93" i="1"/>
  <c r="CW92" i="1" s="1"/>
  <c r="CT93" i="1"/>
  <c r="CT92" i="1" s="1"/>
  <c r="CS93" i="1"/>
  <c r="CS92" i="1" s="1"/>
  <c r="CR93" i="1"/>
  <c r="CR92" i="1" s="1"/>
  <c r="CQ93" i="1"/>
  <c r="CO93" i="1"/>
  <c r="CO92" i="1" s="1"/>
  <c r="CN93" i="1"/>
  <c r="CM93" i="1"/>
  <c r="CM92" i="1" s="1"/>
  <c r="CK93" i="1"/>
  <c r="CJ93" i="1"/>
  <c r="CJ92" i="1" s="1"/>
  <c r="CI93" i="1"/>
  <c r="CH93" i="1"/>
  <c r="CH92" i="1" s="1"/>
  <c r="CF93" i="1"/>
  <c r="CE93" i="1"/>
  <c r="CE92" i="1" s="1"/>
  <c r="CA93" i="1"/>
  <c r="BZ93" i="1"/>
  <c r="BY93" i="1"/>
  <c r="BX93" i="1"/>
  <c r="BW93" i="1"/>
  <c r="BV93" i="1"/>
  <c r="BV92" i="1" s="1"/>
  <c r="BU93" i="1"/>
  <c r="BT93" i="1"/>
  <c r="BS93" i="1"/>
  <c r="BR93" i="1"/>
  <c r="BQ93" i="1"/>
  <c r="BO93" i="1"/>
  <c r="BM93" i="1"/>
  <c r="BL93" i="1"/>
  <c r="BK93" i="1"/>
  <c r="BJ93" i="1"/>
  <c r="BJ92" i="1" s="1"/>
  <c r="BI93" i="1"/>
  <c r="BG93" i="1"/>
  <c r="BF93" i="1"/>
  <c r="BE93" i="1"/>
  <c r="BB93" i="1"/>
  <c r="BA93" i="1"/>
  <c r="AZ93" i="1"/>
  <c r="AZ92" i="1" s="1"/>
  <c r="AY93" i="1"/>
  <c r="AX93" i="1"/>
  <c r="AU93" i="1"/>
  <c r="AT93" i="1"/>
  <c r="AS93" i="1"/>
  <c r="AR93" i="1"/>
  <c r="AQ93" i="1"/>
  <c r="AP93" i="1"/>
  <c r="AP92" i="1" s="1"/>
  <c r="AO93" i="1"/>
  <c r="AN93" i="1"/>
  <c r="AM93" i="1"/>
  <c r="AL93" i="1"/>
  <c r="AK93" i="1"/>
  <c r="AJ93" i="1"/>
  <c r="AI93" i="1"/>
  <c r="AH93" i="1"/>
  <c r="AH92" i="1" s="1"/>
  <c r="AG93" i="1"/>
  <c r="AE93" i="1"/>
  <c r="AD93" i="1"/>
  <c r="AD92" i="1" s="1"/>
  <c r="AC93" i="1"/>
  <c r="AB93" i="1"/>
  <c r="AB92" i="1" s="1"/>
  <c r="AA93" i="1"/>
  <c r="Z93" i="1"/>
  <c r="Z92" i="1" s="1"/>
  <c r="Y93" i="1"/>
  <c r="X93" i="1"/>
  <c r="X92" i="1" s="1"/>
  <c r="W93" i="1"/>
  <c r="U93" i="1"/>
  <c r="T93" i="1"/>
  <c r="S93" i="1"/>
  <c r="R93" i="1"/>
  <c r="R92" i="1" s="1"/>
  <c r="P93" i="1"/>
  <c r="O93" i="1"/>
  <c r="N93" i="1"/>
  <c r="N92" i="1" s="1"/>
  <c r="M93" i="1"/>
  <c r="L93" i="1"/>
  <c r="K93" i="1"/>
  <c r="I93" i="1"/>
  <c r="H93" i="1"/>
  <c r="CV91" i="1"/>
  <c r="CL91" i="1"/>
  <c r="CG91" i="1"/>
  <c r="CG90" i="1" s="1"/>
  <c r="CD91" i="1"/>
  <c r="CD90" i="1" s="1"/>
  <c r="BP91" i="1"/>
  <c r="BP90" i="1" s="1"/>
  <c r="BN91" i="1"/>
  <c r="BH91" i="1"/>
  <c r="BH90" i="1" s="1"/>
  <c r="BD91" i="1"/>
  <c r="BD90" i="1" s="1"/>
  <c r="AF91" i="1"/>
  <c r="AF90" i="1" s="1"/>
  <c r="V91" i="1"/>
  <c r="V90" i="1" s="1"/>
  <c r="Q91" i="1"/>
  <c r="Q90" i="1" s="1"/>
  <c r="J91" i="1"/>
  <c r="CX90" i="1"/>
  <c r="CW90" i="1"/>
  <c r="CT90" i="1"/>
  <c r="CS90" i="1"/>
  <c r="CR90" i="1"/>
  <c r="CQ90" i="1"/>
  <c r="CO90" i="1"/>
  <c r="CN90" i="1"/>
  <c r="CM90" i="1"/>
  <c r="CL90" i="1"/>
  <c r="CK90" i="1"/>
  <c r="CJ90" i="1"/>
  <c r="CI90" i="1"/>
  <c r="CH90" i="1"/>
  <c r="CF90" i="1"/>
  <c r="CE90" i="1"/>
  <c r="CA90" i="1"/>
  <c r="BZ90" i="1"/>
  <c r="BY90" i="1"/>
  <c r="BX90" i="1"/>
  <c r="BW90" i="1"/>
  <c r="BV90" i="1"/>
  <c r="BU90" i="1"/>
  <c r="BT90" i="1"/>
  <c r="BS90" i="1"/>
  <c r="BR90" i="1"/>
  <c r="BQ90" i="1"/>
  <c r="BO90" i="1"/>
  <c r="BM90" i="1"/>
  <c r="BL90" i="1"/>
  <c r="BK90" i="1"/>
  <c r="BJ90" i="1"/>
  <c r="BI90" i="1"/>
  <c r="BG90" i="1"/>
  <c r="BF90" i="1"/>
  <c r="BE90" i="1"/>
  <c r="BB90" i="1"/>
  <c r="BA90" i="1"/>
  <c r="AZ90" i="1"/>
  <c r="AY90" i="1"/>
  <c r="AX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E90" i="1"/>
  <c r="AD90" i="1"/>
  <c r="AC90" i="1"/>
  <c r="AB90" i="1"/>
  <c r="AA90" i="1"/>
  <c r="Z90" i="1"/>
  <c r="Y90" i="1"/>
  <c r="X90" i="1"/>
  <c r="W90" i="1"/>
  <c r="U90" i="1"/>
  <c r="T90" i="1"/>
  <c r="S90" i="1"/>
  <c r="R90" i="1"/>
  <c r="P90" i="1"/>
  <c r="O90" i="1"/>
  <c r="N90" i="1"/>
  <c r="M90" i="1"/>
  <c r="L90" i="1"/>
  <c r="K90" i="1"/>
  <c r="I90" i="1"/>
  <c r="H90" i="1"/>
  <c r="CV89" i="1"/>
  <c r="CL89" i="1"/>
  <c r="CG89" i="1"/>
  <c r="CD89" i="1"/>
  <c r="BP89" i="1"/>
  <c r="BN89" i="1"/>
  <c r="BH89" i="1"/>
  <c r="BD89" i="1"/>
  <c r="BD88" i="1" s="1"/>
  <c r="AF89" i="1"/>
  <c r="V89" i="1"/>
  <c r="V88" i="1" s="1"/>
  <c r="Q89" i="1"/>
  <c r="Q88" i="1" s="1"/>
  <c r="J89" i="1"/>
  <c r="CX88" i="1"/>
  <c r="CW88" i="1"/>
  <c r="CT88" i="1"/>
  <c r="CS88" i="1"/>
  <c r="CR88" i="1"/>
  <c r="CQ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A88" i="1"/>
  <c r="BZ88" i="1"/>
  <c r="BY88" i="1"/>
  <c r="BX88" i="1"/>
  <c r="BW88" i="1"/>
  <c r="BV88" i="1"/>
  <c r="BU88" i="1"/>
  <c r="BT88" i="1"/>
  <c r="BS88" i="1"/>
  <c r="BR88" i="1"/>
  <c r="BQ88" i="1"/>
  <c r="BO88" i="1"/>
  <c r="BM88" i="1"/>
  <c r="BL88" i="1"/>
  <c r="BK88" i="1"/>
  <c r="BJ88" i="1"/>
  <c r="BI88" i="1"/>
  <c r="BG88" i="1"/>
  <c r="BF88" i="1"/>
  <c r="BE88" i="1"/>
  <c r="BB88" i="1"/>
  <c r="BA88" i="1"/>
  <c r="AZ88" i="1"/>
  <c r="AY88" i="1"/>
  <c r="AX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E88" i="1"/>
  <c r="AD88" i="1"/>
  <c r="AC88" i="1"/>
  <c r="AB88" i="1"/>
  <c r="AA88" i="1"/>
  <c r="Z88" i="1"/>
  <c r="Y88" i="1"/>
  <c r="X88" i="1"/>
  <c r="W88" i="1"/>
  <c r="U88" i="1"/>
  <c r="T88" i="1"/>
  <c r="S88" i="1"/>
  <c r="R88" i="1"/>
  <c r="P88" i="1"/>
  <c r="O88" i="1"/>
  <c r="N88" i="1"/>
  <c r="M88" i="1"/>
  <c r="L88" i="1"/>
  <c r="K88" i="1"/>
  <c r="I88" i="1"/>
  <c r="H88" i="1"/>
  <c r="CV87" i="1"/>
  <c r="CU87" i="1" s="1"/>
  <c r="CU86" i="1" s="1"/>
  <c r="CL87" i="1"/>
  <c r="CL86" i="1" s="1"/>
  <c r="CG87" i="1"/>
  <c r="CD87" i="1"/>
  <c r="BP87" i="1"/>
  <c r="BN87" i="1"/>
  <c r="BN86" i="1" s="1"/>
  <c r="BH87" i="1"/>
  <c r="BD87" i="1"/>
  <c r="AF87" i="1"/>
  <c r="AF86" i="1" s="1"/>
  <c r="V87" i="1"/>
  <c r="Q87" i="1"/>
  <c r="L87" i="1"/>
  <c r="J87" i="1" s="1"/>
  <c r="CX86" i="1"/>
  <c r="CW86" i="1"/>
  <c r="CT86" i="1"/>
  <c r="CS86" i="1"/>
  <c r="CR86" i="1"/>
  <c r="CQ86" i="1"/>
  <c r="CO86" i="1"/>
  <c r="CN86" i="1"/>
  <c r="CM86" i="1"/>
  <c r="CK86" i="1"/>
  <c r="CJ86" i="1"/>
  <c r="CI86" i="1"/>
  <c r="CH86" i="1"/>
  <c r="CF86" i="1"/>
  <c r="CE86" i="1"/>
  <c r="CA86" i="1"/>
  <c r="BZ86" i="1"/>
  <c r="BY86" i="1"/>
  <c r="BX86" i="1"/>
  <c r="BW86" i="1"/>
  <c r="BV86" i="1"/>
  <c r="BU86" i="1"/>
  <c r="BT86" i="1"/>
  <c r="BS86" i="1"/>
  <c r="BR86" i="1"/>
  <c r="BQ86" i="1"/>
  <c r="BO86" i="1"/>
  <c r="BM86" i="1"/>
  <c r="BL86" i="1"/>
  <c r="BK86" i="1"/>
  <c r="BJ86" i="1"/>
  <c r="BI86" i="1"/>
  <c r="BH86" i="1"/>
  <c r="BG86" i="1"/>
  <c r="BF86" i="1"/>
  <c r="BE86" i="1"/>
  <c r="BB86" i="1"/>
  <c r="BA86" i="1"/>
  <c r="AZ86" i="1"/>
  <c r="AY86" i="1"/>
  <c r="AX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I86" i="1"/>
  <c r="H86" i="1"/>
  <c r="CV85" i="1"/>
  <c r="CU85" i="1" s="1"/>
  <c r="CU84" i="1" s="1"/>
  <c r="CL85" i="1"/>
  <c r="CG85" i="1"/>
  <c r="CG84" i="1" s="1"/>
  <c r="CF85" i="1"/>
  <c r="CD85" i="1" s="1"/>
  <c r="BP85" i="1"/>
  <c r="BP84" i="1" s="1"/>
  <c r="BN85" i="1"/>
  <c r="BN84" i="1" s="1"/>
  <c r="BH85" i="1"/>
  <c r="BH84" i="1" s="1"/>
  <c r="BD85" i="1"/>
  <c r="AF85" i="1"/>
  <c r="AF84" i="1" s="1"/>
  <c r="V85" i="1"/>
  <c r="Q85" i="1"/>
  <c r="Q84" i="1" s="1"/>
  <c r="J85" i="1"/>
  <c r="CX84" i="1"/>
  <c r="CW84" i="1"/>
  <c r="CV84" i="1"/>
  <c r="CT84" i="1"/>
  <c r="CS84" i="1"/>
  <c r="CR84" i="1"/>
  <c r="CQ84" i="1"/>
  <c r="CO84" i="1"/>
  <c r="CN84" i="1"/>
  <c r="CM84" i="1"/>
  <c r="CK84" i="1"/>
  <c r="CJ84" i="1"/>
  <c r="CI84" i="1"/>
  <c r="CH84" i="1"/>
  <c r="CE84" i="1"/>
  <c r="CA84" i="1"/>
  <c r="BZ84" i="1"/>
  <c r="BY84" i="1"/>
  <c r="BX84" i="1"/>
  <c r="BW84" i="1"/>
  <c r="BV84" i="1"/>
  <c r="BU84" i="1"/>
  <c r="BT84" i="1"/>
  <c r="BS84" i="1"/>
  <c r="BR84" i="1"/>
  <c r="BQ84" i="1"/>
  <c r="BO84" i="1"/>
  <c r="BM84" i="1"/>
  <c r="BL84" i="1"/>
  <c r="BK84" i="1"/>
  <c r="BJ84" i="1"/>
  <c r="BI84" i="1"/>
  <c r="BG84" i="1"/>
  <c r="BF84" i="1"/>
  <c r="BE84" i="1"/>
  <c r="BB84" i="1"/>
  <c r="BA84" i="1"/>
  <c r="AZ84" i="1"/>
  <c r="AY84" i="1"/>
  <c r="AX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E84" i="1"/>
  <c r="AD84" i="1"/>
  <c r="AC84" i="1"/>
  <c r="AB84" i="1"/>
  <c r="AA84" i="1"/>
  <c r="Z84" i="1"/>
  <c r="Y84" i="1"/>
  <c r="X84" i="1"/>
  <c r="W84" i="1"/>
  <c r="U84" i="1"/>
  <c r="T84" i="1"/>
  <c r="S84" i="1"/>
  <c r="R84" i="1"/>
  <c r="P84" i="1"/>
  <c r="O84" i="1"/>
  <c r="N84" i="1"/>
  <c r="M84" i="1"/>
  <c r="L84" i="1"/>
  <c r="K84" i="1"/>
  <c r="I84" i="1"/>
  <c r="H84" i="1"/>
  <c r="CV83" i="1"/>
  <c r="CL83" i="1"/>
  <c r="CL82" i="1" s="1"/>
  <c r="CG83" i="1"/>
  <c r="CG82" i="1" s="1"/>
  <c r="CD83" i="1"/>
  <c r="BP83" i="1"/>
  <c r="BP82" i="1" s="1"/>
  <c r="BN83" i="1"/>
  <c r="BN82" i="1" s="1"/>
  <c r="BH83" i="1"/>
  <c r="BH82" i="1" s="1"/>
  <c r="BD83" i="1"/>
  <c r="BD82" i="1" s="1"/>
  <c r="AF83" i="1"/>
  <c r="AF82" i="1" s="1"/>
  <c r="V83" i="1"/>
  <c r="V82" i="1" s="1"/>
  <c r="Q83" i="1"/>
  <c r="Q82" i="1" s="1"/>
  <c r="J83" i="1"/>
  <c r="J82" i="1" s="1"/>
  <c r="CX82" i="1"/>
  <c r="CW82" i="1"/>
  <c r="CT82" i="1"/>
  <c r="CS82" i="1"/>
  <c r="CR82" i="1"/>
  <c r="CQ82" i="1"/>
  <c r="CO82" i="1"/>
  <c r="CN82" i="1"/>
  <c r="CM82" i="1"/>
  <c r="CK82" i="1"/>
  <c r="CJ82" i="1"/>
  <c r="CI82" i="1"/>
  <c r="CH82" i="1"/>
  <c r="CF82" i="1"/>
  <c r="CE82" i="1"/>
  <c r="CD82" i="1"/>
  <c r="CA82" i="1"/>
  <c r="BZ82" i="1"/>
  <c r="BY82" i="1"/>
  <c r="BX82" i="1"/>
  <c r="BW82" i="1"/>
  <c r="BV82" i="1"/>
  <c r="BU82" i="1"/>
  <c r="BT82" i="1"/>
  <c r="BS82" i="1"/>
  <c r="BR82" i="1"/>
  <c r="BQ82" i="1"/>
  <c r="BO82" i="1"/>
  <c r="BM82" i="1"/>
  <c r="BL82" i="1"/>
  <c r="BK82" i="1"/>
  <c r="BJ82" i="1"/>
  <c r="BI82" i="1"/>
  <c r="BG82" i="1"/>
  <c r="BF82" i="1"/>
  <c r="BE82" i="1"/>
  <c r="BB82" i="1"/>
  <c r="BA82" i="1"/>
  <c r="AZ82" i="1"/>
  <c r="AY82" i="1"/>
  <c r="AX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E82" i="1"/>
  <c r="AD82" i="1"/>
  <c r="AC82" i="1"/>
  <c r="AB82" i="1"/>
  <c r="AA82" i="1"/>
  <c r="Z82" i="1"/>
  <c r="Y82" i="1"/>
  <c r="X82" i="1"/>
  <c r="W82" i="1"/>
  <c r="U82" i="1"/>
  <c r="T82" i="1"/>
  <c r="S82" i="1"/>
  <c r="R82" i="1"/>
  <c r="P82" i="1"/>
  <c r="O82" i="1"/>
  <c r="N82" i="1"/>
  <c r="M82" i="1"/>
  <c r="L82" i="1"/>
  <c r="K82" i="1"/>
  <c r="I82" i="1"/>
  <c r="H82" i="1"/>
  <c r="CV81" i="1"/>
  <c r="CL81" i="1"/>
  <c r="CL80" i="1" s="1"/>
  <c r="CG81" i="1"/>
  <c r="CG80" i="1" s="1"/>
  <c r="CD81" i="1"/>
  <c r="BP81" i="1"/>
  <c r="BP80" i="1" s="1"/>
  <c r="BN81" i="1"/>
  <c r="BN80" i="1" s="1"/>
  <c r="BH81" i="1"/>
  <c r="BD81" i="1"/>
  <c r="AF81" i="1"/>
  <c r="V81" i="1"/>
  <c r="V80" i="1" s="1"/>
  <c r="Q81" i="1"/>
  <c r="Q80" i="1" s="1"/>
  <c r="J81" i="1"/>
  <c r="CX80" i="1"/>
  <c r="CW80" i="1"/>
  <c r="CT80" i="1"/>
  <c r="CS80" i="1"/>
  <c r="CR80" i="1"/>
  <c r="CQ80" i="1"/>
  <c r="CO80" i="1"/>
  <c r="CN80" i="1"/>
  <c r="CM80" i="1"/>
  <c r="CK80" i="1"/>
  <c r="CJ80" i="1"/>
  <c r="CI80" i="1"/>
  <c r="CH80" i="1"/>
  <c r="CF80" i="1"/>
  <c r="CE80" i="1"/>
  <c r="CA80" i="1"/>
  <c r="BZ80" i="1"/>
  <c r="BY80" i="1"/>
  <c r="BX80" i="1"/>
  <c r="BW80" i="1"/>
  <c r="BV80" i="1"/>
  <c r="BU80" i="1"/>
  <c r="BT80" i="1"/>
  <c r="BS80" i="1"/>
  <c r="BR80" i="1"/>
  <c r="BQ80" i="1"/>
  <c r="BO80" i="1"/>
  <c r="BM80" i="1"/>
  <c r="BL80" i="1"/>
  <c r="BK80" i="1"/>
  <c r="BJ80" i="1"/>
  <c r="BI80" i="1"/>
  <c r="BH80" i="1"/>
  <c r="BG80" i="1"/>
  <c r="BF80" i="1"/>
  <c r="BE80" i="1"/>
  <c r="BB80" i="1"/>
  <c r="BA80" i="1"/>
  <c r="AZ80" i="1"/>
  <c r="AY80" i="1"/>
  <c r="AX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U80" i="1"/>
  <c r="T80" i="1"/>
  <c r="S80" i="1"/>
  <c r="R80" i="1"/>
  <c r="P80" i="1"/>
  <c r="O80" i="1"/>
  <c r="N80" i="1"/>
  <c r="M80" i="1"/>
  <c r="L80" i="1"/>
  <c r="K80" i="1"/>
  <c r="I80" i="1"/>
  <c r="H80" i="1"/>
  <c r="CV79" i="1"/>
  <c r="CU79" i="1" s="1"/>
  <c r="CL79" i="1"/>
  <c r="CG79" i="1"/>
  <c r="CD79" i="1"/>
  <c r="BP79" i="1"/>
  <c r="BN79" i="1"/>
  <c r="BH79" i="1"/>
  <c r="BD79" i="1"/>
  <c r="AF79" i="1"/>
  <c r="V79" i="1"/>
  <c r="Q79" i="1"/>
  <c r="J79" i="1"/>
  <c r="CV78" i="1"/>
  <c r="CL78" i="1"/>
  <c r="CG78" i="1"/>
  <c r="CG77" i="1" s="1"/>
  <c r="CD78" i="1"/>
  <c r="BP78" i="1"/>
  <c r="BN78" i="1"/>
  <c r="BH78" i="1"/>
  <c r="BD78" i="1"/>
  <c r="AF78" i="1"/>
  <c r="V78" i="1"/>
  <c r="Q78" i="1"/>
  <c r="J78" i="1"/>
  <c r="CX77" i="1"/>
  <c r="CW77" i="1"/>
  <c r="CT77" i="1"/>
  <c r="CS77" i="1"/>
  <c r="CR77" i="1"/>
  <c r="CQ77" i="1"/>
  <c r="CO77" i="1"/>
  <c r="CN77" i="1"/>
  <c r="CM77" i="1"/>
  <c r="CK77" i="1"/>
  <c r="CJ77" i="1"/>
  <c r="CI77" i="1"/>
  <c r="CH77" i="1"/>
  <c r="CF77" i="1"/>
  <c r="CE77" i="1"/>
  <c r="CA77" i="1"/>
  <c r="BZ77" i="1"/>
  <c r="BY77" i="1"/>
  <c r="BX77" i="1"/>
  <c r="BW77" i="1"/>
  <c r="BV77" i="1"/>
  <c r="BU77" i="1"/>
  <c r="BT77" i="1"/>
  <c r="BS77" i="1"/>
  <c r="BR77" i="1"/>
  <c r="BQ77" i="1"/>
  <c r="BO77" i="1"/>
  <c r="BM77" i="1"/>
  <c r="BL77" i="1"/>
  <c r="BK77" i="1"/>
  <c r="BJ77" i="1"/>
  <c r="BI77" i="1"/>
  <c r="BG77" i="1"/>
  <c r="BF77" i="1"/>
  <c r="BE77" i="1"/>
  <c r="BB77" i="1"/>
  <c r="BA77" i="1"/>
  <c r="AZ77" i="1"/>
  <c r="AY77" i="1"/>
  <c r="AX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E77" i="1"/>
  <c r="AD77" i="1"/>
  <c r="AC77" i="1"/>
  <c r="AB77" i="1"/>
  <c r="AA77" i="1"/>
  <c r="Z77" i="1"/>
  <c r="Y77" i="1"/>
  <c r="X77" i="1"/>
  <c r="W77" i="1"/>
  <c r="U77" i="1"/>
  <c r="T77" i="1"/>
  <c r="S77" i="1"/>
  <c r="R77" i="1"/>
  <c r="P77" i="1"/>
  <c r="O77" i="1"/>
  <c r="N77" i="1"/>
  <c r="M77" i="1"/>
  <c r="L77" i="1"/>
  <c r="K77" i="1"/>
  <c r="I77" i="1"/>
  <c r="H77" i="1"/>
  <c r="CV76" i="1"/>
  <c r="CU76" i="1" s="1"/>
  <c r="CU75" i="1" s="1"/>
  <c r="CL76" i="1"/>
  <c r="CL75" i="1" s="1"/>
  <c r="CG76" i="1"/>
  <c r="CG75" i="1" s="1"/>
  <c r="CD76" i="1"/>
  <c r="BP76" i="1"/>
  <c r="BP75" i="1" s="1"/>
  <c r="BN76" i="1"/>
  <c r="BN75" i="1" s="1"/>
  <c r="BH76" i="1"/>
  <c r="BH75" i="1" s="1"/>
  <c r="BD76" i="1"/>
  <c r="BD75" i="1" s="1"/>
  <c r="AS76" i="1"/>
  <c r="AF76" i="1" s="1"/>
  <c r="AF75" i="1" s="1"/>
  <c r="AB76" i="1"/>
  <c r="V76" i="1" s="1"/>
  <c r="Q76" i="1"/>
  <c r="Q75" i="1" s="1"/>
  <c r="L76" i="1"/>
  <c r="J76" i="1" s="1"/>
  <c r="CX75" i="1"/>
  <c r="CW75" i="1"/>
  <c r="CV75" i="1"/>
  <c r="CT75" i="1"/>
  <c r="CS75" i="1"/>
  <c r="CR75" i="1"/>
  <c r="CQ75" i="1"/>
  <c r="CO75" i="1"/>
  <c r="CN75" i="1"/>
  <c r="CM75" i="1"/>
  <c r="CK75" i="1"/>
  <c r="CJ75" i="1"/>
  <c r="CI75" i="1"/>
  <c r="CH75" i="1"/>
  <c r="CF75" i="1"/>
  <c r="CE75" i="1"/>
  <c r="CA75" i="1"/>
  <c r="BZ75" i="1"/>
  <c r="BY75" i="1"/>
  <c r="BX75" i="1"/>
  <c r="BW75" i="1"/>
  <c r="BV75" i="1"/>
  <c r="BU75" i="1"/>
  <c r="BT75" i="1"/>
  <c r="BS75" i="1"/>
  <c r="BR75" i="1"/>
  <c r="BQ75" i="1"/>
  <c r="BO75" i="1"/>
  <c r="BM75" i="1"/>
  <c r="BL75" i="1"/>
  <c r="BK75" i="1"/>
  <c r="BJ75" i="1"/>
  <c r="BI75" i="1"/>
  <c r="BG75" i="1"/>
  <c r="BF75" i="1"/>
  <c r="BE75" i="1"/>
  <c r="BB75" i="1"/>
  <c r="BA75" i="1"/>
  <c r="AZ75" i="1"/>
  <c r="AY75" i="1"/>
  <c r="AX75" i="1"/>
  <c r="AU75" i="1"/>
  <c r="AT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E75" i="1"/>
  <c r="AD75" i="1"/>
  <c r="AC75" i="1"/>
  <c r="AA75" i="1"/>
  <c r="Z75" i="1"/>
  <c r="Y75" i="1"/>
  <c r="X75" i="1"/>
  <c r="W75" i="1"/>
  <c r="U75" i="1"/>
  <c r="T75" i="1"/>
  <c r="S75" i="1"/>
  <c r="R75" i="1"/>
  <c r="P75" i="1"/>
  <c r="O75" i="1"/>
  <c r="N75" i="1"/>
  <c r="M75" i="1"/>
  <c r="K75" i="1"/>
  <c r="I75" i="1"/>
  <c r="H75" i="1"/>
  <c r="CV73" i="1"/>
  <c r="CU73" i="1" s="1"/>
  <c r="CU72" i="1" s="1"/>
  <c r="CL73" i="1"/>
  <c r="CL72" i="1" s="1"/>
  <c r="CG73" i="1"/>
  <c r="CG72" i="1" s="1"/>
  <c r="CD73" i="1"/>
  <c r="BP73" i="1"/>
  <c r="BP72" i="1" s="1"/>
  <c r="BN73" i="1"/>
  <c r="BH73" i="1"/>
  <c r="BH72" i="1" s="1"/>
  <c r="BD73" i="1"/>
  <c r="AF73" i="1"/>
  <c r="AF72" i="1" s="1"/>
  <c r="V73" i="1"/>
  <c r="V72" i="1" s="1"/>
  <c r="Q73" i="1"/>
  <c r="Q72" i="1" s="1"/>
  <c r="J73" i="1"/>
  <c r="CX72" i="1"/>
  <c r="CW72" i="1"/>
  <c r="CT72" i="1"/>
  <c r="CS72" i="1"/>
  <c r="CR72" i="1"/>
  <c r="CQ72" i="1"/>
  <c r="CO72" i="1"/>
  <c r="CN72" i="1"/>
  <c r="CM72" i="1"/>
  <c r="CK72" i="1"/>
  <c r="CJ72" i="1"/>
  <c r="CI72" i="1"/>
  <c r="CH72" i="1"/>
  <c r="CF72" i="1"/>
  <c r="CE72" i="1"/>
  <c r="CA72" i="1"/>
  <c r="BZ72" i="1"/>
  <c r="BY72" i="1"/>
  <c r="BX72" i="1"/>
  <c r="BW72" i="1"/>
  <c r="BV72" i="1"/>
  <c r="BU72" i="1"/>
  <c r="BT72" i="1"/>
  <c r="BS72" i="1"/>
  <c r="BR72" i="1"/>
  <c r="BQ72" i="1"/>
  <c r="BO72" i="1"/>
  <c r="BN72" i="1"/>
  <c r="BM72" i="1"/>
  <c r="BL72" i="1"/>
  <c r="BK72" i="1"/>
  <c r="BJ72" i="1"/>
  <c r="BI72" i="1"/>
  <c r="BG72" i="1"/>
  <c r="BF72" i="1"/>
  <c r="BE72" i="1"/>
  <c r="BB72" i="1"/>
  <c r="BA72" i="1"/>
  <c r="AZ72" i="1"/>
  <c r="AY72" i="1"/>
  <c r="AX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E72" i="1"/>
  <c r="AD72" i="1"/>
  <c r="AC72" i="1"/>
  <c r="AB72" i="1"/>
  <c r="AA72" i="1"/>
  <c r="Z72" i="1"/>
  <c r="Y72" i="1"/>
  <c r="X72" i="1"/>
  <c r="W72" i="1"/>
  <c r="U72" i="1"/>
  <c r="T72" i="1"/>
  <c r="S72" i="1"/>
  <c r="R72" i="1"/>
  <c r="P72" i="1"/>
  <c r="O72" i="1"/>
  <c r="N72" i="1"/>
  <c r="M72" i="1"/>
  <c r="L72" i="1"/>
  <c r="K72" i="1"/>
  <c r="I72" i="1"/>
  <c r="H72" i="1"/>
  <c r="CV71" i="1"/>
  <c r="CU71" i="1" s="1"/>
  <c r="CU70" i="1" s="1"/>
  <c r="CL71" i="1"/>
  <c r="CL70" i="1" s="1"/>
  <c r="CG71" i="1"/>
  <c r="CG70" i="1" s="1"/>
  <c r="CD71" i="1"/>
  <c r="BN71" i="1"/>
  <c r="BN70" i="1" s="1"/>
  <c r="BH71" i="1"/>
  <c r="BH70" i="1" s="1"/>
  <c r="BD71" i="1"/>
  <c r="AF71" i="1"/>
  <c r="AF70" i="1" s="1"/>
  <c r="V71" i="1"/>
  <c r="Q71" i="1"/>
  <c r="Q70" i="1" s="1"/>
  <c r="Q69" i="1" s="1"/>
  <c r="M71" i="1"/>
  <c r="L71" i="1"/>
  <c r="CX70" i="1"/>
  <c r="CW70" i="1"/>
  <c r="CV70" i="1"/>
  <c r="CT70" i="1"/>
  <c r="CS70" i="1"/>
  <c r="CS69" i="1" s="1"/>
  <c r="CR70" i="1"/>
  <c r="CQ70" i="1"/>
  <c r="CQ69" i="1" s="1"/>
  <c r="CO70" i="1"/>
  <c r="CN70" i="1"/>
  <c r="CN69" i="1" s="1"/>
  <c r="CM70" i="1"/>
  <c r="CK70" i="1"/>
  <c r="CK69" i="1" s="1"/>
  <c r="CJ70" i="1"/>
  <c r="CI70" i="1"/>
  <c r="CI69" i="1" s="1"/>
  <c r="CH70" i="1"/>
  <c r="CF70" i="1"/>
  <c r="CE70" i="1"/>
  <c r="CE69" i="1" s="1"/>
  <c r="CA70" i="1"/>
  <c r="BZ70" i="1"/>
  <c r="BZ69" i="1" s="1"/>
  <c r="BY70" i="1"/>
  <c r="BX70" i="1"/>
  <c r="BX69" i="1" s="1"/>
  <c r="BW70" i="1"/>
  <c r="BW69" i="1" s="1"/>
  <c r="BV70" i="1"/>
  <c r="BV69" i="1" s="1"/>
  <c r="BU70" i="1"/>
  <c r="BT70" i="1"/>
  <c r="BT69" i="1" s="1"/>
  <c r="BS70" i="1"/>
  <c r="BR70" i="1"/>
  <c r="BR69" i="1" s="1"/>
  <c r="BQ70" i="1"/>
  <c r="BP70" i="1"/>
  <c r="BO70" i="1"/>
  <c r="BM70" i="1"/>
  <c r="BM69" i="1" s="1"/>
  <c r="BL70" i="1"/>
  <c r="BK70" i="1"/>
  <c r="BJ70" i="1"/>
  <c r="BI70" i="1"/>
  <c r="BI69" i="1" s="1"/>
  <c r="BG70" i="1"/>
  <c r="BG69" i="1" s="1"/>
  <c r="BF70" i="1"/>
  <c r="BF69" i="1" s="1"/>
  <c r="BE70" i="1"/>
  <c r="BB70" i="1"/>
  <c r="BA70" i="1"/>
  <c r="AZ70" i="1"/>
  <c r="AY70" i="1"/>
  <c r="AY69" i="1" s="1"/>
  <c r="AX70" i="1"/>
  <c r="AU70" i="1"/>
  <c r="AT70" i="1"/>
  <c r="AS70" i="1"/>
  <c r="AS69" i="1" s="1"/>
  <c r="AR70" i="1"/>
  <c r="AQ70" i="1"/>
  <c r="AP70" i="1"/>
  <c r="AO70" i="1"/>
  <c r="AO69" i="1" s="1"/>
  <c r="AN70" i="1"/>
  <c r="AM70" i="1"/>
  <c r="AL70" i="1"/>
  <c r="AK70" i="1"/>
  <c r="AK69" i="1" s="1"/>
  <c r="AJ70" i="1"/>
  <c r="AI70" i="1"/>
  <c r="AH70" i="1"/>
  <c r="AG70" i="1"/>
  <c r="AG69" i="1" s="1"/>
  <c r="AE70" i="1"/>
  <c r="AD70" i="1"/>
  <c r="AC70" i="1"/>
  <c r="AC69" i="1" s="1"/>
  <c r="AB70" i="1"/>
  <c r="AA70" i="1"/>
  <c r="Z70" i="1"/>
  <c r="Y70" i="1"/>
  <c r="X70" i="1"/>
  <c r="W70" i="1"/>
  <c r="V70" i="1"/>
  <c r="V69" i="1" s="1"/>
  <c r="U70" i="1"/>
  <c r="T70" i="1"/>
  <c r="S70" i="1"/>
  <c r="R70" i="1"/>
  <c r="P70" i="1"/>
  <c r="O70" i="1"/>
  <c r="N70" i="1"/>
  <c r="M70" i="1"/>
  <c r="L70" i="1"/>
  <c r="K70" i="1"/>
  <c r="I70" i="1"/>
  <c r="H70" i="1"/>
  <c r="BK69" i="1"/>
  <c r="CV68" i="1"/>
  <c r="CU68" i="1" s="1"/>
  <c r="CU67" i="1" s="1"/>
  <c r="CL68" i="1"/>
  <c r="CL67" i="1" s="1"/>
  <c r="CG68" i="1"/>
  <c r="CG67" i="1" s="1"/>
  <c r="CD68" i="1"/>
  <c r="CD67" i="1" s="1"/>
  <c r="BP68" i="1"/>
  <c r="BP67" i="1" s="1"/>
  <c r="BN68" i="1"/>
  <c r="BN67" i="1" s="1"/>
  <c r="BH68" i="1"/>
  <c r="BH67" i="1" s="1"/>
  <c r="BD68" i="1"/>
  <c r="BB68" i="1"/>
  <c r="AF68" i="1" s="1"/>
  <c r="AF67" i="1" s="1"/>
  <c r="V68" i="1"/>
  <c r="V67" i="1" s="1"/>
  <c r="Q68" i="1"/>
  <c r="Q67" i="1" s="1"/>
  <c r="J68" i="1"/>
  <c r="CX67" i="1"/>
  <c r="CW67" i="1"/>
  <c r="CV67" i="1"/>
  <c r="CT67" i="1"/>
  <c r="CS67" i="1"/>
  <c r="CR67" i="1"/>
  <c r="CQ67" i="1"/>
  <c r="CO67" i="1"/>
  <c r="CN67" i="1"/>
  <c r="CM67" i="1"/>
  <c r="CK67" i="1"/>
  <c r="CJ67" i="1"/>
  <c r="CI67" i="1"/>
  <c r="CH67" i="1"/>
  <c r="CF67" i="1"/>
  <c r="CE67" i="1"/>
  <c r="CA67" i="1"/>
  <c r="BZ67" i="1"/>
  <c r="BY67" i="1"/>
  <c r="BX67" i="1"/>
  <c r="BW67" i="1"/>
  <c r="BV67" i="1"/>
  <c r="BU67" i="1"/>
  <c r="BT67" i="1"/>
  <c r="BS67" i="1"/>
  <c r="BR67" i="1"/>
  <c r="BQ67" i="1"/>
  <c r="BO67" i="1"/>
  <c r="BM67" i="1"/>
  <c r="BL67" i="1"/>
  <c r="BK67" i="1"/>
  <c r="BJ67" i="1"/>
  <c r="BI67" i="1"/>
  <c r="BG67" i="1"/>
  <c r="BF67" i="1"/>
  <c r="BE67" i="1"/>
  <c r="BA67" i="1"/>
  <c r="AZ67" i="1"/>
  <c r="AY67" i="1"/>
  <c r="AX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E67" i="1"/>
  <c r="AD67" i="1"/>
  <c r="AC67" i="1"/>
  <c r="AB67" i="1"/>
  <c r="AA67" i="1"/>
  <c r="Z67" i="1"/>
  <c r="Y67" i="1"/>
  <c r="X67" i="1"/>
  <c r="W67" i="1"/>
  <c r="U67" i="1"/>
  <c r="T67" i="1"/>
  <c r="S67" i="1"/>
  <c r="R67" i="1"/>
  <c r="P67" i="1"/>
  <c r="O67" i="1"/>
  <c r="N67" i="1"/>
  <c r="M67" i="1"/>
  <c r="L67" i="1"/>
  <c r="K67" i="1"/>
  <c r="I67" i="1"/>
  <c r="H67" i="1"/>
  <c r="CV66" i="1"/>
  <c r="CL66" i="1"/>
  <c r="CL65" i="1" s="1"/>
  <c r="CG66" i="1"/>
  <c r="CG65" i="1" s="1"/>
  <c r="CD66" i="1"/>
  <c r="BP66" i="1"/>
  <c r="BP65" i="1" s="1"/>
  <c r="BN66" i="1"/>
  <c r="BN65" i="1" s="1"/>
  <c r="BH66" i="1"/>
  <c r="BD66" i="1"/>
  <c r="BD65" i="1" s="1"/>
  <c r="AF66" i="1"/>
  <c r="V66" i="1"/>
  <c r="V65" i="1" s="1"/>
  <c r="Q66" i="1"/>
  <c r="Q65" i="1" s="1"/>
  <c r="J66" i="1"/>
  <c r="CX65" i="1"/>
  <c r="CW65" i="1"/>
  <c r="CT65" i="1"/>
  <c r="CS65" i="1"/>
  <c r="CR65" i="1"/>
  <c r="CQ65" i="1"/>
  <c r="CO65" i="1"/>
  <c r="CN65" i="1"/>
  <c r="CM65" i="1"/>
  <c r="CK65" i="1"/>
  <c r="CJ65" i="1"/>
  <c r="CI65" i="1"/>
  <c r="CH65" i="1"/>
  <c r="CF65" i="1"/>
  <c r="CE65" i="1"/>
  <c r="CA65" i="1"/>
  <c r="BZ65" i="1"/>
  <c r="BY65" i="1"/>
  <c r="BX65" i="1"/>
  <c r="BW65" i="1"/>
  <c r="BV65" i="1"/>
  <c r="BU65" i="1"/>
  <c r="BT65" i="1"/>
  <c r="BS65" i="1"/>
  <c r="BR65" i="1"/>
  <c r="BQ65" i="1"/>
  <c r="BO65" i="1"/>
  <c r="BM65" i="1"/>
  <c r="BL65" i="1"/>
  <c r="BK65" i="1"/>
  <c r="BJ65" i="1"/>
  <c r="BI65" i="1"/>
  <c r="BH65" i="1"/>
  <c r="BG65" i="1"/>
  <c r="BF65" i="1"/>
  <c r="BE65" i="1"/>
  <c r="BB65" i="1"/>
  <c r="BA65" i="1"/>
  <c r="AZ65" i="1"/>
  <c r="AY65" i="1"/>
  <c r="AX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D64" i="1" s="1"/>
  <c r="AC65" i="1"/>
  <c r="AC64" i="1" s="1"/>
  <c r="AB65" i="1"/>
  <c r="AB64" i="1" s="1"/>
  <c r="AA65" i="1"/>
  <c r="Z65" i="1"/>
  <c r="Z64" i="1" s="1"/>
  <c r="Y65" i="1"/>
  <c r="X65" i="1"/>
  <c r="X64" i="1" s="1"/>
  <c r="W65" i="1"/>
  <c r="U65" i="1"/>
  <c r="U64" i="1" s="1"/>
  <c r="T65" i="1"/>
  <c r="S65" i="1"/>
  <c r="R65" i="1"/>
  <c r="P65" i="1"/>
  <c r="O65" i="1"/>
  <c r="N65" i="1"/>
  <c r="M65" i="1"/>
  <c r="M64" i="1" s="1"/>
  <c r="L65" i="1"/>
  <c r="K65" i="1"/>
  <c r="I65" i="1"/>
  <c r="H65" i="1"/>
  <c r="CV63" i="1"/>
  <c r="CU63" i="1" s="1"/>
  <c r="CU62" i="1" s="1"/>
  <c r="CL63" i="1"/>
  <c r="CL62" i="1" s="1"/>
  <c r="CG63" i="1"/>
  <c r="CG62" i="1" s="1"/>
  <c r="CD63" i="1"/>
  <c r="CD62" i="1" s="1"/>
  <c r="BP63" i="1"/>
  <c r="BP62" i="1" s="1"/>
  <c r="BN63" i="1"/>
  <c r="BN62" i="1" s="1"/>
  <c r="BH63" i="1"/>
  <c r="BH62" i="1" s="1"/>
  <c r="BD63" i="1"/>
  <c r="BD62" i="1" s="1"/>
  <c r="AF63" i="1"/>
  <c r="V63" i="1"/>
  <c r="V62" i="1" s="1"/>
  <c r="Q63" i="1"/>
  <c r="J63" i="1"/>
  <c r="CX62" i="1"/>
  <c r="CW62" i="1"/>
  <c r="CV62" i="1"/>
  <c r="CT62" i="1"/>
  <c r="CS62" i="1"/>
  <c r="CR62" i="1"/>
  <c r="CQ62" i="1"/>
  <c r="CO62" i="1"/>
  <c r="CN62" i="1"/>
  <c r="CM62" i="1"/>
  <c r="CK62" i="1"/>
  <c r="CJ62" i="1"/>
  <c r="CI62" i="1"/>
  <c r="CH62" i="1"/>
  <c r="CF62" i="1"/>
  <c r="CE62" i="1"/>
  <c r="CA62" i="1"/>
  <c r="BZ62" i="1"/>
  <c r="BY62" i="1"/>
  <c r="BX62" i="1"/>
  <c r="BW62" i="1"/>
  <c r="BV62" i="1"/>
  <c r="BU62" i="1"/>
  <c r="BT62" i="1"/>
  <c r="BS62" i="1"/>
  <c r="BR62" i="1"/>
  <c r="BQ62" i="1"/>
  <c r="BO62" i="1"/>
  <c r="BM62" i="1"/>
  <c r="BL62" i="1"/>
  <c r="BK62" i="1"/>
  <c r="BJ62" i="1"/>
  <c r="BI62" i="1"/>
  <c r="BG62" i="1"/>
  <c r="BF62" i="1"/>
  <c r="BE62" i="1"/>
  <c r="BB62" i="1"/>
  <c r="BA62" i="1"/>
  <c r="AZ62" i="1"/>
  <c r="AY62" i="1"/>
  <c r="AX62" i="1"/>
  <c r="AW62" i="1"/>
  <c r="AV62" i="1"/>
  <c r="AV53" i="1" s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U62" i="1"/>
  <c r="T62" i="1"/>
  <c r="S62" i="1"/>
  <c r="R62" i="1"/>
  <c r="Q62" i="1"/>
  <c r="P62" i="1"/>
  <c r="O62" i="1"/>
  <c r="N62" i="1"/>
  <c r="M62" i="1"/>
  <c r="L62" i="1"/>
  <c r="K62" i="1"/>
  <c r="I62" i="1"/>
  <c r="H62" i="1"/>
  <c r="CV61" i="1"/>
  <c r="CU61" i="1" s="1"/>
  <c r="CU60" i="1" s="1"/>
  <c r="CL61" i="1"/>
  <c r="CL60" i="1" s="1"/>
  <c r="CG61" i="1"/>
  <c r="CG60" i="1" s="1"/>
  <c r="CD61" i="1"/>
  <c r="BP61" i="1"/>
  <c r="BP60" i="1" s="1"/>
  <c r="BN61" i="1"/>
  <c r="BN60" i="1" s="1"/>
  <c r="BH61" i="1"/>
  <c r="BH60" i="1" s="1"/>
  <c r="BD61" i="1"/>
  <c r="AF61" i="1"/>
  <c r="AF60" i="1" s="1"/>
  <c r="V61" i="1"/>
  <c r="V60" i="1" s="1"/>
  <c r="Q61" i="1"/>
  <c r="Q60" i="1" s="1"/>
  <c r="J61" i="1"/>
  <c r="CX60" i="1"/>
  <c r="CW60" i="1"/>
  <c r="CV60" i="1"/>
  <c r="CT60" i="1"/>
  <c r="CS60" i="1"/>
  <c r="CR60" i="1"/>
  <c r="CQ60" i="1"/>
  <c r="CO60" i="1"/>
  <c r="CN60" i="1"/>
  <c r="CM60" i="1"/>
  <c r="CK60" i="1"/>
  <c r="CJ60" i="1"/>
  <c r="CI60" i="1"/>
  <c r="CH60" i="1"/>
  <c r="CF60" i="1"/>
  <c r="CE60" i="1"/>
  <c r="CA60" i="1"/>
  <c r="BZ60" i="1"/>
  <c r="BY60" i="1"/>
  <c r="BX60" i="1"/>
  <c r="BW60" i="1"/>
  <c r="BV60" i="1"/>
  <c r="BU60" i="1"/>
  <c r="BT60" i="1"/>
  <c r="BS60" i="1"/>
  <c r="BR60" i="1"/>
  <c r="BQ60" i="1"/>
  <c r="BO60" i="1"/>
  <c r="BM60" i="1"/>
  <c r="BL60" i="1"/>
  <c r="BK60" i="1"/>
  <c r="BJ60" i="1"/>
  <c r="BI60" i="1"/>
  <c r="BG60" i="1"/>
  <c r="BF60" i="1"/>
  <c r="BE60" i="1"/>
  <c r="BB60" i="1"/>
  <c r="BA60" i="1"/>
  <c r="AZ60" i="1"/>
  <c r="AY60" i="1"/>
  <c r="AX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E60" i="1"/>
  <c r="AD60" i="1"/>
  <c r="AC60" i="1"/>
  <c r="AB60" i="1"/>
  <c r="AA60" i="1"/>
  <c r="Z60" i="1"/>
  <c r="Y60" i="1"/>
  <c r="X60" i="1"/>
  <c r="W60" i="1"/>
  <c r="U60" i="1"/>
  <c r="T60" i="1"/>
  <c r="S60" i="1"/>
  <c r="R60" i="1"/>
  <c r="P60" i="1"/>
  <c r="O60" i="1"/>
  <c r="N60" i="1"/>
  <c r="M60" i="1"/>
  <c r="L60" i="1"/>
  <c r="K60" i="1"/>
  <c r="I60" i="1"/>
  <c r="H60" i="1"/>
  <c r="CV59" i="1"/>
  <c r="CL59" i="1"/>
  <c r="CL58" i="1" s="1"/>
  <c r="CG59" i="1"/>
  <c r="CG58" i="1" s="1"/>
  <c r="CD59" i="1"/>
  <c r="BN59" i="1"/>
  <c r="BN58" i="1" s="1"/>
  <c r="BH59" i="1"/>
  <c r="BH58" i="1" s="1"/>
  <c r="BD59" i="1"/>
  <c r="BD58" i="1" s="1"/>
  <c r="AF59" i="1"/>
  <c r="V59" i="1"/>
  <c r="V58" i="1" s="1"/>
  <c r="Q59" i="1"/>
  <c r="Q58" i="1" s="1"/>
  <c r="J59" i="1"/>
  <c r="J58" i="1" s="1"/>
  <c r="CX58" i="1"/>
  <c r="CW58" i="1"/>
  <c r="CT58" i="1"/>
  <c r="CS58" i="1"/>
  <c r="CR58" i="1"/>
  <c r="CQ58" i="1"/>
  <c r="CO58" i="1"/>
  <c r="CN58" i="1"/>
  <c r="CM58" i="1"/>
  <c r="CK58" i="1"/>
  <c r="CJ58" i="1"/>
  <c r="CI58" i="1"/>
  <c r="CH58" i="1"/>
  <c r="CF58" i="1"/>
  <c r="CE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M58" i="1"/>
  <c r="BL58" i="1"/>
  <c r="BK58" i="1"/>
  <c r="BJ58" i="1"/>
  <c r="BI58" i="1"/>
  <c r="BG58" i="1"/>
  <c r="BF58" i="1"/>
  <c r="BE58" i="1"/>
  <c r="BB58" i="1"/>
  <c r="BA58" i="1"/>
  <c r="AZ58" i="1"/>
  <c r="AY58" i="1"/>
  <c r="AX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U58" i="1"/>
  <c r="T58" i="1"/>
  <c r="S58" i="1"/>
  <c r="R58" i="1"/>
  <c r="P58" i="1"/>
  <c r="O58" i="1"/>
  <c r="N58" i="1"/>
  <c r="M58" i="1"/>
  <c r="L58" i="1"/>
  <c r="K58" i="1"/>
  <c r="I58" i="1"/>
  <c r="H58" i="1"/>
  <c r="CV57" i="1"/>
  <c r="CL57" i="1"/>
  <c r="CL56" i="1" s="1"/>
  <c r="CG57" i="1"/>
  <c r="CG56" i="1" s="1"/>
  <c r="CD57" i="1"/>
  <c r="BP57" i="1"/>
  <c r="BP56" i="1" s="1"/>
  <c r="BN57" i="1"/>
  <c r="BN56" i="1" s="1"/>
  <c r="BH57" i="1"/>
  <c r="BH56" i="1" s="1"/>
  <c r="BD57" i="1"/>
  <c r="BD56" i="1" s="1"/>
  <c r="AF57" i="1"/>
  <c r="AF56" i="1" s="1"/>
  <c r="V57" i="1"/>
  <c r="V56" i="1" s="1"/>
  <c r="Q57" i="1"/>
  <c r="Q56" i="1" s="1"/>
  <c r="J57" i="1"/>
  <c r="CX56" i="1"/>
  <c r="CW56" i="1"/>
  <c r="CT56" i="1"/>
  <c r="CS56" i="1"/>
  <c r="CR56" i="1"/>
  <c r="CQ56" i="1"/>
  <c r="CO56" i="1"/>
  <c r="CN56" i="1"/>
  <c r="CM56" i="1"/>
  <c r="CK56" i="1"/>
  <c r="CJ56" i="1"/>
  <c r="CI56" i="1"/>
  <c r="CH56" i="1"/>
  <c r="CF56" i="1"/>
  <c r="CE56" i="1"/>
  <c r="CD56" i="1"/>
  <c r="CA56" i="1"/>
  <c r="BZ56" i="1"/>
  <c r="BY56" i="1"/>
  <c r="BX56" i="1"/>
  <c r="BW56" i="1"/>
  <c r="BV56" i="1"/>
  <c r="BU56" i="1"/>
  <c r="BT56" i="1"/>
  <c r="BS56" i="1"/>
  <c r="BR56" i="1"/>
  <c r="BQ56" i="1"/>
  <c r="BO56" i="1"/>
  <c r="BM56" i="1"/>
  <c r="BL56" i="1"/>
  <c r="BK56" i="1"/>
  <c r="BJ56" i="1"/>
  <c r="BI56" i="1"/>
  <c r="BG56" i="1"/>
  <c r="BF56" i="1"/>
  <c r="BE56" i="1"/>
  <c r="BB56" i="1"/>
  <c r="BA56" i="1"/>
  <c r="AZ56" i="1"/>
  <c r="AY56" i="1"/>
  <c r="AX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E56" i="1"/>
  <c r="AD56" i="1"/>
  <c r="AC56" i="1"/>
  <c r="AB56" i="1"/>
  <c r="AA56" i="1"/>
  <c r="Z56" i="1"/>
  <c r="Y56" i="1"/>
  <c r="X56" i="1"/>
  <c r="W56" i="1"/>
  <c r="U56" i="1"/>
  <c r="T56" i="1"/>
  <c r="S56" i="1"/>
  <c r="R56" i="1"/>
  <c r="P56" i="1"/>
  <c r="O56" i="1"/>
  <c r="N56" i="1"/>
  <c r="M56" i="1"/>
  <c r="L56" i="1"/>
  <c r="K56" i="1"/>
  <c r="I56" i="1"/>
  <c r="H56" i="1"/>
  <c r="CV55" i="1"/>
  <c r="CL55" i="1"/>
  <c r="CG55" i="1"/>
  <c r="CD55" i="1"/>
  <c r="BP55" i="1"/>
  <c r="BP54" i="1" s="1"/>
  <c r="BN55" i="1"/>
  <c r="BN54" i="1" s="1"/>
  <c r="BH55" i="1"/>
  <c r="BH54" i="1" s="1"/>
  <c r="BD55" i="1"/>
  <c r="BD54" i="1" s="1"/>
  <c r="AF55" i="1"/>
  <c r="V55" i="1"/>
  <c r="V54" i="1" s="1"/>
  <c r="Q55" i="1"/>
  <c r="Q54" i="1" s="1"/>
  <c r="J55" i="1"/>
  <c r="CX54" i="1"/>
  <c r="CW54" i="1"/>
  <c r="CT54" i="1"/>
  <c r="CS54" i="1"/>
  <c r="CR54" i="1"/>
  <c r="CQ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A54" i="1"/>
  <c r="BZ54" i="1"/>
  <c r="BY54" i="1"/>
  <c r="BX54" i="1"/>
  <c r="BW54" i="1"/>
  <c r="BV54" i="1"/>
  <c r="BU54" i="1"/>
  <c r="BT54" i="1"/>
  <c r="BS54" i="1"/>
  <c r="BR54" i="1"/>
  <c r="BQ54" i="1"/>
  <c r="BO54" i="1"/>
  <c r="BM54" i="1"/>
  <c r="BL54" i="1"/>
  <c r="BK54" i="1"/>
  <c r="BJ54" i="1"/>
  <c r="BI54" i="1"/>
  <c r="BG54" i="1"/>
  <c r="BF54" i="1"/>
  <c r="BE54" i="1"/>
  <c r="BB54" i="1"/>
  <c r="BA54" i="1"/>
  <c r="AZ54" i="1"/>
  <c r="AY54" i="1"/>
  <c r="AX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U54" i="1"/>
  <c r="T54" i="1"/>
  <c r="S54" i="1"/>
  <c r="R54" i="1"/>
  <c r="P54" i="1"/>
  <c r="O54" i="1"/>
  <c r="N54" i="1"/>
  <c r="M54" i="1"/>
  <c r="L54" i="1"/>
  <c r="K54" i="1"/>
  <c r="I54" i="1"/>
  <c r="H54" i="1"/>
  <c r="CV52" i="1"/>
  <c r="CL52" i="1"/>
  <c r="CG52" i="1"/>
  <c r="CD52" i="1"/>
  <c r="BP52" i="1"/>
  <c r="BP51" i="1" s="1"/>
  <c r="BN52" i="1"/>
  <c r="BN51" i="1" s="1"/>
  <c r="BH52" i="1"/>
  <c r="BH51" i="1" s="1"/>
  <c r="BD52" i="1"/>
  <c r="BD51" i="1" s="1"/>
  <c r="AF52" i="1"/>
  <c r="V52" i="1"/>
  <c r="V51" i="1" s="1"/>
  <c r="Q52" i="1"/>
  <c r="Q51" i="1" s="1"/>
  <c r="J52" i="1"/>
  <c r="J51" i="1" s="1"/>
  <c r="CX51" i="1"/>
  <c r="CW51" i="1"/>
  <c r="CT51" i="1"/>
  <c r="CS51" i="1"/>
  <c r="CR51" i="1"/>
  <c r="CQ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A51" i="1"/>
  <c r="BZ51" i="1"/>
  <c r="BY51" i="1"/>
  <c r="BX51" i="1"/>
  <c r="BW51" i="1"/>
  <c r="BV51" i="1"/>
  <c r="BU51" i="1"/>
  <c r="BT51" i="1"/>
  <c r="BS51" i="1"/>
  <c r="BR51" i="1"/>
  <c r="BQ51" i="1"/>
  <c r="BO51" i="1"/>
  <c r="BM51" i="1"/>
  <c r="BL51" i="1"/>
  <c r="BK51" i="1"/>
  <c r="BJ51" i="1"/>
  <c r="BI51" i="1"/>
  <c r="BG51" i="1"/>
  <c r="BF51" i="1"/>
  <c r="BE51" i="1"/>
  <c r="BB51" i="1"/>
  <c r="BA51" i="1"/>
  <c r="AZ51" i="1"/>
  <c r="AY51" i="1"/>
  <c r="AX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U51" i="1"/>
  <c r="T51" i="1"/>
  <c r="S51" i="1"/>
  <c r="R51" i="1"/>
  <c r="P51" i="1"/>
  <c r="O51" i="1"/>
  <c r="N51" i="1"/>
  <c r="M51" i="1"/>
  <c r="L51" i="1"/>
  <c r="K51" i="1"/>
  <c r="I51" i="1"/>
  <c r="H51" i="1"/>
  <c r="CV50" i="1"/>
  <c r="CL50" i="1"/>
  <c r="CL49" i="1" s="1"/>
  <c r="CG50" i="1"/>
  <c r="CG49" i="1" s="1"/>
  <c r="CD50" i="1"/>
  <c r="BP50" i="1"/>
  <c r="BP49" i="1" s="1"/>
  <c r="BN50" i="1"/>
  <c r="BN49" i="1" s="1"/>
  <c r="BH50" i="1"/>
  <c r="BH49" i="1" s="1"/>
  <c r="BD50" i="1"/>
  <c r="BD49" i="1" s="1"/>
  <c r="AF50" i="1"/>
  <c r="AF49" i="1" s="1"/>
  <c r="V50" i="1"/>
  <c r="V49" i="1" s="1"/>
  <c r="Q50" i="1"/>
  <c r="Q49" i="1" s="1"/>
  <c r="J50" i="1"/>
  <c r="CX49" i="1"/>
  <c r="CW49" i="1"/>
  <c r="CT49" i="1"/>
  <c r="CS49" i="1"/>
  <c r="CR49" i="1"/>
  <c r="CQ49" i="1"/>
  <c r="CO49" i="1"/>
  <c r="CN49" i="1"/>
  <c r="CM49" i="1"/>
  <c r="CK49" i="1"/>
  <c r="CJ49" i="1"/>
  <c r="CI49" i="1"/>
  <c r="CH49" i="1"/>
  <c r="CF49" i="1"/>
  <c r="CE49" i="1"/>
  <c r="CD49" i="1"/>
  <c r="CA49" i="1"/>
  <c r="BZ49" i="1"/>
  <c r="BY49" i="1"/>
  <c r="BX49" i="1"/>
  <c r="BW49" i="1"/>
  <c r="BV49" i="1"/>
  <c r="BU49" i="1"/>
  <c r="BT49" i="1"/>
  <c r="BS49" i="1"/>
  <c r="BR49" i="1"/>
  <c r="BQ49" i="1"/>
  <c r="BO49" i="1"/>
  <c r="BM49" i="1"/>
  <c r="BL49" i="1"/>
  <c r="BK49" i="1"/>
  <c r="BJ49" i="1"/>
  <c r="BI49" i="1"/>
  <c r="BG49" i="1"/>
  <c r="BF49" i="1"/>
  <c r="BE49" i="1"/>
  <c r="BB49" i="1"/>
  <c r="BA49" i="1"/>
  <c r="AZ49" i="1"/>
  <c r="AY49" i="1"/>
  <c r="AX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E49" i="1"/>
  <c r="AD49" i="1"/>
  <c r="AC49" i="1"/>
  <c r="AB49" i="1"/>
  <c r="AA49" i="1"/>
  <c r="Z49" i="1"/>
  <c r="Y49" i="1"/>
  <c r="X49" i="1"/>
  <c r="W49" i="1"/>
  <c r="U49" i="1"/>
  <c r="T49" i="1"/>
  <c r="S49" i="1"/>
  <c r="R49" i="1"/>
  <c r="P49" i="1"/>
  <c r="O49" i="1"/>
  <c r="N49" i="1"/>
  <c r="M49" i="1"/>
  <c r="L49" i="1"/>
  <c r="K49" i="1"/>
  <c r="I49" i="1"/>
  <c r="H49" i="1"/>
  <c r="CV48" i="1"/>
  <c r="CU48" i="1" s="1"/>
  <c r="CL48" i="1"/>
  <c r="CG48" i="1"/>
  <c r="CD48" i="1"/>
  <c r="BP48" i="1"/>
  <c r="BN48" i="1"/>
  <c r="BH48" i="1"/>
  <c r="BD48" i="1"/>
  <c r="BB48" i="1"/>
  <c r="AA48" i="1"/>
  <c r="V48" i="1" s="1"/>
  <c r="Q48" i="1"/>
  <c r="P48" i="1"/>
  <c r="P43" i="1" s="1"/>
  <c r="O48" i="1"/>
  <c r="O43" i="1" s="1"/>
  <c r="CV47" i="1"/>
  <c r="CU47" i="1" s="1"/>
  <c r="CL47" i="1"/>
  <c r="CG47" i="1"/>
  <c r="CD47" i="1"/>
  <c r="BP47" i="1"/>
  <c r="BN47" i="1"/>
  <c r="BH47" i="1"/>
  <c r="BD47" i="1"/>
  <c r="AF47" i="1"/>
  <c r="V47" i="1"/>
  <c r="Q47" i="1"/>
  <c r="L47" i="1"/>
  <c r="CV46" i="1"/>
  <c r="CU46" i="1" s="1"/>
  <c r="CL46" i="1"/>
  <c r="CG46" i="1"/>
  <c r="CD46" i="1"/>
  <c r="BP46" i="1"/>
  <c r="BN46" i="1"/>
  <c r="BH46" i="1"/>
  <c r="BD46" i="1"/>
  <c r="AF46" i="1"/>
  <c r="V46" i="1"/>
  <c r="Q46" i="1"/>
  <c r="J46" i="1"/>
  <c r="CV45" i="1"/>
  <c r="CU45" i="1" s="1"/>
  <c r="CL45" i="1"/>
  <c r="CG45" i="1"/>
  <c r="CD45" i="1"/>
  <c r="BP45" i="1"/>
  <c r="BN45" i="1"/>
  <c r="BH45" i="1"/>
  <c r="BD45" i="1"/>
  <c r="AF45" i="1"/>
  <c r="V45" i="1"/>
  <c r="S45" i="1"/>
  <c r="Q45" i="1" s="1"/>
  <c r="J45" i="1"/>
  <c r="CV44" i="1"/>
  <c r="CU44" i="1" s="1"/>
  <c r="CL44" i="1"/>
  <c r="CG44" i="1"/>
  <c r="CD44" i="1"/>
  <c r="BP44" i="1"/>
  <c r="BN44" i="1"/>
  <c r="BH44" i="1"/>
  <c r="BD44" i="1"/>
  <c r="AF44" i="1"/>
  <c r="V44" i="1"/>
  <c r="Q44" i="1"/>
  <c r="J44" i="1"/>
  <c r="CX43" i="1"/>
  <c r="CW43" i="1"/>
  <c r="CT43" i="1"/>
  <c r="CS43" i="1"/>
  <c r="CR43" i="1"/>
  <c r="CQ43" i="1"/>
  <c r="CO43" i="1"/>
  <c r="CN43" i="1"/>
  <c r="CM43" i="1"/>
  <c r="CK43" i="1"/>
  <c r="CJ43" i="1"/>
  <c r="CI43" i="1"/>
  <c r="CH43" i="1"/>
  <c r="CF43" i="1"/>
  <c r="CE43" i="1"/>
  <c r="CA43" i="1"/>
  <c r="BZ43" i="1"/>
  <c r="BY43" i="1"/>
  <c r="BX43" i="1"/>
  <c r="BW43" i="1"/>
  <c r="BV43" i="1"/>
  <c r="BU43" i="1"/>
  <c r="BT43" i="1"/>
  <c r="BS43" i="1"/>
  <c r="BR43" i="1"/>
  <c r="BQ43" i="1"/>
  <c r="BO43" i="1"/>
  <c r="BM43" i="1"/>
  <c r="BL43" i="1"/>
  <c r="BK43" i="1"/>
  <c r="BJ43" i="1"/>
  <c r="BI43" i="1"/>
  <c r="BG43" i="1"/>
  <c r="BF43" i="1"/>
  <c r="BE43" i="1"/>
  <c r="BA43" i="1"/>
  <c r="AZ43" i="1"/>
  <c r="AY43" i="1"/>
  <c r="AX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E43" i="1"/>
  <c r="AD43" i="1"/>
  <c r="AC43" i="1"/>
  <c r="AB43" i="1"/>
  <c r="Z43" i="1"/>
  <c r="Y43" i="1"/>
  <c r="X43" i="1"/>
  <c r="W43" i="1"/>
  <c r="U43" i="1"/>
  <c r="T43" i="1"/>
  <c r="R43" i="1"/>
  <c r="N43" i="1"/>
  <c r="M43" i="1"/>
  <c r="K43" i="1"/>
  <c r="I43" i="1"/>
  <c r="H43" i="1"/>
  <c r="CV42" i="1"/>
  <c r="CU42" i="1" s="1"/>
  <c r="CU41" i="1" s="1"/>
  <c r="CL42" i="1"/>
  <c r="CL41" i="1" s="1"/>
  <c r="CG42" i="1"/>
  <c r="CG41" i="1" s="1"/>
  <c r="CD42" i="1"/>
  <c r="CD41" i="1" s="1"/>
  <c r="BP42" i="1"/>
  <c r="BP41" i="1" s="1"/>
  <c r="BN42" i="1"/>
  <c r="BH42" i="1"/>
  <c r="BH41" i="1" s="1"/>
  <c r="BD42" i="1"/>
  <c r="AF42" i="1"/>
  <c r="AF41" i="1" s="1"/>
  <c r="V42" i="1"/>
  <c r="V41" i="1" s="1"/>
  <c r="Q42" i="1"/>
  <c r="Q41" i="1" s="1"/>
  <c r="J42" i="1"/>
  <c r="CX41" i="1"/>
  <c r="CW41" i="1"/>
  <c r="CT41" i="1"/>
  <c r="CS41" i="1"/>
  <c r="CR41" i="1"/>
  <c r="CQ41" i="1"/>
  <c r="CO41" i="1"/>
  <c r="CN41" i="1"/>
  <c r="CM41" i="1"/>
  <c r="CK41" i="1"/>
  <c r="CJ41" i="1"/>
  <c r="CI41" i="1"/>
  <c r="CH41" i="1"/>
  <c r="CF41" i="1"/>
  <c r="CE41" i="1"/>
  <c r="CA41" i="1"/>
  <c r="BZ41" i="1"/>
  <c r="BY41" i="1"/>
  <c r="BX41" i="1"/>
  <c r="BW41" i="1"/>
  <c r="BV41" i="1"/>
  <c r="BU41" i="1"/>
  <c r="BT41" i="1"/>
  <c r="BS41" i="1"/>
  <c r="BR41" i="1"/>
  <c r="BQ41" i="1"/>
  <c r="BO41" i="1"/>
  <c r="BN41" i="1"/>
  <c r="BM41" i="1"/>
  <c r="BL41" i="1"/>
  <c r="BK41" i="1"/>
  <c r="BJ41" i="1"/>
  <c r="BI41" i="1"/>
  <c r="BG41" i="1"/>
  <c r="BF41" i="1"/>
  <c r="BE41" i="1"/>
  <c r="BB41" i="1"/>
  <c r="BA41" i="1"/>
  <c r="AZ41" i="1"/>
  <c r="AY41" i="1"/>
  <c r="AX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E41" i="1"/>
  <c r="AD41" i="1"/>
  <c r="AC41" i="1"/>
  <c r="AB41" i="1"/>
  <c r="AA41" i="1"/>
  <c r="Z41" i="1"/>
  <c r="Y41" i="1"/>
  <c r="X41" i="1"/>
  <c r="W41" i="1"/>
  <c r="U41" i="1"/>
  <c r="T41" i="1"/>
  <c r="S41" i="1"/>
  <c r="R41" i="1"/>
  <c r="P41" i="1"/>
  <c r="O41" i="1"/>
  <c r="N41" i="1"/>
  <c r="M41" i="1"/>
  <c r="L41" i="1"/>
  <c r="K41" i="1"/>
  <c r="I41" i="1"/>
  <c r="H41" i="1"/>
  <c r="CV40" i="1"/>
  <c r="CU40" i="1" s="1"/>
  <c r="CL40" i="1"/>
  <c r="CG40" i="1"/>
  <c r="CD40" i="1"/>
  <c r="BP40" i="1"/>
  <c r="BN40" i="1"/>
  <c r="BH40" i="1"/>
  <c r="BD40" i="1"/>
  <c r="BB23" i="1"/>
  <c r="AQ40" i="1"/>
  <c r="AQ23" i="1" s="1"/>
  <c r="V40" i="1"/>
  <c r="Q40" i="1"/>
  <c r="J40" i="1"/>
  <c r="CV39" i="1"/>
  <c r="CU39" i="1" s="1"/>
  <c r="CL39" i="1"/>
  <c r="CG39" i="1"/>
  <c r="CD39" i="1"/>
  <c r="BP39" i="1"/>
  <c r="BN39" i="1"/>
  <c r="BH39" i="1"/>
  <c r="BD39" i="1"/>
  <c r="AF39" i="1"/>
  <c r="V39" i="1"/>
  <c r="Q39" i="1"/>
  <c r="J39" i="1"/>
  <c r="CV38" i="1"/>
  <c r="CU38" i="1" s="1"/>
  <c r="CL38" i="1"/>
  <c r="CG38" i="1"/>
  <c r="CD38" i="1"/>
  <c r="BP38" i="1"/>
  <c r="BN38" i="1"/>
  <c r="BH38" i="1"/>
  <c r="BD38" i="1"/>
  <c r="AF38" i="1"/>
  <c r="V38" i="1"/>
  <c r="Q38" i="1"/>
  <c r="J38" i="1"/>
  <c r="CV37" i="1"/>
  <c r="CU37" i="1" s="1"/>
  <c r="CL37" i="1"/>
  <c r="CG37" i="1"/>
  <c r="CD37" i="1"/>
  <c r="BP37" i="1"/>
  <c r="BN37" i="1"/>
  <c r="BH37" i="1"/>
  <c r="BD37" i="1"/>
  <c r="AF37" i="1"/>
  <c r="V37" i="1"/>
  <c r="Q37" i="1"/>
  <c r="J37" i="1"/>
  <c r="CV36" i="1"/>
  <c r="CU36" i="1" s="1"/>
  <c r="CL36" i="1"/>
  <c r="CG36" i="1"/>
  <c r="CF36" i="1"/>
  <c r="CD36" i="1" s="1"/>
  <c r="BP36" i="1"/>
  <c r="BN36" i="1"/>
  <c r="BH36" i="1"/>
  <c r="BD36" i="1"/>
  <c r="AN36" i="1"/>
  <c r="AN23" i="1" s="1"/>
  <c r="AJ36" i="1"/>
  <c r="AI36" i="1"/>
  <c r="AA36" i="1"/>
  <c r="V36" i="1" s="1"/>
  <c r="Q36" i="1"/>
  <c r="P36" i="1"/>
  <c r="J36" i="1" s="1"/>
  <c r="CV35" i="1"/>
  <c r="CU35" i="1" s="1"/>
  <c r="CL35" i="1"/>
  <c r="CG35" i="1"/>
  <c r="CD35" i="1"/>
  <c r="BP35" i="1"/>
  <c r="BN35" i="1"/>
  <c r="BH35" i="1"/>
  <c r="BD35" i="1"/>
  <c r="AF35" i="1"/>
  <c r="V35" i="1"/>
  <c r="Q35" i="1"/>
  <c r="J35" i="1"/>
  <c r="I23" i="1"/>
  <c r="CV34" i="1"/>
  <c r="CU34" i="1" s="1"/>
  <c r="CL34" i="1"/>
  <c r="CG34" i="1"/>
  <c r="CD34" i="1"/>
  <c r="BP34" i="1"/>
  <c r="BN34" i="1"/>
  <c r="BH34" i="1"/>
  <c r="BD34" i="1"/>
  <c r="AF34" i="1"/>
  <c r="V34" i="1"/>
  <c r="Q34" i="1"/>
  <c r="J34" i="1"/>
  <c r="CV33" i="1"/>
  <c r="CU33" i="1" s="1"/>
  <c r="CL33" i="1"/>
  <c r="CG33" i="1"/>
  <c r="CD33" i="1"/>
  <c r="BP33" i="1"/>
  <c r="BN33" i="1"/>
  <c r="BH33" i="1"/>
  <c r="BD33" i="1"/>
  <c r="AF33" i="1"/>
  <c r="V33" i="1"/>
  <c r="Q33" i="1"/>
  <c r="J33" i="1"/>
  <c r="CV32" i="1"/>
  <c r="CU32" i="1" s="1"/>
  <c r="CL32" i="1"/>
  <c r="CG32" i="1"/>
  <c r="CD32" i="1"/>
  <c r="BP32" i="1"/>
  <c r="BN32" i="1"/>
  <c r="BH32" i="1"/>
  <c r="BD32" i="1"/>
  <c r="AF32" i="1"/>
  <c r="V32" i="1"/>
  <c r="Q32" i="1"/>
  <c r="J32" i="1"/>
  <c r="CV31" i="1"/>
  <c r="CU31" i="1" s="1"/>
  <c r="CL31" i="1"/>
  <c r="CG31" i="1"/>
  <c r="CD31" i="1"/>
  <c r="BP31" i="1"/>
  <c r="BN31" i="1"/>
  <c r="BH31" i="1"/>
  <c r="BD31" i="1"/>
  <c r="AF31" i="1"/>
  <c r="V31" i="1"/>
  <c r="Q31" i="1"/>
  <c r="J31" i="1"/>
  <c r="CV30" i="1"/>
  <c r="CU30" i="1" s="1"/>
  <c r="CL30" i="1"/>
  <c r="CG30" i="1"/>
  <c r="CF30" i="1"/>
  <c r="CD30" i="1" s="1"/>
  <c r="BP30" i="1"/>
  <c r="BN30" i="1"/>
  <c r="BH30" i="1"/>
  <c r="BD30" i="1"/>
  <c r="AF30" i="1"/>
  <c r="AA30" i="1"/>
  <c r="V30" i="1" s="1"/>
  <c r="Q30" i="1"/>
  <c r="P30" i="1"/>
  <c r="J30" i="1" s="1"/>
  <c r="CV29" i="1"/>
  <c r="CU29" i="1" s="1"/>
  <c r="CL29" i="1"/>
  <c r="CG29" i="1"/>
  <c r="CD29" i="1"/>
  <c r="BP29" i="1"/>
  <c r="BN29" i="1"/>
  <c r="BH29" i="1"/>
  <c r="BD29" i="1"/>
  <c r="AF29" i="1"/>
  <c r="V29" i="1"/>
  <c r="Q29" i="1"/>
  <c r="J29" i="1"/>
  <c r="CV28" i="1"/>
  <c r="CU28" i="1" s="1"/>
  <c r="CL28" i="1"/>
  <c r="CG28" i="1"/>
  <c r="CD28" i="1"/>
  <c r="BP28" i="1"/>
  <c r="BN28" i="1"/>
  <c r="BH28" i="1"/>
  <c r="BD28" i="1"/>
  <c r="AF28" i="1"/>
  <c r="V28" i="1"/>
  <c r="Q28" i="1"/>
  <c r="J28" i="1"/>
  <c r="CV27" i="1"/>
  <c r="CU27" i="1" s="1"/>
  <c r="CL27" i="1"/>
  <c r="CG27" i="1"/>
  <c r="CD27" i="1"/>
  <c r="BP27" i="1"/>
  <c r="BN27" i="1"/>
  <c r="BH27" i="1"/>
  <c r="BD27" i="1"/>
  <c r="AF27" i="1"/>
  <c r="V27" i="1"/>
  <c r="Q27" i="1"/>
  <c r="J27" i="1"/>
  <c r="CV26" i="1"/>
  <c r="CU26" i="1" s="1"/>
  <c r="CL26" i="1"/>
  <c r="CG26" i="1"/>
  <c r="CD26" i="1"/>
  <c r="BP26" i="1"/>
  <c r="BN26" i="1"/>
  <c r="BH26" i="1"/>
  <c r="BD26" i="1"/>
  <c r="AF26" i="1"/>
  <c r="V26" i="1"/>
  <c r="Q26" i="1"/>
  <c r="J26" i="1"/>
  <c r="CV25" i="1"/>
  <c r="CU25" i="1" s="1"/>
  <c r="CL25" i="1"/>
  <c r="CG25" i="1"/>
  <c r="CD25" i="1"/>
  <c r="BP25" i="1"/>
  <c r="BN25" i="1"/>
  <c r="BH25" i="1"/>
  <c r="BD25" i="1"/>
  <c r="AF25" i="1"/>
  <c r="V25" i="1"/>
  <c r="Q25" i="1"/>
  <c r="P25" i="1"/>
  <c r="J25" i="1" s="1"/>
  <c r="CV24" i="1"/>
  <c r="CU24" i="1" s="1"/>
  <c r="CL24" i="1"/>
  <c r="CG24" i="1"/>
  <c r="CD24" i="1"/>
  <c r="BP24" i="1"/>
  <c r="BN24" i="1"/>
  <c r="BH24" i="1"/>
  <c r="BD24" i="1"/>
  <c r="AF24" i="1"/>
  <c r="V24" i="1"/>
  <c r="Q24" i="1"/>
  <c r="J24" i="1"/>
  <c r="CX23" i="1"/>
  <c r="CW23" i="1"/>
  <c r="CT23" i="1"/>
  <c r="CS23" i="1"/>
  <c r="CR23" i="1"/>
  <c r="CQ23" i="1"/>
  <c r="CO23" i="1"/>
  <c r="CN23" i="1"/>
  <c r="CM23" i="1"/>
  <c r="CK23" i="1"/>
  <c r="CJ23" i="1"/>
  <c r="CI23" i="1"/>
  <c r="CH23" i="1"/>
  <c r="CE23" i="1"/>
  <c r="CA23" i="1"/>
  <c r="BZ23" i="1"/>
  <c r="BY23" i="1"/>
  <c r="BX23" i="1"/>
  <c r="BW23" i="1"/>
  <c r="BV23" i="1"/>
  <c r="BU23" i="1"/>
  <c r="BT23" i="1"/>
  <c r="BS23" i="1"/>
  <c r="BR23" i="1"/>
  <c r="BQ23" i="1"/>
  <c r="BO23" i="1"/>
  <c r="BM23" i="1"/>
  <c r="BL23" i="1"/>
  <c r="BK23" i="1"/>
  <c r="BJ23" i="1"/>
  <c r="BI23" i="1"/>
  <c r="BG23" i="1"/>
  <c r="BF23" i="1"/>
  <c r="BE23" i="1"/>
  <c r="BA23" i="1"/>
  <c r="AZ23" i="1"/>
  <c r="AY23" i="1"/>
  <c r="AX23" i="1"/>
  <c r="AU23" i="1"/>
  <c r="AT23" i="1"/>
  <c r="AS23" i="1"/>
  <c r="AR23" i="1"/>
  <c r="AP23" i="1"/>
  <c r="AO23" i="1"/>
  <c r="AM23" i="1"/>
  <c r="AL23" i="1"/>
  <c r="AK23" i="1"/>
  <c r="AH23" i="1"/>
  <c r="AG23" i="1"/>
  <c r="AE23" i="1"/>
  <c r="AD23" i="1"/>
  <c r="AC23" i="1"/>
  <c r="AB23" i="1"/>
  <c r="Z23" i="1"/>
  <c r="Y23" i="1"/>
  <c r="X23" i="1"/>
  <c r="W23" i="1"/>
  <c r="U23" i="1"/>
  <c r="T23" i="1"/>
  <c r="S23" i="1"/>
  <c r="R23" i="1"/>
  <c r="O23" i="1"/>
  <c r="N23" i="1"/>
  <c r="M23" i="1"/>
  <c r="L23" i="1"/>
  <c r="K23" i="1"/>
  <c r="CV22" i="1"/>
  <c r="CU22" i="1" s="1"/>
  <c r="CL22" i="1"/>
  <c r="CG22" i="1"/>
  <c r="CD22" i="1"/>
  <c r="BP22" i="1"/>
  <c r="BN22" i="1"/>
  <c r="BH22" i="1"/>
  <c r="BD22" i="1"/>
  <c r="AF22" i="1"/>
  <c r="V22" i="1"/>
  <c r="Q22" i="1"/>
  <c r="J22" i="1"/>
  <c r="CV21" i="1"/>
  <c r="CU21" i="1" s="1"/>
  <c r="CL21" i="1"/>
  <c r="CG21" i="1"/>
  <c r="CD21" i="1"/>
  <c r="BP21" i="1"/>
  <c r="BN21" i="1"/>
  <c r="BH21" i="1"/>
  <c r="BD21" i="1"/>
  <c r="BB21" i="1"/>
  <c r="BA21" i="1"/>
  <c r="BA19" i="1" s="1"/>
  <c r="AI21" i="1"/>
  <c r="AI19" i="1" s="1"/>
  <c r="V21" i="1"/>
  <c r="Q21" i="1"/>
  <c r="J21" i="1"/>
  <c r="CV20" i="1"/>
  <c r="CU20" i="1" s="1"/>
  <c r="CR20" i="1"/>
  <c r="CL20" i="1"/>
  <c r="CG20" i="1"/>
  <c r="CD20" i="1"/>
  <c r="BZ20" i="1"/>
  <c r="BP20" i="1" s="1"/>
  <c r="BN20" i="1"/>
  <c r="BH20" i="1"/>
  <c r="BD20" i="1"/>
  <c r="AF20" i="1"/>
  <c r="X20" i="1"/>
  <c r="V20" i="1" s="1"/>
  <c r="Q20" i="1"/>
  <c r="J20" i="1"/>
  <c r="CX19" i="1"/>
  <c r="CW19" i="1"/>
  <c r="CT19" i="1"/>
  <c r="CR19" i="1"/>
  <c r="CQ19" i="1"/>
  <c r="CO19" i="1"/>
  <c r="CN19" i="1"/>
  <c r="CM19" i="1"/>
  <c r="CK19" i="1"/>
  <c r="CJ19" i="1"/>
  <c r="CI19" i="1"/>
  <c r="CH19" i="1"/>
  <c r="CF19" i="1"/>
  <c r="CE19" i="1"/>
  <c r="CA19" i="1"/>
  <c r="BY19" i="1"/>
  <c r="BX19" i="1"/>
  <c r="BW19" i="1"/>
  <c r="BV19" i="1"/>
  <c r="BU19" i="1"/>
  <c r="BT19" i="1"/>
  <c r="BS19" i="1"/>
  <c r="BR19" i="1"/>
  <c r="BQ19" i="1"/>
  <c r="BO19" i="1"/>
  <c r="BM19" i="1"/>
  <c r="BL19" i="1"/>
  <c r="BK19" i="1"/>
  <c r="BJ19" i="1"/>
  <c r="BI19" i="1"/>
  <c r="BG19" i="1"/>
  <c r="BF19" i="1"/>
  <c r="BE19" i="1"/>
  <c r="BB19" i="1"/>
  <c r="AZ19" i="1"/>
  <c r="AY19" i="1"/>
  <c r="AX19" i="1"/>
  <c r="AU19" i="1"/>
  <c r="AT19" i="1"/>
  <c r="AS19" i="1"/>
  <c r="AQ19" i="1"/>
  <c r="AP19" i="1"/>
  <c r="AO19" i="1"/>
  <c r="AN19" i="1"/>
  <c r="AM19" i="1"/>
  <c r="AL19" i="1"/>
  <c r="AK19" i="1"/>
  <c r="AJ19" i="1"/>
  <c r="AH19" i="1"/>
  <c r="AG19" i="1"/>
  <c r="AE19" i="1"/>
  <c r="AD19" i="1"/>
  <c r="AC19" i="1"/>
  <c r="AB19" i="1"/>
  <c r="AA19" i="1"/>
  <c r="Z19" i="1"/>
  <c r="Y19" i="1"/>
  <c r="W19" i="1"/>
  <c r="U19" i="1"/>
  <c r="T19" i="1"/>
  <c r="S19" i="1"/>
  <c r="R19" i="1"/>
  <c r="P19" i="1"/>
  <c r="O19" i="1"/>
  <c r="N19" i="1"/>
  <c r="M19" i="1"/>
  <c r="L19" i="1"/>
  <c r="K19" i="1"/>
  <c r="I19" i="1"/>
  <c r="H19" i="1"/>
  <c r="CV18" i="1"/>
  <c r="CU18" i="1" s="1"/>
  <c r="CU17" i="1" s="1"/>
  <c r="CR18" i="1"/>
  <c r="CL18" i="1"/>
  <c r="CL17" i="1" s="1"/>
  <c r="CG18" i="1"/>
  <c r="CG17" i="1" s="1"/>
  <c r="CD18" i="1"/>
  <c r="CD17" i="1" s="1"/>
  <c r="BP18" i="1"/>
  <c r="BP17" i="1" s="1"/>
  <c r="BN18" i="1"/>
  <c r="BN17" i="1" s="1"/>
  <c r="BH18" i="1"/>
  <c r="BH17" i="1" s="1"/>
  <c r="BD18" i="1"/>
  <c r="BD17" i="1" s="1"/>
  <c r="AF18" i="1"/>
  <c r="AF17" i="1" s="1"/>
  <c r="V18" i="1"/>
  <c r="V17" i="1" s="1"/>
  <c r="Q18" i="1"/>
  <c r="Q17" i="1" s="1"/>
  <c r="J18" i="1"/>
  <c r="CX17" i="1"/>
  <c r="CW17" i="1"/>
  <c r="CT17" i="1"/>
  <c r="CS17" i="1"/>
  <c r="CR17" i="1"/>
  <c r="CQ17" i="1"/>
  <c r="CO17" i="1"/>
  <c r="CN17" i="1"/>
  <c r="CM17" i="1"/>
  <c r="CK17" i="1"/>
  <c r="CJ17" i="1"/>
  <c r="CI17" i="1"/>
  <c r="CH17" i="1"/>
  <c r="CF17" i="1"/>
  <c r="CE17" i="1"/>
  <c r="CA17" i="1"/>
  <c r="BZ17" i="1"/>
  <c r="BY17" i="1"/>
  <c r="BX17" i="1"/>
  <c r="BW17" i="1"/>
  <c r="BV17" i="1"/>
  <c r="BU17" i="1"/>
  <c r="BT17" i="1"/>
  <c r="BS17" i="1"/>
  <c r="BR17" i="1"/>
  <c r="BQ17" i="1"/>
  <c r="BO17" i="1"/>
  <c r="BM17" i="1"/>
  <c r="BL17" i="1"/>
  <c r="BK17" i="1"/>
  <c r="BJ17" i="1"/>
  <c r="BI17" i="1"/>
  <c r="BG17" i="1"/>
  <c r="BF17" i="1"/>
  <c r="BE17" i="1"/>
  <c r="BB17" i="1"/>
  <c r="BA17" i="1"/>
  <c r="AZ17" i="1"/>
  <c r="AY17" i="1"/>
  <c r="AX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E17" i="1"/>
  <c r="AD17" i="1"/>
  <c r="AC17" i="1"/>
  <c r="AB17" i="1"/>
  <c r="AA17" i="1"/>
  <c r="Z17" i="1"/>
  <c r="Y17" i="1"/>
  <c r="X17" i="1"/>
  <c r="W17" i="1"/>
  <c r="U17" i="1"/>
  <c r="T17" i="1"/>
  <c r="S17" i="1"/>
  <c r="R17" i="1"/>
  <c r="P17" i="1"/>
  <c r="O17" i="1"/>
  <c r="N17" i="1"/>
  <c r="M17" i="1"/>
  <c r="L17" i="1"/>
  <c r="K17" i="1"/>
  <c r="I17" i="1"/>
  <c r="H17" i="1"/>
  <c r="L75" i="1" l="1"/>
  <c r="AB75" i="1"/>
  <c r="AB74" i="1" s="1"/>
  <c r="K107" i="1"/>
  <c r="CK53" i="1"/>
  <c r="AH53" i="1"/>
  <c r="CD60" i="1"/>
  <c r="BQ64" i="1"/>
  <c r="BS64" i="1"/>
  <c r="BU64" i="1"/>
  <c r="BW64" i="1"/>
  <c r="BY64" i="1"/>
  <c r="CA64" i="1"/>
  <c r="V84" i="1"/>
  <c r="Z104" i="1"/>
  <c r="BI107" i="1"/>
  <c r="CD117" i="1"/>
  <c r="BD197" i="1"/>
  <c r="AF88" i="1"/>
  <c r="AT92" i="1"/>
  <c r="BN88" i="1"/>
  <c r="CQ104" i="1"/>
  <c r="CE111" i="1"/>
  <c r="BN117" i="1"/>
  <c r="CL117" i="1"/>
  <c r="BD122" i="1"/>
  <c r="AJ222" i="1"/>
  <c r="AD296" i="1"/>
  <c r="CT74" i="1"/>
  <c r="J80" i="1"/>
  <c r="J84" i="1"/>
  <c r="CL84" i="1"/>
  <c r="BP86" i="1"/>
  <c r="CG86" i="1"/>
  <c r="BH88" i="1"/>
  <c r="BP88" i="1"/>
  <c r="J90" i="1"/>
  <c r="BN90" i="1"/>
  <c r="AL92" i="1"/>
  <c r="BF92" i="1"/>
  <c r="AT104" i="1"/>
  <c r="CH104" i="1"/>
  <c r="CW104" i="1"/>
  <c r="BD105" i="1"/>
  <c r="AQ107" i="1"/>
  <c r="BU111" i="1"/>
  <c r="CM111" i="1"/>
  <c r="BD114" i="1"/>
  <c r="J128" i="1"/>
  <c r="BD128" i="1"/>
  <c r="AL132" i="1"/>
  <c r="AL127" i="1" s="1"/>
  <c r="Z222" i="1"/>
  <c r="BE225" i="1"/>
  <c r="AU228" i="1"/>
  <c r="BQ296" i="1"/>
  <c r="BD310" i="1"/>
  <c r="BC276" i="1"/>
  <c r="CU98" i="1"/>
  <c r="CU99" i="1"/>
  <c r="CU100" i="1"/>
  <c r="CU101" i="1"/>
  <c r="CU102" i="1"/>
  <c r="CU103" i="1"/>
  <c r="L104" i="1"/>
  <c r="N104" i="1"/>
  <c r="P104" i="1"/>
  <c r="X104" i="1"/>
  <c r="AB104" i="1"/>
  <c r="BD104" i="1"/>
  <c r="BF104" i="1"/>
  <c r="CJ104" i="1"/>
  <c r="CR104" i="1"/>
  <c r="CT104" i="1"/>
  <c r="V105" i="1"/>
  <c r="BN105" i="1"/>
  <c r="CL105" i="1"/>
  <c r="I107" i="1"/>
  <c r="L107" i="1"/>
  <c r="N107" i="1"/>
  <c r="P107" i="1"/>
  <c r="S107" i="1"/>
  <c r="U107" i="1"/>
  <c r="X107" i="1"/>
  <c r="Z107" i="1"/>
  <c r="AB107" i="1"/>
  <c r="AD107" i="1"/>
  <c r="AG107" i="1"/>
  <c r="AI107" i="1"/>
  <c r="AK107" i="1"/>
  <c r="AM107" i="1"/>
  <c r="AO107" i="1"/>
  <c r="AS107" i="1"/>
  <c r="AU107" i="1"/>
  <c r="AY107" i="1"/>
  <c r="BA107" i="1"/>
  <c r="BG107" i="1"/>
  <c r="BJ107" i="1"/>
  <c r="BL107" i="1"/>
  <c r="BO107" i="1"/>
  <c r="BR107" i="1"/>
  <c r="BT107" i="1"/>
  <c r="BV107" i="1"/>
  <c r="BX107" i="1"/>
  <c r="BZ107" i="1"/>
  <c r="CE107" i="1"/>
  <c r="CH107" i="1"/>
  <c r="CJ107" i="1"/>
  <c r="CM107" i="1"/>
  <c r="CO107" i="1"/>
  <c r="CT107" i="1"/>
  <c r="CX107" i="1"/>
  <c r="Q108" i="1"/>
  <c r="AF108" i="1"/>
  <c r="BH108" i="1"/>
  <c r="BP108" i="1"/>
  <c r="CU110" i="1"/>
  <c r="K111" i="1"/>
  <c r="M111" i="1"/>
  <c r="R111" i="1"/>
  <c r="T111" i="1"/>
  <c r="W111" i="1"/>
  <c r="Y111" i="1"/>
  <c r="AA111" i="1"/>
  <c r="AC111" i="1"/>
  <c r="AE111" i="1"/>
  <c r="AG111" i="1"/>
  <c r="AI111" i="1"/>
  <c r="AK111" i="1"/>
  <c r="AM111" i="1"/>
  <c r="AO111" i="1"/>
  <c r="AQ111" i="1"/>
  <c r="AS111" i="1"/>
  <c r="AU111" i="1"/>
  <c r="AY111" i="1"/>
  <c r="BA111" i="1"/>
  <c r="V112" i="1"/>
  <c r="BD112" i="1"/>
  <c r="BD111" i="1" s="1"/>
  <c r="BN112" i="1"/>
  <c r="BM111" i="1"/>
  <c r="V114" i="1"/>
  <c r="Q117" i="1"/>
  <c r="AF117" i="1"/>
  <c r="BH117" i="1"/>
  <c r="BP117" i="1"/>
  <c r="CG117" i="1"/>
  <c r="CU118" i="1"/>
  <c r="Q119" i="1"/>
  <c r="AF119" i="1"/>
  <c r="BH119" i="1"/>
  <c r="BP119" i="1"/>
  <c r="CG119" i="1"/>
  <c r="N116" i="1"/>
  <c r="Q122" i="1"/>
  <c r="AF122" i="1"/>
  <c r="BH122" i="1"/>
  <c r="BP122" i="1"/>
  <c r="CG122" i="1"/>
  <c r="CU126" i="1"/>
  <c r="V128" i="1"/>
  <c r="BN128" i="1"/>
  <c r="CL128" i="1"/>
  <c r="V140" i="1"/>
  <c r="BD140" i="1"/>
  <c r="BN140" i="1"/>
  <c r="CD140" i="1"/>
  <c r="V142" i="1"/>
  <c r="BD142" i="1"/>
  <c r="BN142" i="1"/>
  <c r="CD142" i="1"/>
  <c r="CL142" i="1"/>
  <c r="CH148" i="1"/>
  <c r="CU150" i="1"/>
  <c r="CU151" i="1"/>
  <c r="CU149" i="1" s="1"/>
  <c r="CU152" i="1"/>
  <c r="BH153" i="1"/>
  <c r="BP153" i="1"/>
  <c r="CG153" i="1"/>
  <c r="CU154" i="1"/>
  <c r="CU155" i="1"/>
  <c r="CU157" i="1"/>
  <c r="CU159" i="1"/>
  <c r="CU160" i="1"/>
  <c r="CU161" i="1"/>
  <c r="CU162" i="1"/>
  <c r="L163" i="1"/>
  <c r="P163" i="1"/>
  <c r="AG163" i="1"/>
  <c r="AI163" i="1"/>
  <c r="AK163" i="1"/>
  <c r="AM163" i="1"/>
  <c r="Q164" i="1"/>
  <c r="AF164" i="1"/>
  <c r="CU165" i="1"/>
  <c r="V174" i="1"/>
  <c r="BN174" i="1"/>
  <c r="CL174" i="1"/>
  <c r="Q182" i="1"/>
  <c r="BN182" i="1"/>
  <c r="CD182" i="1"/>
  <c r="CL182" i="1"/>
  <c r="Q184" i="1"/>
  <c r="AF184" i="1"/>
  <c r="BH184" i="1"/>
  <c r="BP184" i="1"/>
  <c r="CG184" i="1"/>
  <c r="CU187" i="1"/>
  <c r="CU188" i="1"/>
  <c r="CU191" i="1"/>
  <c r="CU192" i="1"/>
  <c r="Q193" i="1"/>
  <c r="BH193" i="1"/>
  <c r="BP193" i="1"/>
  <c r="Q195" i="1"/>
  <c r="AF195" i="1"/>
  <c r="BH195" i="1"/>
  <c r="BP195" i="1"/>
  <c r="CG195" i="1"/>
  <c r="AF197" i="1"/>
  <c r="V197" i="1"/>
  <c r="BN197" i="1"/>
  <c r="CT186" i="1"/>
  <c r="Q199" i="1"/>
  <c r="AF199" i="1"/>
  <c r="BH199" i="1"/>
  <c r="BP199" i="1"/>
  <c r="CG199" i="1"/>
  <c r="CU204" i="1"/>
  <c r="CU206" i="1"/>
  <c r="CU208" i="1"/>
  <c r="I222" i="1"/>
  <c r="L222" i="1"/>
  <c r="N222" i="1"/>
  <c r="P222" i="1"/>
  <c r="S222" i="1"/>
  <c r="U222" i="1"/>
  <c r="X222" i="1"/>
  <c r="AB222" i="1"/>
  <c r="AD222" i="1"/>
  <c r="AG222" i="1"/>
  <c r="AI222" i="1"/>
  <c r="AK222" i="1"/>
  <c r="AM222" i="1"/>
  <c r="AO222" i="1"/>
  <c r="AQ222" i="1"/>
  <c r="AS222" i="1"/>
  <c r="AU222" i="1"/>
  <c r="AY222" i="1"/>
  <c r="BA222" i="1"/>
  <c r="BE222" i="1"/>
  <c r="BG222" i="1"/>
  <c r="BJ222" i="1"/>
  <c r="BL222" i="1"/>
  <c r="BO222" i="1"/>
  <c r="BR222" i="1"/>
  <c r="BT222" i="1"/>
  <c r="BV222" i="1"/>
  <c r="BX222" i="1"/>
  <c r="BZ222" i="1"/>
  <c r="CE222" i="1"/>
  <c r="CH222" i="1"/>
  <c r="CJ222" i="1"/>
  <c r="CM222" i="1"/>
  <c r="CO222" i="1"/>
  <c r="CR222" i="1"/>
  <c r="CT222" i="1"/>
  <c r="CX222" i="1"/>
  <c r="Q223" i="1"/>
  <c r="AF223" i="1"/>
  <c r="BH223" i="1"/>
  <c r="BP223" i="1"/>
  <c r="CG223" i="1"/>
  <c r="CU224" i="1"/>
  <c r="I225" i="1"/>
  <c r="L225" i="1"/>
  <c r="N225" i="1"/>
  <c r="P225" i="1"/>
  <c r="S225" i="1"/>
  <c r="U225" i="1"/>
  <c r="X225" i="1"/>
  <c r="Z225" i="1"/>
  <c r="AB225" i="1"/>
  <c r="AD225" i="1"/>
  <c r="AG225" i="1"/>
  <c r="AI225" i="1"/>
  <c r="AK225" i="1"/>
  <c r="AM225" i="1"/>
  <c r="AO225" i="1"/>
  <c r="AQ225" i="1"/>
  <c r="AS225" i="1"/>
  <c r="AU225" i="1"/>
  <c r="AY225" i="1"/>
  <c r="BA225" i="1"/>
  <c r="BG225" i="1"/>
  <c r="BJ225" i="1"/>
  <c r="BL225" i="1"/>
  <c r="BO225" i="1"/>
  <c r="BR225" i="1"/>
  <c r="BT225" i="1"/>
  <c r="BV225" i="1"/>
  <c r="BX225" i="1"/>
  <c r="BZ225" i="1"/>
  <c r="CH225" i="1"/>
  <c r="CJ225" i="1"/>
  <c r="CM225" i="1"/>
  <c r="CO225" i="1"/>
  <c r="CS225" i="1"/>
  <c r="CW225" i="1"/>
  <c r="V226" i="1"/>
  <c r="BD226" i="1"/>
  <c r="BN226" i="1"/>
  <c r="CL226" i="1"/>
  <c r="CU227" i="1"/>
  <c r="I228" i="1"/>
  <c r="L228" i="1"/>
  <c r="N228" i="1"/>
  <c r="P228" i="1"/>
  <c r="S228" i="1"/>
  <c r="U228" i="1"/>
  <c r="X228" i="1"/>
  <c r="Z228" i="1"/>
  <c r="AB228" i="1"/>
  <c r="AD228" i="1"/>
  <c r="AG228" i="1"/>
  <c r="AI228" i="1"/>
  <c r="AK228" i="1"/>
  <c r="AM228" i="1"/>
  <c r="AO228" i="1"/>
  <c r="AQ228" i="1"/>
  <c r="AS228" i="1"/>
  <c r="AY228" i="1"/>
  <c r="BA228" i="1"/>
  <c r="BE228" i="1"/>
  <c r="BG228" i="1"/>
  <c r="BJ228" i="1"/>
  <c r="BL228" i="1"/>
  <c r="BO228" i="1"/>
  <c r="BR228" i="1"/>
  <c r="BT228" i="1"/>
  <c r="BV228" i="1"/>
  <c r="BX228" i="1"/>
  <c r="BZ228" i="1"/>
  <c r="CE228" i="1"/>
  <c r="CH228" i="1"/>
  <c r="CJ228" i="1"/>
  <c r="CM228" i="1"/>
  <c r="CO228" i="1"/>
  <c r="CR228" i="1"/>
  <c r="CT228" i="1"/>
  <c r="Q229" i="1"/>
  <c r="AF229" i="1"/>
  <c r="CU231" i="1"/>
  <c r="Q233" i="1"/>
  <c r="BP233" i="1"/>
  <c r="CG233" i="1"/>
  <c r="Q235" i="1"/>
  <c r="BP235" i="1"/>
  <c r="CG235" i="1"/>
  <c r="CU237" i="1"/>
  <c r="CU243" i="1"/>
  <c r="CU244" i="1"/>
  <c r="CU245" i="1"/>
  <c r="CU246" i="1"/>
  <c r="CS238" i="1"/>
  <c r="CU252" i="1"/>
  <c r="CU253" i="1"/>
  <c r="CU254" i="1"/>
  <c r="CU255" i="1"/>
  <c r="CU256" i="1"/>
  <c r="CU257" i="1"/>
  <c r="CU258" i="1"/>
  <c r="CU259" i="1"/>
  <c r="CU260" i="1"/>
  <c r="CU261" i="1"/>
  <c r="CU262" i="1"/>
  <c r="CU263" i="1"/>
  <c r="CU264" i="1"/>
  <c r="CU265" i="1"/>
  <c r="CU266" i="1"/>
  <c r="CU267" i="1"/>
  <c r="CU268" i="1"/>
  <c r="CU269" i="1"/>
  <c r="CU270" i="1"/>
  <c r="CU271" i="1"/>
  <c r="CU272" i="1"/>
  <c r="CU273" i="1"/>
  <c r="CU274" i="1"/>
  <c r="CU275" i="1"/>
  <c r="CU278" i="1"/>
  <c r="V292" i="1"/>
  <c r="BN292" i="1"/>
  <c r="CL292" i="1"/>
  <c r="Q294" i="1"/>
  <c r="AF294" i="1"/>
  <c r="BH294" i="1"/>
  <c r="BP294" i="1"/>
  <c r="CG294" i="1"/>
  <c r="CU295" i="1"/>
  <c r="AM296" i="1"/>
  <c r="BE296" i="1"/>
  <c r="H296" i="1"/>
  <c r="K296" i="1"/>
  <c r="M296" i="1"/>
  <c r="O296" i="1"/>
  <c r="R296" i="1"/>
  <c r="T296" i="1"/>
  <c r="W296" i="1"/>
  <c r="Y296" i="1"/>
  <c r="AA296" i="1"/>
  <c r="AC296" i="1"/>
  <c r="AE296" i="1"/>
  <c r="AH296" i="1"/>
  <c r="AJ296" i="1"/>
  <c r="AL296" i="1"/>
  <c r="AN296" i="1"/>
  <c r="AP296" i="1"/>
  <c r="AR296" i="1"/>
  <c r="AT296" i="1"/>
  <c r="AV296" i="1"/>
  <c r="AX296" i="1"/>
  <c r="AZ296" i="1"/>
  <c r="BB296" i="1"/>
  <c r="BF296" i="1"/>
  <c r="BI296" i="1"/>
  <c r="BK296" i="1"/>
  <c r="BM296" i="1"/>
  <c r="BS296" i="1"/>
  <c r="BU296" i="1"/>
  <c r="BW296" i="1"/>
  <c r="BY296" i="1"/>
  <c r="CA296" i="1"/>
  <c r="CE296" i="1"/>
  <c r="CG296" i="1"/>
  <c r="CI296" i="1"/>
  <c r="CK296" i="1"/>
  <c r="CM296" i="1"/>
  <c r="CO296" i="1"/>
  <c r="CR296" i="1"/>
  <c r="CT296" i="1"/>
  <c r="CX296" i="1"/>
  <c r="Q297" i="1"/>
  <c r="AF297" i="1"/>
  <c r="BH297" i="1"/>
  <c r="BP297" i="1"/>
  <c r="CU303" i="1"/>
  <c r="Q304" i="1"/>
  <c r="AF304" i="1"/>
  <c r="BP304" i="1"/>
  <c r="CG304" i="1"/>
  <c r="Q306" i="1"/>
  <c r="AF306" i="1"/>
  <c r="BH306" i="1"/>
  <c r="BP306" i="1"/>
  <c r="CU307" i="1"/>
  <c r="BH308" i="1"/>
  <c r="BP308" i="1"/>
  <c r="J310" i="1"/>
  <c r="V310" i="1"/>
  <c r="CL310" i="1"/>
  <c r="BH312" i="1"/>
  <c r="BP312" i="1"/>
  <c r="CU313" i="1"/>
  <c r="V314" i="1"/>
  <c r="BN314" i="1"/>
  <c r="CD314" i="1"/>
  <c r="CL314" i="1"/>
  <c r="BH316" i="1"/>
  <c r="BP316" i="1"/>
  <c r="CU317" i="1"/>
  <c r="CU121" i="1"/>
  <c r="CU166" i="1"/>
  <c r="CU167" i="1"/>
  <c r="CU220" i="1"/>
  <c r="CC277" i="1"/>
  <c r="BR64" i="1"/>
  <c r="BT64" i="1"/>
  <c r="BV64" i="1"/>
  <c r="BX64" i="1"/>
  <c r="BZ64" i="1"/>
  <c r="J75" i="1"/>
  <c r="AD104" i="1"/>
  <c r="H104" i="1"/>
  <c r="R104" i="1"/>
  <c r="T104" i="1"/>
  <c r="AH104" i="1"/>
  <c r="AJ104" i="1"/>
  <c r="AL104" i="1"/>
  <c r="AN104" i="1"/>
  <c r="AP104" i="1"/>
  <c r="AR104" i="1"/>
  <c r="AX104" i="1"/>
  <c r="AZ104" i="1"/>
  <c r="BB104" i="1"/>
  <c r="BJ104" i="1"/>
  <c r="BL104" i="1"/>
  <c r="BR104" i="1"/>
  <c r="BT104" i="1"/>
  <c r="BV104" i="1"/>
  <c r="BZ104" i="1"/>
  <c r="CD105" i="1"/>
  <c r="CF104" i="1"/>
  <c r="CN104" i="1"/>
  <c r="CV104" i="1"/>
  <c r="CX104" i="1"/>
  <c r="AF105" i="1"/>
  <c r="BH105" i="1"/>
  <c r="BP105" i="1"/>
  <c r="CU106" i="1"/>
  <c r="BE107" i="1"/>
  <c r="H107" i="1"/>
  <c r="M107" i="1"/>
  <c r="O107" i="1"/>
  <c r="R107" i="1"/>
  <c r="T107" i="1"/>
  <c r="W107" i="1"/>
  <c r="Y107" i="1"/>
  <c r="AA107" i="1"/>
  <c r="AC107" i="1"/>
  <c r="AE107" i="1"/>
  <c r="AH107" i="1"/>
  <c r="AJ107" i="1"/>
  <c r="AL107" i="1"/>
  <c r="AN107" i="1"/>
  <c r="AP107" i="1"/>
  <c r="AR107" i="1"/>
  <c r="AT107" i="1"/>
  <c r="AX107" i="1"/>
  <c r="AZ107" i="1"/>
  <c r="BB107" i="1"/>
  <c r="BF107" i="1"/>
  <c r="BK107" i="1"/>
  <c r="BM107" i="1"/>
  <c r="BQ107" i="1"/>
  <c r="BS107" i="1"/>
  <c r="BU107" i="1"/>
  <c r="BW107" i="1"/>
  <c r="CA107" i="1"/>
  <c r="CF107" i="1"/>
  <c r="CI107" i="1"/>
  <c r="CK107" i="1"/>
  <c r="CN107" i="1"/>
  <c r="CQ107" i="1"/>
  <c r="CS107" i="1"/>
  <c r="CW107" i="1"/>
  <c r="V108" i="1"/>
  <c r="O111" i="1"/>
  <c r="I111" i="1"/>
  <c r="X111" i="1"/>
  <c r="Z111" i="1"/>
  <c r="AB111" i="1"/>
  <c r="AD111" i="1"/>
  <c r="AF111" i="1"/>
  <c r="AH111" i="1"/>
  <c r="AJ111" i="1"/>
  <c r="AL111" i="1"/>
  <c r="AN111" i="1"/>
  <c r="AP111" i="1"/>
  <c r="AR111" i="1"/>
  <c r="AT111" i="1"/>
  <c r="AX111" i="1"/>
  <c r="AZ111" i="1"/>
  <c r="BB111" i="1"/>
  <c r="BQ111" i="1"/>
  <c r="BS111" i="1"/>
  <c r="BW111" i="1"/>
  <c r="BY111" i="1"/>
  <c r="CA111" i="1"/>
  <c r="CG111" i="1"/>
  <c r="CI111" i="1"/>
  <c r="CK111" i="1"/>
  <c r="CO111" i="1"/>
  <c r="CR111" i="1"/>
  <c r="CT111" i="1"/>
  <c r="Q112" i="1"/>
  <c r="BH112" i="1"/>
  <c r="BP112" i="1"/>
  <c r="BN114" i="1"/>
  <c r="Q114" i="1"/>
  <c r="BH114" i="1"/>
  <c r="BP114" i="1"/>
  <c r="V117" i="1"/>
  <c r="V122" i="1"/>
  <c r="BN122" i="1"/>
  <c r="CL122" i="1"/>
  <c r="AS127" i="1"/>
  <c r="BW127" i="1"/>
  <c r="AF128" i="1"/>
  <c r="BH128" i="1"/>
  <c r="BP128" i="1"/>
  <c r="CU130" i="1"/>
  <c r="CU131" i="1"/>
  <c r="CU134" i="1"/>
  <c r="CU135" i="1"/>
  <c r="CU138" i="1"/>
  <c r="CU139" i="1"/>
  <c r="Q140" i="1"/>
  <c r="AF140" i="1"/>
  <c r="BH140" i="1"/>
  <c r="BP140" i="1"/>
  <c r="CG140" i="1"/>
  <c r="Q142" i="1"/>
  <c r="AF142" i="1"/>
  <c r="BH142" i="1"/>
  <c r="BP142" i="1"/>
  <c r="CG142" i="1"/>
  <c r="BH144" i="1"/>
  <c r="BP144" i="1"/>
  <c r="CU146" i="1"/>
  <c r="CU147" i="1"/>
  <c r="H163" i="1"/>
  <c r="K163" i="1"/>
  <c r="M163" i="1"/>
  <c r="O163" i="1"/>
  <c r="AH163" i="1"/>
  <c r="CS163" i="1"/>
  <c r="BH169" i="1"/>
  <c r="BP169" i="1"/>
  <c r="CU170" i="1"/>
  <c r="CU172" i="1"/>
  <c r="Q174" i="1"/>
  <c r="AF174" i="1"/>
  <c r="BH174" i="1"/>
  <c r="BP174" i="1"/>
  <c r="CP173" i="1"/>
  <c r="Q176" i="1"/>
  <c r="AF176" i="1"/>
  <c r="BP176" i="1"/>
  <c r="CU178" i="1"/>
  <c r="BH179" i="1"/>
  <c r="BP179" i="1"/>
  <c r="BP173" i="1" s="1"/>
  <c r="CG179" i="1"/>
  <c r="CU180" i="1"/>
  <c r="V182" i="1"/>
  <c r="BH182" i="1"/>
  <c r="BP182" i="1"/>
  <c r="CG182" i="1"/>
  <c r="V184" i="1"/>
  <c r="CL184" i="1"/>
  <c r="V193" i="1"/>
  <c r="BD193" i="1"/>
  <c r="BN193" i="1"/>
  <c r="BD195" i="1"/>
  <c r="BN195" i="1"/>
  <c r="CL195" i="1"/>
  <c r="Q197" i="1"/>
  <c r="BH197" i="1"/>
  <c r="BP197" i="1"/>
  <c r="V199" i="1"/>
  <c r="BD199" i="1"/>
  <c r="BN199" i="1"/>
  <c r="CL199" i="1"/>
  <c r="CU203" i="1"/>
  <c r="CU205" i="1"/>
  <c r="CU207" i="1"/>
  <c r="CU209" i="1"/>
  <c r="CU211" i="1"/>
  <c r="CU212" i="1"/>
  <c r="CU213" i="1"/>
  <c r="CU214" i="1"/>
  <c r="CU215" i="1"/>
  <c r="CU216" i="1"/>
  <c r="CU217" i="1"/>
  <c r="CU218" i="1"/>
  <c r="CU219" i="1"/>
  <c r="CU221" i="1"/>
  <c r="H222" i="1"/>
  <c r="K222" i="1"/>
  <c r="M222" i="1"/>
  <c r="O222" i="1"/>
  <c r="R222" i="1"/>
  <c r="T222" i="1"/>
  <c r="W222" i="1"/>
  <c r="Y222" i="1"/>
  <c r="AA222" i="1"/>
  <c r="AC222" i="1"/>
  <c r="AE222" i="1"/>
  <c r="AH222" i="1"/>
  <c r="AL222" i="1"/>
  <c r="AN222" i="1"/>
  <c r="AP222" i="1"/>
  <c r="AR222" i="1"/>
  <c r="AT222" i="1"/>
  <c r="AX222" i="1"/>
  <c r="AZ222" i="1"/>
  <c r="BB222" i="1"/>
  <c r="BF222" i="1"/>
  <c r="BI222" i="1"/>
  <c r="BK222" i="1"/>
  <c r="BM222" i="1"/>
  <c r="BQ222" i="1"/>
  <c r="BS222" i="1"/>
  <c r="BU222" i="1"/>
  <c r="BW222" i="1"/>
  <c r="BY222" i="1"/>
  <c r="CA222" i="1"/>
  <c r="CF222" i="1"/>
  <c r="CI222" i="1"/>
  <c r="CK222" i="1"/>
  <c r="CN222" i="1"/>
  <c r="CQ222" i="1"/>
  <c r="CS222" i="1"/>
  <c r="CW222" i="1"/>
  <c r="V223" i="1"/>
  <c r="BN223" i="1"/>
  <c r="CL223" i="1"/>
  <c r="H225" i="1"/>
  <c r="K225" i="1"/>
  <c r="M225" i="1"/>
  <c r="O225" i="1"/>
  <c r="R225" i="1"/>
  <c r="T225" i="1"/>
  <c r="W225" i="1"/>
  <c r="Y225" i="1"/>
  <c r="AA225" i="1"/>
  <c r="AC225" i="1"/>
  <c r="AE225" i="1"/>
  <c r="AH225" i="1"/>
  <c r="AJ225" i="1"/>
  <c r="AL225" i="1"/>
  <c r="AN225" i="1"/>
  <c r="AP225" i="1"/>
  <c r="AR225" i="1"/>
  <c r="AT225" i="1"/>
  <c r="AX225" i="1"/>
  <c r="AZ225" i="1"/>
  <c r="BB225" i="1"/>
  <c r="BF225" i="1"/>
  <c r="BI225" i="1"/>
  <c r="BK225" i="1"/>
  <c r="BM225" i="1"/>
  <c r="BQ225" i="1"/>
  <c r="BS225" i="1"/>
  <c r="BU225" i="1"/>
  <c r="BW225" i="1"/>
  <c r="BY225" i="1"/>
  <c r="CA225" i="1"/>
  <c r="CF225" i="1"/>
  <c r="CI225" i="1"/>
  <c r="CK225" i="1"/>
  <c r="CN225" i="1"/>
  <c r="CQ225" i="1"/>
  <c r="CT225" i="1"/>
  <c r="CX225" i="1"/>
  <c r="Q226" i="1"/>
  <c r="AF226" i="1"/>
  <c r="BH226" i="1"/>
  <c r="BP226" i="1"/>
  <c r="CG226" i="1"/>
  <c r="CR226" i="1"/>
  <c r="H228" i="1"/>
  <c r="K228" i="1"/>
  <c r="M228" i="1"/>
  <c r="O228" i="1"/>
  <c r="R228" i="1"/>
  <c r="T228" i="1"/>
  <c r="W228" i="1"/>
  <c r="Y228" i="1"/>
  <c r="AA228" i="1"/>
  <c r="AC228" i="1"/>
  <c r="AE228" i="1"/>
  <c r="AH228" i="1"/>
  <c r="AJ228" i="1"/>
  <c r="AL228" i="1"/>
  <c r="AN228" i="1"/>
  <c r="AP228" i="1"/>
  <c r="AR228" i="1"/>
  <c r="AT228" i="1"/>
  <c r="AX228" i="1"/>
  <c r="AZ228" i="1"/>
  <c r="BB228" i="1"/>
  <c r="BF228" i="1"/>
  <c r="BI228" i="1"/>
  <c r="BK228" i="1"/>
  <c r="BM228" i="1"/>
  <c r="BQ228" i="1"/>
  <c r="BS228" i="1"/>
  <c r="BU228" i="1"/>
  <c r="BW228" i="1"/>
  <c r="BY228" i="1"/>
  <c r="CA228" i="1"/>
  <c r="CF228" i="1"/>
  <c r="CI228" i="1"/>
  <c r="CK228" i="1"/>
  <c r="CN228" i="1"/>
  <c r="CQ228" i="1"/>
  <c r="CS228" i="1"/>
  <c r="CW228" i="1"/>
  <c r="V229" i="1"/>
  <c r="CL229" i="1"/>
  <c r="V233" i="1"/>
  <c r="BN233" i="1"/>
  <c r="CL233" i="1"/>
  <c r="V235" i="1"/>
  <c r="BD235" i="1"/>
  <c r="BN235" i="1"/>
  <c r="CU240" i="1"/>
  <c r="CU241" i="1"/>
  <c r="CU242" i="1"/>
  <c r="BC246" i="1"/>
  <c r="BL238" i="1"/>
  <c r="BL232" i="1" s="1"/>
  <c r="CU247" i="1"/>
  <c r="CU248" i="1"/>
  <c r="CU249" i="1"/>
  <c r="AW232" i="1"/>
  <c r="CU281" i="1"/>
  <c r="CU282" i="1"/>
  <c r="CU283" i="1"/>
  <c r="CU284" i="1"/>
  <c r="CU285" i="1"/>
  <c r="CU286" i="1"/>
  <c r="CU287" i="1"/>
  <c r="CU288" i="1"/>
  <c r="CU289" i="1"/>
  <c r="CU290" i="1"/>
  <c r="CU291" i="1"/>
  <c r="Q292" i="1"/>
  <c r="AF292" i="1"/>
  <c r="BH292" i="1"/>
  <c r="BP292" i="1"/>
  <c r="CG292" i="1"/>
  <c r="CU293" i="1"/>
  <c r="V294" i="1"/>
  <c r="BN294" i="1"/>
  <c r="CL294" i="1"/>
  <c r="I296" i="1"/>
  <c r="L296" i="1"/>
  <c r="N296" i="1"/>
  <c r="P296" i="1"/>
  <c r="S296" i="1"/>
  <c r="U296" i="1"/>
  <c r="X296" i="1"/>
  <c r="Z296" i="1"/>
  <c r="AB296" i="1"/>
  <c r="AG296" i="1"/>
  <c r="AI296" i="1"/>
  <c r="AK296" i="1"/>
  <c r="AO296" i="1"/>
  <c r="AQ296" i="1"/>
  <c r="AS296" i="1"/>
  <c r="AW296" i="1"/>
  <c r="AY296" i="1"/>
  <c r="BA296" i="1"/>
  <c r="BG296" i="1"/>
  <c r="BJ296" i="1"/>
  <c r="BL296" i="1"/>
  <c r="BO296" i="1"/>
  <c r="BR296" i="1"/>
  <c r="BT296" i="1"/>
  <c r="BV296" i="1"/>
  <c r="BX296" i="1"/>
  <c r="BZ296" i="1"/>
  <c r="CD296" i="1"/>
  <c r="CF296" i="1"/>
  <c r="CH296" i="1"/>
  <c r="CJ296" i="1"/>
  <c r="CL296" i="1"/>
  <c r="CN296" i="1"/>
  <c r="CQ296" i="1"/>
  <c r="CS296" i="1"/>
  <c r="CW296" i="1"/>
  <c r="V297" i="1"/>
  <c r="BN297" i="1"/>
  <c r="BD300" i="1"/>
  <c r="CU302" i="1"/>
  <c r="J304" i="1"/>
  <c r="V304" i="1"/>
  <c r="BD304" i="1"/>
  <c r="BN304" i="1"/>
  <c r="CL304" i="1"/>
  <c r="V306" i="1"/>
  <c r="BN306" i="1"/>
  <c r="CD306" i="1"/>
  <c r="CL306" i="1"/>
  <c r="Q308" i="1"/>
  <c r="BN308" i="1"/>
  <c r="CL308" i="1"/>
  <c r="Q310" i="1"/>
  <c r="AF310" i="1"/>
  <c r="BH310" i="1"/>
  <c r="BP310" i="1"/>
  <c r="CU311" i="1"/>
  <c r="V312" i="1"/>
  <c r="BD312" i="1"/>
  <c r="CL312" i="1"/>
  <c r="BH314" i="1"/>
  <c r="BP314" i="1"/>
  <c r="CU315" i="1"/>
  <c r="V316" i="1"/>
  <c r="BD316" i="1"/>
  <c r="CL316" i="1"/>
  <c r="CU125" i="1"/>
  <c r="G276" i="1"/>
  <c r="CU276" i="1"/>
  <c r="CU277" i="1"/>
  <c r="BG53" i="1"/>
  <c r="CX64" i="1"/>
  <c r="Q64" i="1"/>
  <c r="BP64" i="1"/>
  <c r="U69" i="1"/>
  <c r="BI111" i="1"/>
  <c r="BK111" i="1"/>
  <c r="AM74" i="1"/>
  <c r="BE111" i="1"/>
  <c r="BG111" i="1"/>
  <c r="BO111" i="1"/>
  <c r="I148" i="1"/>
  <c r="AP148" i="1"/>
  <c r="AQ163" i="1"/>
  <c r="AS163" i="1"/>
  <c r="AU163" i="1"/>
  <c r="AY163" i="1"/>
  <c r="BA163" i="1"/>
  <c r="BE163" i="1"/>
  <c r="BG163" i="1"/>
  <c r="BJ163" i="1"/>
  <c r="BL163" i="1"/>
  <c r="BR163" i="1"/>
  <c r="BT163" i="1"/>
  <c r="BV163" i="1"/>
  <c r="BX163" i="1"/>
  <c r="BZ163" i="1"/>
  <c r="CE163" i="1"/>
  <c r="CH163" i="1"/>
  <c r="CJ163" i="1"/>
  <c r="CM163" i="1"/>
  <c r="CO163" i="1"/>
  <c r="CR163" i="1"/>
  <c r="CT163" i="1"/>
  <c r="CX163" i="1"/>
  <c r="BL173" i="1"/>
  <c r="CX173" i="1"/>
  <c r="BC180" i="1"/>
  <c r="Y232" i="1"/>
  <c r="AE232" i="1"/>
  <c r="AG232" i="1"/>
  <c r="AI232" i="1"/>
  <c r="AK232" i="1"/>
  <c r="AM232" i="1"/>
  <c r="AO232" i="1"/>
  <c r="AQ232" i="1"/>
  <c r="AS232" i="1"/>
  <c r="AU232" i="1"/>
  <c r="BA232" i="1"/>
  <c r="BE232" i="1"/>
  <c r="BG232" i="1"/>
  <c r="BH300" i="1"/>
  <c r="CC276" i="1"/>
  <c r="G277" i="1"/>
  <c r="BC277" i="1"/>
  <c r="CC32" i="1"/>
  <c r="G33" i="1"/>
  <c r="S232" i="1"/>
  <c r="CA186" i="1"/>
  <c r="BM232" i="1"/>
  <c r="CX250" i="1"/>
  <c r="CX238" i="1" s="1"/>
  <c r="AC232" i="1"/>
  <c r="AA232" i="1"/>
  <c r="W232" i="1"/>
  <c r="CC215" i="1"/>
  <c r="Z16" i="1"/>
  <c r="AD16" i="1"/>
  <c r="AR16" i="1"/>
  <c r="AX16" i="1"/>
  <c r="BF16" i="1"/>
  <c r="CQ16" i="1"/>
  <c r="CG19" i="1"/>
  <c r="CC21" i="1"/>
  <c r="G22" i="1"/>
  <c r="P23" i="1"/>
  <c r="BC27" i="1"/>
  <c r="BC29" i="1"/>
  <c r="CC29" i="1"/>
  <c r="BC30" i="1"/>
  <c r="G31" i="1"/>
  <c r="BC31" i="1"/>
  <c r="CC31" i="1"/>
  <c r="BC32" i="1"/>
  <c r="L53" i="1"/>
  <c r="CM64" i="1"/>
  <c r="CO64" i="1"/>
  <c r="CR64" i="1"/>
  <c r="CT64" i="1"/>
  <c r="AQ64" i="1"/>
  <c r="G91" i="1"/>
  <c r="G90" i="1" s="1"/>
  <c r="BT148" i="1"/>
  <c r="G200" i="1"/>
  <c r="J199" i="1"/>
  <c r="BT16" i="1"/>
  <c r="BX16" i="1"/>
  <c r="R53" i="1"/>
  <c r="T53" i="1"/>
  <c r="BA53" i="1"/>
  <c r="CC61" i="1"/>
  <c r="CC68" i="1"/>
  <c r="CC67" i="1" s="1"/>
  <c r="AL116" i="1"/>
  <c r="AT116" i="1"/>
  <c r="BL116" i="1"/>
  <c r="CH116" i="1"/>
  <c r="CJ116" i="1"/>
  <c r="CQ116" i="1"/>
  <c r="CS116" i="1"/>
  <c r="AD116" i="1"/>
  <c r="U127" i="1"/>
  <c r="Z116" i="1"/>
  <c r="BN119" i="1"/>
  <c r="CL119" i="1"/>
  <c r="BC123" i="1"/>
  <c r="CL132" i="1"/>
  <c r="X148" i="1"/>
  <c r="BL148" i="1"/>
  <c r="BX148" i="1"/>
  <c r="CF163" i="1"/>
  <c r="BC168" i="1"/>
  <c r="BN164" i="1"/>
  <c r="BC185" i="1"/>
  <c r="CC191" i="1"/>
  <c r="G192" i="1"/>
  <c r="AO186" i="1"/>
  <c r="G198" i="1"/>
  <c r="BC198" i="1"/>
  <c r="CG201" i="1"/>
  <c r="CC211" i="1"/>
  <c r="G212" i="1"/>
  <c r="BC213" i="1"/>
  <c r="CC213" i="1"/>
  <c r="G214" i="1"/>
  <c r="BC214" i="1"/>
  <c r="BC215" i="1"/>
  <c r="G216" i="1"/>
  <c r="BC224" i="1"/>
  <c r="BC274" i="1"/>
  <c r="BC301" i="1"/>
  <c r="BL300" i="1"/>
  <c r="CG300" i="1"/>
  <c r="AF309" i="1"/>
  <c r="BC315" i="1"/>
  <c r="CC125" i="1"/>
  <c r="AJ23" i="1"/>
  <c r="Q43" i="1"/>
  <c r="AP53" i="1"/>
  <c r="BW53" i="1"/>
  <c r="CT53" i="1"/>
  <c r="Z53" i="1"/>
  <c r="AI64" i="1"/>
  <c r="BA64" i="1"/>
  <c r="G89" i="1"/>
  <c r="BC89" i="1"/>
  <c r="BN108" i="1"/>
  <c r="CL108" i="1"/>
  <c r="BC152" i="1"/>
  <c r="CW148" i="1"/>
  <c r="AF157" i="1"/>
  <c r="BC165" i="1"/>
  <c r="CL164" i="1"/>
  <c r="BC170" i="1"/>
  <c r="AJ174" i="1"/>
  <c r="AV173" i="1"/>
  <c r="BC178" i="1"/>
  <c r="BD184" i="1"/>
  <c r="BC241" i="1"/>
  <c r="BC256" i="1"/>
  <c r="CC295" i="1"/>
  <c r="CC294" i="1" s="1"/>
  <c r="BC302" i="1"/>
  <c r="CC220" i="1"/>
  <c r="I69" i="1"/>
  <c r="BC115" i="1"/>
  <c r="CC115" i="1"/>
  <c r="CX127" i="1"/>
  <c r="AZ299" i="1"/>
  <c r="CB61" i="1"/>
  <c r="CC60" i="1"/>
  <c r="AN16" i="1"/>
  <c r="CC94" i="1"/>
  <c r="G95" i="1"/>
  <c r="BC102" i="1"/>
  <c r="CJ16" i="1"/>
  <c r="CF23" i="1"/>
  <c r="Q23" i="1"/>
  <c r="BH23" i="1"/>
  <c r="S43" i="1"/>
  <c r="AD53" i="1"/>
  <c r="AL53" i="1"/>
  <c r="AT53" i="1"/>
  <c r="BJ53" i="1"/>
  <c r="BL53" i="1"/>
  <c r="CG53" i="1"/>
  <c r="CO53" i="1"/>
  <c r="BO53" i="1"/>
  <c r="V53" i="1"/>
  <c r="BC61" i="1"/>
  <c r="AG64" i="1"/>
  <c r="AK64" i="1"/>
  <c r="AM64" i="1"/>
  <c r="AO64" i="1"/>
  <c r="AS64" i="1"/>
  <c r="AU64" i="1"/>
  <c r="AY64" i="1"/>
  <c r="BE64" i="1"/>
  <c r="BG64" i="1"/>
  <c r="BI64" i="1"/>
  <c r="BK64" i="1"/>
  <c r="BM64" i="1"/>
  <c r="CF64" i="1"/>
  <c r="CI64" i="1"/>
  <c r="CK64" i="1"/>
  <c r="BB67" i="1"/>
  <c r="CE64" i="1"/>
  <c r="BC68" i="1"/>
  <c r="I74" i="1"/>
  <c r="K74" i="1"/>
  <c r="M74" i="1"/>
  <c r="O74" i="1"/>
  <c r="R74" i="1"/>
  <c r="T74" i="1"/>
  <c r="W74" i="1"/>
  <c r="Y74" i="1"/>
  <c r="AA74" i="1"/>
  <c r="AC74" i="1"/>
  <c r="AE74" i="1"/>
  <c r="AH74" i="1"/>
  <c r="AJ74" i="1"/>
  <c r="AL74" i="1"/>
  <c r="AN74" i="1"/>
  <c r="AP74" i="1"/>
  <c r="AR74" i="1"/>
  <c r="AU74" i="1"/>
  <c r="AY74" i="1"/>
  <c r="BA74" i="1"/>
  <c r="BI74" i="1"/>
  <c r="BK74" i="1"/>
  <c r="BM74" i="1"/>
  <c r="BO74" i="1"/>
  <c r="BR74" i="1"/>
  <c r="BT74" i="1"/>
  <c r="BV74" i="1"/>
  <c r="BX74" i="1"/>
  <c r="BZ74" i="1"/>
  <c r="CE74" i="1"/>
  <c r="CH74" i="1"/>
  <c r="CJ74" i="1"/>
  <c r="CN74" i="1"/>
  <c r="CQ74" i="1"/>
  <c r="CS74" i="1"/>
  <c r="CX74" i="1"/>
  <c r="G83" i="1"/>
  <c r="BC110" i="1"/>
  <c r="BD108" i="1"/>
  <c r="G110" i="1"/>
  <c r="BH111" i="1"/>
  <c r="BP111" i="1"/>
  <c r="I116" i="1"/>
  <c r="L116" i="1"/>
  <c r="P116" i="1"/>
  <c r="AG116" i="1"/>
  <c r="AI116" i="1"/>
  <c r="AK116" i="1"/>
  <c r="AM116" i="1"/>
  <c r="AO116" i="1"/>
  <c r="AQ116" i="1"/>
  <c r="AS116" i="1"/>
  <c r="AU116" i="1"/>
  <c r="AY116" i="1"/>
  <c r="BA116" i="1"/>
  <c r="I127" i="1"/>
  <c r="K127" i="1"/>
  <c r="BG127" i="1"/>
  <c r="CM127" i="1"/>
  <c r="CO127" i="1"/>
  <c r="CR127" i="1"/>
  <c r="CT127" i="1"/>
  <c r="V132" i="1"/>
  <c r="R148" i="1"/>
  <c r="T148" i="1"/>
  <c r="W148" i="1"/>
  <c r="Y148" i="1"/>
  <c r="AA148" i="1"/>
  <c r="AC148" i="1"/>
  <c r="AE148" i="1"/>
  <c r="CI148" i="1"/>
  <c r="CK148" i="1"/>
  <c r="CN148" i="1"/>
  <c r="CQ148" i="1"/>
  <c r="CS148" i="1"/>
  <c r="BC150" i="1"/>
  <c r="CC150" i="1"/>
  <c r="G151" i="1"/>
  <c r="G152" i="1"/>
  <c r="I186" i="1"/>
  <c r="CC202" i="1"/>
  <c r="CC204" i="1"/>
  <c r="CC206" i="1"/>
  <c r="CC208" i="1"/>
  <c r="P238" i="1"/>
  <c r="G239" i="1"/>
  <c r="BC240" i="1"/>
  <c r="CC244" i="1"/>
  <c r="G245" i="1"/>
  <c r="CC245" i="1"/>
  <c r="G246" i="1"/>
  <c r="CC248" i="1"/>
  <c r="BC254" i="1"/>
  <c r="CC254" i="1"/>
  <c r="G255" i="1"/>
  <c r="CC255" i="1"/>
  <c r="G256" i="1"/>
  <c r="BC281" i="1"/>
  <c r="BC289" i="1"/>
  <c r="V300" i="1"/>
  <c r="BN300" i="1"/>
  <c r="CL300" i="1"/>
  <c r="G302" i="1"/>
  <c r="CC303" i="1"/>
  <c r="J309" i="1"/>
  <c r="CC121" i="1"/>
  <c r="BC166" i="1"/>
  <c r="CC166" i="1"/>
  <c r="BC167" i="1"/>
  <c r="CC167" i="1"/>
  <c r="G220" i="1"/>
  <c r="BC220" i="1"/>
  <c r="CV17" i="1"/>
  <c r="J19" i="1"/>
  <c r="BN19" i="1"/>
  <c r="CL19" i="1"/>
  <c r="G24" i="1"/>
  <c r="CC36" i="1"/>
  <c r="BC38" i="1"/>
  <c r="BC42" i="1"/>
  <c r="CC44" i="1"/>
  <c r="G50" i="1"/>
  <c r="BK53" i="1"/>
  <c r="H69" i="1"/>
  <c r="M69" i="1"/>
  <c r="R69" i="1"/>
  <c r="T69" i="1"/>
  <c r="BO69" i="1"/>
  <c r="CC78" i="1"/>
  <c r="AJ92" i="1"/>
  <c r="AN92" i="1"/>
  <c r="AR92" i="1"/>
  <c r="AX92" i="1"/>
  <c r="BB92" i="1"/>
  <c r="G97" i="1"/>
  <c r="CC100" i="1"/>
  <c r="G101" i="1"/>
  <c r="CC102" i="1"/>
  <c r="G103" i="1"/>
  <c r="BC103" i="1"/>
  <c r="CC103" i="1"/>
  <c r="BT116" i="1"/>
  <c r="AY127" i="1"/>
  <c r="BA127" i="1"/>
  <c r="CI127" i="1"/>
  <c r="BC138" i="1"/>
  <c r="CL136" i="1"/>
  <c r="BC154" i="1"/>
  <c r="H148" i="1"/>
  <c r="AB148" i="1"/>
  <c r="X163" i="1"/>
  <c r="Q169" i="1"/>
  <c r="BK186" i="1"/>
  <c r="CC224" i="1"/>
  <c r="CB224" i="1" s="1"/>
  <c r="G230" i="1"/>
  <c r="G305" i="1"/>
  <c r="G304" i="1" s="1"/>
  <c r="CC307" i="1"/>
  <c r="CB307" i="1" s="1"/>
  <c r="BC311" i="1"/>
  <c r="T299" i="1"/>
  <c r="CM74" i="1"/>
  <c r="CO74" i="1"/>
  <c r="CR74" i="1"/>
  <c r="BU74" i="1"/>
  <c r="X116" i="1"/>
  <c r="AB116" i="1"/>
  <c r="CW116" i="1"/>
  <c r="AC127" i="1"/>
  <c r="AK127" i="1"/>
  <c r="BH132" i="1"/>
  <c r="BP132" i="1"/>
  <c r="BN144" i="1"/>
  <c r="CL144" i="1"/>
  <c r="J144" i="1"/>
  <c r="BJ148" i="1"/>
  <c r="BR148" i="1"/>
  <c r="BV148" i="1"/>
  <c r="BZ148" i="1"/>
  <c r="Q179" i="1"/>
  <c r="AA186" i="1"/>
  <c r="CI186" i="1"/>
  <c r="G234" i="1"/>
  <c r="CC234" i="1"/>
  <c r="CB234" i="1" s="1"/>
  <c r="BC266" i="1"/>
  <c r="BC270" i="1"/>
  <c r="CC272" i="1"/>
  <c r="G273" i="1"/>
  <c r="G274" i="1"/>
  <c r="G280" i="1"/>
  <c r="CC280" i="1"/>
  <c r="CC298" i="1"/>
  <c r="BP300" i="1"/>
  <c r="P299" i="1"/>
  <c r="T16" i="1"/>
  <c r="CW16" i="1"/>
  <c r="G37" i="1"/>
  <c r="G38" i="1"/>
  <c r="AF40" i="1"/>
  <c r="BL16" i="1"/>
  <c r="CC46" i="1"/>
  <c r="BC47" i="1"/>
  <c r="G57" i="1"/>
  <c r="J56" i="1"/>
  <c r="BC18" i="1"/>
  <c r="BN53" i="1"/>
  <c r="CH53" i="1"/>
  <c r="CJ53" i="1"/>
  <c r="CL53" i="1"/>
  <c r="CN53" i="1"/>
  <c r="CQ53" i="1"/>
  <c r="CS53" i="1"/>
  <c r="CW53" i="1"/>
  <c r="G55" i="1"/>
  <c r="BC55" i="1"/>
  <c r="P53" i="1"/>
  <c r="AJ53" i="1"/>
  <c r="AN53" i="1"/>
  <c r="AR53" i="1"/>
  <c r="BE53" i="1"/>
  <c r="BS53" i="1"/>
  <c r="CA53" i="1"/>
  <c r="AF53" i="1"/>
  <c r="X53" i="1"/>
  <c r="AB53" i="1"/>
  <c r="CI53" i="1"/>
  <c r="CM53" i="1"/>
  <c r="CR53" i="1"/>
  <c r="K64" i="1"/>
  <c r="O64" i="1"/>
  <c r="R64" i="1"/>
  <c r="T64" i="1"/>
  <c r="AH64" i="1"/>
  <c r="AJ64" i="1"/>
  <c r="AL64" i="1"/>
  <c r="AN64" i="1"/>
  <c r="AP64" i="1"/>
  <c r="AR64" i="1"/>
  <c r="AT64" i="1"/>
  <c r="AX64" i="1"/>
  <c r="AZ64" i="1"/>
  <c r="BB64" i="1"/>
  <c r="BF64" i="1"/>
  <c r="BH64" i="1"/>
  <c r="BJ64" i="1"/>
  <c r="BL64" i="1"/>
  <c r="BO64" i="1"/>
  <c r="CG64" i="1"/>
  <c r="I64" i="1"/>
  <c r="S69" i="1"/>
  <c r="CW69" i="1"/>
  <c r="CM69" i="1"/>
  <c r="CR69" i="1"/>
  <c r="V77" i="1"/>
  <c r="BC78" i="1"/>
  <c r="Q77" i="1"/>
  <c r="V96" i="1"/>
  <c r="BS127" i="1"/>
  <c r="CA127" i="1"/>
  <c r="W64" i="1"/>
  <c r="Y64" i="1"/>
  <c r="AA64" i="1"/>
  <c r="AE64" i="1"/>
  <c r="Q74" i="1"/>
  <c r="AG74" i="1"/>
  <c r="AI74" i="1"/>
  <c r="AK74" i="1"/>
  <c r="AO74" i="1"/>
  <c r="AQ74" i="1"/>
  <c r="BE74" i="1"/>
  <c r="CI74" i="1"/>
  <c r="CK74" i="1"/>
  <c r="J88" i="1"/>
  <c r="U74" i="1"/>
  <c r="H92" i="1"/>
  <c r="K92" i="1"/>
  <c r="M92" i="1"/>
  <c r="O92" i="1"/>
  <c r="T92" i="1"/>
  <c r="BI92" i="1"/>
  <c r="BK92" i="1"/>
  <c r="BM92" i="1"/>
  <c r="BQ92" i="1"/>
  <c r="BS92" i="1"/>
  <c r="BU92" i="1"/>
  <c r="BW92" i="1"/>
  <c r="BY92" i="1"/>
  <c r="CA92" i="1"/>
  <c r="V93" i="1"/>
  <c r="BC94" i="1"/>
  <c r="Q93" i="1"/>
  <c r="BR92" i="1"/>
  <c r="BZ92" i="1"/>
  <c r="CF92" i="1"/>
  <c r="CN92" i="1"/>
  <c r="CQ92" i="1"/>
  <c r="G115" i="1"/>
  <c r="J114" i="1"/>
  <c r="CD119" i="1"/>
  <c r="CC120" i="1"/>
  <c r="CB120" i="1" s="1"/>
  <c r="W127" i="1"/>
  <c r="Y127" i="1"/>
  <c r="AA127" i="1"/>
  <c r="AE127" i="1"/>
  <c r="BO127" i="1"/>
  <c r="O127" i="1"/>
  <c r="BC146" i="1"/>
  <c r="BD144" i="1"/>
  <c r="L148" i="1"/>
  <c r="N148" i="1"/>
  <c r="AH148" i="1"/>
  <c r="AJ148" i="1"/>
  <c r="AL148" i="1"/>
  <c r="AN148" i="1"/>
  <c r="AR148" i="1"/>
  <c r="AT148" i="1"/>
  <c r="AX148" i="1"/>
  <c r="AZ148" i="1"/>
  <c r="BB148" i="1"/>
  <c r="BF148" i="1"/>
  <c r="BI148" i="1"/>
  <c r="BK148" i="1"/>
  <c r="BM148" i="1"/>
  <c r="BQ148" i="1"/>
  <c r="BS148" i="1"/>
  <c r="BU148" i="1"/>
  <c r="BW148" i="1"/>
  <c r="BY148" i="1"/>
  <c r="CA148" i="1"/>
  <c r="Z148" i="1"/>
  <c r="AD148" i="1"/>
  <c r="CJ148" i="1"/>
  <c r="M186" i="1"/>
  <c r="CU202" i="1"/>
  <c r="CU201" i="1" s="1"/>
  <c r="CV201" i="1"/>
  <c r="BC293" i="1"/>
  <c r="BD292" i="1"/>
  <c r="BF111" i="1"/>
  <c r="BJ111" i="1"/>
  <c r="BL111" i="1"/>
  <c r="BN111" i="1"/>
  <c r="BR111" i="1"/>
  <c r="BT111" i="1"/>
  <c r="BV111" i="1"/>
  <c r="BX111" i="1"/>
  <c r="BZ111" i="1"/>
  <c r="CD111" i="1"/>
  <c r="CF111" i="1"/>
  <c r="CH111" i="1"/>
  <c r="CJ111" i="1"/>
  <c r="CL111" i="1"/>
  <c r="CN111" i="1"/>
  <c r="CQ111" i="1"/>
  <c r="CS111" i="1"/>
  <c r="CW111" i="1"/>
  <c r="G113" i="1"/>
  <c r="G112" i="1" s="1"/>
  <c r="V111" i="1"/>
  <c r="S111" i="1"/>
  <c r="S116" i="1"/>
  <c r="U116" i="1"/>
  <c r="BF116" i="1"/>
  <c r="BI116" i="1"/>
  <c r="BK116" i="1"/>
  <c r="BM116" i="1"/>
  <c r="BO116" i="1"/>
  <c r="BR116" i="1"/>
  <c r="BV116" i="1"/>
  <c r="BX116" i="1"/>
  <c r="BZ116" i="1"/>
  <c r="CF116" i="1"/>
  <c r="BJ116" i="1"/>
  <c r="BI127" i="1"/>
  <c r="BK127" i="1"/>
  <c r="BM127" i="1"/>
  <c r="G135" i="1"/>
  <c r="G137" i="1"/>
  <c r="V136" i="1"/>
  <c r="CC137" i="1"/>
  <c r="G138" i="1"/>
  <c r="BH136" i="1"/>
  <c r="BH127" i="1" s="1"/>
  <c r="AG127" i="1"/>
  <c r="AO127" i="1"/>
  <c r="G145" i="1"/>
  <c r="CC145" i="1"/>
  <c r="CB145" i="1" s="1"/>
  <c r="G146" i="1"/>
  <c r="S148" i="1"/>
  <c r="U148" i="1"/>
  <c r="AG148" i="1"/>
  <c r="AI148" i="1"/>
  <c r="AK148" i="1"/>
  <c r="AM148" i="1"/>
  <c r="AO148" i="1"/>
  <c r="AQ148" i="1"/>
  <c r="AS148" i="1"/>
  <c r="AU148" i="1"/>
  <c r="AY148" i="1"/>
  <c r="BA148" i="1"/>
  <c r="BE148" i="1"/>
  <c r="BG148" i="1"/>
  <c r="BO148" i="1"/>
  <c r="CE148" i="1"/>
  <c r="V153" i="1"/>
  <c r="Q153" i="1"/>
  <c r="BC159" i="1"/>
  <c r="V156" i="1"/>
  <c r="CC161" i="1"/>
  <c r="G162" i="1"/>
  <c r="S163" i="1"/>
  <c r="U163" i="1"/>
  <c r="Z163" i="1"/>
  <c r="AB163" i="1"/>
  <c r="AD163" i="1"/>
  <c r="CJ173" i="1"/>
  <c r="BD176" i="1"/>
  <c r="BN176" i="1"/>
  <c r="G178" i="1"/>
  <c r="BH176" i="1"/>
  <c r="AH186" i="1"/>
  <c r="AJ186" i="1"/>
  <c r="AL186" i="1"/>
  <c r="AN186" i="1"/>
  <c r="AP186" i="1"/>
  <c r="AR186" i="1"/>
  <c r="AT186" i="1"/>
  <c r="AX186" i="1"/>
  <c r="AZ186" i="1"/>
  <c r="BB186" i="1"/>
  <c r="BS186" i="1"/>
  <c r="BW186" i="1"/>
  <c r="CF186" i="1"/>
  <c r="V189" i="1"/>
  <c r="BC190" i="1"/>
  <c r="BN189" i="1"/>
  <c r="CL189" i="1"/>
  <c r="BC191" i="1"/>
  <c r="CG189" i="1"/>
  <c r="BH189" i="1"/>
  <c r="BP189" i="1"/>
  <c r="CL201" i="1"/>
  <c r="BW232" i="1"/>
  <c r="G298" i="1"/>
  <c r="J297" i="1"/>
  <c r="K308" i="1"/>
  <c r="AX308" i="1"/>
  <c r="X299" i="1"/>
  <c r="Z299" i="1"/>
  <c r="AB299" i="1"/>
  <c r="AD299" i="1"/>
  <c r="AJ299" i="1"/>
  <c r="CH299" i="1"/>
  <c r="CJ299" i="1"/>
  <c r="CN299" i="1"/>
  <c r="CQ299" i="1"/>
  <c r="CS299" i="1"/>
  <c r="G121" i="1"/>
  <c r="BC121" i="1"/>
  <c r="H116" i="1"/>
  <c r="R116" i="1"/>
  <c r="AH116" i="1"/>
  <c r="AJ116" i="1"/>
  <c r="AN116" i="1"/>
  <c r="AP116" i="1"/>
  <c r="AR116" i="1"/>
  <c r="AX116" i="1"/>
  <c r="AZ116" i="1"/>
  <c r="BB116" i="1"/>
  <c r="Q124" i="1"/>
  <c r="AF124" i="1"/>
  <c r="BH124" i="1"/>
  <c r="BP124" i="1"/>
  <c r="CD124" i="1"/>
  <c r="CL124" i="1"/>
  <c r="CV124" i="1"/>
  <c r="G166" i="1"/>
  <c r="AG186" i="1"/>
  <c r="AK186" i="1"/>
  <c r="AS186" i="1"/>
  <c r="AY186" i="1"/>
  <c r="CO186" i="1"/>
  <c r="Q201" i="1"/>
  <c r="BC202" i="1"/>
  <c r="BN201" i="1"/>
  <c r="G203" i="1"/>
  <c r="V201" i="1"/>
  <c r="BH201" i="1"/>
  <c r="BP201" i="1"/>
  <c r="BC204" i="1"/>
  <c r="G205" i="1"/>
  <c r="BC206" i="1"/>
  <c r="G207" i="1"/>
  <c r="BC208" i="1"/>
  <c r="G209" i="1"/>
  <c r="CC219" i="1"/>
  <c r="G221" i="1"/>
  <c r="K232" i="1"/>
  <c r="CX232" i="1"/>
  <c r="CC249" i="1"/>
  <c r="BC260" i="1"/>
  <c r="CC262" i="1"/>
  <c r="G263" i="1"/>
  <c r="CC263" i="1"/>
  <c r="G264" i="1"/>
  <c r="BC264" i="1"/>
  <c r="CC264" i="1"/>
  <c r="G265" i="1"/>
  <c r="BC265" i="1"/>
  <c r="G266" i="1"/>
  <c r="BC285" i="1"/>
  <c r="CC287" i="1"/>
  <c r="G288" i="1"/>
  <c r="CC288" i="1"/>
  <c r="G289" i="1"/>
  <c r="L299" i="1"/>
  <c r="G168" i="1"/>
  <c r="G167" i="1"/>
  <c r="CG164" i="1"/>
  <c r="AX163" i="1"/>
  <c r="AL16" i="1"/>
  <c r="AP16" i="1"/>
  <c r="BP23" i="1"/>
  <c r="BV16" i="1"/>
  <c r="BU53" i="1"/>
  <c r="CC71" i="1"/>
  <c r="CB71" i="1" s="1"/>
  <c r="CD70" i="1"/>
  <c r="BD119" i="1"/>
  <c r="BC120" i="1"/>
  <c r="G143" i="1"/>
  <c r="G142" i="1" s="1"/>
  <c r="J142" i="1"/>
  <c r="J177" i="1"/>
  <c r="J176" i="1" s="1"/>
  <c r="P176" i="1"/>
  <c r="BC307" i="1"/>
  <c r="BD306" i="1"/>
  <c r="CG309" i="1"/>
  <c r="CI308" i="1"/>
  <c r="CC313" i="1"/>
  <c r="CC312" i="1" s="1"/>
  <c r="CD312" i="1"/>
  <c r="AR299" i="1"/>
  <c r="BT299" i="1"/>
  <c r="CC317" i="1"/>
  <c r="CD316" i="1"/>
  <c r="BR16" i="1"/>
  <c r="BQ53" i="1"/>
  <c r="BY53" i="1"/>
  <c r="CU95" i="1"/>
  <c r="CV93" i="1"/>
  <c r="I16" i="1"/>
  <c r="N16" i="1"/>
  <c r="R16" i="1"/>
  <c r="W16" i="1"/>
  <c r="Y16" i="1"/>
  <c r="AC16" i="1"/>
  <c r="AE16" i="1"/>
  <c r="AG16" i="1"/>
  <c r="AK16" i="1"/>
  <c r="AM16" i="1"/>
  <c r="AO16" i="1"/>
  <c r="AQ16" i="1"/>
  <c r="AS16" i="1"/>
  <c r="AU16" i="1"/>
  <c r="AY16" i="1"/>
  <c r="BE16" i="1"/>
  <c r="BG16" i="1"/>
  <c r="BJ16" i="1"/>
  <c r="BQ16" i="1"/>
  <c r="BS16" i="1"/>
  <c r="BU16" i="1"/>
  <c r="BW16" i="1"/>
  <c r="BY16" i="1"/>
  <c r="CA16" i="1"/>
  <c r="CE16" i="1"/>
  <c r="CI16" i="1"/>
  <c r="CK16" i="1"/>
  <c r="CM16" i="1"/>
  <c r="CO16" i="1"/>
  <c r="CR16" i="1"/>
  <c r="CT16" i="1"/>
  <c r="G18" i="1"/>
  <c r="X19" i="1"/>
  <c r="AB16" i="1"/>
  <c r="AT16" i="1"/>
  <c r="AZ16" i="1"/>
  <c r="CH16" i="1"/>
  <c r="CV19" i="1"/>
  <c r="Q19" i="1"/>
  <c r="BP19" i="1"/>
  <c r="BC21" i="1"/>
  <c r="AA23" i="1"/>
  <c r="AH16" i="1"/>
  <c r="CC24" i="1"/>
  <c r="CL23" i="1"/>
  <c r="BC25" i="1"/>
  <c r="BN23" i="1"/>
  <c r="CC25" i="1"/>
  <c r="G26" i="1"/>
  <c r="BC26" i="1"/>
  <c r="CC26" i="1"/>
  <c r="G27" i="1"/>
  <c r="BC34" i="1"/>
  <c r="CC34" i="1"/>
  <c r="G35" i="1"/>
  <c r="BC35" i="1"/>
  <c r="CC35" i="1"/>
  <c r="AF36" i="1"/>
  <c r="CC40" i="1"/>
  <c r="BD41" i="1"/>
  <c r="CN16" i="1"/>
  <c r="CS16" i="1"/>
  <c r="CV43" i="1"/>
  <c r="BC46" i="1"/>
  <c r="P16" i="1"/>
  <c r="BC48" i="1"/>
  <c r="J49" i="1"/>
  <c r="H53" i="1"/>
  <c r="J54" i="1"/>
  <c r="N53" i="1"/>
  <c r="AY53" i="1"/>
  <c r="BI53" i="1"/>
  <c r="BM53" i="1"/>
  <c r="CU59" i="1"/>
  <c r="CV58" i="1"/>
  <c r="BD60" i="1"/>
  <c r="G68" i="1"/>
  <c r="J67" i="1"/>
  <c r="CU69" i="1"/>
  <c r="BS69" i="1"/>
  <c r="CA69" i="1"/>
  <c r="BQ74" i="1"/>
  <c r="BY74" i="1"/>
  <c r="CU78" i="1"/>
  <c r="CV77" i="1"/>
  <c r="S74" i="1"/>
  <c r="S92" i="1"/>
  <c r="U92" i="1"/>
  <c r="AG92" i="1"/>
  <c r="AI92" i="1"/>
  <c r="AK92" i="1"/>
  <c r="AM92" i="1"/>
  <c r="AO92" i="1"/>
  <c r="AQ92" i="1"/>
  <c r="AS92" i="1"/>
  <c r="AU92" i="1"/>
  <c r="AY92" i="1"/>
  <c r="BA92" i="1"/>
  <c r="BE92" i="1"/>
  <c r="BG92" i="1"/>
  <c r="BL92" i="1"/>
  <c r="BO92" i="1"/>
  <c r="BT92" i="1"/>
  <c r="BX92" i="1"/>
  <c r="G109" i="1"/>
  <c r="J108" i="1"/>
  <c r="H111" i="1"/>
  <c r="J112" i="1"/>
  <c r="L111" i="1"/>
  <c r="N111" i="1"/>
  <c r="P111" i="1"/>
  <c r="U111" i="1"/>
  <c r="T116" i="1"/>
  <c r="W116" i="1"/>
  <c r="Y116" i="1"/>
  <c r="AA116" i="1"/>
  <c r="AC116" i="1"/>
  <c r="AE116" i="1"/>
  <c r="CN116" i="1"/>
  <c r="CX116" i="1"/>
  <c r="AF116" i="1"/>
  <c r="CU123" i="1"/>
  <c r="CV122" i="1"/>
  <c r="M127" i="1"/>
  <c r="R127" i="1"/>
  <c r="T127" i="1"/>
  <c r="X127" i="1"/>
  <c r="Z127" i="1"/>
  <c r="AB127" i="1"/>
  <c r="AD127" i="1"/>
  <c r="AH127" i="1"/>
  <c r="AJ127" i="1"/>
  <c r="AN127" i="1"/>
  <c r="AP127" i="1"/>
  <c r="AR127" i="1"/>
  <c r="AT127" i="1"/>
  <c r="AX127" i="1"/>
  <c r="AZ127" i="1"/>
  <c r="BB127" i="1"/>
  <c r="BE127" i="1"/>
  <c r="BQ127" i="1"/>
  <c r="BU127" i="1"/>
  <c r="BY127" i="1"/>
  <c r="CE127" i="1"/>
  <c r="CH127" i="1"/>
  <c r="CJ127" i="1"/>
  <c r="P132" i="1"/>
  <c r="S127" i="1"/>
  <c r="AI127" i="1"/>
  <c r="CD134" i="1"/>
  <c r="CF132" i="1"/>
  <c r="AM127" i="1"/>
  <c r="AQ127" i="1"/>
  <c r="CK127" i="1"/>
  <c r="G183" i="1"/>
  <c r="J182" i="1"/>
  <c r="CU183" i="1"/>
  <c r="CV182" i="1"/>
  <c r="G236" i="1"/>
  <c r="J235" i="1"/>
  <c r="CE53" i="1"/>
  <c r="CX53" i="1"/>
  <c r="BC63" i="1"/>
  <c r="CC63" i="1"/>
  <c r="G66" i="1"/>
  <c r="G65" i="1" s="1"/>
  <c r="CC66" i="1"/>
  <c r="S64" i="1"/>
  <c r="L69" i="1"/>
  <c r="N69" i="1"/>
  <c r="P69" i="1"/>
  <c r="Y69" i="1"/>
  <c r="CF69" i="1"/>
  <c r="CO69" i="1"/>
  <c r="CT69" i="1"/>
  <c r="J71" i="1"/>
  <c r="AF69" i="1"/>
  <c r="CG69" i="1"/>
  <c r="K69" i="1"/>
  <c r="O69" i="1"/>
  <c r="BC73" i="1"/>
  <c r="CC73" i="1"/>
  <c r="CC72" i="1" s="1"/>
  <c r="H74" i="1"/>
  <c r="L74" i="1"/>
  <c r="N74" i="1"/>
  <c r="P74" i="1"/>
  <c r="X74" i="1"/>
  <c r="Z74" i="1"/>
  <c r="AD74" i="1"/>
  <c r="AT74" i="1"/>
  <c r="AX74" i="1"/>
  <c r="AZ74" i="1"/>
  <c r="BB74" i="1"/>
  <c r="BG74" i="1"/>
  <c r="BJ74" i="1"/>
  <c r="BL74" i="1"/>
  <c r="BS74" i="1"/>
  <c r="BW74" i="1"/>
  <c r="CA74" i="1"/>
  <c r="CC76" i="1"/>
  <c r="CC75" i="1" s="1"/>
  <c r="G79" i="1"/>
  <c r="G81" i="1"/>
  <c r="BC81" i="1"/>
  <c r="CC81" i="1"/>
  <c r="CC85" i="1"/>
  <c r="I92" i="1"/>
  <c r="L92" i="1"/>
  <c r="P92" i="1"/>
  <c r="W92" i="1"/>
  <c r="Y92" i="1"/>
  <c r="AA92" i="1"/>
  <c r="AC92" i="1"/>
  <c r="AE92" i="1"/>
  <c r="CI92" i="1"/>
  <c r="CK92" i="1"/>
  <c r="BH93" i="1"/>
  <c r="BP93" i="1"/>
  <c r="BC98" i="1"/>
  <c r="CC98" i="1"/>
  <c r="G99" i="1"/>
  <c r="BC99" i="1"/>
  <c r="CC99" i="1"/>
  <c r="BC100" i="1"/>
  <c r="CC106" i="1"/>
  <c r="K116" i="1"/>
  <c r="M116" i="1"/>
  <c r="O116" i="1"/>
  <c r="BE116" i="1"/>
  <c r="BG116" i="1"/>
  <c r="BQ116" i="1"/>
  <c r="BS116" i="1"/>
  <c r="BU116" i="1"/>
  <c r="BW116" i="1"/>
  <c r="BY116" i="1"/>
  <c r="CA116" i="1"/>
  <c r="CE116" i="1"/>
  <c r="CI116" i="1"/>
  <c r="CK116" i="1"/>
  <c r="CM116" i="1"/>
  <c r="CO116" i="1"/>
  <c r="CR116" i="1"/>
  <c r="CT116" i="1"/>
  <c r="CC118" i="1"/>
  <c r="J119" i="1"/>
  <c r="V119" i="1"/>
  <c r="CC123" i="1"/>
  <c r="CB123" i="1" s="1"/>
  <c r="CC126" i="1"/>
  <c r="H127" i="1"/>
  <c r="L127" i="1"/>
  <c r="N127" i="1"/>
  <c r="BF127" i="1"/>
  <c r="BJ127" i="1"/>
  <c r="BL127" i="1"/>
  <c r="BR127" i="1"/>
  <c r="BT127" i="1"/>
  <c r="BV127" i="1"/>
  <c r="BX127" i="1"/>
  <c r="BZ127" i="1"/>
  <c r="CN127" i="1"/>
  <c r="CQ127" i="1"/>
  <c r="CS127" i="1"/>
  <c r="CW127" i="1"/>
  <c r="G129" i="1"/>
  <c r="BC129" i="1"/>
  <c r="F129" i="1" s="1"/>
  <c r="CC129" i="1"/>
  <c r="CB129" i="1" s="1"/>
  <c r="CC130" i="1"/>
  <c r="G131" i="1"/>
  <c r="CC131" i="1"/>
  <c r="AF134" i="1"/>
  <c r="G134" i="1" s="1"/>
  <c r="BC134" i="1"/>
  <c r="BP136" i="1"/>
  <c r="G141" i="1"/>
  <c r="Q144" i="1"/>
  <c r="AF144" i="1"/>
  <c r="T163" i="1"/>
  <c r="AF172" i="1"/>
  <c r="AF169" i="1" s="1"/>
  <c r="AO169" i="1"/>
  <c r="CQ173" i="1"/>
  <c r="CS173" i="1"/>
  <c r="W186" i="1"/>
  <c r="Y186" i="1"/>
  <c r="AC186" i="1"/>
  <c r="AE186" i="1"/>
  <c r="CN186" i="1"/>
  <c r="CQ186" i="1"/>
  <c r="CS186" i="1"/>
  <c r="G190" i="1"/>
  <c r="J189" i="1"/>
  <c r="BE186" i="1"/>
  <c r="CE186" i="1"/>
  <c r="CM186" i="1"/>
  <c r="CR186" i="1"/>
  <c r="G196" i="1"/>
  <c r="G195" i="1" s="1"/>
  <c r="J195" i="1"/>
  <c r="G227" i="1"/>
  <c r="J226" i="1"/>
  <c r="BS232" i="1"/>
  <c r="CA232" i="1"/>
  <c r="AF303" i="1"/>
  <c r="G303" i="1" s="1"/>
  <c r="AY300" i="1"/>
  <c r="H299" i="1"/>
  <c r="AH299" i="1"/>
  <c r="AL299" i="1"/>
  <c r="AN299" i="1"/>
  <c r="AP299" i="1"/>
  <c r="AT299" i="1"/>
  <c r="AV299" i="1"/>
  <c r="BR299" i="1"/>
  <c r="BV299" i="1"/>
  <c r="BX299" i="1"/>
  <c r="BZ299" i="1"/>
  <c r="CG124" i="1"/>
  <c r="M148" i="1"/>
  <c r="CM148" i="1"/>
  <c r="CO148" i="1"/>
  <c r="CR148" i="1"/>
  <c r="CT148" i="1"/>
  <c r="CX148" i="1"/>
  <c r="CG149" i="1"/>
  <c r="CC154" i="1"/>
  <c r="G155" i="1"/>
  <c r="CC157" i="1"/>
  <c r="G158" i="1"/>
  <c r="G159" i="1"/>
  <c r="AN163" i="1"/>
  <c r="BF163" i="1"/>
  <c r="BI163" i="1"/>
  <c r="BK163" i="1"/>
  <c r="BM163" i="1"/>
  <c r="BT173" i="1"/>
  <c r="BC175" i="1"/>
  <c r="CC175" i="1"/>
  <c r="CC174" i="1" s="1"/>
  <c r="CC183" i="1"/>
  <c r="BC187" i="1"/>
  <c r="CC187" i="1"/>
  <c r="G188" i="1"/>
  <c r="H186" i="1"/>
  <c r="L186" i="1"/>
  <c r="N186" i="1"/>
  <c r="P186" i="1"/>
  <c r="U186" i="1"/>
  <c r="X186" i="1"/>
  <c r="Z186" i="1"/>
  <c r="AB186" i="1"/>
  <c r="AD186" i="1"/>
  <c r="BG186" i="1"/>
  <c r="BO186" i="1"/>
  <c r="G194" i="1"/>
  <c r="BC194" i="1"/>
  <c r="CC203" i="1"/>
  <c r="CC205" i="1"/>
  <c r="CC207" i="1"/>
  <c r="CC209" i="1"/>
  <c r="BC211" i="1"/>
  <c r="CG210" i="1"/>
  <c r="Q210" i="1"/>
  <c r="BC217" i="1"/>
  <c r="CC217" i="1"/>
  <c r="G218" i="1"/>
  <c r="BC218" i="1"/>
  <c r="F218" i="1" s="1"/>
  <c r="BC219" i="1"/>
  <c r="BC231" i="1"/>
  <c r="CC231" i="1"/>
  <c r="O232" i="1"/>
  <c r="BF232" i="1"/>
  <c r="BJ232" i="1"/>
  <c r="BQ232" i="1"/>
  <c r="BU232" i="1"/>
  <c r="BY232" i="1"/>
  <c r="CO232" i="1"/>
  <c r="CD240" i="1"/>
  <c r="CF238" i="1"/>
  <c r="CW299" i="1"/>
  <c r="CU305" i="1"/>
  <c r="CV304" i="1"/>
  <c r="R299" i="1"/>
  <c r="CD309" i="1"/>
  <c r="CC309" i="1" s="1"/>
  <c r="CF308" i="1"/>
  <c r="CU309" i="1"/>
  <c r="CV308" i="1"/>
  <c r="BL299" i="1"/>
  <c r="CC311" i="1"/>
  <c r="CC310" i="1" s="1"/>
  <c r="CD310" i="1"/>
  <c r="V124" i="1"/>
  <c r="BD124" i="1"/>
  <c r="BC125" i="1"/>
  <c r="BN124" i="1"/>
  <c r="CU124" i="1"/>
  <c r="AV232" i="1"/>
  <c r="CC243" i="1"/>
  <c r="BC247" i="1"/>
  <c r="BC249" i="1"/>
  <c r="CC252" i="1"/>
  <c r="G253" i="1"/>
  <c r="G254" i="1"/>
  <c r="CC258" i="1"/>
  <c r="G259" i="1"/>
  <c r="CC259" i="1"/>
  <c r="G260" i="1"/>
  <c r="CC268" i="1"/>
  <c r="G269" i="1"/>
  <c r="G270" i="1"/>
  <c r="CC278" i="1"/>
  <c r="CC283" i="1"/>
  <c r="G284" i="1"/>
  <c r="CC284" i="1"/>
  <c r="G285" i="1"/>
  <c r="CC291" i="1"/>
  <c r="G125" i="1"/>
  <c r="J124" i="1"/>
  <c r="BC20" i="1"/>
  <c r="BA16" i="1"/>
  <c r="V23" i="1"/>
  <c r="K16" i="1"/>
  <c r="M16" i="1"/>
  <c r="O16" i="1"/>
  <c r="U16" i="1"/>
  <c r="BI16" i="1"/>
  <c r="BK16" i="1"/>
  <c r="BM16" i="1"/>
  <c r="BO16" i="1"/>
  <c r="CX16" i="1"/>
  <c r="CC18" i="1"/>
  <c r="BD19" i="1"/>
  <c r="BZ19" i="1"/>
  <c r="BH19" i="1"/>
  <c r="CC20" i="1"/>
  <c r="AF21" i="1"/>
  <c r="H23" i="1"/>
  <c r="AI23" i="1"/>
  <c r="BD23" i="1"/>
  <c r="CV23" i="1"/>
  <c r="BC24" i="1"/>
  <c r="CG23" i="1"/>
  <c r="CC27" i="1"/>
  <c r="G28" i="1"/>
  <c r="BC28" i="1"/>
  <c r="CC28" i="1"/>
  <c r="G29" i="1"/>
  <c r="CC33" i="1"/>
  <c r="G34" i="1"/>
  <c r="CC38" i="1"/>
  <c r="G39" i="1"/>
  <c r="BC39" i="1"/>
  <c r="F39" i="1" s="1"/>
  <c r="G40" i="1"/>
  <c r="BC40" i="1"/>
  <c r="CV41" i="1"/>
  <c r="CC42" i="1"/>
  <c r="CB42" i="1" s="1"/>
  <c r="AA43" i="1"/>
  <c r="BC44" i="1"/>
  <c r="CG43" i="1"/>
  <c r="CC47" i="1"/>
  <c r="CC50" i="1"/>
  <c r="G52" i="1"/>
  <c r="BC52" i="1"/>
  <c r="BF53" i="1"/>
  <c r="BR53" i="1"/>
  <c r="BT53" i="1"/>
  <c r="BV53" i="1"/>
  <c r="BX53" i="1"/>
  <c r="BZ53" i="1"/>
  <c r="CF53" i="1"/>
  <c r="CC59" i="1"/>
  <c r="CD58" i="1"/>
  <c r="BN64" i="1"/>
  <c r="CB106" i="1"/>
  <c r="H64" i="1"/>
  <c r="J65" i="1"/>
  <c r="L64" i="1"/>
  <c r="N64" i="1"/>
  <c r="P64" i="1"/>
  <c r="CD65" i="1"/>
  <c r="CW64" i="1"/>
  <c r="BD67" i="1"/>
  <c r="X69" i="1"/>
  <c r="Z69" i="1"/>
  <c r="AB69" i="1"/>
  <c r="AD69" i="1"/>
  <c r="AH69" i="1"/>
  <c r="AJ69" i="1"/>
  <c r="AL69" i="1"/>
  <c r="AN69" i="1"/>
  <c r="AP69" i="1"/>
  <c r="AR69" i="1"/>
  <c r="AT69" i="1"/>
  <c r="AX69" i="1"/>
  <c r="AZ69" i="1"/>
  <c r="BB69" i="1"/>
  <c r="BJ69" i="1"/>
  <c r="BL69" i="1"/>
  <c r="CH69" i="1"/>
  <c r="CJ69" i="1"/>
  <c r="BN69" i="1"/>
  <c r="BD72" i="1"/>
  <c r="AS75" i="1"/>
  <c r="BF74" i="1"/>
  <c r="CD75" i="1"/>
  <c r="CW74" i="1"/>
  <c r="BC76" i="1"/>
  <c r="BC106" i="1"/>
  <c r="CU120" i="1"/>
  <c r="CV119" i="1"/>
  <c r="BC126" i="1"/>
  <c r="BC130" i="1"/>
  <c r="CG128" i="1"/>
  <c r="G133" i="1"/>
  <c r="BC133" i="1"/>
  <c r="BN132" i="1"/>
  <c r="CC135" i="1"/>
  <c r="CC138" i="1"/>
  <c r="G139" i="1"/>
  <c r="BC139" i="1"/>
  <c r="CC139" i="1"/>
  <c r="CC143" i="1"/>
  <c r="CC146" i="1"/>
  <c r="G147" i="1"/>
  <c r="BC147" i="1"/>
  <c r="CC147" i="1"/>
  <c r="CC152" i="1"/>
  <c r="BN153" i="1"/>
  <c r="N163" i="1"/>
  <c r="R163" i="1"/>
  <c r="AJ163" i="1"/>
  <c r="AR163" i="1"/>
  <c r="BB163" i="1"/>
  <c r="CN163" i="1"/>
  <c r="CQ163" i="1"/>
  <c r="H173" i="1"/>
  <c r="CR173" i="1"/>
  <c r="CT173" i="1"/>
  <c r="V176" i="1"/>
  <c r="BQ173" i="1"/>
  <c r="BS173" i="1"/>
  <c r="BU173" i="1"/>
  <c r="BW173" i="1"/>
  <c r="BY173" i="1"/>
  <c r="CA173" i="1"/>
  <c r="AX53" i="1"/>
  <c r="AZ53" i="1"/>
  <c r="BB53" i="1"/>
  <c r="Q53" i="1"/>
  <c r="CC57" i="1"/>
  <c r="CB57" i="1" s="1"/>
  <c r="G59" i="1"/>
  <c r="BC59" i="1"/>
  <c r="V64" i="1"/>
  <c r="CG74" i="1"/>
  <c r="CF84" i="1"/>
  <c r="G85" i="1"/>
  <c r="G84" i="1" s="1"/>
  <c r="BC85" i="1"/>
  <c r="CC91" i="1"/>
  <c r="BN96" i="1"/>
  <c r="CC97" i="1"/>
  <c r="G98" i="1"/>
  <c r="CC101" i="1"/>
  <c r="G102" i="1"/>
  <c r="CC110" i="1"/>
  <c r="BC118" i="1"/>
  <c r="AF136" i="1"/>
  <c r="V144" i="1"/>
  <c r="BN149" i="1"/>
  <c r="CF156" i="1"/>
  <c r="CC159" i="1"/>
  <c r="G160" i="1"/>
  <c r="BC160" i="1"/>
  <c r="BC161" i="1"/>
  <c r="BD164" i="1"/>
  <c r="CC168" i="1"/>
  <c r="CC170" i="1"/>
  <c r="G171" i="1"/>
  <c r="BN169" i="1"/>
  <c r="BC172" i="1"/>
  <c r="BD174" i="1"/>
  <c r="CD174" i="1"/>
  <c r="CF174" i="1"/>
  <c r="CC178" i="1"/>
  <c r="CL176" i="1"/>
  <c r="CC180" i="1"/>
  <c r="G181" i="1"/>
  <c r="BN179" i="1"/>
  <c r="BC183" i="1"/>
  <c r="X173" i="1"/>
  <c r="R186" i="1"/>
  <c r="T186" i="1"/>
  <c r="BD189" i="1"/>
  <c r="BF186" i="1"/>
  <c r="BJ186" i="1"/>
  <c r="BL186" i="1"/>
  <c r="BR186" i="1"/>
  <c r="BT186" i="1"/>
  <c r="BV186" i="1"/>
  <c r="BX186" i="1"/>
  <c r="BZ186" i="1"/>
  <c r="CH186" i="1"/>
  <c r="CJ186" i="1"/>
  <c r="CC192" i="1"/>
  <c r="J193" i="1"/>
  <c r="CC196" i="1"/>
  <c r="J197" i="1"/>
  <c r="CC200" i="1"/>
  <c r="J201" i="1"/>
  <c r="BD201" i="1"/>
  <c r="CD201" i="1"/>
  <c r="G202" i="1"/>
  <c r="BC203" i="1"/>
  <c r="G204" i="1"/>
  <c r="BC205" i="1"/>
  <c r="G206" i="1"/>
  <c r="BC207" i="1"/>
  <c r="G208" i="1"/>
  <c r="BC209" i="1"/>
  <c r="CV210" i="1"/>
  <c r="G213" i="1"/>
  <c r="G217" i="1"/>
  <c r="BD223" i="1"/>
  <c r="BN229" i="1"/>
  <c r="CC230" i="1"/>
  <c r="CC229" i="1" s="1"/>
  <c r="G231" i="1"/>
  <c r="H232" i="1"/>
  <c r="J233" i="1"/>
  <c r="L232" i="1"/>
  <c r="N232" i="1"/>
  <c r="BR232" i="1"/>
  <c r="BT232" i="1"/>
  <c r="BV232" i="1"/>
  <c r="BX232" i="1"/>
  <c r="BZ232" i="1"/>
  <c r="CD233" i="1"/>
  <c r="CW232" i="1"/>
  <c r="G240" i="1"/>
  <c r="CC241" i="1"/>
  <c r="G242" i="1"/>
  <c r="BC242" i="1"/>
  <c r="CC242" i="1"/>
  <c r="BC243" i="1"/>
  <c r="BC244" i="1"/>
  <c r="CC246" i="1"/>
  <c r="G247" i="1"/>
  <c r="CC247" i="1"/>
  <c r="BC248" i="1"/>
  <c r="G249" i="1"/>
  <c r="CD250" i="1"/>
  <c r="CD238" i="1" s="1"/>
  <c r="G251" i="1"/>
  <c r="BN250" i="1"/>
  <c r="BN238" i="1" s="1"/>
  <c r="BC252" i="1"/>
  <c r="CC256" i="1"/>
  <c r="G257" i="1"/>
  <c r="BC257" i="1"/>
  <c r="CC257" i="1"/>
  <c r="BC258" i="1"/>
  <c r="CC260" i="1"/>
  <c r="G261" i="1"/>
  <c r="BC261" i="1"/>
  <c r="CC261" i="1"/>
  <c r="BC262" i="1"/>
  <c r="CC316" i="1"/>
  <c r="CC266" i="1"/>
  <c r="G267" i="1"/>
  <c r="BC267" i="1"/>
  <c r="BC268" i="1"/>
  <c r="CC270" i="1"/>
  <c r="G271" i="1"/>
  <c r="BC271" i="1"/>
  <c r="BC272" i="1"/>
  <c r="CC274" i="1"/>
  <c r="G275" i="1"/>
  <c r="BC275" i="1"/>
  <c r="BC278" i="1"/>
  <c r="CD279" i="1"/>
  <c r="CC281" i="1"/>
  <c r="G282" i="1"/>
  <c r="BC282" i="1"/>
  <c r="CC282" i="1"/>
  <c r="BC283" i="1"/>
  <c r="CC285" i="1"/>
  <c r="G286" i="1"/>
  <c r="BC286" i="1"/>
  <c r="CC286" i="1"/>
  <c r="BC287" i="1"/>
  <c r="CC289" i="1"/>
  <c r="G290" i="1"/>
  <c r="BC290" i="1"/>
  <c r="CC290" i="1"/>
  <c r="BC291" i="1"/>
  <c r="CC293" i="1"/>
  <c r="CD294" i="1"/>
  <c r="BC295" i="1"/>
  <c r="G311" i="1"/>
  <c r="F311" i="1" s="1"/>
  <c r="BC313" i="1"/>
  <c r="CC315" i="1"/>
  <c r="CC314" i="1" s="1"/>
  <c r="CC302" i="1"/>
  <c r="BC303" i="1"/>
  <c r="CC305" i="1"/>
  <c r="BC317" i="1"/>
  <c r="CC30" i="1"/>
  <c r="CD23" i="1"/>
  <c r="V75" i="1"/>
  <c r="G76" i="1"/>
  <c r="CC17" i="1"/>
  <c r="CB63" i="1"/>
  <c r="CC62" i="1"/>
  <c r="BC22" i="1"/>
  <c r="CC22" i="1"/>
  <c r="CU23" i="1"/>
  <c r="G30" i="1"/>
  <c r="G32" i="1"/>
  <c r="BC33" i="1"/>
  <c r="BC36" i="1"/>
  <c r="BC37" i="1"/>
  <c r="CC37" i="1"/>
  <c r="CC39" i="1"/>
  <c r="CL43" i="1"/>
  <c r="CC55" i="1"/>
  <c r="BC57" i="1"/>
  <c r="K53" i="1"/>
  <c r="M53" i="1"/>
  <c r="O53" i="1"/>
  <c r="S53" i="1"/>
  <c r="U53" i="1"/>
  <c r="BC66" i="1"/>
  <c r="CB66" i="1"/>
  <c r="CL69" i="1"/>
  <c r="BC71" i="1"/>
  <c r="W69" i="1"/>
  <c r="AA69" i="1"/>
  <c r="AE69" i="1"/>
  <c r="AI69" i="1"/>
  <c r="AM69" i="1"/>
  <c r="AQ69" i="1"/>
  <c r="AU69" i="1"/>
  <c r="BA69" i="1"/>
  <c r="BE69" i="1"/>
  <c r="BQ69" i="1"/>
  <c r="BU69" i="1"/>
  <c r="BY69" i="1"/>
  <c r="CD72" i="1"/>
  <c r="CV72" i="1"/>
  <c r="CX69" i="1"/>
  <c r="AF77" i="1"/>
  <c r="J132" i="1"/>
  <c r="CU19" i="1"/>
  <c r="CU43" i="1"/>
  <c r="G45" i="1"/>
  <c r="G46" i="1"/>
  <c r="J48" i="1"/>
  <c r="CC48" i="1"/>
  <c r="BC50" i="1"/>
  <c r="CC52" i="1"/>
  <c r="BH53" i="1"/>
  <c r="BP53" i="1"/>
  <c r="I53" i="1"/>
  <c r="W53" i="1"/>
  <c r="Y53" i="1"/>
  <c r="AA53" i="1"/>
  <c r="AC53" i="1"/>
  <c r="AE53" i="1"/>
  <c r="AG53" i="1"/>
  <c r="AI53" i="1"/>
  <c r="AK53" i="1"/>
  <c r="AM53" i="1"/>
  <c r="AO53" i="1"/>
  <c r="AQ53" i="1"/>
  <c r="AS53" i="1"/>
  <c r="AU53" i="1"/>
  <c r="AF64" i="1"/>
  <c r="BH77" i="1"/>
  <c r="BP77" i="1"/>
  <c r="BN77" i="1"/>
  <c r="CL77" i="1"/>
  <c r="BD80" i="1"/>
  <c r="CD80" i="1"/>
  <c r="BC83" i="1"/>
  <c r="F83" i="1" s="1"/>
  <c r="CC83" i="1"/>
  <c r="CB83" i="1" s="1"/>
  <c r="BD84" i="1"/>
  <c r="CD84" i="1"/>
  <c r="CC89" i="1"/>
  <c r="BC91" i="1"/>
  <c r="CC122" i="1"/>
  <c r="AF93" i="1"/>
  <c r="BH96" i="1"/>
  <c r="BP96" i="1"/>
  <c r="CL96" i="1"/>
  <c r="CG132" i="1"/>
  <c r="CL149" i="1"/>
  <c r="CL153" i="1"/>
  <c r="Q156" i="1"/>
  <c r="CC165" i="1"/>
  <c r="CD164" i="1"/>
  <c r="CU168" i="1"/>
  <c r="CV164" i="1"/>
  <c r="BF173" i="1"/>
  <c r="BJ173" i="1"/>
  <c r="BR173" i="1"/>
  <c r="BV173" i="1"/>
  <c r="BX173" i="1"/>
  <c r="BZ173" i="1"/>
  <c r="CL179" i="1"/>
  <c r="CU185" i="1"/>
  <c r="CV184" i="1"/>
  <c r="BN93" i="1"/>
  <c r="CL93" i="1"/>
  <c r="BC97" i="1"/>
  <c r="G100" i="1"/>
  <c r="BC101" i="1"/>
  <c r="BC109" i="1"/>
  <c r="F109" i="1" s="1"/>
  <c r="CC109" i="1"/>
  <c r="CG108" i="1"/>
  <c r="BC113" i="1"/>
  <c r="CC113" i="1"/>
  <c r="CB113" i="1" s="1"/>
  <c r="Q128" i="1"/>
  <c r="G130" i="1"/>
  <c r="BC131" i="1"/>
  <c r="BD132" i="1"/>
  <c r="CC133" i="1"/>
  <c r="BC135" i="1"/>
  <c r="J136" i="1"/>
  <c r="AU136" i="1"/>
  <c r="CD136" i="1"/>
  <c r="CF136" i="1"/>
  <c r="BC137" i="1"/>
  <c r="BN136" i="1"/>
  <c r="CG136" i="1"/>
  <c r="BC141" i="1"/>
  <c r="CC141" i="1"/>
  <c r="BC143" i="1"/>
  <c r="CD144" i="1"/>
  <c r="BC145" i="1"/>
  <c r="CG144" i="1"/>
  <c r="O148" i="1"/>
  <c r="AF149" i="1"/>
  <c r="AF153" i="1"/>
  <c r="CD156" i="1"/>
  <c r="P148" i="1"/>
  <c r="BC157" i="1"/>
  <c r="BN156" i="1"/>
  <c r="BC158" i="1"/>
  <c r="CC158" i="1"/>
  <c r="CL156" i="1"/>
  <c r="CC160" i="1"/>
  <c r="G161" i="1"/>
  <c r="BH156" i="1"/>
  <c r="BP156" i="1"/>
  <c r="BC162" i="1"/>
  <c r="CC162" i="1"/>
  <c r="AL163" i="1"/>
  <c r="AP163" i="1"/>
  <c r="AT163" i="1"/>
  <c r="AZ163" i="1"/>
  <c r="CI163" i="1"/>
  <c r="CK163" i="1"/>
  <c r="CW163" i="1"/>
  <c r="V164" i="1"/>
  <c r="BC164" i="1"/>
  <c r="BH164" i="1"/>
  <c r="BP164" i="1"/>
  <c r="CL169" i="1"/>
  <c r="CN173" i="1"/>
  <c r="CC177" i="1"/>
  <c r="CD176" i="1"/>
  <c r="I173" i="1"/>
  <c r="W173" i="1"/>
  <c r="Y173" i="1"/>
  <c r="AA173" i="1"/>
  <c r="AC173" i="1"/>
  <c r="AE173" i="1"/>
  <c r="AN173" i="1"/>
  <c r="V179" i="1"/>
  <c r="BD182" i="1"/>
  <c r="CC185" i="1"/>
  <c r="CD184" i="1"/>
  <c r="I163" i="1"/>
  <c r="W163" i="1"/>
  <c r="Y163" i="1"/>
  <c r="AA163" i="1"/>
  <c r="AC163" i="1"/>
  <c r="AE163" i="1"/>
  <c r="BQ163" i="1"/>
  <c r="BS163" i="1"/>
  <c r="BU163" i="1"/>
  <c r="BW163" i="1"/>
  <c r="BY163" i="1"/>
  <c r="CA163" i="1"/>
  <c r="CG169" i="1"/>
  <c r="CC172" i="1"/>
  <c r="L173" i="1"/>
  <c r="R173" i="1"/>
  <c r="T173" i="1"/>
  <c r="Z173" i="1"/>
  <c r="AB173" i="1"/>
  <c r="AD173" i="1"/>
  <c r="AH173" i="1"/>
  <c r="AJ173" i="1"/>
  <c r="AL173" i="1"/>
  <c r="AP173" i="1"/>
  <c r="AR173" i="1"/>
  <c r="AT173" i="1"/>
  <c r="AX173" i="1"/>
  <c r="AZ173" i="1"/>
  <c r="BB173" i="1"/>
  <c r="N173" i="1"/>
  <c r="BC177" i="1"/>
  <c r="CG176" i="1"/>
  <c r="AG173" i="1"/>
  <c r="AI173" i="1"/>
  <c r="AK173" i="1"/>
  <c r="AM173" i="1"/>
  <c r="AO173" i="1"/>
  <c r="AQ173" i="1"/>
  <c r="AS173" i="1"/>
  <c r="AU173" i="1"/>
  <c r="AW173" i="1"/>
  <c r="AY173" i="1"/>
  <c r="BA173" i="1"/>
  <c r="BE173" i="1"/>
  <c r="BG173" i="1"/>
  <c r="BO173" i="1"/>
  <c r="CM173" i="1"/>
  <c r="CO173" i="1"/>
  <c r="AF179" i="1"/>
  <c r="Q189" i="1"/>
  <c r="AF189" i="1"/>
  <c r="G191" i="1"/>
  <c r="BC192" i="1"/>
  <c r="CC194" i="1"/>
  <c r="BC196" i="1"/>
  <c r="CC198" i="1"/>
  <c r="BC200" i="1"/>
  <c r="BI186" i="1"/>
  <c r="BM186" i="1"/>
  <c r="BQ186" i="1"/>
  <c r="BU186" i="1"/>
  <c r="BY186" i="1"/>
  <c r="V210" i="1"/>
  <c r="BH210" i="1"/>
  <c r="BP210" i="1"/>
  <c r="CL210" i="1"/>
  <c r="CC214" i="1"/>
  <c r="G215" i="1"/>
  <c r="BC216" i="1"/>
  <c r="CC216" i="1"/>
  <c r="CC223" i="1"/>
  <c r="K186" i="1"/>
  <c r="O186" i="1"/>
  <c r="S186" i="1"/>
  <c r="AI186" i="1"/>
  <c r="AM186" i="1"/>
  <c r="AQ186" i="1"/>
  <c r="AU186" i="1"/>
  <c r="BA186" i="1"/>
  <c r="CK186" i="1"/>
  <c r="CX186" i="1"/>
  <c r="AF210" i="1"/>
  <c r="CC218" i="1"/>
  <c r="G219" i="1"/>
  <c r="BC221" i="1"/>
  <c r="CC221" i="1"/>
  <c r="CD223" i="1"/>
  <c r="CV223" i="1"/>
  <c r="CV226" i="1"/>
  <c r="BC227" i="1"/>
  <c r="CC227" i="1"/>
  <c r="CD229" i="1"/>
  <c r="BC230" i="1"/>
  <c r="F230" i="1" s="1"/>
  <c r="CG229" i="1"/>
  <c r="BC234" i="1"/>
  <c r="AZ232" i="1"/>
  <c r="BB232" i="1"/>
  <c r="BC236" i="1"/>
  <c r="CC236" i="1"/>
  <c r="BC237" i="1"/>
  <c r="CC237" i="1"/>
  <c r="CL235" i="1"/>
  <c r="R232" i="1"/>
  <c r="T232" i="1"/>
  <c r="AH232" i="1"/>
  <c r="AJ232" i="1"/>
  <c r="AL232" i="1"/>
  <c r="AN232" i="1"/>
  <c r="AP232" i="1"/>
  <c r="AR232" i="1"/>
  <c r="AT232" i="1"/>
  <c r="AX232" i="1"/>
  <c r="BC239" i="1"/>
  <c r="CC239" i="1"/>
  <c r="G243" i="1"/>
  <c r="G244" i="1"/>
  <c r="G248" i="1"/>
  <c r="CC251" i="1"/>
  <c r="BC253" i="1"/>
  <c r="CC253" i="1"/>
  <c r="V250" i="1"/>
  <c r="V238" i="1" s="1"/>
  <c r="BH229" i="1"/>
  <c r="BP229" i="1"/>
  <c r="X232" i="1"/>
  <c r="Z232" i="1"/>
  <c r="AB232" i="1"/>
  <c r="AD232" i="1"/>
  <c r="AF250" i="1"/>
  <c r="AF238" i="1" s="1"/>
  <c r="BC255" i="1"/>
  <c r="G258" i="1"/>
  <c r="BC259" i="1"/>
  <c r="G262" i="1"/>
  <c r="BC263" i="1"/>
  <c r="M232" i="1"/>
  <c r="U232" i="1"/>
  <c r="BI232" i="1"/>
  <c r="BK232" i="1"/>
  <c r="BO232" i="1"/>
  <c r="CE232" i="1"/>
  <c r="CI232" i="1"/>
  <c r="CK232" i="1"/>
  <c r="CM232" i="1"/>
  <c r="CT232" i="1"/>
  <c r="N299" i="1"/>
  <c r="BJ299" i="1"/>
  <c r="CC265" i="1"/>
  <c r="CC267" i="1"/>
  <c r="G268" i="1"/>
  <c r="BC269" i="1"/>
  <c r="CC269" i="1"/>
  <c r="CC271" i="1"/>
  <c r="G272" i="1"/>
  <c r="BC273" i="1"/>
  <c r="CC273" i="1"/>
  <c r="CC275" i="1"/>
  <c r="G278" i="1"/>
  <c r="I232" i="1"/>
  <c r="BN279" i="1"/>
  <c r="Q279" i="1"/>
  <c r="AF279" i="1"/>
  <c r="G283" i="1"/>
  <c r="BC284" i="1"/>
  <c r="G287" i="1"/>
  <c r="BC288" i="1"/>
  <c r="G291" i="1"/>
  <c r="CD292" i="1"/>
  <c r="CV292" i="1"/>
  <c r="BD294" i="1"/>
  <c r="CB298" i="1"/>
  <c r="Q300" i="1"/>
  <c r="BF299" i="1"/>
  <c r="BB299" i="1"/>
  <c r="G20" i="1"/>
  <c r="V19" i="1"/>
  <c r="G17" i="1"/>
  <c r="G25" i="1"/>
  <c r="J23" i="1"/>
  <c r="J17" i="1"/>
  <c r="CD19" i="1"/>
  <c r="G44" i="1"/>
  <c r="V43" i="1"/>
  <c r="BH43" i="1"/>
  <c r="BP43" i="1"/>
  <c r="BC45" i="1"/>
  <c r="BD43" i="1"/>
  <c r="BN43" i="1"/>
  <c r="AF48" i="1"/>
  <c r="BB43" i="1"/>
  <c r="G42" i="1"/>
  <c r="J41" i="1"/>
  <c r="CC45" i="1"/>
  <c r="CD43" i="1"/>
  <c r="J47" i="1"/>
  <c r="L43" i="1"/>
  <c r="CU50" i="1"/>
  <c r="CV49" i="1"/>
  <c r="CU52" i="1"/>
  <c r="CV51" i="1"/>
  <c r="G54" i="1"/>
  <c r="G56" i="1"/>
  <c r="CB59" i="1"/>
  <c r="CH64" i="1"/>
  <c r="CJ64" i="1"/>
  <c r="CL64" i="1"/>
  <c r="CN64" i="1"/>
  <c r="CQ64" i="1"/>
  <c r="CS64" i="1"/>
  <c r="F68" i="1"/>
  <c r="G67" i="1"/>
  <c r="BD70" i="1"/>
  <c r="BH69" i="1"/>
  <c r="BP69" i="1"/>
  <c r="CC70" i="1"/>
  <c r="BC79" i="1"/>
  <c r="BD77" i="1"/>
  <c r="CB81" i="1"/>
  <c r="CU81" i="1"/>
  <c r="CV80" i="1"/>
  <c r="CU83" i="1"/>
  <c r="CV82" i="1"/>
  <c r="CB85" i="1"/>
  <c r="CV86" i="1"/>
  <c r="G87" i="1"/>
  <c r="J86" i="1"/>
  <c r="CC87" i="1"/>
  <c r="CD86" i="1"/>
  <c r="G88" i="1"/>
  <c r="BC95" i="1"/>
  <c r="BD93" i="1"/>
  <c r="J96" i="1"/>
  <c r="BD96" i="1"/>
  <c r="Q96" i="1"/>
  <c r="CG96" i="1"/>
  <c r="CD108" i="1"/>
  <c r="CU109" i="1"/>
  <c r="CV108" i="1"/>
  <c r="CU113" i="1"/>
  <c r="CV112" i="1"/>
  <c r="CB115" i="1"/>
  <c r="CU115" i="1"/>
  <c r="CV114" i="1"/>
  <c r="CU129" i="1"/>
  <c r="CV128" i="1"/>
  <c r="Q132" i="1"/>
  <c r="BD136" i="1"/>
  <c r="Q136" i="1"/>
  <c r="CU141" i="1"/>
  <c r="CV140" i="1"/>
  <c r="CU143" i="1"/>
  <c r="CV142" i="1"/>
  <c r="CU55" i="1"/>
  <c r="CV54" i="1"/>
  <c r="CU57" i="1"/>
  <c r="CV56" i="1"/>
  <c r="G61" i="1"/>
  <c r="J60" i="1"/>
  <c r="G63" i="1"/>
  <c r="J62" i="1"/>
  <c r="CU66" i="1"/>
  <c r="CV65" i="1"/>
  <c r="CB68" i="1"/>
  <c r="G73" i="1"/>
  <c r="J72" i="1"/>
  <c r="CB76" i="1"/>
  <c r="G78" i="1"/>
  <c r="J77" i="1"/>
  <c r="CC79" i="1"/>
  <c r="CD77" i="1"/>
  <c r="G82" i="1"/>
  <c r="BC87" i="1"/>
  <c r="BD86" i="1"/>
  <c r="CU89" i="1"/>
  <c r="CV88" i="1"/>
  <c r="CU91" i="1"/>
  <c r="CV90" i="1"/>
  <c r="G94" i="1"/>
  <c r="J93" i="1"/>
  <c r="CC95" i="1"/>
  <c r="CD93" i="1"/>
  <c r="CU97" i="1"/>
  <c r="CV96" i="1"/>
  <c r="G106" i="1"/>
  <c r="J105" i="1"/>
  <c r="F115" i="1"/>
  <c r="G114" i="1"/>
  <c r="G118" i="1"/>
  <c r="J117" i="1"/>
  <c r="G120" i="1"/>
  <c r="G123" i="1"/>
  <c r="J122" i="1"/>
  <c r="G126" i="1"/>
  <c r="CU133" i="1"/>
  <c r="CV132" i="1"/>
  <c r="CU137" i="1"/>
  <c r="CV136" i="1"/>
  <c r="CV149" i="1"/>
  <c r="G150" i="1"/>
  <c r="J149" i="1"/>
  <c r="V149" i="1"/>
  <c r="BH149" i="1"/>
  <c r="BP149" i="1"/>
  <c r="CC151" i="1"/>
  <c r="CD149" i="1"/>
  <c r="CV153" i="1"/>
  <c r="G154" i="1"/>
  <c r="J153" i="1"/>
  <c r="CC155" i="1"/>
  <c r="CD153" i="1"/>
  <c r="BD156" i="1"/>
  <c r="CG156" i="1"/>
  <c r="CU158" i="1"/>
  <c r="CV156" i="1"/>
  <c r="BO163" i="1"/>
  <c r="CH173" i="1"/>
  <c r="CU177" i="1"/>
  <c r="CV176" i="1"/>
  <c r="CB183" i="1"/>
  <c r="CC182" i="1"/>
  <c r="CC190" i="1"/>
  <c r="CD189" i="1"/>
  <c r="CU194" i="1"/>
  <c r="CV193" i="1"/>
  <c r="CU145" i="1"/>
  <c r="CV144" i="1"/>
  <c r="BC151" i="1"/>
  <c r="BD149" i="1"/>
  <c r="BC155" i="1"/>
  <c r="BD153" i="1"/>
  <c r="J157" i="1"/>
  <c r="K156" i="1"/>
  <c r="G165" i="1"/>
  <c r="J164" i="1"/>
  <c r="BC171" i="1"/>
  <c r="BD169" i="1"/>
  <c r="CU171" i="1"/>
  <c r="CV169" i="1"/>
  <c r="CU175" i="1"/>
  <c r="CV174" i="1"/>
  <c r="BC181" i="1"/>
  <c r="BD179" i="1"/>
  <c r="CU181" i="1"/>
  <c r="CV179" i="1"/>
  <c r="CB187" i="1"/>
  <c r="BC188" i="1"/>
  <c r="CU196" i="1"/>
  <c r="CV195" i="1"/>
  <c r="CU198" i="1"/>
  <c r="CV197" i="1"/>
  <c r="CU200" i="1"/>
  <c r="CV199" i="1"/>
  <c r="CB202" i="1"/>
  <c r="G211" i="1"/>
  <c r="J210" i="1"/>
  <c r="CC212" i="1"/>
  <c r="CD210" i="1"/>
  <c r="G224" i="1"/>
  <c r="J223" i="1"/>
  <c r="G226" i="1"/>
  <c r="CU230" i="1"/>
  <c r="CV229" i="1"/>
  <c r="CU234" i="1"/>
  <c r="CV233" i="1"/>
  <c r="BC251" i="1"/>
  <c r="BD250" i="1"/>
  <c r="BD238" i="1" s="1"/>
  <c r="CU251" i="1"/>
  <c r="CV250" i="1"/>
  <c r="CV238" i="1" s="1"/>
  <c r="BC280" i="1"/>
  <c r="BD279" i="1"/>
  <c r="CU280" i="1"/>
  <c r="CV279" i="1"/>
  <c r="G301" i="1"/>
  <c r="J300" i="1"/>
  <c r="CU301" i="1"/>
  <c r="CV300" i="1"/>
  <c r="G170" i="1"/>
  <c r="J169" i="1"/>
  <c r="V169" i="1"/>
  <c r="CC171" i="1"/>
  <c r="CD169" i="1"/>
  <c r="CW173" i="1"/>
  <c r="J175" i="1"/>
  <c r="K174" i="1"/>
  <c r="M173" i="1"/>
  <c r="Q173" i="1"/>
  <c r="O173" i="1"/>
  <c r="S173" i="1"/>
  <c r="U173" i="1"/>
  <c r="BI173" i="1"/>
  <c r="BK173" i="1"/>
  <c r="BM173" i="1"/>
  <c r="CE173" i="1"/>
  <c r="CI173" i="1"/>
  <c r="CK173" i="1"/>
  <c r="G180" i="1"/>
  <c r="J179" i="1"/>
  <c r="CC181" i="1"/>
  <c r="CD179" i="1"/>
  <c r="G182" i="1"/>
  <c r="G185" i="1"/>
  <c r="J184" i="1"/>
  <c r="G187" i="1"/>
  <c r="BH186" i="1"/>
  <c r="CC188" i="1"/>
  <c r="CW186" i="1"/>
  <c r="CU190" i="1"/>
  <c r="CV189" i="1"/>
  <c r="G193" i="1"/>
  <c r="F198" i="1"/>
  <c r="G197" i="1"/>
  <c r="G199" i="1"/>
  <c r="BC212" i="1"/>
  <c r="BD210" i="1"/>
  <c r="BN210" i="1"/>
  <c r="CD226" i="1"/>
  <c r="J229" i="1"/>
  <c r="BD229" i="1"/>
  <c r="BD233" i="1"/>
  <c r="CD235" i="1"/>
  <c r="AF237" i="1"/>
  <c r="AY235" i="1"/>
  <c r="G241" i="1"/>
  <c r="CR238" i="1"/>
  <c r="BC245" i="1"/>
  <c r="G252" i="1"/>
  <c r="J250" i="1"/>
  <c r="J238" i="1" s="1"/>
  <c r="BH250" i="1"/>
  <c r="BH238" i="1" s="1"/>
  <c r="BP250" i="1"/>
  <c r="BP238" i="1" s="1"/>
  <c r="CL250" i="1"/>
  <c r="CL238" i="1" s="1"/>
  <c r="G281" i="1"/>
  <c r="J279" i="1"/>
  <c r="V279" i="1"/>
  <c r="BH279" i="1"/>
  <c r="BP279" i="1"/>
  <c r="CL279" i="1"/>
  <c r="BC298" i="1"/>
  <c r="BD297" i="1"/>
  <c r="CU298" i="1"/>
  <c r="CV297" i="1"/>
  <c r="G309" i="1"/>
  <c r="J308" i="1"/>
  <c r="CH232" i="1"/>
  <c r="CJ232" i="1"/>
  <c r="CN232" i="1"/>
  <c r="CQ232" i="1"/>
  <c r="CS232" i="1"/>
  <c r="G233" i="1"/>
  <c r="CU236" i="1"/>
  <c r="CV235" i="1"/>
  <c r="CU239" i="1"/>
  <c r="Q250" i="1"/>
  <c r="Q238" i="1" s="1"/>
  <c r="CG250" i="1"/>
  <c r="CG238" i="1" s="1"/>
  <c r="CG279" i="1"/>
  <c r="G293" i="1"/>
  <c r="J292" i="1"/>
  <c r="G295" i="1"/>
  <c r="J294" i="1"/>
  <c r="BH305" i="1"/>
  <c r="BK304" i="1"/>
  <c r="G307" i="1"/>
  <c r="J306" i="1"/>
  <c r="V299" i="1"/>
  <c r="CD308" i="1"/>
  <c r="I299" i="1"/>
  <c r="W299" i="1"/>
  <c r="Y299" i="1"/>
  <c r="AA299" i="1"/>
  <c r="AC299" i="1"/>
  <c r="AE299" i="1"/>
  <c r="AG299" i="1"/>
  <c r="AI299" i="1"/>
  <c r="AK299" i="1"/>
  <c r="AM299" i="1"/>
  <c r="AO299" i="1"/>
  <c r="AQ299" i="1"/>
  <c r="AS299" i="1"/>
  <c r="AU299" i="1"/>
  <c r="AW299" i="1"/>
  <c r="AY299" i="1"/>
  <c r="BA299" i="1"/>
  <c r="BE299" i="1"/>
  <c r="BG299" i="1"/>
  <c r="BQ299" i="1"/>
  <c r="BS299" i="1"/>
  <c r="BU299" i="1"/>
  <c r="BW299" i="1"/>
  <c r="BY299" i="1"/>
  <c r="CA299" i="1"/>
  <c r="CX299" i="1"/>
  <c r="G297" i="1"/>
  <c r="CC301" i="1"/>
  <c r="CD300" i="1"/>
  <c r="CB305" i="1"/>
  <c r="K299" i="1"/>
  <c r="M299" i="1"/>
  <c r="O299" i="1"/>
  <c r="S299" i="1"/>
  <c r="U299" i="1"/>
  <c r="BI299" i="1"/>
  <c r="BM299" i="1"/>
  <c r="BO299" i="1"/>
  <c r="CE299" i="1"/>
  <c r="CI299" i="1"/>
  <c r="CK299" i="1"/>
  <c r="CM299" i="1"/>
  <c r="CO299" i="1"/>
  <c r="CR299" i="1"/>
  <c r="CT299" i="1"/>
  <c r="BC309" i="1"/>
  <c r="BD308" i="1"/>
  <c r="G313" i="1"/>
  <c r="J312" i="1"/>
  <c r="G315" i="1"/>
  <c r="J314" i="1"/>
  <c r="G317" i="1"/>
  <c r="J316" i="1"/>
  <c r="CB175" i="1" l="1"/>
  <c r="F181" i="1"/>
  <c r="G201" i="1"/>
  <c r="AF23" i="1"/>
  <c r="F121" i="1"/>
  <c r="F214" i="1"/>
  <c r="BP127" i="1"/>
  <c r="BN299" i="1"/>
  <c r="CU210" i="1"/>
  <c r="BH173" i="1"/>
  <c r="CL299" i="1"/>
  <c r="BP299" i="1"/>
  <c r="F271" i="1"/>
  <c r="CC201" i="1"/>
  <c r="F194" i="1"/>
  <c r="CC136" i="1"/>
  <c r="G36" i="1"/>
  <c r="G23" i="1" s="1"/>
  <c r="G96" i="1"/>
  <c r="G108" i="1"/>
  <c r="F190" i="1"/>
  <c r="G140" i="1"/>
  <c r="G136" i="1"/>
  <c r="F89" i="1"/>
  <c r="G80" i="1"/>
  <c r="F81" i="1"/>
  <c r="E81" i="1" s="1"/>
  <c r="G58" i="1"/>
  <c r="F57" i="1"/>
  <c r="F55" i="1"/>
  <c r="F54" i="1" s="1"/>
  <c r="G49" i="1"/>
  <c r="Q16" i="1"/>
  <c r="F26" i="1"/>
  <c r="F18" i="1"/>
  <c r="F17" i="1" s="1"/>
  <c r="CB236" i="1"/>
  <c r="J186" i="1"/>
  <c r="AF132" i="1"/>
  <c r="AX299" i="1"/>
  <c r="AX318" i="1" s="1"/>
  <c r="BH304" i="1"/>
  <c r="BC297" i="1"/>
  <c r="AF235" i="1"/>
  <c r="CU300" i="1"/>
  <c r="CU279" i="1"/>
  <c r="CV228" i="1"/>
  <c r="CU199" i="1"/>
  <c r="CU195" i="1"/>
  <c r="CG148" i="1"/>
  <c r="BH148" i="1"/>
  <c r="CU136" i="1"/>
  <c r="CU132" i="1"/>
  <c r="CB75" i="1"/>
  <c r="CB67" i="1"/>
  <c r="CU54" i="1"/>
  <c r="CU114" i="1"/>
  <c r="CB112" i="1"/>
  <c r="CU108" i="1"/>
  <c r="CU80" i="1"/>
  <c r="BD69" i="1"/>
  <c r="L16" i="1"/>
  <c r="L318" i="1" s="1"/>
  <c r="BH16" i="1"/>
  <c r="F36" i="1"/>
  <c r="F273" i="1"/>
  <c r="CB271" i="1"/>
  <c r="CB267" i="1"/>
  <c r="CB310" i="1"/>
  <c r="BH228" i="1"/>
  <c r="CB253" i="1"/>
  <c r="CB251" i="1"/>
  <c r="BC229" i="1"/>
  <c r="CV225" i="1"/>
  <c r="CD222" i="1"/>
  <c r="CB218" i="1"/>
  <c r="E218" i="1" s="1"/>
  <c r="CC222" i="1"/>
  <c r="F215" i="1"/>
  <c r="BC199" i="1"/>
  <c r="BP163" i="1"/>
  <c r="F162" i="1"/>
  <c r="CB160" i="1"/>
  <c r="CC140" i="1"/>
  <c r="J127" i="1"/>
  <c r="CC112" i="1"/>
  <c r="CG107" i="1"/>
  <c r="BH92" i="1"/>
  <c r="BC90" i="1"/>
  <c r="CC82" i="1"/>
  <c r="CL74" i="1"/>
  <c r="BP74" i="1"/>
  <c r="F134" i="1"/>
  <c r="CD69" i="1"/>
  <c r="BC65" i="1"/>
  <c r="CB56" i="1"/>
  <c r="CB39" i="1"/>
  <c r="F37" i="1"/>
  <c r="F33" i="1"/>
  <c r="F30" i="1"/>
  <c r="CB22" i="1"/>
  <c r="CB62" i="1"/>
  <c r="G75" i="1"/>
  <c r="CB30" i="1"/>
  <c r="CB41" i="1"/>
  <c r="BC316" i="1"/>
  <c r="CB315" i="1"/>
  <c r="G310" i="1"/>
  <c r="BC294" i="1"/>
  <c r="CB293" i="1"/>
  <c r="CB290" i="1"/>
  <c r="CB285" i="1"/>
  <c r="CB282" i="1"/>
  <c r="CB274" i="1"/>
  <c r="CB270" i="1"/>
  <c r="CB266" i="1"/>
  <c r="CB312" i="1"/>
  <c r="CB261" i="1"/>
  <c r="CB256" i="1"/>
  <c r="F247" i="1"/>
  <c r="CB242" i="1"/>
  <c r="F240" i="1"/>
  <c r="F231" i="1"/>
  <c r="BN228" i="1"/>
  <c r="F208" i="1"/>
  <c r="F206" i="1"/>
  <c r="F202" i="1"/>
  <c r="CC199" i="1"/>
  <c r="CC195" i="1"/>
  <c r="CB192" i="1"/>
  <c r="BN173" i="1"/>
  <c r="CB180" i="1"/>
  <c r="CB178" i="1"/>
  <c r="CB168" i="1"/>
  <c r="CF148" i="1"/>
  <c r="CB110" i="1"/>
  <c r="CB101" i="1"/>
  <c r="CB97" i="1"/>
  <c r="CC90" i="1"/>
  <c r="BC58" i="1"/>
  <c r="CC56" i="1"/>
  <c r="CB147" i="1"/>
  <c r="G144" i="1"/>
  <c r="CC142" i="1"/>
  <c r="CB138" i="1"/>
  <c r="BC75" i="1"/>
  <c r="AS74" i="1"/>
  <c r="AS318" i="1" s="1"/>
  <c r="CB105" i="1"/>
  <c r="CD53" i="1"/>
  <c r="G51" i="1"/>
  <c r="CB47" i="1"/>
  <c r="CC41" i="1"/>
  <c r="CB38" i="1"/>
  <c r="CB33" i="1"/>
  <c r="CB28" i="1"/>
  <c r="AI16" i="1"/>
  <c r="AF19" i="1"/>
  <c r="CB291" i="1"/>
  <c r="CB284" i="1"/>
  <c r="CB283" i="1"/>
  <c r="F270" i="1"/>
  <c r="E270" i="1" s="1"/>
  <c r="CB268" i="1"/>
  <c r="CB259" i="1"/>
  <c r="CB258" i="1"/>
  <c r="CB243" i="1"/>
  <c r="CB311" i="1"/>
  <c r="E311" i="1" s="1"/>
  <c r="CF299" i="1"/>
  <c r="CU304" i="1"/>
  <c r="CF232" i="1"/>
  <c r="CB231" i="1"/>
  <c r="CG186" i="1"/>
  <c r="CB209" i="1"/>
  <c r="CB205" i="1"/>
  <c r="BC193" i="1"/>
  <c r="BC174" i="1"/>
  <c r="CG116" i="1"/>
  <c r="AO163" i="1"/>
  <c r="CC124" i="1"/>
  <c r="CB118" i="1"/>
  <c r="CB98" i="1"/>
  <c r="CC84" i="1"/>
  <c r="BC80" i="1"/>
  <c r="CB73" i="1"/>
  <c r="BC62" i="1"/>
  <c r="CU182" i="1"/>
  <c r="P127" i="1"/>
  <c r="CU122" i="1"/>
  <c r="J107" i="1"/>
  <c r="CU77" i="1"/>
  <c r="BD53" i="1"/>
  <c r="CU58" i="1"/>
  <c r="CB34" i="1"/>
  <c r="F27" i="1"/>
  <c r="CB25" i="1"/>
  <c r="CB24" i="1"/>
  <c r="CB317" i="1"/>
  <c r="CB313" i="1"/>
  <c r="CG308" i="1"/>
  <c r="BC306" i="1"/>
  <c r="G177" i="1"/>
  <c r="F177" i="1" s="1"/>
  <c r="F167" i="1"/>
  <c r="CB288" i="1"/>
  <c r="CB287" i="1"/>
  <c r="F266" i="1"/>
  <c r="CB263" i="1"/>
  <c r="CB262" i="1"/>
  <c r="CB249" i="1"/>
  <c r="CB219" i="1"/>
  <c r="BH116" i="1"/>
  <c r="Q116" i="1"/>
  <c r="J296" i="1"/>
  <c r="F178" i="1"/>
  <c r="CB161" i="1"/>
  <c r="CB137" i="1"/>
  <c r="BC292" i="1"/>
  <c r="CC119" i="1"/>
  <c r="F38" i="1"/>
  <c r="CC297" i="1"/>
  <c r="CC233" i="1"/>
  <c r="BC310" i="1"/>
  <c r="Q163" i="1"/>
  <c r="CB102" i="1"/>
  <c r="CB100" i="1"/>
  <c r="BC41" i="1"/>
  <c r="CB36" i="1"/>
  <c r="CB167" i="1"/>
  <c r="CB166" i="1"/>
  <c r="CB121" i="1"/>
  <c r="CB303" i="1"/>
  <c r="CB255" i="1"/>
  <c r="CB254" i="1"/>
  <c r="CB248" i="1"/>
  <c r="CB245" i="1"/>
  <c r="CB244" i="1"/>
  <c r="CB208" i="1"/>
  <c r="CB204" i="1"/>
  <c r="F110" i="1"/>
  <c r="F108" i="1" s="1"/>
  <c r="BC67" i="1"/>
  <c r="BC60" i="1"/>
  <c r="S16" i="1"/>
  <c r="CB60" i="1"/>
  <c r="BC114" i="1"/>
  <c r="CB220" i="1"/>
  <c r="CB295" i="1"/>
  <c r="AF156" i="1"/>
  <c r="BN107" i="1"/>
  <c r="AJ16" i="1"/>
  <c r="BC314" i="1"/>
  <c r="BC223" i="1"/>
  <c r="CB211" i="1"/>
  <c r="BC197" i="1"/>
  <c r="CB191" i="1"/>
  <c r="CB31" i="1"/>
  <c r="CB29" i="1"/>
  <c r="CB32" i="1"/>
  <c r="F276" i="1"/>
  <c r="CU314" i="1"/>
  <c r="CU310" i="1"/>
  <c r="BN296" i="1"/>
  <c r="V296" i="1"/>
  <c r="CU292" i="1"/>
  <c r="CL228" i="1"/>
  <c r="V228" i="1"/>
  <c r="CR225" i="1"/>
  <c r="CG225" i="1"/>
  <c r="BP225" i="1"/>
  <c r="BH225" i="1"/>
  <c r="AF225" i="1"/>
  <c r="Q225" i="1"/>
  <c r="CL222" i="1"/>
  <c r="BN222" i="1"/>
  <c r="BN318" i="1" s="1"/>
  <c r="V222" i="1"/>
  <c r="CP318" i="1"/>
  <c r="V107" i="1"/>
  <c r="CD104" i="1"/>
  <c r="CB277" i="1"/>
  <c r="CU316" i="1"/>
  <c r="CU312" i="1"/>
  <c r="CU306" i="1"/>
  <c r="BP296" i="1"/>
  <c r="BH296" i="1"/>
  <c r="AF296" i="1"/>
  <c r="Q296" i="1"/>
  <c r="CU294" i="1"/>
  <c r="AF228" i="1"/>
  <c r="Q228" i="1"/>
  <c r="CU226" i="1"/>
  <c r="CL225" i="1"/>
  <c r="BN225" i="1"/>
  <c r="BD225" i="1"/>
  <c r="V225" i="1"/>
  <c r="CU223" i="1"/>
  <c r="CG222" i="1"/>
  <c r="BP222" i="1"/>
  <c r="BH222" i="1"/>
  <c r="AF222" i="1"/>
  <c r="Q222" i="1"/>
  <c r="BC308" i="1"/>
  <c r="G296" i="1"/>
  <c r="E271" i="1"/>
  <c r="CU297" i="1"/>
  <c r="F241" i="1"/>
  <c r="J228" i="1"/>
  <c r="BN186" i="1"/>
  <c r="CU189" i="1"/>
  <c r="CB188" i="1"/>
  <c r="CD173" i="1"/>
  <c r="F280" i="1"/>
  <c r="CU250" i="1"/>
  <c r="CU238" i="1" s="1"/>
  <c r="G225" i="1"/>
  <c r="CU197" i="1"/>
  <c r="BD173" i="1"/>
  <c r="BD163" i="1"/>
  <c r="K148" i="1"/>
  <c r="CU96" i="1"/>
  <c r="BD74" i="1"/>
  <c r="CU65" i="1"/>
  <c r="CU56" i="1"/>
  <c r="CU142" i="1"/>
  <c r="CU140" i="1"/>
  <c r="BC93" i="1"/>
  <c r="CB82" i="1"/>
  <c r="CB58" i="1"/>
  <c r="BB16" i="1"/>
  <c r="BB318" i="1" s="1"/>
  <c r="BN16" i="1"/>
  <c r="CB275" i="1"/>
  <c r="F269" i="1"/>
  <c r="F263" i="1"/>
  <c r="F259" i="1"/>
  <c r="F255" i="1"/>
  <c r="CB314" i="1"/>
  <c r="BC233" i="1"/>
  <c r="CC226" i="1"/>
  <c r="CB216" i="1"/>
  <c r="CL186" i="1"/>
  <c r="BC195" i="1"/>
  <c r="BC189" i="1"/>
  <c r="AF173" i="1"/>
  <c r="AF163" i="1"/>
  <c r="CB158" i="1"/>
  <c r="CB133" i="1"/>
  <c r="BC108" i="1"/>
  <c r="BC49" i="1"/>
  <c r="BD299" i="1"/>
  <c r="BE318" i="1"/>
  <c r="AM318" i="1"/>
  <c r="BK299" i="1"/>
  <c r="Q299" i="1"/>
  <c r="F245" i="1"/>
  <c r="G237" i="1"/>
  <c r="G235" i="1" s="1"/>
  <c r="CU235" i="1"/>
  <c r="F234" i="1"/>
  <c r="F233" i="1" s="1"/>
  <c r="CV296" i="1"/>
  <c r="BD296" i="1"/>
  <c r="CR232" i="1"/>
  <c r="AY232" i="1"/>
  <c r="BD228" i="1"/>
  <c r="CD225" i="1"/>
  <c r="F188" i="1"/>
  <c r="K173" i="1"/>
  <c r="CV299" i="1"/>
  <c r="CB239" i="1"/>
  <c r="CU233" i="1"/>
  <c r="CU229" i="1"/>
  <c r="J222" i="1"/>
  <c r="CU179" i="1"/>
  <c r="BC179" i="1"/>
  <c r="CU174" i="1"/>
  <c r="CB174" i="1"/>
  <c r="CU169" i="1"/>
  <c r="BC169" i="1"/>
  <c r="BC153" i="1"/>
  <c r="BC149" i="1"/>
  <c r="CU144" i="1"/>
  <c r="CU193" i="1"/>
  <c r="CB182" i="1"/>
  <c r="CU176" i="1"/>
  <c r="CL173" i="1"/>
  <c r="CU156" i="1"/>
  <c r="V148" i="1"/>
  <c r="G119" i="1"/>
  <c r="G107" i="1"/>
  <c r="J104" i="1"/>
  <c r="CV92" i="1"/>
  <c r="CD92" i="1"/>
  <c r="J92" i="1"/>
  <c r="CG92" i="1"/>
  <c r="CU90" i="1"/>
  <c r="CU88" i="1"/>
  <c r="BC86" i="1"/>
  <c r="CV64" i="1"/>
  <c r="CB141" i="1"/>
  <c r="F137" i="1"/>
  <c r="F131" i="1"/>
  <c r="CU128" i="1"/>
  <c r="CB114" i="1"/>
  <c r="CU112" i="1"/>
  <c r="CV107" i="1"/>
  <c r="CD107" i="1"/>
  <c r="Q92" i="1"/>
  <c r="CB84" i="1"/>
  <c r="CU82" i="1"/>
  <c r="CB80" i="1"/>
  <c r="BC77" i="1"/>
  <c r="CB70" i="1"/>
  <c r="CU51" i="1"/>
  <c r="CU49" i="1"/>
  <c r="G47" i="1"/>
  <c r="BD16" i="1"/>
  <c r="BP16" i="1"/>
  <c r="V16" i="1"/>
  <c r="CB297" i="1"/>
  <c r="F288" i="1"/>
  <c r="F284" i="1"/>
  <c r="CB273" i="1"/>
  <c r="CB269" i="1"/>
  <c r="CB265" i="1"/>
  <c r="BC300" i="1"/>
  <c r="BP228" i="1"/>
  <c r="CC228" i="1"/>
  <c r="F243" i="1"/>
  <c r="F239" i="1"/>
  <c r="CB237" i="1"/>
  <c r="CB233" i="1"/>
  <c r="CG228" i="1"/>
  <c r="CD228" i="1"/>
  <c r="BC226" i="1"/>
  <c r="CV222" i="1"/>
  <c r="CB221" i="1"/>
  <c r="CB223" i="1"/>
  <c r="F216" i="1"/>
  <c r="CB214" i="1"/>
  <c r="BP186" i="1"/>
  <c r="V186" i="1"/>
  <c r="CB200" i="1"/>
  <c r="F191" i="1"/>
  <c r="Q186" i="1"/>
  <c r="CG173" i="1"/>
  <c r="CB172" i="1"/>
  <c r="CG163" i="1"/>
  <c r="F204" i="1"/>
  <c r="V173" i="1"/>
  <c r="CL163" i="1"/>
  <c r="BH163" i="1"/>
  <c r="CB162" i="1"/>
  <c r="F161" i="1"/>
  <c r="CL148" i="1"/>
  <c r="F158" i="1"/>
  <c r="E158" i="1" s="1"/>
  <c r="BC144" i="1"/>
  <c r="BC142" i="1"/>
  <c r="BC140" i="1"/>
  <c r="CF127" i="1"/>
  <c r="AU127" i="1"/>
  <c r="BC132" i="1"/>
  <c r="F130" i="1"/>
  <c r="V127" i="1"/>
  <c r="BC112" i="1"/>
  <c r="CC108" i="1"/>
  <c r="F101" i="1"/>
  <c r="F97" i="1"/>
  <c r="E97" i="1" s="1"/>
  <c r="BN92" i="1"/>
  <c r="CU184" i="1"/>
  <c r="Q148" i="1"/>
  <c r="AF92" i="1"/>
  <c r="CB122" i="1"/>
  <c r="BC82" i="1"/>
  <c r="BN74" i="1"/>
  <c r="BH74" i="1"/>
  <c r="CB48" i="1"/>
  <c r="AF74" i="1"/>
  <c r="CV69" i="1"/>
  <c r="BC70" i="1"/>
  <c r="CB65" i="1"/>
  <c r="BC56" i="1"/>
  <c r="CL16" i="1"/>
  <c r="CB37" i="1"/>
  <c r="F32" i="1"/>
  <c r="BC19" i="1"/>
  <c r="V74" i="1"/>
  <c r="G21" i="1"/>
  <c r="CC304" i="1"/>
  <c r="CB304" i="1" s="1"/>
  <c r="CB302" i="1"/>
  <c r="BC312" i="1"/>
  <c r="AF300" i="1"/>
  <c r="CB289" i="1"/>
  <c r="CB286" i="1"/>
  <c r="CB281" i="1"/>
  <c r="CB316" i="1"/>
  <c r="CB260" i="1"/>
  <c r="CB257" i="1"/>
  <c r="CB247" i="1"/>
  <c r="CB246" i="1"/>
  <c r="CB241" i="1"/>
  <c r="CB230" i="1"/>
  <c r="E230" i="1" s="1"/>
  <c r="BD222" i="1"/>
  <c r="F213" i="1"/>
  <c r="F209" i="1"/>
  <c r="F207" i="1"/>
  <c r="F205" i="1"/>
  <c r="BC182" i="1"/>
  <c r="CF173" i="1"/>
  <c r="BN163" i="1"/>
  <c r="CB170" i="1"/>
  <c r="CB159" i="1"/>
  <c r="BC117" i="1"/>
  <c r="F102" i="1"/>
  <c r="F98" i="1"/>
  <c r="BC84" i="1"/>
  <c r="CF74" i="1"/>
  <c r="CB152" i="1"/>
  <c r="CB146" i="1"/>
  <c r="CB144" i="1" s="1"/>
  <c r="CB139" i="1"/>
  <c r="CB135" i="1"/>
  <c r="BC105" i="1"/>
  <c r="BD64" i="1"/>
  <c r="CD64" i="1"/>
  <c r="CC117" i="1"/>
  <c r="CC58" i="1"/>
  <c r="BC51" i="1"/>
  <c r="CC49" i="1"/>
  <c r="AA16" i="1"/>
  <c r="F34" i="1"/>
  <c r="F29" i="1"/>
  <c r="CB27" i="1"/>
  <c r="F24" i="1"/>
  <c r="H16" i="1"/>
  <c r="H318" i="1" s="1"/>
  <c r="CB20" i="1"/>
  <c r="BZ16" i="1"/>
  <c r="CB18" i="1"/>
  <c r="F285" i="1"/>
  <c r="CB278" i="1"/>
  <c r="F260" i="1"/>
  <c r="F254" i="1"/>
  <c r="CB252" i="1"/>
  <c r="BN116" i="1"/>
  <c r="CU308" i="1"/>
  <c r="CC240" i="1"/>
  <c r="CB217" i="1"/>
  <c r="CB207" i="1"/>
  <c r="CB203" i="1"/>
  <c r="F159" i="1"/>
  <c r="CB157" i="1"/>
  <c r="CB154" i="1"/>
  <c r="J225" i="1"/>
  <c r="G172" i="1"/>
  <c r="CB131" i="1"/>
  <c r="CB130" i="1"/>
  <c r="CC105" i="1"/>
  <c r="CB99" i="1"/>
  <c r="CC80" i="1"/>
  <c r="BC72" i="1"/>
  <c r="CC65" i="1"/>
  <c r="CC134" i="1"/>
  <c r="CC132" i="1" s="1"/>
  <c r="CB40" i="1"/>
  <c r="CB35" i="1"/>
  <c r="CB26" i="1"/>
  <c r="X16" i="1"/>
  <c r="CU93" i="1"/>
  <c r="CU92" i="1" s="1"/>
  <c r="P173" i="1"/>
  <c r="F168" i="1"/>
  <c r="CB264" i="1"/>
  <c r="BP116" i="1"/>
  <c r="F146" i="1"/>
  <c r="V92" i="1"/>
  <c r="BC54" i="1"/>
  <c r="BC17" i="1"/>
  <c r="CB46" i="1"/>
  <c r="CB280" i="1"/>
  <c r="F274" i="1"/>
  <c r="CB272" i="1"/>
  <c r="CC306" i="1"/>
  <c r="CB103" i="1"/>
  <c r="CB78" i="1"/>
  <c r="CB44" i="1"/>
  <c r="F302" i="1"/>
  <c r="F256" i="1"/>
  <c r="F246" i="1"/>
  <c r="P232" i="1"/>
  <c r="CB206" i="1"/>
  <c r="CB150" i="1"/>
  <c r="BD107" i="1"/>
  <c r="CF16" i="1"/>
  <c r="CB94" i="1"/>
  <c r="CC114" i="1"/>
  <c r="CL107" i="1"/>
  <c r="BC88" i="1"/>
  <c r="CB125" i="1"/>
  <c r="AF308" i="1"/>
  <c r="CB213" i="1"/>
  <c r="BC184" i="1"/>
  <c r="BC122" i="1"/>
  <c r="CB21" i="1"/>
  <c r="CB215" i="1"/>
  <c r="F277" i="1"/>
  <c r="CB276" i="1"/>
  <c r="Q111" i="1"/>
  <c r="CU105" i="1"/>
  <c r="BP104" i="1"/>
  <c r="BH104" i="1"/>
  <c r="AF104" i="1"/>
  <c r="CU153" i="1"/>
  <c r="CU117" i="1"/>
  <c r="BP107" i="1"/>
  <c r="BH107" i="1"/>
  <c r="AF107" i="1"/>
  <c r="Q107" i="1"/>
  <c r="CL104" i="1"/>
  <c r="BN104" i="1"/>
  <c r="V104" i="1"/>
  <c r="F76" i="1"/>
  <c r="E76" i="1" s="1"/>
  <c r="CC292" i="1"/>
  <c r="F244" i="1"/>
  <c r="F28" i="1"/>
  <c r="AV318" i="1"/>
  <c r="BD127" i="1"/>
  <c r="BN232" i="1"/>
  <c r="F171" i="1"/>
  <c r="F160" i="1"/>
  <c r="CC128" i="1"/>
  <c r="F203" i="1"/>
  <c r="BC201" i="1"/>
  <c r="CL127" i="1"/>
  <c r="F31" i="1"/>
  <c r="CO318" i="1"/>
  <c r="Q232" i="1"/>
  <c r="F252" i="1"/>
  <c r="G229" i="1"/>
  <c r="CD163" i="1"/>
  <c r="G189" i="1"/>
  <c r="CV163" i="1"/>
  <c r="F145" i="1"/>
  <c r="F143" i="1"/>
  <c r="F141" i="1"/>
  <c r="E141" i="1" s="1"/>
  <c r="F113" i="1"/>
  <c r="E113" i="1" s="1"/>
  <c r="F79" i="1"/>
  <c r="CB109" i="1"/>
  <c r="CC96" i="1"/>
  <c r="CC69" i="1"/>
  <c r="F66" i="1"/>
  <c r="F65" i="1" s="1"/>
  <c r="F52" i="1"/>
  <c r="F278" i="1"/>
  <c r="F272" i="1"/>
  <c r="F268" i="1"/>
  <c r="F262" i="1"/>
  <c r="F236" i="1"/>
  <c r="AF186" i="1"/>
  <c r="F100" i="1"/>
  <c r="CC144" i="1"/>
  <c r="BP92" i="1"/>
  <c r="F46" i="1"/>
  <c r="E266" i="1"/>
  <c r="F59" i="1"/>
  <c r="CV116" i="1"/>
  <c r="J64" i="1"/>
  <c r="CB126" i="1"/>
  <c r="CL116" i="1"/>
  <c r="F138" i="1"/>
  <c r="F220" i="1"/>
  <c r="F152" i="1"/>
  <c r="CM318" i="1"/>
  <c r="CX318" i="1"/>
  <c r="BY318" i="1"/>
  <c r="BU318" i="1"/>
  <c r="BQ318" i="1"/>
  <c r="AQ318" i="1"/>
  <c r="AE318" i="1"/>
  <c r="W318" i="1"/>
  <c r="CC250" i="1"/>
  <c r="G250" i="1"/>
  <c r="G238" i="1" s="1"/>
  <c r="CD232" i="1"/>
  <c r="CB227" i="1"/>
  <c r="BC210" i="1"/>
  <c r="F200" i="1"/>
  <c r="F192" i="1"/>
  <c r="BC176" i="1"/>
  <c r="CC156" i="1"/>
  <c r="F95" i="1"/>
  <c r="CD74" i="1"/>
  <c r="G132" i="1"/>
  <c r="F50" i="1"/>
  <c r="G48" i="1"/>
  <c r="G43" i="1" s="1"/>
  <c r="E39" i="1"/>
  <c r="F291" i="1"/>
  <c r="F283" i="1"/>
  <c r="F258" i="1"/>
  <c r="F253" i="1"/>
  <c r="F248" i="1"/>
  <c r="E243" i="1"/>
  <c r="F219" i="1"/>
  <c r="CB50" i="1"/>
  <c r="F275" i="1"/>
  <c r="F267" i="1"/>
  <c r="F249" i="1"/>
  <c r="F217" i="1"/>
  <c r="F85" i="1"/>
  <c r="F133" i="1"/>
  <c r="E133" i="1" s="1"/>
  <c r="CG16" i="1"/>
  <c r="J111" i="1"/>
  <c r="F289" i="1"/>
  <c r="F166" i="1"/>
  <c r="CC235" i="1"/>
  <c r="F22" i="1"/>
  <c r="F251" i="1"/>
  <c r="BN127" i="1"/>
  <c r="CD186" i="1"/>
  <c r="CT318" i="1"/>
  <c r="CA318" i="1"/>
  <c r="BW318" i="1"/>
  <c r="BS318" i="1"/>
  <c r="BG318" i="1"/>
  <c r="BA318" i="1"/>
  <c r="AW318" i="1"/>
  <c r="AK318" i="1"/>
  <c r="AG318" i="1"/>
  <c r="CC279" i="1"/>
  <c r="V232" i="1"/>
  <c r="E214" i="1"/>
  <c r="BD186" i="1"/>
  <c r="F196" i="1"/>
  <c r="CV186" i="1"/>
  <c r="F183" i="1"/>
  <c r="V163" i="1"/>
  <c r="BC250" i="1"/>
  <c r="BC238" i="1" s="1"/>
  <c r="F227" i="1"/>
  <c r="BP148" i="1"/>
  <c r="G128" i="1"/>
  <c r="F135" i="1"/>
  <c r="F132" i="1" s="1"/>
  <c r="F91" i="1"/>
  <c r="CB136" i="1"/>
  <c r="BC43" i="1"/>
  <c r="CC23" i="1"/>
  <c r="CC19" i="1"/>
  <c r="F287" i="1"/>
  <c r="F303" i="1"/>
  <c r="X318" i="1"/>
  <c r="CB196" i="1"/>
  <c r="CU164" i="1"/>
  <c r="BN148" i="1"/>
  <c r="CB143" i="1"/>
  <c r="BC136" i="1"/>
  <c r="BC128" i="1"/>
  <c r="BC127" i="1" s="1"/>
  <c r="BX318" i="1"/>
  <c r="BR318" i="1"/>
  <c r="CB91" i="1"/>
  <c r="BC53" i="1"/>
  <c r="BC23" i="1"/>
  <c r="AF127" i="1"/>
  <c r="F35" i="1"/>
  <c r="BC119" i="1"/>
  <c r="BC305" i="1"/>
  <c r="F298" i="1"/>
  <c r="E298" i="1" s="1"/>
  <c r="BC279" i="1"/>
  <c r="J74" i="1"/>
  <c r="AF43" i="1"/>
  <c r="BV318" i="1"/>
  <c r="F264" i="1"/>
  <c r="F103" i="1"/>
  <c r="F221" i="1"/>
  <c r="F261" i="1"/>
  <c r="F265" i="1"/>
  <c r="CD116" i="1"/>
  <c r="E216" i="1"/>
  <c r="AC318" i="1"/>
  <c r="Y318" i="1"/>
  <c r="I318" i="1"/>
  <c r="BC163" i="1"/>
  <c r="CU186" i="1"/>
  <c r="F290" i="1"/>
  <c r="F282" i="1"/>
  <c r="F147" i="1"/>
  <c r="F144" i="1" s="1"/>
  <c r="BT318" i="1"/>
  <c r="F40" i="1"/>
  <c r="F99" i="1"/>
  <c r="BD116" i="1"/>
  <c r="BL318" i="1"/>
  <c r="F125" i="1"/>
  <c r="G124" i="1"/>
  <c r="BC124" i="1"/>
  <c r="V116" i="1"/>
  <c r="G71" i="1"/>
  <c r="J70" i="1"/>
  <c r="CD132" i="1"/>
  <c r="J299" i="1"/>
  <c r="E221" i="1"/>
  <c r="AR318" i="1"/>
  <c r="AH318" i="1"/>
  <c r="AB318" i="1"/>
  <c r="R318" i="1"/>
  <c r="AZ318" i="1"/>
  <c r="AP318" i="1"/>
  <c r="F286" i="1"/>
  <c r="F257" i="1"/>
  <c r="CU119" i="1"/>
  <c r="CL232" i="1"/>
  <c r="BH232" i="1"/>
  <c r="N318" i="1"/>
  <c r="AD318" i="1"/>
  <c r="Z318" i="1"/>
  <c r="T318" i="1"/>
  <c r="AN318" i="1"/>
  <c r="AT318" i="1"/>
  <c r="AL318" i="1"/>
  <c r="BJ318" i="1"/>
  <c r="BF318" i="1"/>
  <c r="F242" i="1"/>
  <c r="F139" i="1"/>
  <c r="AY318" i="1"/>
  <c r="CK318" i="1"/>
  <c r="CE318" i="1"/>
  <c r="BK318" i="1"/>
  <c r="U318" i="1"/>
  <c r="O318" i="1"/>
  <c r="CW318" i="1"/>
  <c r="CS318" i="1"/>
  <c r="CN318" i="1"/>
  <c r="CJ318" i="1"/>
  <c r="CV16" i="1"/>
  <c r="BC235" i="1"/>
  <c r="CC193" i="1"/>
  <c r="CB194" i="1"/>
  <c r="BC156" i="1"/>
  <c r="AF148" i="1"/>
  <c r="CB165" i="1"/>
  <c r="CC164" i="1"/>
  <c r="CG127" i="1"/>
  <c r="CD299" i="1"/>
  <c r="CG232" i="1"/>
  <c r="BP232" i="1"/>
  <c r="J232" i="1"/>
  <c r="AF232" i="1"/>
  <c r="CI318" i="1"/>
  <c r="BM318" i="1"/>
  <c r="BI318" i="1"/>
  <c r="M318" i="1"/>
  <c r="BO318" i="1"/>
  <c r="CU111" i="1"/>
  <c r="CQ318" i="1"/>
  <c r="CH318" i="1"/>
  <c r="CU16" i="1"/>
  <c r="CC197" i="1"/>
  <c r="CB198" i="1"/>
  <c r="CB185" i="1"/>
  <c r="CC184" i="1"/>
  <c r="CC176" i="1"/>
  <c r="CB177" i="1"/>
  <c r="BC96" i="1"/>
  <c r="CL92" i="1"/>
  <c r="CC88" i="1"/>
  <c r="CB89" i="1"/>
  <c r="E89" i="1" s="1"/>
  <c r="CC51" i="1"/>
  <c r="CB52" i="1"/>
  <c r="CC54" i="1"/>
  <c r="CB55" i="1"/>
  <c r="E55" i="1" s="1"/>
  <c r="F317" i="1"/>
  <c r="G316" i="1"/>
  <c r="CC300" i="1"/>
  <c r="CB301" i="1"/>
  <c r="CB309" i="1"/>
  <c r="CC308" i="1"/>
  <c r="F281" i="1"/>
  <c r="G279" i="1"/>
  <c r="E239" i="1"/>
  <c r="BD232" i="1"/>
  <c r="F199" i="1"/>
  <c r="F197" i="1"/>
  <c r="F193" i="1"/>
  <c r="F180" i="1"/>
  <c r="G179" i="1"/>
  <c r="CB171" i="1"/>
  <c r="CC169" i="1"/>
  <c r="F170" i="1"/>
  <c r="F301" i="1"/>
  <c r="G300" i="1"/>
  <c r="E236" i="1"/>
  <c r="F226" i="1"/>
  <c r="F224" i="1"/>
  <c r="G223" i="1"/>
  <c r="CB212" i="1"/>
  <c r="CC210" i="1"/>
  <c r="CV173" i="1"/>
  <c r="J163" i="1"/>
  <c r="CB155" i="1"/>
  <c r="CC153" i="1"/>
  <c r="CB151" i="1"/>
  <c r="CC149" i="1"/>
  <c r="F150" i="1"/>
  <c r="G149" i="1"/>
  <c r="E145" i="1"/>
  <c r="J116" i="1"/>
  <c r="G111" i="1"/>
  <c r="F94" i="1"/>
  <c r="G93" i="1"/>
  <c r="F78" i="1"/>
  <c r="G77" i="1"/>
  <c r="G72" i="1"/>
  <c r="F73" i="1"/>
  <c r="J53" i="1"/>
  <c r="CV53" i="1"/>
  <c r="BD92" i="1"/>
  <c r="F90" i="1"/>
  <c r="F88" i="1"/>
  <c r="CB87" i="1"/>
  <c r="CC86" i="1"/>
  <c r="F87" i="1"/>
  <c r="G86" i="1"/>
  <c r="CV74" i="1"/>
  <c r="E68" i="1"/>
  <c r="F67" i="1"/>
  <c r="E66" i="1"/>
  <c r="F56" i="1"/>
  <c r="F51" i="1"/>
  <c r="F44" i="1"/>
  <c r="F20" i="1"/>
  <c r="G19" i="1"/>
  <c r="F315" i="1"/>
  <c r="G314" i="1"/>
  <c r="F313" i="1"/>
  <c r="G312" i="1"/>
  <c r="F310" i="1"/>
  <c r="F307" i="1"/>
  <c r="G306" i="1"/>
  <c r="G294" i="1"/>
  <c r="F295" i="1"/>
  <c r="G292" i="1"/>
  <c r="F293" i="1"/>
  <c r="E234" i="1"/>
  <c r="F309" i="1"/>
  <c r="G308" i="1"/>
  <c r="F229" i="1"/>
  <c r="F187" i="1"/>
  <c r="G184" i="1"/>
  <c r="F185" i="1"/>
  <c r="E183" i="1"/>
  <c r="CB181" i="1"/>
  <c r="CC179" i="1"/>
  <c r="J174" i="1"/>
  <c r="G175" i="1"/>
  <c r="CV232" i="1"/>
  <c r="F212" i="1"/>
  <c r="F211" i="1"/>
  <c r="G210" i="1"/>
  <c r="G164" i="1"/>
  <c r="F165" i="1"/>
  <c r="J156" i="1"/>
  <c r="G157" i="1"/>
  <c r="BD148" i="1"/>
  <c r="CC189" i="1"/>
  <c r="CB190" i="1"/>
  <c r="F155" i="1"/>
  <c r="F154" i="1"/>
  <c r="G153" i="1"/>
  <c r="CD148" i="1"/>
  <c r="F151" i="1"/>
  <c r="CV148" i="1"/>
  <c r="F140" i="1"/>
  <c r="E129" i="1"/>
  <c r="F126" i="1"/>
  <c r="G122" i="1"/>
  <c r="F123" i="1"/>
  <c r="F120" i="1"/>
  <c r="G117" i="1"/>
  <c r="F118" i="1"/>
  <c r="F114" i="1"/>
  <c r="E115" i="1"/>
  <c r="F112" i="1"/>
  <c r="E109" i="1"/>
  <c r="G105" i="1"/>
  <c r="F106" i="1"/>
  <c r="CB95" i="1"/>
  <c r="CC93" i="1"/>
  <c r="F82" i="1"/>
  <c r="E83" i="1"/>
  <c r="CB79" i="1"/>
  <c r="CC77" i="1"/>
  <c r="G62" i="1"/>
  <c r="F63" i="1"/>
  <c r="G60" i="1"/>
  <c r="F61" i="1"/>
  <c r="E137" i="1"/>
  <c r="Q127" i="1"/>
  <c r="CV127" i="1"/>
  <c r="CV111" i="1"/>
  <c r="CB111" i="1"/>
  <c r="F96" i="1"/>
  <c r="G64" i="1"/>
  <c r="CC43" i="1"/>
  <c r="CB45" i="1"/>
  <c r="G41" i="1"/>
  <c r="F42" i="1"/>
  <c r="J43" i="1"/>
  <c r="CD16" i="1"/>
  <c r="F45" i="1"/>
  <c r="F25" i="1"/>
  <c r="E18" i="1"/>
  <c r="E227" i="1" l="1"/>
  <c r="CF318" i="1"/>
  <c r="CU173" i="1"/>
  <c r="K318" i="1"/>
  <c r="CR318" i="1"/>
  <c r="BC186" i="1"/>
  <c r="E253" i="1"/>
  <c r="CU127" i="1"/>
  <c r="E121" i="1"/>
  <c r="CC238" i="1"/>
  <c r="CB19" i="1"/>
  <c r="P318" i="1"/>
  <c r="E280" i="1"/>
  <c r="CB156" i="1"/>
  <c r="E162" i="1"/>
  <c r="CU232" i="1"/>
  <c r="E50" i="1"/>
  <c r="BC74" i="1"/>
  <c r="F136" i="1"/>
  <c r="E269" i="1"/>
  <c r="CU53" i="1"/>
  <c r="CU74" i="1"/>
  <c r="E284" i="1"/>
  <c r="E28" i="1"/>
  <c r="E251" i="1"/>
  <c r="F189" i="1"/>
  <c r="F128" i="1"/>
  <c r="F201" i="1"/>
  <c r="CB250" i="1"/>
  <c r="E188" i="1"/>
  <c r="BZ318" i="1"/>
  <c r="E273" i="1"/>
  <c r="AO318" i="1"/>
  <c r="E171" i="1"/>
  <c r="E168" i="1"/>
  <c r="AJ318" i="1"/>
  <c r="AI318" i="1"/>
  <c r="E202" i="1"/>
  <c r="G169" i="1"/>
  <c r="F172" i="1"/>
  <c r="E172" i="1" s="1"/>
  <c r="V318" i="1"/>
  <c r="F142" i="1"/>
  <c r="E143" i="1"/>
  <c r="E142" i="1" s="1"/>
  <c r="G127" i="1"/>
  <c r="E85" i="1"/>
  <c r="E84" i="1" s="1"/>
  <c r="F84" i="1"/>
  <c r="F80" i="1"/>
  <c r="F75" i="1"/>
  <c r="F58" i="1"/>
  <c r="E59" i="1"/>
  <c r="E58" i="1" s="1"/>
  <c r="E57" i="1"/>
  <c r="E56" i="1" s="1"/>
  <c r="F49" i="1"/>
  <c r="AA318" i="1"/>
  <c r="S318" i="1"/>
  <c r="E37" i="1"/>
  <c r="E261" i="1"/>
  <c r="CU163" i="1"/>
  <c r="E209" i="1"/>
  <c r="BC148" i="1"/>
  <c r="F250" i="1"/>
  <c r="F238" i="1" s="1"/>
  <c r="CC127" i="1"/>
  <c r="E26" i="1"/>
  <c r="CC64" i="1"/>
  <c r="CB235" i="1"/>
  <c r="AU318" i="1"/>
  <c r="F195" i="1"/>
  <c r="E200" i="1"/>
  <c r="F297" i="1"/>
  <c r="F296" i="1" s="1"/>
  <c r="E282" i="1"/>
  <c r="BC16" i="1"/>
  <c r="E159" i="1"/>
  <c r="CB279" i="1"/>
  <c r="E17" i="1"/>
  <c r="Q318" i="1"/>
  <c r="CC74" i="1"/>
  <c r="E82" i="1"/>
  <c r="E112" i="1"/>
  <c r="E114" i="1"/>
  <c r="F119" i="1"/>
  <c r="E151" i="1"/>
  <c r="E155" i="1"/>
  <c r="E212" i="1"/>
  <c r="CC173" i="1"/>
  <c r="F64" i="1"/>
  <c r="G222" i="1"/>
  <c r="CB308" i="1"/>
  <c r="E297" i="1"/>
  <c r="BC92" i="1"/>
  <c r="E242" i="1"/>
  <c r="CU116" i="1"/>
  <c r="E286" i="1"/>
  <c r="CD127" i="1"/>
  <c r="BC116" i="1"/>
  <c r="E99" i="1"/>
  <c r="E265" i="1"/>
  <c r="E264" i="1"/>
  <c r="BC304" i="1"/>
  <c r="E35" i="1"/>
  <c r="CB90" i="1"/>
  <c r="CB142" i="1"/>
  <c r="CB195" i="1"/>
  <c r="E303" i="1"/>
  <c r="E135" i="1"/>
  <c r="E45" i="1"/>
  <c r="J16" i="1"/>
  <c r="CB43" i="1"/>
  <c r="G53" i="1"/>
  <c r="CB77" i="1"/>
  <c r="CB93" i="1"/>
  <c r="G104" i="1"/>
  <c r="F111" i="1"/>
  <c r="CB189" i="1"/>
  <c r="J148" i="1"/>
  <c r="J173" i="1"/>
  <c r="CB179" i="1"/>
  <c r="F182" i="1"/>
  <c r="F228" i="1"/>
  <c r="E310" i="1"/>
  <c r="E49" i="1"/>
  <c r="E54" i="1"/>
  <c r="E65" i="1"/>
  <c r="E67" i="1"/>
  <c r="CB86" i="1"/>
  <c r="E88" i="1"/>
  <c r="E91" i="1"/>
  <c r="G92" i="1"/>
  <c r="CB149" i="1"/>
  <c r="CB153" i="1"/>
  <c r="CB210" i="1"/>
  <c r="E226" i="1"/>
  <c r="CC163" i="1"/>
  <c r="E196" i="1"/>
  <c r="E281" i="1"/>
  <c r="F305" i="1"/>
  <c r="F304" i="1" s="1"/>
  <c r="CB300" i="1"/>
  <c r="CB54" i="1"/>
  <c r="CB51" i="1"/>
  <c r="CB88" i="1"/>
  <c r="CL318" i="1"/>
  <c r="CB176" i="1"/>
  <c r="CB197" i="1"/>
  <c r="BP318" i="1"/>
  <c r="CB193" i="1"/>
  <c r="E139" i="1"/>
  <c r="E290" i="1"/>
  <c r="E257" i="1"/>
  <c r="J69" i="1"/>
  <c r="E40" i="1"/>
  <c r="E147" i="1"/>
  <c r="E103" i="1"/>
  <c r="AF16" i="1"/>
  <c r="CC116" i="1"/>
  <c r="E287" i="1"/>
  <c r="E275" i="1"/>
  <c r="E289" i="1"/>
  <c r="E247" i="1"/>
  <c r="E267" i="1"/>
  <c r="CB23" i="1"/>
  <c r="E219" i="1"/>
  <c r="E248" i="1"/>
  <c r="E258" i="1"/>
  <c r="E291" i="1"/>
  <c r="F48" i="1"/>
  <c r="BC173" i="1"/>
  <c r="E220" i="1"/>
  <c r="E205" i="1"/>
  <c r="CB229" i="1"/>
  <c r="E46" i="1"/>
  <c r="E100" i="1"/>
  <c r="E268" i="1"/>
  <c r="E278" i="1"/>
  <c r="CB108" i="1"/>
  <c r="E241" i="1"/>
  <c r="E31" i="1"/>
  <c r="E98" i="1"/>
  <c r="E277" i="1"/>
  <c r="CB306" i="1"/>
  <c r="CB134" i="1"/>
  <c r="E134" i="1" s="1"/>
  <c r="CC104" i="1"/>
  <c r="CB240" i="1"/>
  <c r="E240" i="1" s="1"/>
  <c r="E254" i="1"/>
  <c r="CB17" i="1"/>
  <c r="E24" i="1"/>
  <c r="E27" i="1"/>
  <c r="E29" i="1"/>
  <c r="E34" i="1"/>
  <c r="AF299" i="1"/>
  <c r="E302" i="1"/>
  <c r="E130" i="1"/>
  <c r="E161" i="1"/>
  <c r="CB199" i="1"/>
  <c r="CB222" i="1"/>
  <c r="BC225" i="1"/>
  <c r="E131" i="1"/>
  <c r="CU148" i="1"/>
  <c r="E245" i="1"/>
  <c r="CC16" i="1"/>
  <c r="E80" i="1"/>
  <c r="CC92" i="1"/>
  <c r="F107" i="1"/>
  <c r="E140" i="1"/>
  <c r="CC186" i="1"/>
  <c r="G186" i="1"/>
  <c r="E182" i="1"/>
  <c r="E233" i="1"/>
  <c r="E75" i="1"/>
  <c r="CC148" i="1"/>
  <c r="F225" i="1"/>
  <c r="CB169" i="1"/>
  <c r="E199" i="1"/>
  <c r="CC53" i="1"/>
  <c r="CB184" i="1"/>
  <c r="CB173" i="1" s="1"/>
  <c r="CB164" i="1"/>
  <c r="E22" i="1"/>
  <c r="E166" i="1"/>
  <c r="E217" i="1"/>
  <c r="E249" i="1"/>
  <c r="CB49" i="1"/>
  <c r="E283" i="1"/>
  <c r="E192" i="1"/>
  <c r="CB226" i="1"/>
  <c r="E152" i="1"/>
  <c r="E138" i="1"/>
  <c r="CB124" i="1"/>
  <c r="E262" i="1"/>
  <c r="E272" i="1"/>
  <c r="G228" i="1"/>
  <c r="E252" i="1"/>
  <c r="E203" i="1"/>
  <c r="E160" i="1"/>
  <c r="E244" i="1"/>
  <c r="CU104" i="1"/>
  <c r="BC104" i="1"/>
  <c r="E146" i="1"/>
  <c r="E102" i="1"/>
  <c r="E207" i="1"/>
  <c r="E213" i="1"/>
  <c r="E246" i="1"/>
  <c r="E260" i="1"/>
  <c r="F21" i="1"/>
  <c r="F19" i="1" s="1"/>
  <c r="E32" i="1"/>
  <c r="BC69" i="1"/>
  <c r="E101" i="1"/>
  <c r="CC107" i="1"/>
  <c r="BC111" i="1"/>
  <c r="E204" i="1"/>
  <c r="E191" i="1"/>
  <c r="E288" i="1"/>
  <c r="CB296" i="1"/>
  <c r="F47" i="1"/>
  <c r="CB140" i="1"/>
  <c r="CU228" i="1"/>
  <c r="F237" i="1"/>
  <c r="BC107" i="1"/>
  <c r="F176" i="1"/>
  <c r="CC225" i="1"/>
  <c r="E255" i="1"/>
  <c r="E259" i="1"/>
  <c r="E263" i="1"/>
  <c r="CU64" i="1"/>
  <c r="CB201" i="1"/>
  <c r="CU296" i="1"/>
  <c r="CU222" i="1"/>
  <c r="CU225" i="1"/>
  <c r="E276" i="1"/>
  <c r="BC222" i="1"/>
  <c r="CB294" i="1"/>
  <c r="CC296" i="1"/>
  <c r="E38" i="1"/>
  <c r="E178" i="1"/>
  <c r="E167" i="1"/>
  <c r="G176" i="1"/>
  <c r="CG299" i="1"/>
  <c r="CB72" i="1"/>
  <c r="CB117" i="1"/>
  <c r="CB104" i="1"/>
  <c r="CB119" i="1"/>
  <c r="CB96" i="1"/>
  <c r="E110" i="1"/>
  <c r="E206" i="1"/>
  <c r="E208" i="1"/>
  <c r="E231" i="1"/>
  <c r="E256" i="1"/>
  <c r="E274" i="1"/>
  <c r="E285" i="1"/>
  <c r="CB292" i="1"/>
  <c r="E30" i="1"/>
  <c r="E33" i="1"/>
  <c r="BC64" i="1"/>
  <c r="CC111" i="1"/>
  <c r="E215" i="1"/>
  <c r="BC228" i="1"/>
  <c r="E36" i="1"/>
  <c r="CU107" i="1"/>
  <c r="CB128" i="1"/>
  <c r="CB64" i="1"/>
  <c r="CU299" i="1"/>
  <c r="BC296" i="1"/>
  <c r="BH299" i="1"/>
  <c r="CC232" i="1"/>
  <c r="BD318" i="1"/>
  <c r="E136" i="1"/>
  <c r="BC232" i="1"/>
  <c r="G74" i="1"/>
  <c r="E177" i="1"/>
  <c r="E52" i="1"/>
  <c r="E194" i="1"/>
  <c r="E198" i="1"/>
  <c r="G116" i="1"/>
  <c r="CD318" i="1"/>
  <c r="G232" i="1"/>
  <c r="G70" i="1"/>
  <c r="F71" i="1"/>
  <c r="E125" i="1"/>
  <c r="F124" i="1"/>
  <c r="G299" i="1"/>
  <c r="G16" i="1"/>
  <c r="CV318" i="1"/>
  <c r="E106" i="1"/>
  <c r="F105" i="1"/>
  <c r="E118" i="1"/>
  <c r="F117" i="1"/>
  <c r="E120" i="1"/>
  <c r="E123" i="1"/>
  <c r="F122" i="1"/>
  <c r="E126" i="1"/>
  <c r="E154" i="1"/>
  <c r="F153" i="1"/>
  <c r="F157" i="1"/>
  <c r="G156" i="1"/>
  <c r="E165" i="1"/>
  <c r="F164" i="1"/>
  <c r="E190" i="1"/>
  <c r="E211" i="1"/>
  <c r="F210" i="1"/>
  <c r="E293" i="1"/>
  <c r="F292" i="1"/>
  <c r="E295" i="1"/>
  <c r="F294" i="1"/>
  <c r="E307" i="1"/>
  <c r="F306" i="1"/>
  <c r="E313" i="1"/>
  <c r="F312" i="1"/>
  <c r="E315" i="1"/>
  <c r="F314" i="1"/>
  <c r="E20" i="1"/>
  <c r="E79" i="1"/>
  <c r="E94" i="1"/>
  <c r="F93" i="1"/>
  <c r="E150" i="1"/>
  <c r="F149" i="1"/>
  <c r="E224" i="1"/>
  <c r="F223" i="1"/>
  <c r="E181" i="1"/>
  <c r="F279" i="1"/>
  <c r="CC299" i="1"/>
  <c r="E317" i="1"/>
  <c r="F316" i="1"/>
  <c r="E25" i="1"/>
  <c r="F23" i="1"/>
  <c r="E42" i="1"/>
  <c r="F41" i="1"/>
  <c r="E61" i="1"/>
  <c r="F60" i="1"/>
  <c r="E63" i="1"/>
  <c r="F62" i="1"/>
  <c r="F175" i="1"/>
  <c r="G174" i="1"/>
  <c r="E185" i="1"/>
  <c r="F184" i="1"/>
  <c r="E187" i="1"/>
  <c r="E309" i="1"/>
  <c r="F308" i="1"/>
  <c r="E44" i="1"/>
  <c r="E87" i="1"/>
  <c r="F86" i="1"/>
  <c r="E73" i="1"/>
  <c r="F72" i="1"/>
  <c r="E78" i="1"/>
  <c r="F77" i="1"/>
  <c r="E95" i="1"/>
  <c r="E301" i="1"/>
  <c r="F300" i="1"/>
  <c r="E170" i="1"/>
  <c r="E180" i="1"/>
  <c r="F179" i="1"/>
  <c r="E305" i="1" l="1"/>
  <c r="CB299" i="1"/>
  <c r="CB74" i="1"/>
  <c r="G163" i="1"/>
  <c r="F169" i="1"/>
  <c r="F163" i="1" s="1"/>
  <c r="E144" i="1"/>
  <c r="F127" i="1"/>
  <c r="J318" i="1"/>
  <c r="E21" i="1"/>
  <c r="CB225" i="1"/>
  <c r="CB163" i="1"/>
  <c r="E229" i="1"/>
  <c r="CB132" i="1"/>
  <c r="CB127" i="1" s="1"/>
  <c r="CB107" i="1"/>
  <c r="E48" i="1"/>
  <c r="AF318" i="1"/>
  <c r="CB238" i="1"/>
  <c r="CB53" i="1"/>
  <c r="E90" i="1"/>
  <c r="E64" i="1"/>
  <c r="E304" i="1"/>
  <c r="E179" i="1"/>
  <c r="E169" i="1"/>
  <c r="E300" i="1"/>
  <c r="E77" i="1"/>
  <c r="E72" i="1"/>
  <c r="E86" i="1"/>
  <c r="E308" i="1"/>
  <c r="G173" i="1"/>
  <c r="E62" i="1"/>
  <c r="E60" i="1"/>
  <c r="E41" i="1"/>
  <c r="E23" i="1"/>
  <c r="E316" i="1"/>
  <c r="F222" i="1"/>
  <c r="F92" i="1"/>
  <c r="E19" i="1"/>
  <c r="E314" i="1"/>
  <c r="E312" i="1"/>
  <c r="E306" i="1"/>
  <c r="E294" i="1"/>
  <c r="E292" i="1"/>
  <c r="E210" i="1"/>
  <c r="E119" i="1"/>
  <c r="E117" i="1"/>
  <c r="E105" i="1"/>
  <c r="G69" i="1"/>
  <c r="E193" i="1"/>
  <c r="E176" i="1"/>
  <c r="CG318" i="1"/>
  <c r="F235" i="1"/>
  <c r="E237" i="1"/>
  <c r="E47" i="1"/>
  <c r="E279" i="1"/>
  <c r="G148" i="1"/>
  <c r="F43" i="1"/>
  <c r="E184" i="1"/>
  <c r="CC318" i="1"/>
  <c r="E223" i="1"/>
  <c r="E149" i="1"/>
  <c r="F186" i="1"/>
  <c r="E189" i="1"/>
  <c r="E164" i="1"/>
  <c r="E153" i="1"/>
  <c r="E122" i="1"/>
  <c r="F104" i="1"/>
  <c r="CU318" i="1"/>
  <c r="E197" i="1"/>
  <c r="E51" i="1"/>
  <c r="E250" i="1"/>
  <c r="E238" i="1" s="1"/>
  <c r="CB116" i="1"/>
  <c r="CB69" i="1"/>
  <c r="CB228" i="1"/>
  <c r="BH318" i="1"/>
  <c r="E195" i="1"/>
  <c r="E225" i="1"/>
  <c r="CB148" i="1"/>
  <c r="CB186" i="1"/>
  <c r="E128" i="1"/>
  <c r="E108" i="1"/>
  <c r="CB92" i="1"/>
  <c r="E132" i="1"/>
  <c r="E96" i="1"/>
  <c r="CB16" i="1"/>
  <c r="BC299" i="1"/>
  <c r="E296" i="1"/>
  <c r="E201" i="1"/>
  <c r="E111" i="1"/>
  <c r="F299" i="1"/>
  <c r="E124" i="1"/>
  <c r="F70" i="1"/>
  <c r="E71" i="1"/>
  <c r="F74" i="1"/>
  <c r="F53" i="1"/>
  <c r="E175" i="1"/>
  <c r="F174" i="1"/>
  <c r="E93" i="1"/>
  <c r="E157" i="1"/>
  <c r="F156" i="1"/>
  <c r="F116" i="1"/>
  <c r="E53" i="1" l="1"/>
  <c r="E163" i="1"/>
  <c r="G318" i="1"/>
  <c r="BC318" i="1"/>
  <c r="E156" i="1"/>
  <c r="E92" i="1"/>
  <c r="E174" i="1"/>
  <c r="E70" i="1"/>
  <c r="E127" i="1"/>
  <c r="CB232" i="1"/>
  <c r="F148" i="1"/>
  <c r="F173" i="1"/>
  <c r="E116" i="1"/>
  <c r="F16" i="1"/>
  <c r="F69" i="1"/>
  <c r="E186" i="1"/>
  <c r="F232" i="1"/>
  <c r="E107" i="1"/>
  <c r="E222" i="1"/>
  <c r="E235" i="1"/>
  <c r="E104" i="1"/>
  <c r="E43" i="1"/>
  <c r="E74" i="1"/>
  <c r="E299" i="1"/>
  <c r="E228" i="1"/>
  <c r="CB318" i="1" l="1"/>
  <c r="E232" i="1"/>
  <c r="F318" i="1"/>
  <c r="E16" i="1"/>
  <c r="E69" i="1"/>
  <c r="E173" i="1"/>
  <c r="E148" i="1"/>
  <c r="E318" i="1" l="1"/>
</calcChain>
</file>

<file path=xl/sharedStrings.xml><?xml version="1.0" encoding="utf-8"?>
<sst xmlns="http://schemas.openxmlformats.org/spreadsheetml/2006/main" count="1258" uniqueCount="637">
  <si>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</si>
  <si>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</si>
  <si>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</si>
  <si>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</si>
  <si>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</si>
  <si>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</si>
  <si>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</si>
  <si>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</si>
  <si>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</si>
  <si>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</si>
  <si>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</si>
  <si>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</si>
  <si>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Оплата услуг по типовому проектированию</t>
  </si>
  <si>
    <t>Книги и период. издания</t>
  </si>
  <si>
    <t>ТЕКУЩИЕ ТРАНСФЕРТЫ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</si>
  <si>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</si>
  <si>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</si>
  <si>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</si>
  <si>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</si>
  <si>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Функцион.</t>
  </si>
  <si>
    <t>Всего</t>
  </si>
  <si>
    <t>НАЧИСЛЕНИЯ НА ОПЛАТУ ТРУДА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</si>
  <si>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</si>
  <si>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</si>
  <si>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</si>
  <si>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</si>
  <si>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</si>
  <si>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</si>
  <si>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</si>
  <si>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</si>
  <si>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</si>
  <si>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</si>
  <si>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</si>
  <si>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</si>
  <si>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</si>
  <si>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</si>
  <si>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Усл. науч-исслед. орг-ций</t>
  </si>
  <si>
    <t>Текущ. рем. оборуд. и инвент.</t>
  </si>
  <si>
    <t>Текущ. рем. зданий и помещ.</t>
  </si>
  <si>
    <t>Учебн.-нагляд. пособия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</si>
  <si>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</si>
  <si>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</si>
  <si>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</si>
  <si>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</si>
  <si>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Штрафы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</si>
  <si>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</si>
  <si>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</si>
  <si>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</si>
  <si>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</si>
  <si>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</si>
  <si>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</si>
  <si>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</si>
  <si>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</si>
  <si>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</si>
  <si>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</si>
  <si>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Трансферты на произв. цели</t>
  </si>
  <si>
    <t>Проч. тр-ты на произв. цели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</si>
  <si>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</si>
  <si>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</si>
  <si>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</si>
  <si>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</si>
  <si>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</si>
  <si>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</si>
  <si>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</si>
  <si>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Приобретение тр-ных ср-в для инвалидов</t>
  </si>
  <si>
    <t>Компенсация тр-ных расх. инвалидам</t>
  </si>
  <si>
    <t>Прочие тр-ты населению</t>
  </si>
  <si>
    <t>КАП. ВЛОЖЕНИЯ В ОСНОВНЫЕ ФОНДЫ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</si>
  <si>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</si>
  <si>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</si>
  <si>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</si>
  <si>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</si>
  <si>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В жил. строительство</t>
  </si>
  <si>
    <t>В строит. админ. зданий</t>
  </si>
  <si>
    <t>УЧАСТИЕ ПРАВ-ВА В ОСУЩ-ИИ ОТД-Х ПРОГРАММ</t>
  </si>
  <si>
    <t>Уплата % и погашение внутр-х кредитов</t>
  </si>
  <si>
    <t>Уплата % по внутр-м кредитам</t>
  </si>
  <si>
    <t>Погашение внутр-х кредитов</t>
  </si>
  <si>
    <t>Раздел</t>
  </si>
  <si>
    <t>Под-раздел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</si>
  <si>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</si>
  <si>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</si>
  <si>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</si>
  <si>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</si>
  <si>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</si>
  <si>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</si>
  <si>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</si>
  <si>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</si>
  <si>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</si>
  <si>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</si>
  <si>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</si>
  <si>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</si>
  <si>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Счётная палата ПМР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</si>
  <si>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</si>
  <si>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</si>
  <si>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</si>
  <si>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</si>
  <si>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</si>
  <si>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</si>
  <si>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</si>
  <si>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</si>
  <si>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</si>
  <si>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</si>
  <si>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</si>
  <si>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</si>
  <si>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</si>
  <si>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</si>
  <si>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</si>
  <si>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</si>
  <si>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</si>
  <si>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</si>
  <si>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</si>
  <si>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</si>
  <si>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</si>
  <si>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</si>
  <si>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143</t>
  </si>
  <si>
    <t>ГС средств массовой информации ПМР (аппарат)</t>
  </si>
  <si>
    <t>144</t>
  </si>
  <si>
    <t>ГС связи ПМР (аппарат)</t>
  </si>
  <si>
    <t>145</t>
  </si>
  <si>
    <t>ГС управления документацией и архивами ПМР (аппарат)</t>
  </si>
  <si>
    <t>146</t>
  </si>
  <si>
    <t>ГС экологического контроля и охраны ок. среды ПМР</t>
  </si>
  <si>
    <t>149</t>
  </si>
  <si>
    <t>Фонд государственного резерва ПМР (аппарат)</t>
  </si>
  <si>
    <t>150</t>
  </si>
  <si>
    <t>Министерство финансов ПМР (аппарат)</t>
  </si>
  <si>
    <t>154</t>
  </si>
  <si>
    <t>ГС статистики ПМР (аппарат)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</si>
  <si>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</si>
  <si>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</si>
  <si>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</si>
  <si>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</si>
  <si>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Министерство финансов (подведомственные)</t>
  </si>
  <si>
    <t>0105</t>
  </si>
  <si>
    <t>Прочие расходы на общегосударственное управление</t>
  </si>
  <si>
    <t>Министерство юстиции (ГС РиН, БСЭ)</t>
  </si>
  <si>
    <t>Мин-во с/х и природных ресурсов (террит. управления)</t>
  </si>
  <si>
    <t>0108</t>
  </si>
  <si>
    <t>Функционирование органов статистики</t>
  </si>
  <si>
    <t>ГС статистики ПМР (территор.упр-я статистики)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</si>
  <si>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</si>
  <si>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</si>
  <si>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</si>
  <si>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</si>
  <si>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</si>
  <si>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</si>
  <si>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</si>
  <si>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</si>
  <si>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</si>
  <si>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</si>
  <si>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</si>
  <si>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</si>
  <si>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</si>
  <si>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</si>
  <si>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</si>
  <si>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</si>
  <si>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</si>
  <si>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Судебный департамент  при Верховном суде ПМР</t>
  </si>
  <si>
    <t>0204</t>
  </si>
  <si>
    <t>Арбитражный суд</t>
  </si>
  <si>
    <t>107</t>
  </si>
  <si>
    <t>Арбитражный суд ПМР</t>
  </si>
  <si>
    <t>0210</t>
  </si>
  <si>
    <t>Органы судебной власти, не отн. к др.гр.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</si>
  <si>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</si>
  <si>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</si>
  <si>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</si>
  <si>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</si>
  <si>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</si>
  <si>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</si>
  <si>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0303</t>
  </si>
  <si>
    <t>Реализация международных соглашений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</si>
  <si>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</si>
  <si>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</si>
  <si>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</si>
  <si>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</si>
  <si>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</si>
  <si>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</si>
  <si>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</si>
  <si>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</si>
  <si>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</si>
  <si>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</si>
  <si>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</si>
  <si>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</si>
  <si>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</si>
  <si>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</si>
  <si>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</si>
  <si>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</si>
  <si>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</si>
  <si>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</si>
  <si>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</si>
  <si>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</si>
  <si>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</si>
  <si>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</si>
  <si>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</si>
  <si>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</si>
  <si>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</si>
  <si>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</si>
  <si>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</si>
  <si>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</si>
  <si>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</si>
  <si>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</si>
  <si>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</si>
  <si>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</si>
  <si>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</si>
  <si>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</si>
  <si>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</si>
  <si>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</si>
  <si>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</si>
  <si>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</si>
  <si>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Органы и учреждения, не отн. к др.гр.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</si>
  <si>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</si>
  <si>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</si>
  <si>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</si>
  <si>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</si>
  <si>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</si>
  <si>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</si>
  <si>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</si>
  <si>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</si>
  <si>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</si>
  <si>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Учр. и меропр. в области науч. иссл., не отн. к др.гр.</t>
  </si>
  <si>
    <t>Министерство просвещения ПМР</t>
  </si>
  <si>
    <t>Министерство юстиции ПМР</t>
  </si>
  <si>
    <t>136</t>
  </si>
  <si>
    <t>Государственная служба охраны ПМР</t>
  </si>
  <si>
    <t>0700</t>
  </si>
  <si>
    <t>ПРОМЫШЛЕННОСТЬ, ЭНЕРГЕТИКА И СТРОИТЕЛЬСТВО</t>
  </si>
  <si>
    <t>0707</t>
  </si>
  <si>
    <t>Деят-ность и усл.в обл. пром-ти, энер-ки и стр., не отн.к др.гр.</t>
  </si>
  <si>
    <t>Компенсация разницы в тарифах</t>
  </si>
  <si>
    <t>0800</t>
  </si>
  <si>
    <t>СЕЛЬСКОЕ ХОЗЯЙСТВО</t>
  </si>
  <si>
    <t>0805</t>
  </si>
  <si>
    <t>Деят-сть и усл. в области сельского хоз-ва, не отн. к др.гр.</t>
  </si>
  <si>
    <t>Мин-во с/х и прир.рес. (РЦ ВСиФСБ)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</si>
  <si>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</si>
  <si>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</si>
  <si>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</si>
  <si>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</si>
  <si>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</si>
  <si>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</si>
  <si>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Мин-во с/х и прир.рес. (Республиканский  ГМЦ)</t>
  </si>
  <si>
    <t>1000</t>
  </si>
  <si>
    <t>ТРАНСПОРТ, ДОРОЖНОЕ ХОЗЯЙСТВО, СВЯЗЬ И ИНФОРМАТИКА</t>
  </si>
  <si>
    <t>1001</t>
  </si>
  <si>
    <t>Автомобильный и электротранспорт</t>
  </si>
  <si>
    <t>Возмещение льгот по транспорту</t>
  </si>
  <si>
    <t>1007</t>
  </si>
  <si>
    <t>Связь</t>
  </si>
  <si>
    <t>ГС связи (почты)</t>
  </si>
  <si>
    <t>Министерство цифрового развития, связи и массовых коммуникаций (почты)</t>
  </si>
  <si>
    <t>1008</t>
  </si>
  <si>
    <t>Информатика</t>
  </si>
  <si>
    <t>Правительство ПМР</t>
  </si>
  <si>
    <t>1010</t>
  </si>
  <si>
    <t>Расходы в обл. тр-та, дор. хоз-ва, связи и информатики</t>
  </si>
  <si>
    <t>ГС связи (лицензионный сбор)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</si>
  <si>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</si>
  <si>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</si>
  <si>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</si>
  <si>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</si>
  <si>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</si>
  <si>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</si>
  <si>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</si>
  <si>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</si>
  <si>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</si>
  <si>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</si>
  <si>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</si>
  <si>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</si>
  <si>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</si>
  <si>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</si>
  <si>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</si>
  <si>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Высшие колледжи ГС К и ИН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</si>
  <si>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</si>
  <si>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</si>
  <si>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</si>
  <si>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</si>
  <si>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</si>
  <si>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</si>
  <si>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</si>
  <si>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</si>
  <si>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</si>
  <si>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</si>
  <si>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</si>
  <si>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</si>
  <si>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</si>
  <si>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</si>
  <si>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</si>
  <si>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Дворцы и дома культуры, клубы и др.учр-я ГСКиИН</t>
  </si>
  <si>
    <t>Музеи и выставки ГСКиИН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</si>
  <si>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</si>
  <si>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</si>
  <si>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</si>
  <si>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</si>
  <si>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</si>
  <si>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Учр. и меропр. в обл. культ.,искус.,спорта, не отн.к др.гр.</t>
  </si>
  <si>
    <t>Респ.спорт.-реаб.центр инвалидов</t>
  </si>
  <si>
    <t>СДЮШОР</t>
  </si>
  <si>
    <t>РЦОП</t>
  </si>
  <si>
    <t>Республиканский стадион</t>
  </si>
  <si>
    <t>Прочие мероприятия по культуре и искусству ГСКиИН</t>
  </si>
  <si>
    <t>1500</t>
  </si>
  <si>
    <t>СРЕДСТВА МАССОВОЙ ИНФОРМАЦИИ</t>
  </si>
  <si>
    <t>1501</t>
  </si>
  <si>
    <t>Телевидение и радиовещание</t>
  </si>
  <si>
    <t>ГС СМИ (ПГТРК)</t>
  </si>
  <si>
    <t>ГС связи (ретрансляция)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</si>
  <si>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</si>
  <si>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</si>
  <si>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</si>
  <si>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</si>
  <si>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</si>
  <si>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ГС  СМИ (газета)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</si>
  <si>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</si>
  <si>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</si>
  <si>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</si>
  <si>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</si>
  <si>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</si>
  <si>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</si>
  <si>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</si>
  <si>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</si>
  <si>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</si>
  <si>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</si>
  <si>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</si>
  <si>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</si>
  <si>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</si>
  <si>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</si>
  <si>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Мед., протезы и продукция, использ. по предп.врача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</si>
  <si>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</si>
  <si>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</si>
  <si>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</si>
  <si>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</si>
  <si>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</si>
  <si>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</si>
  <si>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</si>
  <si>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</si>
  <si>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</si>
  <si>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</si>
  <si>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</si>
  <si>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</si>
  <si>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</si>
  <si>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</si>
  <si>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</si>
  <si>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</si>
  <si>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</si>
  <si>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</si>
  <si>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</si>
  <si>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страх. взносов по договорам добровольн. страх.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</si>
  <si>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</si>
  <si>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</si>
  <si>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</si>
  <si>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</si>
  <si>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</si>
  <si>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Учрежд. и усл. в обл. соц.обесп. и поддержки, не отн. к др.гр.</t>
  </si>
  <si>
    <t>Выплаты и гарантии бывшим руковод.должн.лицам (ВС)</t>
  </si>
  <si>
    <t>Выплаты и гарантии бывшим руковод.должн.лицам (АП)</t>
  </si>
  <si>
    <t>Учр-я и услуги в области соц.обеспеч., не отн. к др. гр.</t>
  </si>
  <si>
    <t>Гос.пособия гражданам, имеющим детей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</si>
  <si>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</si>
  <si>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</si>
  <si>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</si>
  <si>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</si>
  <si>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</si>
  <si>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Министерство цифрового развития, связи и массовых коммуникаций (возмещение льготы по ус. связи)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</si>
  <si>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</si>
  <si>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</si>
  <si>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</si>
  <si>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</si>
  <si>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</si>
  <si>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</si>
  <si>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</si>
  <si>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</si>
  <si>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Дотации (трансферты) на покрытие дефицита МБ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</si>
  <si>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</si>
  <si>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</si>
  <si>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</si>
  <si>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</si>
  <si>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</si>
  <si>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</si>
  <si>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</si>
  <si>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</si>
  <si>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Проведение выборов Президента ПМР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</si>
  <si>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</si>
  <si>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</si>
  <si>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</si>
  <si>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</si>
  <si>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Консалтинговые услуги ОАО ГУК</t>
  </si>
  <si>
    <t>Резерв системы здравоохранения</t>
  </si>
  <si>
    <t>Мероприятия по обнов. уч. фондов орг. общего образования</t>
  </si>
  <si>
    <t>Расходы на формирование зем.участков и сост.планов зем.уч.</t>
  </si>
  <si>
    <t>Создание и модернизация информац. ресурсов в сфере налогообложения и бюджетного процесса</t>
  </si>
  <si>
    <t>Расходы от оказ.плат.усл.</t>
  </si>
  <si>
    <t>Расходы от оказ.плат.усл. (Минэкономразвития, ГИИЦ)</t>
  </si>
  <si>
    <t>Расходы от оказ.плат.усл. (Мин-во СЗиТ, соц.патронаж)</t>
  </si>
  <si>
    <t>Расходы от оказ.плат.усл. (Минздрав, медколледжи)</t>
  </si>
  <si>
    <t>Расходы от оказ.плат.усл. (Минздрав, больницы)</t>
  </si>
  <si>
    <t>Расходы от оказ.плат.усл. (Минздрав, поликлиники)</t>
  </si>
  <si>
    <t>Расходы от оказ.плат.усл. (Минздрав, СЭС)</t>
  </si>
  <si>
    <t>Расходы от оказ.плат.усл. (Минпрос, образование)</t>
  </si>
  <si>
    <t>Расходы от оказ.плат.усл. (Минюст, ГУ "Юр.литер-ра")</t>
  </si>
  <si>
    <t>Расходы от оказ.плат.усл. (МВД)</t>
  </si>
  <si>
    <t>Расходы от оказ.плат.усл. (Мин.с/х и прир.рес., наука)</t>
  </si>
  <si>
    <t>Расходы от оказ.плат.усл. (Мин.с/х и прир.рес., ГУ "РЦ ВСиФСБ")</t>
  </si>
  <si>
    <t>Расходы от оказ.плат.усл. (Мин.с/х и прир.рес., ГМЦ)</t>
  </si>
  <si>
    <t>124</t>
  </si>
  <si>
    <t>Расходы от оказ.плат.усл. (ГУ ЦКОМФП)</t>
  </si>
  <si>
    <t>Расходы от оказ.плат.усл. (ПГУ)</t>
  </si>
  <si>
    <t>Расходы от оказ.плат.усл. (ГС СИ МЮ)</t>
  </si>
  <si>
    <t>Расходы от оказ.плат.усл. (ГС ИН)</t>
  </si>
  <si>
    <t>Расходы от оказ.плат.усл. (ГС по спорту)</t>
  </si>
  <si>
    <t>Расходы от оказ.плат.усл. (ГС СМИ,  ПГТРК)</t>
  </si>
  <si>
    <t>Расходы от оказ.плат.усл. (ГС СМИ, газета)</t>
  </si>
  <si>
    <t>Расходы от оказ.плат.усл. (ГС экологического кон., наука)</t>
  </si>
  <si>
    <t>Расходы от оказания платных услуг  (ПГТРК)</t>
  </si>
  <si>
    <t>Расходы от оказания платных услуг  (газета)</t>
  </si>
  <si>
    <t>3008</t>
  </si>
  <si>
    <t>Целевые программы</t>
  </si>
  <si>
    <t>Целевая программа ВИЧ-СПИД</t>
  </si>
  <si>
    <t>Целевая программа "Онкология"</t>
  </si>
  <si>
    <t>Целевая программа "Иммунизация населения ПМР"</t>
  </si>
  <si>
    <t>ГЦП "Профилактика туберкулеза"</t>
  </si>
  <si>
    <t>Целевая программа "Учебник"</t>
  </si>
  <si>
    <t>3009</t>
  </si>
  <si>
    <t>Резервный фонд Правительства ПМР</t>
  </si>
  <si>
    <t>126</t>
  </si>
  <si>
    <t>3010</t>
  </si>
  <si>
    <t>Фонд стимулирования и развития тер.</t>
  </si>
  <si>
    <t>Фонд развития и стимулирования тер.</t>
  </si>
  <si>
    <t>3100</t>
  </si>
  <si>
    <t>3101</t>
  </si>
  <si>
    <t>Возврат кредитов по внутреннему гос. долгу</t>
  </si>
  <si>
    <t>Возврат кредитов по внутреннему гос.долгу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</si>
  <si>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</si>
  <si>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</si>
  <si>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</si>
  <si>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</si>
  <si>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</si>
  <si>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</si>
  <si>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</si>
  <si>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</si>
  <si>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</si>
  <si>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</si>
  <si>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</si>
  <si>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Фонд по обесп.гос.гарантий гр-м, имеющим право на зем.долю (пай)</t>
  </si>
  <si>
    <t>Фонд по обесп.гос.гарантий гр-м, имеющим право на зем.долю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</si>
  <si>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</si>
  <si>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</si>
  <si>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</si>
  <si>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</si>
  <si>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</si>
  <si>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</si>
  <si>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</si>
  <si>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</si>
  <si>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</si>
  <si>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</si>
  <si>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</si>
  <si>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</si>
  <si>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</si>
  <si>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"Агентство по инвестициям и развитию ПМР"</t>
  </si>
  <si>
    <t>ГУ "Единый аукционный центр"</t>
  </si>
  <si>
    <t>ГУ "Агентство по инв. "Торговый проект"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</si>
  <si>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</si>
  <si>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</si>
  <si>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</si>
  <si>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Министерство с/х и природных ресурсов</t>
  </si>
  <si>
    <t>ПГУ им. Т. Г. Шевченко (Центр российского образования и науки)</t>
  </si>
  <si>
    <t>Мин-во с/х и прир.рес. (оросительные системы)</t>
  </si>
  <si>
    <t>Мин-во с/х и прир.рес. (ГУП "Приднестровье-лес")</t>
  </si>
  <si>
    <t>ГОУ СПО "Училище олимпийского резерва"</t>
  </si>
  <si>
    <t>Приднестровский гос. театр драмы и комедии им. Н. С. Аронецкой ГС КиИН</t>
  </si>
  <si>
    <t>ГСКиИН ПМР "Центр национальных культур Приднестровья"</t>
  </si>
  <si>
    <t>Расходы на ремонт квартир инвалидам - защитникам ПМР</t>
  </si>
  <si>
    <t>Льготы отдельным категориям населения на ЖКУ</t>
  </si>
  <si>
    <t>МЭР (возмещение льготы на коммунальные услуги)</t>
  </si>
  <si>
    <t>ГС связи (возмещение льготы на услуги связи)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</si>
  <si>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</si>
  <si>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</si>
  <si>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</si>
  <si>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</si>
  <si>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</si>
  <si>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</si>
  <si>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</si>
  <si>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</si>
  <si>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1900</t>
  </si>
  <si>
    <t>ПОПОЛНЕНИЕ ГОСУДАРСТВЕННЫХ РЕЗЕРВОВ</t>
  </si>
  <si>
    <t>1903</t>
  </si>
  <si>
    <t>Фонд государственного резерва ПМР</t>
  </si>
  <si>
    <t>Финансовая помощь бюджетам др. уровней</t>
  </si>
  <si>
    <t xml:space="preserve">Погашение к/з по ГИС в сфере закупок      </t>
  </si>
  <si>
    <t>Мероприятия по развитию мин.-сырьевой базы и охраны недр</t>
  </si>
  <si>
    <t>"Обеспечение рабочими тетрадями уч.                                                 1-4-х  классов"</t>
  </si>
  <si>
    <t>Субсидии на осуществление программы "Столица"</t>
  </si>
  <si>
    <t>Расходы от оказ.плат.усл. (по госзаказу ПГУ)</t>
  </si>
  <si>
    <t>Расходы от оказ.плат.усл. (ГС КиИН, ГОУ)</t>
  </si>
  <si>
    <t>Расходы от оказ.плат.усл. (ГС КиИН, культура и искусство)</t>
  </si>
  <si>
    <t>Расходы от оказ.плат.усл., театр</t>
  </si>
  <si>
    <t>Расходы от оказ.плат.усл.  (РКВЦ)</t>
  </si>
  <si>
    <t>Расходы от оказ. плат. усл. (ГУ "Архивы Приднестровья")</t>
  </si>
  <si>
    <t>ГП приватизации и расзгосударствления</t>
  </si>
  <si>
    <t>Программа обеспечения жильем детей-сирот</t>
  </si>
  <si>
    <t>ГЦП "Льготное кред. инвалидов общего заболевания, инвалидов по зрению на 2021-2023 гг."</t>
  </si>
  <si>
    <t>ГЦП "Профилактика вирусных гепатитов В и С в ПМР" 2021-2024 гг.</t>
  </si>
  <si>
    <t>ГЦП "Стратегия развития ПГУ                                                         им. Т. Г. Шевченко"</t>
  </si>
  <si>
    <t>ГЦП "Равные возможности" на 2019-2022 годы</t>
  </si>
  <si>
    <t>ГЦП "Сохран. недвижимых объектов культурного наследия"</t>
  </si>
  <si>
    <t>Субсидии  ГА г. Бендеры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</si>
  <si>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</si>
  <si>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</si>
  <si>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</si>
  <si>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</si>
  <si>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</si>
  <si>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</si>
  <si>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</si>
  <si>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</si>
  <si>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</si>
  <si>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</si>
  <si>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</si>
  <si>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</si>
  <si>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</si>
  <si>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</si>
  <si>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</si>
  <si>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</si>
  <si>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</si>
  <si>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</si>
  <si>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</si>
  <si>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</si>
  <si>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</si>
  <si>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</si>
  <si>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</si>
  <si>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</si>
  <si>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</si>
  <si>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</si>
  <si>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</si>
  <si>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</si>
  <si>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</si>
  <si>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</si>
  <si>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</si>
  <si>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</si>
  <si>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</si>
  <si>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</si>
  <si>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</si>
  <si>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</si>
  <si>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</si>
  <si>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[111048]</t>
  </si>
  <si>
    <t>[111049]</t>
  </si>
  <si>
    <t>[111050]</t>
  </si>
  <si>
    <t>[111051]</t>
  </si>
  <si>
    <t>[111052]</t>
  </si>
  <si>
    <t>[111053]</t>
  </si>
  <si>
    <t>[111054]</t>
  </si>
  <si>
    <t>[111055]</t>
  </si>
  <si>
    <t>[111056]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</si>
  <si>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</si>
  <si>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</si>
  <si>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</si>
  <si>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</si>
  <si>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</si>
  <si>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</si>
  <si>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</si>
  <si>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</si>
  <si>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</si>
  <si>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[130270]</t>
  </si>
  <si>
    <t>[130280]</t>
  </si>
  <si>
    <t>[130300]</t>
  </si>
  <si>
    <t>[130310]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</si>
  <si>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</si>
  <si>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</si>
  <si>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</si>
  <si>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</si>
  <si>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</si>
  <si>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</si>
  <si>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</si>
  <si>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</si>
  <si>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</si>
  <si>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</si>
  <si>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</si>
  <si>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</si>
  <si>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</si>
  <si>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</si>
  <si>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</si>
  <si>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</si>
  <si>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</si>
  <si>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</si>
  <si>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</si>
  <si>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</si>
  <si>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</si>
  <si>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[240230]</t>
  </si>
  <si>
    <t>[240240]</t>
  </si>
  <si>
    <t>[240250]</t>
  </si>
  <si>
    <t>[240300]</t>
  </si>
  <si>
    <t>[240310]</t>
  </si>
  <si>
    <t>[240330]</t>
  </si>
  <si>
    <t>[240340]</t>
  </si>
  <si>
    <t>[240350]</t>
  </si>
  <si>
    <t>[240360]</t>
  </si>
  <si>
    <t>[250000]</t>
  </si>
  <si>
    <t>[250100]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</si>
  <si>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</si>
  <si>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</si>
  <si>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</si>
  <si>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</si>
  <si>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</si>
  <si>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</si>
  <si>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"О республиканском бюджете на 2021 год"</t>
  </si>
  <si>
    <t>Предельные  расходы республиканского бюджета на 2021 год</t>
  </si>
  <si>
    <t>(руб.)</t>
  </si>
  <si>
    <t>КОМАНДИ-РОВКИ И СЛУЖЕБНЫЕ РАЗЪЕЗДЫ</t>
  </si>
  <si>
    <t>Протези-рование</t>
  </si>
  <si>
    <t>Услуги судмед-экспертизы</t>
  </si>
  <si>
    <t>Из Дорожного фонда</t>
  </si>
  <si>
    <t>Из Экологическо-го фонда</t>
  </si>
  <si>
    <t>СРЕДСТВА, ПЕРЕДАВ. БЮДЖ. ДР. УР.</t>
  </si>
  <si>
    <t>ТРАНСФЕР-ТЫ НАСЕЛЕНИЮ</t>
  </si>
  <si>
    <t>КАПИТ. РАСХОДЫ</t>
  </si>
  <si>
    <t>В строит. объект. соц.- культ. назнач.</t>
  </si>
  <si>
    <t>Капитальн. ремонт</t>
  </si>
  <si>
    <t>жилого фонда</t>
  </si>
  <si>
    <t>объект. соц.-культ. назнач.</t>
  </si>
  <si>
    <t>админ. зданий</t>
  </si>
  <si>
    <t>транспортн. средств</t>
  </si>
  <si>
    <t>прочих объектов</t>
  </si>
  <si>
    <t>СОЗДАНИЕ ГОСУДАРСТ. РЕЗЕРВОВ</t>
  </si>
  <si>
    <t>Создание госрезервов</t>
  </si>
  <si>
    <t>УПЛАТА % И ПОГАШ. КРЕДИТОВ СОГЛ. ДОГОВОРАМ, ЗАКЛЮЧ-М С ГЛ.РАСП-МИ КРЕД.</t>
  </si>
  <si>
    <t xml:space="preserve">"О внесении изменений и дополнений </t>
  </si>
  <si>
    <t xml:space="preserve">в Закон Приднестровской Молдавской Республики </t>
  </si>
  <si>
    <t>Приложение № 5</t>
  </si>
  <si>
    <t>ВОЗВРАТ КРЕДИТОВ ПО ГОСУДАРСТВЕННОМУ ДОЛГУ</t>
  </si>
  <si>
    <t>Оплата расходов связанная с выполнением НИР ОКиТ работ по гос. контрактам</t>
  </si>
  <si>
    <t>Переподгот. кадров</t>
  </si>
  <si>
    <t>Денежное вознаг. за выполнен. работы, услуги</t>
  </si>
  <si>
    <t>Расходы на осуществл. Тирасполем функций столицы</t>
  </si>
  <si>
    <t>Расходы на цели  реализации решений по повышению доходов работников бюджетной сферы и пенсионеров</t>
  </si>
  <si>
    <t>Министерство цифрового развития, связи и массовых коммуникаций (лицен. сбор)</t>
  </si>
  <si>
    <t>В строит. комун. сферы</t>
  </si>
  <si>
    <t>Приложение №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</si>
</sst>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;@"/>
    <numFmt numFmtId="165" formatCode="#,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wrapText="1"/>
    </xf>
    <xf numFmtId="165" fontId="6" fillId="2" borderId="11" xfId="0" applyNumberFormat="1" applyFont="1" applyFill="1" applyBorder="1" applyAlignment="1">
      <alignment vertical="center"/>
    </xf>
    <xf numFmtId="165" fontId="7" fillId="2" borderId="11" xfId="0" applyNumberFormat="1" applyFont="1" applyFill="1" applyBorder="1" applyAlignment="1">
      <alignment vertical="center"/>
    </xf>
    <xf numFmtId="165" fontId="7" fillId="2" borderId="12" xfId="0" applyNumberFormat="1" applyFont="1" applyFill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8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165" fontId="7" fillId="2" borderId="8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165" fontId="7" fillId="0" borderId="8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 wrapText="1"/>
    </xf>
    <xf numFmtId="165" fontId="6" fillId="0" borderId="8" xfId="0" applyNumberFormat="1" applyFont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165" fontId="6" fillId="2" borderId="2" xfId="0" applyNumberFormat="1" applyFont="1" applyFill="1" applyBorder="1" applyAlignment="1">
      <alignment vertical="center"/>
    </xf>
    <xf numFmtId="165" fontId="7" fillId="2" borderId="2" xfId="0" applyNumberFormat="1" applyFont="1" applyFill="1" applyBorder="1" applyAlignment="1">
      <alignment vertical="center"/>
    </xf>
    <xf numFmtId="165" fontId="7" fillId="2" borderId="9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3" fontId="11" fillId="0" borderId="0" xfId="0" applyNumberFormat="1" applyFont="1" applyAlignment="1">
      <alignment horizontal="right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318"/>
  <sheetViews>
    <sheetView tabSelected="1" view="pageBreakPreview" zoomScale="75" zoomScaleNormal="110" zoomScaleSheetLayoutView="75" workbookViewId="0">
      <pane xSplit="5" ySplit="15" topLeftCell="F16" activePane="bottomRight" state="frozenSplit"/>
      <selection pane="topRight" activeCell="N1" sqref="N1"/>
      <selection pane="bottomLeft" activeCell="A12" sqref="A12"/>
      <selection pane="bottomRight" activeCell="L7" sqref="L7"/>
    </sheetView>
  </sheetViews>
  <sheetFormatPr defaultRowHeight="15" x14ac:dyDescent="0.25"/>
  <cols>
    <col min="1" max="1" width="5.7109375" customWidth="1"/>
    <col min="2" max="2" width="5.5703125" customWidth="1"/>
    <col min="3" max="3" width="4.28515625" customWidth="1"/>
    <col min="4" max="4" width="44.5703125" customWidth="1"/>
    <col min="5" max="5" width="10.85546875" customWidth="1"/>
    <col min="6" max="6" width="11.140625" customWidth="1"/>
    <col min="7" max="7" width="11" customWidth="1"/>
    <col min="8" max="8" width="9.42578125" customWidth="1"/>
    <col min="9" max="9" width="12.140625" customWidth="1"/>
    <col min="10" max="10" width="11.85546875" customWidth="1"/>
    <col min="11" max="11" width="11.28515625" customWidth="1"/>
    <col min="12" max="12" width="9.140625" customWidth="1"/>
    <col min="13" max="13" width="8" customWidth="1"/>
    <col min="14" max="14" width="7.85546875" customWidth="1"/>
    <col min="15" max="15" width="8.42578125" customWidth="1"/>
    <col min="16" max="16" width="11.5703125" customWidth="1"/>
    <col min="17" max="17" width="12" customWidth="1"/>
    <col min="18" max="25" width="9.140625" customWidth="1"/>
    <col min="26" max="26" width="10.140625" customWidth="1"/>
    <col min="27" max="28" width="9.140625" customWidth="1"/>
    <col min="29" max="29" width="9.42578125" customWidth="1"/>
    <col min="30" max="30" width="7.42578125" customWidth="1"/>
    <col min="31" max="31" width="13.140625" customWidth="1"/>
    <col min="32" max="32" width="10.5703125" customWidth="1"/>
    <col min="33" max="33" width="9.140625" customWidth="1"/>
    <col min="34" max="34" width="11.5703125" customWidth="1"/>
    <col min="35" max="39" width="9.140625" customWidth="1"/>
    <col min="40" max="40" width="9.7109375" customWidth="1"/>
    <col min="41" max="44" width="9.140625" customWidth="1"/>
    <col min="45" max="45" width="7.42578125" customWidth="1"/>
    <col min="46" max="46" width="8.5703125" customWidth="1"/>
    <col min="47" max="47" width="9.140625" customWidth="1"/>
    <col min="48" max="48" width="8.5703125" customWidth="1"/>
    <col min="49" max="49" width="9.140625" customWidth="1"/>
    <col min="50" max="50" width="8.42578125" customWidth="1"/>
    <col min="51" max="51" width="10.28515625" customWidth="1"/>
    <col min="52" max="54" width="9.140625" customWidth="1"/>
    <col min="55" max="55" width="12.28515625" customWidth="1"/>
    <col min="56" max="62" width="9.140625" customWidth="1"/>
    <col min="63" max="63" width="11.85546875" customWidth="1"/>
    <col min="64" max="64" width="10.140625" customWidth="1"/>
    <col min="65" max="67" width="9.140625" customWidth="1"/>
    <col min="68" max="68" width="11.140625" customWidth="1"/>
    <col min="69" max="72" width="9.140625" customWidth="1"/>
    <col min="73" max="73" width="10" customWidth="1"/>
    <col min="74" max="74" width="9.42578125" customWidth="1"/>
    <col min="75" max="75" width="11.140625" customWidth="1"/>
    <col min="76" max="76" width="11" customWidth="1"/>
    <col min="77" max="77" width="11.5703125" customWidth="1"/>
    <col min="78" max="78" width="11.140625" customWidth="1"/>
    <col min="79" max="79" width="9.28515625" customWidth="1"/>
    <col min="80" max="80" width="9.140625" customWidth="1"/>
    <col min="81" max="81" width="11.5703125" customWidth="1"/>
    <col min="82" max="82" width="8.42578125" customWidth="1"/>
    <col min="83" max="83" width="8.140625" customWidth="1"/>
    <col min="84" max="84" width="9.140625" customWidth="1"/>
    <col min="85" max="85" width="10.85546875" customWidth="1"/>
    <col min="86" max="86" width="10.140625" customWidth="1"/>
    <col min="87" max="87" width="9.140625" customWidth="1"/>
    <col min="88" max="88" width="8.140625" customWidth="1"/>
    <col min="89" max="89" width="10.42578125" customWidth="1"/>
    <col min="90" max="90" width="8.5703125" customWidth="1"/>
    <col min="91" max="91" width="8.140625" customWidth="1"/>
    <col min="92" max="92" width="9.140625" customWidth="1"/>
    <col min="93" max="93" width="7.85546875" customWidth="1"/>
    <col min="94" max="94" width="9.140625" customWidth="1"/>
    <col min="95" max="95" width="8.42578125" customWidth="1"/>
    <col min="96" max="96" width="11.85546875" customWidth="1"/>
    <col min="97" max="97" width="9.140625" customWidth="1"/>
    <col min="98" max="98" width="11.5703125" customWidth="1"/>
    <col min="99" max="99" width="13.140625" customWidth="1"/>
    <col min="100" max="100" width="10.42578125" customWidth="1"/>
    <col min="101" max="101" width="9.140625" customWidth="1"/>
    <col min="102" max="102" width="8.7109375" customWidth="1"/>
    <col min="103" max="103" width="4.42578125" bestFit="1" customWidth="1"/>
    <col min="104" max="104" width="3.5703125" bestFit="1" customWidth="1"/>
    <col min="105" max="105" width="78.85546875" customWidth="1"/>
  </cols>
  <sheetData>
    <row r="1" spans="1:107" ht="15.75" x14ac:dyDescent="0.25">
      <c r="L1" s="55" t="s">
        <v>627</v>
      </c>
    </row>
    <row r="2" spans="1:107" ht="15.75" x14ac:dyDescent="0.25">
      <c r="L2" s="55" t="s">
        <v>603</v>
      </c>
    </row>
    <row r="3" spans="1:107" ht="15.75" x14ac:dyDescent="0.25">
      <c r="L3" s="58" t="s">
        <v>625</v>
      </c>
    </row>
    <row r="4" spans="1:107" ht="15.75" x14ac:dyDescent="0.25">
      <c r="L4" s="58" t="s">
        <v>626</v>
      </c>
    </row>
    <row r="5" spans="1:107" ht="15.75" x14ac:dyDescent="0.25">
      <c r="L5" s="55" t="s">
        <v>604</v>
      </c>
    </row>
    <row r="7" spans="1:107" s="54" customFormat="1" ht="15.75" x14ac:dyDescent="0.25">
      <c r="A7" s="51"/>
      <c r="B7" s="51"/>
      <c r="C7" s="51"/>
      <c r="D7" s="52"/>
      <c r="E7" s="53"/>
      <c r="F7" s="53"/>
      <c r="H7" s="55"/>
      <c r="I7" s="55"/>
      <c r="L7" s="55" t="s">
        <v>636</v>
      </c>
      <c r="M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</row>
    <row r="8" spans="1:107" s="54" customFormat="1" ht="15.75" x14ac:dyDescent="0.25">
      <c r="A8" s="51"/>
      <c r="B8" s="51"/>
      <c r="C8" s="51"/>
      <c r="D8" s="52"/>
      <c r="E8" s="53"/>
      <c r="F8" s="53"/>
      <c r="H8" s="55"/>
      <c r="I8" s="55"/>
      <c r="L8" s="55" t="s">
        <v>603</v>
      </c>
      <c r="M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</row>
    <row r="9" spans="1:107" s="54" customFormat="1" ht="15.75" x14ac:dyDescent="0.25">
      <c r="A9" s="51"/>
      <c r="B9" s="51"/>
      <c r="C9" s="51"/>
      <c r="D9" s="52"/>
      <c r="E9" s="53"/>
      <c r="F9" s="53"/>
      <c r="H9" s="55"/>
      <c r="I9" s="55"/>
      <c r="L9" s="55" t="s">
        <v>604</v>
      </c>
      <c r="M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</row>
    <row r="10" spans="1:107" s="54" customFormat="1" ht="15.75" x14ac:dyDescent="0.25">
      <c r="A10" s="51"/>
      <c r="B10" s="51"/>
      <c r="C10" s="51"/>
      <c r="D10" s="52"/>
      <c r="E10" s="53"/>
      <c r="F10" s="53"/>
      <c r="H10" s="55"/>
      <c r="I10" s="55"/>
      <c r="M10" s="53"/>
      <c r="N10" s="55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</row>
    <row r="11" spans="1:107" s="54" customFormat="1" ht="15.75" x14ac:dyDescent="0.25">
      <c r="A11" s="72" t="s">
        <v>605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07" s="49" customFormat="1" ht="16.5" thickBot="1" x14ac:dyDescent="0.3">
      <c r="A12" s="56"/>
      <c r="B12" s="56"/>
      <c r="C12" s="56"/>
      <c r="F12" s="57"/>
      <c r="G12" s="57"/>
      <c r="L12" s="59" t="s">
        <v>606</v>
      </c>
      <c r="DC12" s="50"/>
    </row>
    <row r="13" spans="1:107" s="49" customFormat="1" ht="41.25" customHeight="1" x14ac:dyDescent="0.25">
      <c r="A13" s="62" t="s">
        <v>19</v>
      </c>
      <c r="B13" s="63"/>
      <c r="C13" s="63" t="s">
        <v>80</v>
      </c>
      <c r="D13" s="66" t="s">
        <v>0</v>
      </c>
      <c r="E13" s="69" t="s">
        <v>20</v>
      </c>
      <c r="F13" s="60" t="s">
        <v>2</v>
      </c>
      <c r="G13" s="60" t="s">
        <v>3</v>
      </c>
      <c r="H13" s="60" t="s">
        <v>4</v>
      </c>
      <c r="I13" s="60" t="s">
        <v>21</v>
      </c>
      <c r="J13" s="60" t="s">
        <v>22</v>
      </c>
      <c r="K13" s="60" t="s">
        <v>23</v>
      </c>
      <c r="L13" s="60" t="s">
        <v>24</v>
      </c>
      <c r="M13" s="60" t="s">
        <v>5</v>
      </c>
      <c r="N13" s="60" t="s">
        <v>6</v>
      </c>
      <c r="O13" s="60" t="s">
        <v>25</v>
      </c>
      <c r="P13" s="60" t="s">
        <v>26</v>
      </c>
      <c r="Q13" s="60" t="s">
        <v>607</v>
      </c>
      <c r="R13" s="60" t="s">
        <v>27</v>
      </c>
      <c r="S13" s="60" t="s">
        <v>28</v>
      </c>
      <c r="T13" s="60" t="s">
        <v>29</v>
      </c>
      <c r="U13" s="60" t="s">
        <v>7</v>
      </c>
      <c r="V13" s="60" t="s">
        <v>30</v>
      </c>
      <c r="W13" s="60" t="s">
        <v>31</v>
      </c>
      <c r="X13" s="60" t="s">
        <v>8</v>
      </c>
      <c r="Y13" s="60" t="s">
        <v>32</v>
      </c>
      <c r="Z13" s="60" t="s">
        <v>33</v>
      </c>
      <c r="AA13" s="60" t="s">
        <v>9</v>
      </c>
      <c r="AB13" s="60" t="s">
        <v>10</v>
      </c>
      <c r="AC13" s="60" t="s">
        <v>34</v>
      </c>
      <c r="AD13" s="60" t="s">
        <v>11</v>
      </c>
      <c r="AE13" s="60" t="s">
        <v>12</v>
      </c>
      <c r="AF13" s="60" t="s">
        <v>35</v>
      </c>
      <c r="AG13" s="60" t="s">
        <v>36</v>
      </c>
      <c r="AH13" s="60" t="s">
        <v>629</v>
      </c>
      <c r="AI13" s="60" t="s">
        <v>37</v>
      </c>
      <c r="AJ13" s="60" t="s">
        <v>38</v>
      </c>
      <c r="AK13" s="60" t="s">
        <v>39</v>
      </c>
      <c r="AL13" s="60" t="s">
        <v>13</v>
      </c>
      <c r="AM13" s="60" t="s">
        <v>40</v>
      </c>
      <c r="AN13" s="60" t="s">
        <v>630</v>
      </c>
      <c r="AO13" s="60" t="s">
        <v>41</v>
      </c>
      <c r="AP13" s="60" t="s">
        <v>42</v>
      </c>
      <c r="AQ13" s="60" t="s">
        <v>43</v>
      </c>
      <c r="AR13" s="60" t="s">
        <v>44</v>
      </c>
      <c r="AS13" s="60" t="s">
        <v>45</v>
      </c>
      <c r="AT13" s="60" t="s">
        <v>46</v>
      </c>
      <c r="AU13" s="60" t="s">
        <v>47</v>
      </c>
      <c r="AV13" s="60" t="s">
        <v>48</v>
      </c>
      <c r="AW13" s="60" t="s">
        <v>49</v>
      </c>
      <c r="AX13" s="60" t="s">
        <v>608</v>
      </c>
      <c r="AY13" s="60" t="s">
        <v>50</v>
      </c>
      <c r="AZ13" s="60" t="s">
        <v>609</v>
      </c>
      <c r="BA13" s="60" t="s">
        <v>631</v>
      </c>
      <c r="BB13" s="60" t="s">
        <v>51</v>
      </c>
      <c r="BC13" s="60" t="s">
        <v>14</v>
      </c>
      <c r="BD13" s="60" t="s">
        <v>52</v>
      </c>
      <c r="BE13" s="60" t="s">
        <v>15</v>
      </c>
      <c r="BF13" s="60" t="s">
        <v>53</v>
      </c>
      <c r="BG13" s="60" t="s">
        <v>54</v>
      </c>
      <c r="BH13" s="60" t="s">
        <v>55</v>
      </c>
      <c r="BI13" s="60" t="s">
        <v>610</v>
      </c>
      <c r="BJ13" s="60" t="s">
        <v>56</v>
      </c>
      <c r="BK13" s="60" t="s">
        <v>611</v>
      </c>
      <c r="BL13" s="60" t="s">
        <v>612</v>
      </c>
      <c r="BM13" s="60" t="s">
        <v>632</v>
      </c>
      <c r="BN13" s="60" t="s">
        <v>57</v>
      </c>
      <c r="BO13" s="60" t="s">
        <v>58</v>
      </c>
      <c r="BP13" s="60" t="s">
        <v>613</v>
      </c>
      <c r="BQ13" s="60" t="s">
        <v>59</v>
      </c>
      <c r="BR13" s="60" t="s">
        <v>60</v>
      </c>
      <c r="BS13" s="60" t="s">
        <v>16</v>
      </c>
      <c r="BT13" s="60" t="s">
        <v>61</v>
      </c>
      <c r="BU13" s="60" t="s">
        <v>62</v>
      </c>
      <c r="BV13" s="60" t="s">
        <v>63</v>
      </c>
      <c r="BW13" s="60" t="s">
        <v>17</v>
      </c>
      <c r="BX13" s="60" t="s">
        <v>64</v>
      </c>
      <c r="BY13" s="60" t="s">
        <v>65</v>
      </c>
      <c r="BZ13" s="60" t="s">
        <v>18</v>
      </c>
      <c r="CA13" s="60" t="s">
        <v>66</v>
      </c>
      <c r="CB13" s="60" t="s">
        <v>614</v>
      </c>
      <c r="CC13" s="60" t="s">
        <v>67</v>
      </c>
      <c r="CD13" s="60" t="s">
        <v>68</v>
      </c>
      <c r="CE13" s="60" t="s">
        <v>69</v>
      </c>
      <c r="CF13" s="60" t="s">
        <v>70</v>
      </c>
      <c r="CG13" s="60" t="s">
        <v>71</v>
      </c>
      <c r="CH13" s="60" t="s">
        <v>72</v>
      </c>
      <c r="CI13" s="60" t="s">
        <v>615</v>
      </c>
      <c r="CJ13" s="60" t="s">
        <v>73</v>
      </c>
      <c r="CK13" s="60" t="s">
        <v>635</v>
      </c>
      <c r="CL13" s="60" t="s">
        <v>616</v>
      </c>
      <c r="CM13" s="60" t="s">
        <v>617</v>
      </c>
      <c r="CN13" s="60" t="s">
        <v>618</v>
      </c>
      <c r="CO13" s="60" t="s">
        <v>619</v>
      </c>
      <c r="CP13" s="60" t="s">
        <v>620</v>
      </c>
      <c r="CQ13" s="60" t="s">
        <v>621</v>
      </c>
      <c r="CR13" s="60" t="s">
        <v>622</v>
      </c>
      <c r="CS13" s="60" t="s">
        <v>623</v>
      </c>
      <c r="CT13" s="60" t="s">
        <v>74</v>
      </c>
      <c r="CU13" s="60" t="s">
        <v>624</v>
      </c>
      <c r="CV13" s="60" t="s">
        <v>75</v>
      </c>
      <c r="CW13" s="60" t="s">
        <v>76</v>
      </c>
      <c r="CX13" s="73" t="s">
        <v>77</v>
      </c>
      <c r="DC13" s="50"/>
    </row>
    <row r="14" spans="1:107" s="49" customFormat="1" ht="51.75" customHeight="1" x14ac:dyDescent="0.25">
      <c r="A14" s="75" t="s">
        <v>78</v>
      </c>
      <c r="B14" s="64" t="s">
        <v>79</v>
      </c>
      <c r="C14" s="64"/>
      <c r="D14" s="67"/>
      <c r="E14" s="7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74"/>
      <c r="DC14" s="50"/>
    </row>
    <row r="15" spans="1:107" s="49" customFormat="1" ht="16.5" thickBot="1" x14ac:dyDescent="0.3">
      <c r="A15" s="76"/>
      <c r="B15" s="65"/>
      <c r="C15" s="65"/>
      <c r="D15" s="68"/>
      <c r="E15" s="71"/>
      <c r="F15" s="47" t="s">
        <v>507</v>
      </c>
      <c r="G15" s="47" t="s">
        <v>508</v>
      </c>
      <c r="H15" s="47" t="s">
        <v>509</v>
      </c>
      <c r="I15" s="47" t="s">
        <v>510</v>
      </c>
      <c r="J15" s="47" t="s">
        <v>511</v>
      </c>
      <c r="K15" s="47" t="s">
        <v>512</v>
      </c>
      <c r="L15" s="47" t="s">
        <v>513</v>
      </c>
      <c r="M15" s="47" t="s">
        <v>514</v>
      </c>
      <c r="N15" s="47" t="s">
        <v>515</v>
      </c>
      <c r="O15" s="47" t="s">
        <v>516</v>
      </c>
      <c r="P15" s="47" t="s">
        <v>517</v>
      </c>
      <c r="Q15" s="47" t="s">
        <v>518</v>
      </c>
      <c r="R15" s="47" t="s">
        <v>519</v>
      </c>
      <c r="S15" s="47" t="s">
        <v>520</v>
      </c>
      <c r="T15" s="47" t="s">
        <v>521</v>
      </c>
      <c r="U15" s="47" t="s">
        <v>522</v>
      </c>
      <c r="V15" s="47" t="s">
        <v>523</v>
      </c>
      <c r="W15" s="47" t="s">
        <v>524</v>
      </c>
      <c r="X15" s="47" t="s">
        <v>525</v>
      </c>
      <c r="Y15" s="47" t="s">
        <v>526</v>
      </c>
      <c r="Z15" s="47" t="s">
        <v>527</v>
      </c>
      <c r="AA15" s="47" t="s">
        <v>528</v>
      </c>
      <c r="AB15" s="47" t="s">
        <v>529</v>
      </c>
      <c r="AC15" s="47" t="s">
        <v>530</v>
      </c>
      <c r="AD15" s="47" t="s">
        <v>531</v>
      </c>
      <c r="AE15" s="47">
        <v>110900</v>
      </c>
      <c r="AF15" s="47" t="s">
        <v>532</v>
      </c>
      <c r="AG15" s="47" t="s">
        <v>533</v>
      </c>
      <c r="AH15" s="47" t="s">
        <v>534</v>
      </c>
      <c r="AI15" s="47" t="s">
        <v>535</v>
      </c>
      <c r="AJ15" s="47" t="s">
        <v>536</v>
      </c>
      <c r="AK15" s="47" t="s">
        <v>537</v>
      </c>
      <c r="AL15" s="47" t="s">
        <v>538</v>
      </c>
      <c r="AM15" s="47" t="s">
        <v>539</v>
      </c>
      <c r="AN15" s="47" t="s">
        <v>540</v>
      </c>
      <c r="AO15" s="47" t="s">
        <v>541</v>
      </c>
      <c r="AP15" s="47" t="s">
        <v>542</v>
      </c>
      <c r="AQ15" s="47" t="s">
        <v>543</v>
      </c>
      <c r="AR15" s="47" t="s">
        <v>544</v>
      </c>
      <c r="AS15" s="47" t="s">
        <v>545</v>
      </c>
      <c r="AT15" s="47" t="s">
        <v>546</v>
      </c>
      <c r="AU15" s="47" t="s">
        <v>547</v>
      </c>
      <c r="AV15" s="47" t="s">
        <v>548</v>
      </c>
      <c r="AW15" s="47" t="s">
        <v>549</v>
      </c>
      <c r="AX15" s="47" t="s">
        <v>550</v>
      </c>
      <c r="AY15" s="47" t="s">
        <v>551</v>
      </c>
      <c r="AZ15" s="47" t="s">
        <v>552</v>
      </c>
      <c r="BA15" s="47" t="s">
        <v>553</v>
      </c>
      <c r="BB15" s="47" t="s">
        <v>554</v>
      </c>
      <c r="BC15" s="47" t="s">
        <v>555</v>
      </c>
      <c r="BD15" s="47" t="s">
        <v>556</v>
      </c>
      <c r="BE15" s="47" t="s">
        <v>557</v>
      </c>
      <c r="BF15" s="47" t="s">
        <v>558</v>
      </c>
      <c r="BG15" s="47" t="s">
        <v>559</v>
      </c>
      <c r="BH15" s="47" t="s">
        <v>560</v>
      </c>
      <c r="BI15" s="47" t="s">
        <v>561</v>
      </c>
      <c r="BJ15" s="47" t="s">
        <v>562</v>
      </c>
      <c r="BK15" s="47" t="s">
        <v>563</v>
      </c>
      <c r="BL15" s="47" t="s">
        <v>564</v>
      </c>
      <c r="BM15" s="47" t="s">
        <v>565</v>
      </c>
      <c r="BN15" s="47" t="s">
        <v>566</v>
      </c>
      <c r="BO15" s="47" t="s">
        <v>567</v>
      </c>
      <c r="BP15" s="47" t="s">
        <v>568</v>
      </c>
      <c r="BQ15" s="47" t="s">
        <v>569</v>
      </c>
      <c r="BR15" s="47" t="s">
        <v>570</v>
      </c>
      <c r="BS15" s="47" t="s">
        <v>571</v>
      </c>
      <c r="BT15" s="47" t="s">
        <v>572</v>
      </c>
      <c r="BU15" s="47" t="s">
        <v>573</v>
      </c>
      <c r="BV15" s="47" t="s">
        <v>574</v>
      </c>
      <c r="BW15" s="47" t="s">
        <v>575</v>
      </c>
      <c r="BX15" s="47" t="s">
        <v>576</v>
      </c>
      <c r="BY15" s="47" t="s">
        <v>577</v>
      </c>
      <c r="BZ15" s="47" t="s">
        <v>578</v>
      </c>
      <c r="CA15" s="47" t="s">
        <v>579</v>
      </c>
      <c r="CB15" s="47" t="s">
        <v>580</v>
      </c>
      <c r="CC15" s="47" t="s">
        <v>581</v>
      </c>
      <c r="CD15" s="47" t="s">
        <v>582</v>
      </c>
      <c r="CE15" s="47" t="s">
        <v>583</v>
      </c>
      <c r="CF15" s="47" t="s">
        <v>584</v>
      </c>
      <c r="CG15" s="47" t="s">
        <v>585</v>
      </c>
      <c r="CH15" s="47" t="s">
        <v>586</v>
      </c>
      <c r="CI15" s="47" t="s">
        <v>587</v>
      </c>
      <c r="CJ15" s="47" t="s">
        <v>588</v>
      </c>
      <c r="CK15" s="47" t="s">
        <v>589</v>
      </c>
      <c r="CL15" s="47" t="s">
        <v>590</v>
      </c>
      <c r="CM15" s="47" t="s">
        <v>591</v>
      </c>
      <c r="CN15" s="47" t="s">
        <v>592</v>
      </c>
      <c r="CO15" s="47" t="s">
        <v>593</v>
      </c>
      <c r="CP15" s="47" t="s">
        <v>594</v>
      </c>
      <c r="CQ15" s="47" t="s">
        <v>595</v>
      </c>
      <c r="CR15" s="47" t="s">
        <v>596</v>
      </c>
      <c r="CS15" s="47" t="s">
        <v>597</v>
      </c>
      <c r="CT15" s="47" t="s">
        <v>598</v>
      </c>
      <c r="CU15" s="47" t="s">
        <v>599</v>
      </c>
      <c r="CV15" s="47" t="s">
        <v>600</v>
      </c>
      <c r="CW15" s="47" t="s">
        <v>601</v>
      </c>
      <c r="CX15" s="48" t="s">
        <v>602</v>
      </c>
      <c r="DC15" s="50"/>
    </row>
    <row r="16" spans="1:107" ht="31.5" x14ac:dyDescent="0.25">
      <c r="A16" s="1" t="s">
        <v>81</v>
      </c>
      <c r="B16" s="2" t="s">
        <v>1</v>
      </c>
      <c r="C16" s="2" t="s">
        <v>1</v>
      </c>
      <c r="D16" s="3" t="s">
        <v>82</v>
      </c>
      <c r="E16" s="4">
        <f t="shared" ref="E16:BS16" si="0">SUM(E17+E19+E23+E41+E43+E49+E51)</f>
        <v>218889418</v>
      </c>
      <c r="F16" s="5">
        <f t="shared" si="0"/>
        <v>210999378</v>
      </c>
      <c r="G16" s="5">
        <f t="shared" si="0"/>
        <v>205914588</v>
      </c>
      <c r="H16" s="5">
        <f t="shared" si="0"/>
        <v>135770334</v>
      </c>
      <c r="I16" s="5">
        <f t="shared" si="0"/>
        <v>28893354</v>
      </c>
      <c r="J16" s="5">
        <f t="shared" si="0"/>
        <v>11538197</v>
      </c>
      <c r="K16" s="5">
        <f t="shared" si="0"/>
        <v>450</v>
      </c>
      <c r="L16" s="5">
        <f t="shared" si="0"/>
        <v>1355306</v>
      </c>
      <c r="M16" s="5">
        <f t="shared" si="0"/>
        <v>0</v>
      </c>
      <c r="N16" s="5">
        <f t="shared" si="0"/>
        <v>0</v>
      </c>
      <c r="O16" s="5">
        <f t="shared" si="0"/>
        <v>6474056</v>
      </c>
      <c r="P16" s="5">
        <f t="shared" si="0"/>
        <v>3708385</v>
      </c>
      <c r="Q16" s="5">
        <f t="shared" si="0"/>
        <v>3559272</v>
      </c>
      <c r="R16" s="5">
        <f t="shared" si="0"/>
        <v>4496</v>
      </c>
      <c r="S16" s="5">
        <f t="shared" si="0"/>
        <v>3554776</v>
      </c>
      <c r="T16" s="5">
        <f t="shared" si="0"/>
        <v>0</v>
      </c>
      <c r="U16" s="5">
        <f t="shared" si="0"/>
        <v>5841536</v>
      </c>
      <c r="V16" s="5">
        <f t="shared" si="0"/>
        <v>4895571</v>
      </c>
      <c r="W16" s="5">
        <f t="shared" si="0"/>
        <v>522464</v>
      </c>
      <c r="X16" s="5">
        <f t="shared" si="0"/>
        <v>1186430</v>
      </c>
      <c r="Y16" s="5">
        <f t="shared" si="0"/>
        <v>1369528</v>
      </c>
      <c r="Z16" s="5">
        <f t="shared" si="0"/>
        <v>240667</v>
      </c>
      <c r="AA16" s="5">
        <f t="shared" si="0"/>
        <v>145789</v>
      </c>
      <c r="AB16" s="5">
        <f t="shared" si="0"/>
        <v>1318351</v>
      </c>
      <c r="AC16" s="5">
        <f t="shared" si="0"/>
        <v>0</v>
      </c>
      <c r="AD16" s="5">
        <f t="shared" si="0"/>
        <v>112342</v>
      </c>
      <c r="AE16" s="5">
        <f t="shared" si="0"/>
        <v>0</v>
      </c>
      <c r="AF16" s="5">
        <f t="shared" si="0"/>
        <v>15416324</v>
      </c>
      <c r="AG16" s="5">
        <f t="shared" si="0"/>
        <v>0</v>
      </c>
      <c r="AH16" s="5">
        <f t="shared" si="0"/>
        <v>0</v>
      </c>
      <c r="AI16" s="5">
        <f t="shared" si="0"/>
        <v>424923</v>
      </c>
      <c r="AJ16" s="5">
        <f t="shared" si="0"/>
        <v>1675243</v>
      </c>
      <c r="AK16" s="5">
        <f t="shared" si="0"/>
        <v>1591</v>
      </c>
      <c r="AL16" s="5">
        <f t="shared" si="0"/>
        <v>130847</v>
      </c>
      <c r="AM16" s="5">
        <f t="shared" si="0"/>
        <v>1134930</v>
      </c>
      <c r="AN16" s="5">
        <f t="shared" si="0"/>
        <v>150993</v>
      </c>
      <c r="AO16" s="5">
        <f t="shared" si="0"/>
        <v>691518</v>
      </c>
      <c r="AP16" s="5">
        <f t="shared" si="0"/>
        <v>4370731</v>
      </c>
      <c r="AQ16" s="5">
        <f t="shared" si="0"/>
        <v>7408</v>
      </c>
      <c r="AR16" s="5">
        <f t="shared" si="0"/>
        <v>0</v>
      </c>
      <c r="AS16" s="5">
        <f t="shared" si="0"/>
        <v>0</v>
      </c>
      <c r="AT16" s="5">
        <f t="shared" si="0"/>
        <v>493096</v>
      </c>
      <c r="AU16" s="5">
        <f t="shared" si="0"/>
        <v>61032</v>
      </c>
      <c r="AV16" s="5"/>
      <c r="AW16" s="5"/>
      <c r="AX16" s="5">
        <f t="shared" si="0"/>
        <v>0</v>
      </c>
      <c r="AY16" s="5">
        <f t="shared" si="0"/>
        <v>1366988</v>
      </c>
      <c r="AZ16" s="5">
        <f t="shared" si="0"/>
        <v>0</v>
      </c>
      <c r="BA16" s="5">
        <f t="shared" si="0"/>
        <v>620226</v>
      </c>
      <c r="BB16" s="5">
        <f t="shared" si="0"/>
        <v>4286798</v>
      </c>
      <c r="BC16" s="5">
        <f t="shared" si="0"/>
        <v>5084790</v>
      </c>
      <c r="BD16" s="5">
        <f t="shared" si="0"/>
        <v>0</v>
      </c>
      <c r="BE16" s="5">
        <f t="shared" si="0"/>
        <v>0</v>
      </c>
      <c r="BF16" s="5">
        <f t="shared" si="0"/>
        <v>0</v>
      </c>
      <c r="BG16" s="5">
        <f t="shared" si="0"/>
        <v>0</v>
      </c>
      <c r="BH16" s="5">
        <f t="shared" si="0"/>
        <v>0</v>
      </c>
      <c r="BI16" s="5">
        <f t="shared" si="0"/>
        <v>0</v>
      </c>
      <c r="BJ16" s="5">
        <f t="shared" si="0"/>
        <v>0</v>
      </c>
      <c r="BK16" s="5">
        <f t="shared" si="0"/>
        <v>0</v>
      </c>
      <c r="BL16" s="5">
        <f t="shared" si="0"/>
        <v>0</v>
      </c>
      <c r="BM16" s="5">
        <f t="shared" si="0"/>
        <v>0</v>
      </c>
      <c r="BN16" s="5">
        <f t="shared" si="0"/>
        <v>0</v>
      </c>
      <c r="BO16" s="5">
        <f t="shared" si="0"/>
        <v>0</v>
      </c>
      <c r="BP16" s="5">
        <f t="shared" si="0"/>
        <v>5084790</v>
      </c>
      <c r="BQ16" s="5">
        <f t="shared" si="0"/>
        <v>0</v>
      </c>
      <c r="BR16" s="5">
        <f t="shared" si="0"/>
        <v>0</v>
      </c>
      <c r="BS16" s="5">
        <f t="shared" si="0"/>
        <v>0</v>
      </c>
      <c r="BT16" s="5">
        <f t="shared" ref="BT16:CX16" si="1">SUM(BT17+BT19+BT23+BT41+BT43+BT49+BT51)</f>
        <v>0</v>
      </c>
      <c r="BU16" s="5">
        <f t="shared" si="1"/>
        <v>0</v>
      </c>
      <c r="BV16" s="5">
        <f t="shared" si="1"/>
        <v>0</v>
      </c>
      <c r="BW16" s="5">
        <f t="shared" si="1"/>
        <v>0</v>
      </c>
      <c r="BX16" s="5">
        <f t="shared" si="1"/>
        <v>0</v>
      </c>
      <c r="BY16" s="5">
        <f t="shared" si="1"/>
        <v>0</v>
      </c>
      <c r="BZ16" s="5">
        <f t="shared" si="1"/>
        <v>5084790</v>
      </c>
      <c r="CA16" s="5">
        <f t="shared" si="1"/>
        <v>0</v>
      </c>
      <c r="CB16" s="5">
        <f t="shared" si="1"/>
        <v>7890040</v>
      </c>
      <c r="CC16" s="5">
        <f t="shared" si="1"/>
        <v>7890040</v>
      </c>
      <c r="CD16" s="5">
        <f t="shared" si="1"/>
        <v>5203292</v>
      </c>
      <c r="CE16" s="5">
        <f t="shared" si="1"/>
        <v>0</v>
      </c>
      <c r="CF16" s="5">
        <f t="shared" si="1"/>
        <v>5203292</v>
      </c>
      <c r="CG16" s="5">
        <f t="shared" si="1"/>
        <v>2255729</v>
      </c>
      <c r="CH16" s="5">
        <f t="shared" si="1"/>
        <v>795729</v>
      </c>
      <c r="CI16" s="5">
        <f t="shared" si="1"/>
        <v>0</v>
      </c>
      <c r="CJ16" s="5">
        <f t="shared" si="1"/>
        <v>1460000</v>
      </c>
      <c r="CK16" s="5">
        <f t="shared" si="1"/>
        <v>0</v>
      </c>
      <c r="CL16" s="5">
        <f t="shared" si="1"/>
        <v>431019</v>
      </c>
      <c r="CM16" s="5">
        <f t="shared" si="1"/>
        <v>0</v>
      </c>
      <c r="CN16" s="5">
        <f t="shared" si="1"/>
        <v>0</v>
      </c>
      <c r="CO16" s="5">
        <f t="shared" si="1"/>
        <v>431019</v>
      </c>
      <c r="CP16" s="5"/>
      <c r="CQ16" s="5">
        <f t="shared" si="1"/>
        <v>0</v>
      </c>
      <c r="CR16" s="5">
        <f t="shared" si="1"/>
        <v>0</v>
      </c>
      <c r="CS16" s="5">
        <f t="shared" si="1"/>
        <v>0</v>
      </c>
      <c r="CT16" s="5">
        <f t="shared" si="1"/>
        <v>0</v>
      </c>
      <c r="CU16" s="5">
        <f t="shared" si="1"/>
        <v>0</v>
      </c>
      <c r="CV16" s="5">
        <f t="shared" si="1"/>
        <v>0</v>
      </c>
      <c r="CW16" s="5">
        <f t="shared" si="1"/>
        <v>0</v>
      </c>
      <c r="CX16" s="6">
        <f t="shared" si="1"/>
        <v>0</v>
      </c>
    </row>
    <row r="17" spans="1:102" ht="31.5" x14ac:dyDescent="0.25">
      <c r="A17" s="7"/>
      <c r="B17" s="8" t="s">
        <v>83</v>
      </c>
      <c r="C17" s="8" t="s">
        <v>1</v>
      </c>
      <c r="D17" s="9" t="s">
        <v>84</v>
      </c>
      <c r="E17" s="10">
        <f>SUM(E18)</f>
        <v>26218266</v>
      </c>
      <c r="F17" s="11">
        <f t="shared" ref="F17:BV17" si="2">SUM(F18)</f>
        <v>25107155</v>
      </c>
      <c r="G17" s="11">
        <f t="shared" si="2"/>
        <v>25075333</v>
      </c>
      <c r="H17" s="11">
        <f t="shared" si="2"/>
        <v>10186224</v>
      </c>
      <c r="I17" s="11">
        <f t="shared" si="2"/>
        <v>2448394</v>
      </c>
      <c r="J17" s="11">
        <f t="shared" si="2"/>
        <v>2568252</v>
      </c>
      <c r="K17" s="11">
        <f t="shared" si="2"/>
        <v>0</v>
      </c>
      <c r="L17" s="11">
        <f t="shared" si="2"/>
        <v>19272</v>
      </c>
      <c r="M17" s="11">
        <f t="shared" si="2"/>
        <v>0</v>
      </c>
      <c r="N17" s="11">
        <f t="shared" si="2"/>
        <v>0</v>
      </c>
      <c r="O17" s="11">
        <f t="shared" si="2"/>
        <v>1876650</v>
      </c>
      <c r="P17" s="11">
        <f t="shared" si="2"/>
        <v>672330</v>
      </c>
      <c r="Q17" s="11">
        <f t="shared" si="2"/>
        <v>435133</v>
      </c>
      <c r="R17" s="11">
        <f t="shared" si="2"/>
        <v>856</v>
      </c>
      <c r="S17" s="11">
        <f t="shared" si="2"/>
        <v>434277</v>
      </c>
      <c r="T17" s="11">
        <f t="shared" si="2"/>
        <v>0</v>
      </c>
      <c r="U17" s="11">
        <f t="shared" si="2"/>
        <v>1000768</v>
      </c>
      <c r="V17" s="11">
        <f t="shared" si="2"/>
        <v>540712</v>
      </c>
      <c r="W17" s="11">
        <f t="shared" si="2"/>
        <v>114772</v>
      </c>
      <c r="X17" s="11">
        <f t="shared" si="2"/>
        <v>90139</v>
      </c>
      <c r="Y17" s="11">
        <f t="shared" si="2"/>
        <v>223942</v>
      </c>
      <c r="Z17" s="11">
        <f t="shared" si="2"/>
        <v>40699</v>
      </c>
      <c r="AA17" s="11">
        <f t="shared" si="2"/>
        <v>30451</v>
      </c>
      <c r="AB17" s="11">
        <f t="shared" si="2"/>
        <v>0</v>
      </c>
      <c r="AC17" s="11">
        <f t="shared" si="2"/>
        <v>0</v>
      </c>
      <c r="AD17" s="11">
        <f t="shared" si="2"/>
        <v>40709</v>
      </c>
      <c r="AE17" s="11">
        <f t="shared" si="2"/>
        <v>0</v>
      </c>
      <c r="AF17" s="11">
        <f t="shared" si="2"/>
        <v>7895850</v>
      </c>
      <c r="AG17" s="11">
        <f t="shared" si="2"/>
        <v>0</v>
      </c>
      <c r="AH17" s="11">
        <f t="shared" si="2"/>
        <v>0</v>
      </c>
      <c r="AI17" s="11">
        <f t="shared" si="2"/>
        <v>41883</v>
      </c>
      <c r="AJ17" s="11">
        <f t="shared" si="2"/>
        <v>270571</v>
      </c>
      <c r="AK17" s="11">
        <f t="shared" si="2"/>
        <v>0</v>
      </c>
      <c r="AL17" s="11">
        <f t="shared" si="2"/>
        <v>21455</v>
      </c>
      <c r="AM17" s="11">
        <f t="shared" si="2"/>
        <v>1000574</v>
      </c>
      <c r="AN17" s="11">
        <f t="shared" si="2"/>
        <v>77747</v>
      </c>
      <c r="AO17" s="11">
        <f t="shared" si="2"/>
        <v>172000</v>
      </c>
      <c r="AP17" s="11">
        <f t="shared" si="2"/>
        <v>2577670</v>
      </c>
      <c r="AQ17" s="11">
        <f t="shared" si="2"/>
        <v>7326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>
        <f t="shared" si="2"/>
        <v>13574</v>
      </c>
      <c r="AV17" s="11"/>
      <c r="AW17" s="11"/>
      <c r="AX17" s="11">
        <f t="shared" si="2"/>
        <v>0</v>
      </c>
      <c r="AY17" s="11">
        <f t="shared" si="2"/>
        <v>0</v>
      </c>
      <c r="AZ17" s="11">
        <f t="shared" si="2"/>
        <v>0</v>
      </c>
      <c r="BA17" s="11">
        <f t="shared" si="2"/>
        <v>0</v>
      </c>
      <c r="BB17" s="11">
        <f t="shared" si="2"/>
        <v>3713050</v>
      </c>
      <c r="BC17" s="11">
        <f t="shared" si="2"/>
        <v>31822</v>
      </c>
      <c r="BD17" s="11">
        <f t="shared" si="2"/>
        <v>0</v>
      </c>
      <c r="BE17" s="11">
        <f t="shared" si="2"/>
        <v>0</v>
      </c>
      <c r="BF17" s="11">
        <f t="shared" si="2"/>
        <v>0</v>
      </c>
      <c r="BG17" s="11">
        <f t="shared" si="2"/>
        <v>0</v>
      </c>
      <c r="BH17" s="11">
        <f t="shared" si="2"/>
        <v>0</v>
      </c>
      <c r="BI17" s="11">
        <f t="shared" si="2"/>
        <v>0</v>
      </c>
      <c r="BJ17" s="11">
        <f t="shared" si="2"/>
        <v>0</v>
      </c>
      <c r="BK17" s="11">
        <f t="shared" si="2"/>
        <v>0</v>
      </c>
      <c r="BL17" s="11">
        <f t="shared" si="2"/>
        <v>0</v>
      </c>
      <c r="BM17" s="11">
        <f t="shared" si="2"/>
        <v>0</v>
      </c>
      <c r="BN17" s="11">
        <f t="shared" si="2"/>
        <v>0</v>
      </c>
      <c r="BO17" s="11">
        <f t="shared" si="2"/>
        <v>0</v>
      </c>
      <c r="BP17" s="11">
        <f t="shared" si="2"/>
        <v>31822</v>
      </c>
      <c r="BQ17" s="11">
        <f t="shared" si="2"/>
        <v>0</v>
      </c>
      <c r="BR17" s="11">
        <f t="shared" si="2"/>
        <v>0</v>
      </c>
      <c r="BS17" s="11">
        <f t="shared" si="2"/>
        <v>0</v>
      </c>
      <c r="BT17" s="11">
        <f t="shared" si="2"/>
        <v>0</v>
      </c>
      <c r="BU17" s="11">
        <f t="shared" si="2"/>
        <v>0</v>
      </c>
      <c r="BV17" s="11">
        <f t="shared" si="2"/>
        <v>0</v>
      </c>
      <c r="BW17" s="11">
        <f t="shared" ref="BW17:CX17" si="3">SUM(BW18)</f>
        <v>0</v>
      </c>
      <c r="BX17" s="11">
        <f t="shared" si="3"/>
        <v>0</v>
      </c>
      <c r="BY17" s="11">
        <f t="shared" si="3"/>
        <v>0</v>
      </c>
      <c r="BZ17" s="11">
        <f t="shared" si="3"/>
        <v>31822</v>
      </c>
      <c r="CA17" s="11">
        <f t="shared" si="3"/>
        <v>0</v>
      </c>
      <c r="CB17" s="11">
        <f t="shared" si="3"/>
        <v>1111111</v>
      </c>
      <c r="CC17" s="11">
        <f t="shared" si="3"/>
        <v>1111111</v>
      </c>
      <c r="CD17" s="11">
        <f t="shared" si="3"/>
        <v>932170</v>
      </c>
      <c r="CE17" s="11">
        <f t="shared" si="3"/>
        <v>0</v>
      </c>
      <c r="CF17" s="11">
        <f t="shared" si="3"/>
        <v>932170</v>
      </c>
      <c r="CG17" s="11">
        <f t="shared" si="3"/>
        <v>0</v>
      </c>
      <c r="CH17" s="11">
        <f t="shared" si="3"/>
        <v>0</v>
      </c>
      <c r="CI17" s="11">
        <f t="shared" si="3"/>
        <v>0</v>
      </c>
      <c r="CJ17" s="11">
        <f t="shared" si="3"/>
        <v>0</v>
      </c>
      <c r="CK17" s="11">
        <f t="shared" si="3"/>
        <v>0</v>
      </c>
      <c r="CL17" s="11">
        <f t="shared" si="3"/>
        <v>178941</v>
      </c>
      <c r="CM17" s="11">
        <f t="shared" si="3"/>
        <v>0</v>
      </c>
      <c r="CN17" s="11">
        <f t="shared" si="3"/>
        <v>0</v>
      </c>
      <c r="CO17" s="11">
        <f t="shared" si="3"/>
        <v>178941</v>
      </c>
      <c r="CP17" s="11"/>
      <c r="CQ17" s="11">
        <f t="shared" si="3"/>
        <v>0</v>
      </c>
      <c r="CR17" s="11">
        <f t="shared" si="3"/>
        <v>0</v>
      </c>
      <c r="CS17" s="11">
        <f t="shared" si="3"/>
        <v>0</v>
      </c>
      <c r="CT17" s="11">
        <f t="shared" si="3"/>
        <v>0</v>
      </c>
      <c r="CU17" s="11">
        <f t="shared" si="3"/>
        <v>0</v>
      </c>
      <c r="CV17" s="11">
        <f t="shared" si="3"/>
        <v>0</v>
      </c>
      <c r="CW17" s="11">
        <f t="shared" si="3"/>
        <v>0</v>
      </c>
      <c r="CX17" s="12">
        <f t="shared" si="3"/>
        <v>0</v>
      </c>
    </row>
    <row r="18" spans="1:102" ht="15.75" x14ac:dyDescent="0.25">
      <c r="A18" s="13" t="s">
        <v>1</v>
      </c>
      <c r="B18" s="14" t="s">
        <v>1</v>
      </c>
      <c r="C18" s="14" t="s">
        <v>85</v>
      </c>
      <c r="D18" s="15" t="s">
        <v>86</v>
      </c>
      <c r="E18" s="10">
        <f>SUM(F18+CB18+CU18)</f>
        <v>26218266</v>
      </c>
      <c r="F18" s="11">
        <f>SUM(G18+BC18)</f>
        <v>25107155</v>
      </c>
      <c r="G18" s="11">
        <f>SUM(H18+I18+J18+Q18+T18+U18+V18+AF18+AE18)</f>
        <v>25075333</v>
      </c>
      <c r="H18" s="11">
        <f>9670466+515758</f>
        <v>10186224</v>
      </c>
      <c r="I18" s="11">
        <f>2319454+128940</f>
        <v>2448394</v>
      </c>
      <c r="J18" s="11">
        <f t="shared" ref="J18:J81" si="4">SUM(K18:P18)</f>
        <v>2568252</v>
      </c>
      <c r="K18" s="11">
        <v>0</v>
      </c>
      <c r="L18" s="11">
        <v>19272</v>
      </c>
      <c r="M18" s="11">
        <v>0</v>
      </c>
      <c r="N18" s="11">
        <v>0</v>
      </c>
      <c r="O18" s="11">
        <v>1876650</v>
      </c>
      <c r="P18" s="11">
        <v>672330</v>
      </c>
      <c r="Q18" s="11">
        <f t="shared" ref="Q18:Q81" si="5">SUM(R18:S18)</f>
        <v>435133</v>
      </c>
      <c r="R18" s="11">
        <v>856</v>
      </c>
      <c r="S18" s="11">
        <v>434277</v>
      </c>
      <c r="T18" s="11">
        <v>0</v>
      </c>
      <c r="U18" s="11">
        <v>1000768</v>
      </c>
      <c r="V18" s="11">
        <f>SUM(W18:AD18)</f>
        <v>540712</v>
      </c>
      <c r="W18" s="11">
        <v>114772</v>
      </c>
      <c r="X18" s="11">
        <v>90139</v>
      </c>
      <c r="Y18" s="11">
        <v>223942</v>
      </c>
      <c r="Z18" s="11">
        <v>40699</v>
      </c>
      <c r="AA18" s="11">
        <v>30451</v>
      </c>
      <c r="AB18" s="11">
        <v>0</v>
      </c>
      <c r="AC18" s="11">
        <v>0</v>
      </c>
      <c r="AD18" s="11">
        <v>40709</v>
      </c>
      <c r="AE18" s="11"/>
      <c r="AF18" s="11">
        <f>SUM(AG18:BB18)</f>
        <v>7895850</v>
      </c>
      <c r="AG18" s="11">
        <v>0</v>
      </c>
      <c r="AH18" s="11"/>
      <c r="AI18" s="11">
        <v>41883</v>
      </c>
      <c r="AJ18" s="11">
        <v>270571</v>
      </c>
      <c r="AK18" s="11">
        <v>0</v>
      </c>
      <c r="AL18" s="11">
        <v>21455</v>
      </c>
      <c r="AM18" s="11">
        <v>1000574</v>
      </c>
      <c r="AN18" s="11">
        <v>77747</v>
      </c>
      <c r="AO18" s="11">
        <v>172000</v>
      </c>
      <c r="AP18" s="11">
        <v>2577670</v>
      </c>
      <c r="AQ18" s="11">
        <v>7326</v>
      </c>
      <c r="AR18" s="11"/>
      <c r="AS18" s="11">
        <v>0</v>
      </c>
      <c r="AT18" s="11">
        <v>0</v>
      </c>
      <c r="AU18" s="11">
        <v>13574</v>
      </c>
      <c r="AV18" s="11"/>
      <c r="AW18" s="11"/>
      <c r="AX18" s="11">
        <v>0</v>
      </c>
      <c r="AY18" s="11">
        <v>0</v>
      </c>
      <c r="AZ18" s="11">
        <v>0</v>
      </c>
      <c r="BA18" s="11"/>
      <c r="BB18" s="11">
        <v>3713050</v>
      </c>
      <c r="BC18" s="11">
        <f>SUM(BD18+BH18+BL18+BN18+BP18)</f>
        <v>31822</v>
      </c>
      <c r="BD18" s="11">
        <f>SUM(BE18:BG18)</f>
        <v>0</v>
      </c>
      <c r="BE18" s="11">
        <v>0</v>
      </c>
      <c r="BF18" s="11">
        <v>0</v>
      </c>
      <c r="BG18" s="11">
        <v>0</v>
      </c>
      <c r="BH18" s="11">
        <f t="shared" ref="BH18:BH81" si="6">SUM(BJ18:BK18)</f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f t="shared" ref="BN18:BN81" si="7">SUM(BO18)</f>
        <v>0</v>
      </c>
      <c r="BO18" s="11">
        <v>0</v>
      </c>
      <c r="BP18" s="11">
        <f t="shared" ref="BP18:BP81" si="8">SUM(BQ18:CA18)</f>
        <v>31822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31822</v>
      </c>
      <c r="CA18" s="11">
        <v>0</v>
      </c>
      <c r="CB18" s="11">
        <f>SUM(CC18+CT18)</f>
        <v>1111111</v>
      </c>
      <c r="CC18" s="11">
        <f>SUM(CD18+CG18+CL18)</f>
        <v>1111111</v>
      </c>
      <c r="CD18" s="11">
        <f t="shared" ref="CD18:CD81" si="9">SUM(CE18:CF18)</f>
        <v>932170</v>
      </c>
      <c r="CE18" s="11">
        <v>0</v>
      </c>
      <c r="CF18" s="11">
        <v>932170</v>
      </c>
      <c r="CG18" s="11">
        <f>SUM(CH18:CK18)</f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f>SUM(CM18:CQ18)</f>
        <v>178941</v>
      </c>
      <c r="CM18" s="11">
        <v>0</v>
      </c>
      <c r="CN18" s="11"/>
      <c r="CO18" s="11">
        <v>178941</v>
      </c>
      <c r="CP18" s="11"/>
      <c r="CQ18" s="11">
        <v>0</v>
      </c>
      <c r="CR18" s="11">
        <f>SUM(CS18)</f>
        <v>0</v>
      </c>
      <c r="CS18" s="11"/>
      <c r="CT18" s="11">
        <v>0</v>
      </c>
      <c r="CU18" s="11">
        <f t="shared" ref="CU18:CU81" si="10">SUM(CV18)</f>
        <v>0</v>
      </c>
      <c r="CV18" s="11">
        <f t="shared" ref="CV18:CV81" si="11">SUM(CW18:CX18)</f>
        <v>0</v>
      </c>
      <c r="CW18" s="11">
        <v>0</v>
      </c>
      <c r="CX18" s="12">
        <v>0</v>
      </c>
    </row>
    <row r="19" spans="1:102" ht="31.5" x14ac:dyDescent="0.25">
      <c r="A19" s="7"/>
      <c r="B19" s="8" t="s">
        <v>87</v>
      </c>
      <c r="C19" s="8" t="s">
        <v>1</v>
      </c>
      <c r="D19" s="9" t="s">
        <v>88</v>
      </c>
      <c r="E19" s="10">
        <f>SUM(E20:E22)</f>
        <v>39954472</v>
      </c>
      <c r="F19" s="11">
        <f t="shared" ref="F19:BV19" si="12">SUM(F20:F22)</f>
        <v>38163027</v>
      </c>
      <c r="G19" s="11">
        <f t="shared" si="12"/>
        <v>35760068</v>
      </c>
      <c r="H19" s="11">
        <f t="shared" si="12"/>
        <v>24232946</v>
      </c>
      <c r="I19" s="11">
        <f t="shared" si="12"/>
        <v>5867113</v>
      </c>
      <c r="J19" s="11">
        <f t="shared" si="12"/>
        <v>2245876</v>
      </c>
      <c r="K19" s="11">
        <f t="shared" si="12"/>
        <v>0</v>
      </c>
      <c r="L19" s="11">
        <f t="shared" si="12"/>
        <v>0</v>
      </c>
      <c r="M19" s="11">
        <f t="shared" si="12"/>
        <v>0</v>
      </c>
      <c r="N19" s="11">
        <f t="shared" si="12"/>
        <v>0</v>
      </c>
      <c r="O19" s="11">
        <f t="shared" si="12"/>
        <v>1448855</v>
      </c>
      <c r="P19" s="11">
        <f t="shared" si="12"/>
        <v>797021</v>
      </c>
      <c r="Q19" s="11">
        <f t="shared" si="12"/>
        <v>652350</v>
      </c>
      <c r="R19" s="11">
        <f t="shared" si="12"/>
        <v>0</v>
      </c>
      <c r="S19" s="11">
        <f t="shared" si="12"/>
        <v>652350</v>
      </c>
      <c r="T19" s="11">
        <f t="shared" si="12"/>
        <v>0</v>
      </c>
      <c r="U19" s="11">
        <f t="shared" si="12"/>
        <v>940589</v>
      </c>
      <c r="V19" s="11">
        <f t="shared" si="12"/>
        <v>123299</v>
      </c>
      <c r="W19" s="11">
        <f t="shared" si="12"/>
        <v>19087</v>
      </c>
      <c r="X19" s="11">
        <f t="shared" si="12"/>
        <v>23671</v>
      </c>
      <c r="Y19" s="11">
        <f t="shared" si="12"/>
        <v>49630</v>
      </c>
      <c r="Z19" s="11">
        <f t="shared" si="12"/>
        <v>10750</v>
      </c>
      <c r="AA19" s="11">
        <f t="shared" si="12"/>
        <v>6748</v>
      </c>
      <c r="AB19" s="11">
        <f t="shared" si="12"/>
        <v>648</v>
      </c>
      <c r="AC19" s="11">
        <f t="shared" si="12"/>
        <v>0</v>
      </c>
      <c r="AD19" s="11">
        <f t="shared" si="12"/>
        <v>12765</v>
      </c>
      <c r="AE19" s="11">
        <f t="shared" si="12"/>
        <v>0</v>
      </c>
      <c r="AF19" s="11">
        <f t="shared" si="12"/>
        <v>1697895</v>
      </c>
      <c r="AG19" s="11">
        <f t="shared" si="12"/>
        <v>0</v>
      </c>
      <c r="AH19" s="11">
        <f t="shared" si="12"/>
        <v>0</v>
      </c>
      <c r="AI19" s="11">
        <f t="shared" si="12"/>
        <v>91196</v>
      </c>
      <c r="AJ19" s="11">
        <f t="shared" si="12"/>
        <v>164085</v>
      </c>
      <c r="AK19" s="11">
        <f t="shared" si="12"/>
        <v>0</v>
      </c>
      <c r="AL19" s="11">
        <f t="shared" si="12"/>
        <v>23197</v>
      </c>
      <c r="AM19" s="11">
        <f t="shared" si="12"/>
        <v>13570</v>
      </c>
      <c r="AN19" s="11">
        <f t="shared" si="12"/>
        <v>1432</v>
      </c>
      <c r="AO19" s="11">
        <f t="shared" si="12"/>
        <v>64740</v>
      </c>
      <c r="AP19" s="11">
        <f t="shared" si="12"/>
        <v>1098293</v>
      </c>
      <c r="AQ19" s="11">
        <f t="shared" si="12"/>
        <v>0</v>
      </c>
      <c r="AR19" s="11"/>
      <c r="AS19" s="11">
        <f t="shared" si="12"/>
        <v>0</v>
      </c>
      <c r="AT19" s="11">
        <f t="shared" si="12"/>
        <v>59772</v>
      </c>
      <c r="AU19" s="11">
        <f t="shared" si="12"/>
        <v>28822</v>
      </c>
      <c r="AV19" s="11"/>
      <c r="AW19" s="11"/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84912</v>
      </c>
      <c r="BB19" s="11">
        <f t="shared" si="12"/>
        <v>67876</v>
      </c>
      <c r="BC19" s="11">
        <f t="shared" si="12"/>
        <v>2402959</v>
      </c>
      <c r="BD19" s="11">
        <f t="shared" si="12"/>
        <v>0</v>
      </c>
      <c r="BE19" s="11">
        <f t="shared" si="12"/>
        <v>0</v>
      </c>
      <c r="BF19" s="11">
        <f t="shared" si="12"/>
        <v>0</v>
      </c>
      <c r="BG19" s="11">
        <f t="shared" si="12"/>
        <v>0</v>
      </c>
      <c r="BH19" s="11">
        <f t="shared" si="12"/>
        <v>0</v>
      </c>
      <c r="BI19" s="11">
        <f t="shared" si="12"/>
        <v>0</v>
      </c>
      <c r="BJ19" s="11">
        <f t="shared" si="12"/>
        <v>0</v>
      </c>
      <c r="BK19" s="11">
        <f t="shared" si="12"/>
        <v>0</v>
      </c>
      <c r="BL19" s="11">
        <f t="shared" si="12"/>
        <v>0</v>
      </c>
      <c r="BM19" s="11">
        <f t="shared" si="12"/>
        <v>0</v>
      </c>
      <c r="BN19" s="11">
        <f t="shared" si="12"/>
        <v>0</v>
      </c>
      <c r="BO19" s="11">
        <f t="shared" si="12"/>
        <v>0</v>
      </c>
      <c r="BP19" s="11">
        <f t="shared" si="12"/>
        <v>2402959</v>
      </c>
      <c r="BQ19" s="11">
        <f t="shared" si="12"/>
        <v>0</v>
      </c>
      <c r="BR19" s="11">
        <f t="shared" si="12"/>
        <v>0</v>
      </c>
      <c r="BS19" s="11">
        <f t="shared" si="12"/>
        <v>0</v>
      </c>
      <c r="BT19" s="11">
        <f t="shared" si="12"/>
        <v>0</v>
      </c>
      <c r="BU19" s="11">
        <f t="shared" si="12"/>
        <v>0</v>
      </c>
      <c r="BV19" s="11">
        <f t="shared" si="12"/>
        <v>0</v>
      </c>
      <c r="BW19" s="11">
        <f t="shared" ref="BW19:CX19" si="13">SUM(BW20:BW22)</f>
        <v>0</v>
      </c>
      <c r="BX19" s="11">
        <f t="shared" si="13"/>
        <v>0</v>
      </c>
      <c r="BY19" s="11">
        <f t="shared" si="13"/>
        <v>0</v>
      </c>
      <c r="BZ19" s="11">
        <f t="shared" si="13"/>
        <v>2402959</v>
      </c>
      <c r="CA19" s="11">
        <f t="shared" si="13"/>
        <v>0</v>
      </c>
      <c r="CB19" s="11">
        <f t="shared" si="13"/>
        <v>1791445</v>
      </c>
      <c r="CC19" s="11">
        <f t="shared" si="13"/>
        <v>1791445</v>
      </c>
      <c r="CD19" s="11">
        <f t="shared" si="13"/>
        <v>995716</v>
      </c>
      <c r="CE19" s="11">
        <f t="shared" si="13"/>
        <v>0</v>
      </c>
      <c r="CF19" s="11">
        <f t="shared" si="13"/>
        <v>995716</v>
      </c>
      <c r="CG19" s="11">
        <f t="shared" si="13"/>
        <v>795729</v>
      </c>
      <c r="CH19" s="11">
        <f t="shared" si="13"/>
        <v>795729</v>
      </c>
      <c r="CI19" s="11">
        <f t="shared" si="13"/>
        <v>0</v>
      </c>
      <c r="CJ19" s="11">
        <f t="shared" si="13"/>
        <v>0</v>
      </c>
      <c r="CK19" s="11">
        <f t="shared" si="13"/>
        <v>0</v>
      </c>
      <c r="CL19" s="11">
        <f t="shared" si="13"/>
        <v>0</v>
      </c>
      <c r="CM19" s="11">
        <f t="shared" si="13"/>
        <v>0</v>
      </c>
      <c r="CN19" s="11">
        <f t="shared" si="13"/>
        <v>0</v>
      </c>
      <c r="CO19" s="11">
        <f t="shared" si="13"/>
        <v>0</v>
      </c>
      <c r="CP19" s="11"/>
      <c r="CQ19" s="11">
        <f t="shared" si="13"/>
        <v>0</v>
      </c>
      <c r="CR19" s="11">
        <f>SUM(CS19)</f>
        <v>0</v>
      </c>
      <c r="CS19" s="11"/>
      <c r="CT19" s="11">
        <f t="shared" si="13"/>
        <v>0</v>
      </c>
      <c r="CU19" s="11">
        <f t="shared" si="13"/>
        <v>0</v>
      </c>
      <c r="CV19" s="11">
        <f t="shared" si="13"/>
        <v>0</v>
      </c>
      <c r="CW19" s="11">
        <f t="shared" si="13"/>
        <v>0</v>
      </c>
      <c r="CX19" s="12">
        <f t="shared" si="13"/>
        <v>0</v>
      </c>
    </row>
    <row r="20" spans="1:102" ht="15.75" x14ac:dyDescent="0.25">
      <c r="A20" s="13" t="s">
        <v>1</v>
      </c>
      <c r="B20" s="14" t="s">
        <v>1</v>
      </c>
      <c r="C20" s="14" t="s">
        <v>89</v>
      </c>
      <c r="D20" s="15" t="s">
        <v>90</v>
      </c>
      <c r="E20" s="10">
        <f>SUM(F20+CB20+CU20)</f>
        <v>27812464</v>
      </c>
      <c r="F20" s="11">
        <f>SUM(G20+BC20)</f>
        <v>26464840</v>
      </c>
      <c r="G20" s="11">
        <f>SUM(H20+I20+J20+Q20+T20+U20+V20+AF20+AE20)</f>
        <v>24074907</v>
      </c>
      <c r="H20" s="16">
        <f>15473375+412623</f>
        <v>15885998</v>
      </c>
      <c r="I20" s="16">
        <f>3736840+103156</f>
        <v>3839996</v>
      </c>
      <c r="J20" s="11">
        <f t="shared" si="4"/>
        <v>1630309</v>
      </c>
      <c r="K20" s="16"/>
      <c r="L20" s="16"/>
      <c r="M20" s="16"/>
      <c r="N20" s="16"/>
      <c r="O20" s="16">
        <v>1017451</v>
      </c>
      <c r="P20" s="16">
        <v>612858</v>
      </c>
      <c r="Q20" s="11">
        <f t="shared" si="5"/>
        <v>640000</v>
      </c>
      <c r="R20" s="16"/>
      <c r="S20" s="16">
        <v>640000</v>
      </c>
      <c r="T20" s="16"/>
      <c r="U20" s="16">
        <v>797759</v>
      </c>
      <c r="V20" s="11">
        <f>SUM(W20:AD20)</f>
        <v>7894</v>
      </c>
      <c r="W20" s="16">
        <v>1340</v>
      </c>
      <c r="X20" s="16">
        <f>0+1759</f>
        <v>1759</v>
      </c>
      <c r="Y20" s="16">
        <v>1482</v>
      </c>
      <c r="Z20" s="16">
        <v>1019</v>
      </c>
      <c r="AA20" s="16">
        <v>2294</v>
      </c>
      <c r="AB20" s="16"/>
      <c r="AC20" s="16"/>
      <c r="AD20" s="16"/>
      <c r="AE20" s="16"/>
      <c r="AF20" s="11">
        <f>SUM(AG20:BB20)</f>
        <v>1272951</v>
      </c>
      <c r="AG20" s="16"/>
      <c r="AH20" s="16"/>
      <c r="AI20" s="16">
        <v>45304</v>
      </c>
      <c r="AJ20" s="16">
        <v>85349</v>
      </c>
      <c r="AK20" s="16"/>
      <c r="AL20" s="16">
        <v>7327</v>
      </c>
      <c r="AM20" s="16">
        <v>13570</v>
      </c>
      <c r="AN20" s="16">
        <v>1361</v>
      </c>
      <c r="AO20" s="16">
        <v>64740</v>
      </c>
      <c r="AP20" s="16">
        <v>1000000</v>
      </c>
      <c r="AQ20" s="16"/>
      <c r="AR20" s="16"/>
      <c r="AS20" s="16"/>
      <c r="AT20" s="16">
        <v>15373</v>
      </c>
      <c r="AU20" s="16">
        <v>17143</v>
      </c>
      <c r="AV20" s="16"/>
      <c r="AW20" s="16"/>
      <c r="AX20" s="16"/>
      <c r="AY20" s="16"/>
      <c r="AZ20" s="16"/>
      <c r="BA20" s="16"/>
      <c r="BB20" s="16">
        <v>22784</v>
      </c>
      <c r="BC20" s="11">
        <f>SUM(BD20+BH20+BL20+BN20+BP20)</f>
        <v>2389933</v>
      </c>
      <c r="BD20" s="11">
        <f>SUM(BE20:BG20)</f>
        <v>0</v>
      </c>
      <c r="BE20" s="11">
        <v>0</v>
      </c>
      <c r="BF20" s="11">
        <v>0</v>
      </c>
      <c r="BG20" s="11">
        <v>0</v>
      </c>
      <c r="BH20" s="11">
        <f t="shared" si="6"/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f t="shared" si="7"/>
        <v>0</v>
      </c>
      <c r="BO20" s="11">
        <v>0</v>
      </c>
      <c r="BP20" s="11">
        <f t="shared" si="8"/>
        <v>2389933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6">
        <f>2391692-1759</f>
        <v>2389933</v>
      </c>
      <c r="CA20" s="11">
        <v>0</v>
      </c>
      <c r="CB20" s="11">
        <f>SUM(CC20+CT20)</f>
        <v>1347624</v>
      </c>
      <c r="CC20" s="11">
        <f>SUM(CD20+CG20+CL20)</f>
        <v>1347624</v>
      </c>
      <c r="CD20" s="11">
        <f t="shared" si="9"/>
        <v>747624</v>
      </c>
      <c r="CE20" s="11">
        <v>0</v>
      </c>
      <c r="CF20" s="16">
        <v>747624</v>
      </c>
      <c r="CG20" s="11">
        <f>SUM(CH20:CK20)</f>
        <v>600000</v>
      </c>
      <c r="CH20" s="11">
        <v>600000</v>
      </c>
      <c r="CI20" s="11">
        <v>0</v>
      </c>
      <c r="CJ20" s="11">
        <v>0</v>
      </c>
      <c r="CK20" s="11">
        <v>0</v>
      </c>
      <c r="CL20" s="11">
        <f>SUM(CM20:CQ20)</f>
        <v>0</v>
      </c>
      <c r="CM20" s="11">
        <v>0</v>
      </c>
      <c r="CN20" s="11">
        <v>0</v>
      </c>
      <c r="CO20" s="11">
        <v>0</v>
      </c>
      <c r="CP20" s="11"/>
      <c r="CQ20" s="11">
        <v>0</v>
      </c>
      <c r="CR20" s="11">
        <f>SUM(CS20)</f>
        <v>0</v>
      </c>
      <c r="CS20" s="11">
        <v>0</v>
      </c>
      <c r="CT20" s="11">
        <v>0</v>
      </c>
      <c r="CU20" s="11">
        <f t="shared" si="10"/>
        <v>0</v>
      </c>
      <c r="CV20" s="11">
        <f t="shared" si="11"/>
        <v>0</v>
      </c>
      <c r="CW20" s="11">
        <v>0</v>
      </c>
      <c r="CX20" s="12">
        <v>0</v>
      </c>
    </row>
    <row r="21" spans="1:102" ht="15.75" x14ac:dyDescent="0.25">
      <c r="A21" s="13" t="s">
        <v>1</v>
      </c>
      <c r="B21" s="14" t="s">
        <v>1</v>
      </c>
      <c r="C21" s="14" t="s">
        <v>91</v>
      </c>
      <c r="D21" s="15" t="s">
        <v>92</v>
      </c>
      <c r="E21" s="10">
        <f>SUM(F21+CB21+CU21)</f>
        <v>10445079</v>
      </c>
      <c r="F21" s="11">
        <f>SUM(G21+BC21)</f>
        <v>10026758</v>
      </c>
      <c r="G21" s="11">
        <f>SUM(H21+I21+J21+Q21+T21+U21+V21+AF21+AE21)</f>
        <v>10019483</v>
      </c>
      <c r="H21" s="16">
        <f>7005911+186824</f>
        <v>7192735</v>
      </c>
      <c r="I21" s="16">
        <f>1701464+46706</f>
        <v>1748170</v>
      </c>
      <c r="J21" s="11">
        <f t="shared" si="4"/>
        <v>523215</v>
      </c>
      <c r="K21" s="16"/>
      <c r="L21" s="16"/>
      <c r="M21" s="16"/>
      <c r="N21" s="16"/>
      <c r="O21" s="16">
        <v>384516</v>
      </c>
      <c r="P21" s="16">
        <v>138699</v>
      </c>
      <c r="Q21" s="11">
        <f t="shared" si="5"/>
        <v>0</v>
      </c>
      <c r="R21" s="16"/>
      <c r="S21" s="16"/>
      <c r="T21" s="16"/>
      <c r="U21" s="16">
        <v>80406</v>
      </c>
      <c r="V21" s="11">
        <f>SUM(W21:AD21)</f>
        <v>97529</v>
      </c>
      <c r="W21" s="16">
        <v>17747</v>
      </c>
      <c r="X21" s="16">
        <v>14399</v>
      </c>
      <c r="Y21" s="16">
        <v>39334</v>
      </c>
      <c r="Z21" s="16">
        <v>8182</v>
      </c>
      <c r="AA21" s="16">
        <v>4454</v>
      </c>
      <c r="AB21" s="16">
        <v>648</v>
      </c>
      <c r="AC21" s="16"/>
      <c r="AD21" s="16">
        <v>12765</v>
      </c>
      <c r="AE21" s="16"/>
      <c r="AF21" s="11">
        <f>SUM(AG21:BB21)</f>
        <v>377428</v>
      </c>
      <c r="AG21" s="16"/>
      <c r="AH21" s="16"/>
      <c r="AI21" s="16">
        <f>19947+25000</f>
        <v>44947</v>
      </c>
      <c r="AJ21" s="16">
        <v>78736</v>
      </c>
      <c r="AK21" s="16"/>
      <c r="AL21" s="16">
        <v>15870</v>
      </c>
      <c r="AM21" s="16"/>
      <c r="AN21" s="16">
        <v>71</v>
      </c>
      <c r="AO21" s="16"/>
      <c r="AP21" s="16">
        <v>80680</v>
      </c>
      <c r="AQ21" s="16"/>
      <c r="AR21" s="16"/>
      <c r="AS21" s="16"/>
      <c r="AT21" s="16">
        <v>15441</v>
      </c>
      <c r="AU21" s="16">
        <v>11679</v>
      </c>
      <c r="AV21" s="16"/>
      <c r="AW21" s="16"/>
      <c r="AX21" s="16"/>
      <c r="AY21" s="16"/>
      <c r="AZ21" s="16"/>
      <c r="BA21" s="16">
        <f>129912-45000</f>
        <v>84912</v>
      </c>
      <c r="BB21" s="16">
        <f>25092+20000</f>
        <v>45092</v>
      </c>
      <c r="BC21" s="11">
        <f>SUM(BD21+BH21+BL21+BN21+BP21)</f>
        <v>7275</v>
      </c>
      <c r="BD21" s="11">
        <f>SUM(BE21:BG21)</f>
        <v>0</v>
      </c>
      <c r="BE21" s="11">
        <v>0</v>
      </c>
      <c r="BF21" s="11">
        <v>0</v>
      </c>
      <c r="BG21" s="11">
        <v>0</v>
      </c>
      <c r="BH21" s="11">
        <f t="shared" si="6"/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f t="shared" si="7"/>
        <v>0</v>
      </c>
      <c r="BO21" s="11">
        <v>0</v>
      </c>
      <c r="BP21" s="11">
        <f t="shared" si="8"/>
        <v>7275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6">
        <v>7275</v>
      </c>
      <c r="CA21" s="11">
        <v>0</v>
      </c>
      <c r="CB21" s="11">
        <f>SUM(CC21+CT21)</f>
        <v>418321</v>
      </c>
      <c r="CC21" s="11">
        <f>SUM(CD21+CG21+CL21)</f>
        <v>418321</v>
      </c>
      <c r="CD21" s="11">
        <f t="shared" si="9"/>
        <v>222592</v>
      </c>
      <c r="CE21" s="11">
        <v>0</v>
      </c>
      <c r="CF21" s="16">
        <v>222592</v>
      </c>
      <c r="CG21" s="11">
        <f>SUM(CH21:CK21)</f>
        <v>195729</v>
      </c>
      <c r="CH21" s="11">
        <v>195729</v>
      </c>
      <c r="CI21" s="11">
        <v>0</v>
      </c>
      <c r="CJ21" s="11">
        <v>0</v>
      </c>
      <c r="CK21" s="11">
        <v>0</v>
      </c>
      <c r="CL21" s="11">
        <f>SUM(CM21:CQ21)</f>
        <v>0</v>
      </c>
      <c r="CM21" s="11">
        <v>0</v>
      </c>
      <c r="CN21" s="11">
        <v>0</v>
      </c>
      <c r="CO21" s="11">
        <v>0</v>
      </c>
      <c r="CP21" s="11"/>
      <c r="CQ21" s="11">
        <v>0</v>
      </c>
      <c r="CR21" s="11">
        <v>0</v>
      </c>
      <c r="CS21" s="11">
        <v>0</v>
      </c>
      <c r="CT21" s="11">
        <v>0</v>
      </c>
      <c r="CU21" s="11">
        <f t="shared" si="10"/>
        <v>0</v>
      </c>
      <c r="CV21" s="11">
        <f t="shared" si="11"/>
        <v>0</v>
      </c>
      <c r="CW21" s="11">
        <v>0</v>
      </c>
      <c r="CX21" s="12">
        <v>0</v>
      </c>
    </row>
    <row r="22" spans="1:102" ht="31.5" x14ac:dyDescent="0.25">
      <c r="A22" s="13" t="s">
        <v>1</v>
      </c>
      <c r="B22" s="14" t="s">
        <v>1</v>
      </c>
      <c r="C22" s="14" t="s">
        <v>93</v>
      </c>
      <c r="D22" s="15" t="s">
        <v>94</v>
      </c>
      <c r="E22" s="10">
        <f>SUM(F22+CB22+CU22)</f>
        <v>1696929</v>
      </c>
      <c r="F22" s="11">
        <f>SUM(G22+BC22)</f>
        <v>1671429</v>
      </c>
      <c r="G22" s="11">
        <f>SUM(H22+I22+J22+Q22+T22+U22+V22+AF22+AE22)</f>
        <v>1665678</v>
      </c>
      <c r="H22" s="16">
        <f>1095772+58441</f>
        <v>1154213</v>
      </c>
      <c r="I22" s="16">
        <f>264337+14610</f>
        <v>278947</v>
      </c>
      <c r="J22" s="11">
        <f t="shared" si="4"/>
        <v>92352</v>
      </c>
      <c r="K22" s="16"/>
      <c r="L22" s="16"/>
      <c r="M22" s="16"/>
      <c r="N22" s="16"/>
      <c r="O22" s="16">
        <v>46888</v>
      </c>
      <c r="P22" s="16">
        <v>45464</v>
      </c>
      <c r="Q22" s="11">
        <f t="shared" si="5"/>
        <v>12350</v>
      </c>
      <c r="R22" s="16"/>
      <c r="S22" s="16">
        <v>12350</v>
      </c>
      <c r="T22" s="16"/>
      <c r="U22" s="16">
        <v>62424</v>
      </c>
      <c r="V22" s="11">
        <f>SUM(W22:AD22)</f>
        <v>17876</v>
      </c>
      <c r="W22" s="16"/>
      <c r="X22" s="16">
        <v>7513</v>
      </c>
      <c r="Y22" s="16">
        <v>8814</v>
      </c>
      <c r="Z22" s="16">
        <v>1549</v>
      </c>
      <c r="AA22" s="16"/>
      <c r="AB22" s="16"/>
      <c r="AC22" s="16"/>
      <c r="AD22" s="16"/>
      <c r="AE22" s="16"/>
      <c r="AF22" s="11">
        <f>SUM(AG22:BB22)</f>
        <v>47516</v>
      </c>
      <c r="AG22" s="16"/>
      <c r="AH22" s="16"/>
      <c r="AI22" s="16">
        <v>945</v>
      </c>
      <c r="AJ22" s="16"/>
      <c r="AK22" s="16"/>
      <c r="AL22" s="16"/>
      <c r="AM22" s="16"/>
      <c r="AN22" s="16"/>
      <c r="AO22" s="16"/>
      <c r="AP22" s="16">
        <v>17613</v>
      </c>
      <c r="AQ22" s="16"/>
      <c r="AR22" s="16"/>
      <c r="AS22" s="16"/>
      <c r="AT22" s="16">
        <v>28958</v>
      </c>
      <c r="AU22" s="16"/>
      <c r="AV22" s="16"/>
      <c r="AW22" s="16"/>
      <c r="AX22" s="16"/>
      <c r="AY22" s="16"/>
      <c r="AZ22" s="16"/>
      <c r="BA22" s="16"/>
      <c r="BB22" s="16"/>
      <c r="BC22" s="11">
        <f>SUM(BD22+BH22+BL22+BN22+BP22)</f>
        <v>5751</v>
      </c>
      <c r="BD22" s="11">
        <f>SUM(BE22:BG22)</f>
        <v>0</v>
      </c>
      <c r="BE22" s="11">
        <v>0</v>
      </c>
      <c r="BF22" s="11">
        <v>0</v>
      </c>
      <c r="BG22" s="11">
        <v>0</v>
      </c>
      <c r="BH22" s="11">
        <f t="shared" si="6"/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f t="shared" si="7"/>
        <v>0</v>
      </c>
      <c r="BO22" s="11">
        <v>0</v>
      </c>
      <c r="BP22" s="11">
        <f t="shared" si="8"/>
        <v>5751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6">
        <v>5751</v>
      </c>
      <c r="CA22" s="11">
        <v>0</v>
      </c>
      <c r="CB22" s="11">
        <f>SUM(CC22+CT22)</f>
        <v>25500</v>
      </c>
      <c r="CC22" s="11">
        <f>SUM(CD22+CG22+CL22)</f>
        <v>25500</v>
      </c>
      <c r="CD22" s="11">
        <f t="shared" si="9"/>
        <v>25500</v>
      </c>
      <c r="CE22" s="11">
        <v>0</v>
      </c>
      <c r="CF22" s="16">
        <v>25500</v>
      </c>
      <c r="CG22" s="11">
        <f>SUM(CH22:CK22)</f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f>SUM(CM22:CQ22)</f>
        <v>0</v>
      </c>
      <c r="CM22" s="11">
        <v>0</v>
      </c>
      <c r="CN22" s="11">
        <v>0</v>
      </c>
      <c r="CO22" s="11">
        <v>0</v>
      </c>
      <c r="CP22" s="11"/>
      <c r="CQ22" s="11">
        <v>0</v>
      </c>
      <c r="CR22" s="11">
        <v>0</v>
      </c>
      <c r="CS22" s="11">
        <v>0</v>
      </c>
      <c r="CT22" s="11">
        <v>0</v>
      </c>
      <c r="CU22" s="11">
        <f t="shared" si="10"/>
        <v>0</v>
      </c>
      <c r="CV22" s="11">
        <f t="shared" si="11"/>
        <v>0</v>
      </c>
      <c r="CW22" s="11">
        <v>0</v>
      </c>
      <c r="CX22" s="12">
        <v>0</v>
      </c>
    </row>
    <row r="23" spans="1:102" ht="31.5" x14ac:dyDescent="0.25">
      <c r="A23" s="7"/>
      <c r="B23" s="8" t="s">
        <v>95</v>
      </c>
      <c r="C23" s="8" t="s">
        <v>1</v>
      </c>
      <c r="D23" s="9" t="s">
        <v>96</v>
      </c>
      <c r="E23" s="10">
        <f>SUM(E24:E40)</f>
        <v>87403099</v>
      </c>
      <c r="F23" s="11">
        <f t="shared" ref="F23:BV23" si="14">SUM(F24:F40)</f>
        <v>84987945</v>
      </c>
      <c r="G23" s="11">
        <f t="shared" si="14"/>
        <v>84460656</v>
      </c>
      <c r="H23" s="11">
        <f t="shared" si="14"/>
        <v>60175790</v>
      </c>
      <c r="I23" s="11">
        <f t="shared" si="14"/>
        <v>13648999</v>
      </c>
      <c r="J23" s="11">
        <f t="shared" si="14"/>
        <v>3512836</v>
      </c>
      <c r="K23" s="11">
        <f t="shared" si="14"/>
        <v>0</v>
      </c>
      <c r="L23" s="11">
        <f t="shared" si="14"/>
        <v>128129</v>
      </c>
      <c r="M23" s="11">
        <f t="shared" si="14"/>
        <v>0</v>
      </c>
      <c r="N23" s="11">
        <f t="shared" si="14"/>
        <v>0</v>
      </c>
      <c r="O23" s="11">
        <f t="shared" si="14"/>
        <v>1969806</v>
      </c>
      <c r="P23" s="11">
        <f t="shared" si="14"/>
        <v>1414901</v>
      </c>
      <c r="Q23" s="11">
        <f t="shared" si="14"/>
        <v>1283905</v>
      </c>
      <c r="R23" s="11">
        <f t="shared" si="14"/>
        <v>370</v>
      </c>
      <c r="S23" s="11">
        <f t="shared" si="14"/>
        <v>1283535</v>
      </c>
      <c r="T23" s="11">
        <f t="shared" si="14"/>
        <v>0</v>
      </c>
      <c r="U23" s="11">
        <f t="shared" si="14"/>
        <v>2055541</v>
      </c>
      <c r="V23" s="11">
        <f t="shared" si="14"/>
        <v>1728431</v>
      </c>
      <c r="W23" s="11">
        <f t="shared" si="14"/>
        <v>178844</v>
      </c>
      <c r="X23" s="11">
        <f t="shared" si="14"/>
        <v>613672</v>
      </c>
      <c r="Y23" s="11">
        <f t="shared" si="14"/>
        <v>674048</v>
      </c>
      <c r="Z23" s="11">
        <f t="shared" si="14"/>
        <v>104762</v>
      </c>
      <c r="AA23" s="11">
        <f t="shared" si="14"/>
        <v>65815</v>
      </c>
      <c r="AB23" s="11">
        <f t="shared" si="14"/>
        <v>53269</v>
      </c>
      <c r="AC23" s="11">
        <f t="shared" si="14"/>
        <v>0</v>
      </c>
      <c r="AD23" s="11">
        <f t="shared" si="14"/>
        <v>38021</v>
      </c>
      <c r="AE23" s="11">
        <f t="shared" si="14"/>
        <v>0</v>
      </c>
      <c r="AF23" s="11">
        <f t="shared" si="14"/>
        <v>2055154</v>
      </c>
      <c r="AG23" s="11">
        <f t="shared" si="14"/>
        <v>0</v>
      </c>
      <c r="AH23" s="11">
        <f t="shared" si="14"/>
        <v>0</v>
      </c>
      <c r="AI23" s="11">
        <f t="shared" si="14"/>
        <v>122695</v>
      </c>
      <c r="AJ23" s="11">
        <f t="shared" si="14"/>
        <v>427408</v>
      </c>
      <c r="AK23" s="11">
        <f t="shared" si="14"/>
        <v>1591</v>
      </c>
      <c r="AL23" s="11">
        <f t="shared" si="14"/>
        <v>26948</v>
      </c>
      <c r="AM23" s="11">
        <f t="shared" si="14"/>
        <v>50620</v>
      </c>
      <c r="AN23" s="11">
        <f t="shared" si="14"/>
        <v>19951</v>
      </c>
      <c r="AO23" s="11">
        <f t="shared" si="14"/>
        <v>136930</v>
      </c>
      <c r="AP23" s="11">
        <f t="shared" si="14"/>
        <v>409989</v>
      </c>
      <c r="AQ23" s="11">
        <f t="shared" si="14"/>
        <v>82</v>
      </c>
      <c r="AR23" s="11">
        <f>SUM(AR24:AR40)</f>
        <v>0</v>
      </c>
      <c r="AS23" s="11">
        <f t="shared" si="14"/>
        <v>0</v>
      </c>
      <c r="AT23" s="11">
        <f t="shared" si="14"/>
        <v>225847</v>
      </c>
      <c r="AU23" s="11">
        <f t="shared" si="14"/>
        <v>5040</v>
      </c>
      <c r="AV23" s="11"/>
      <c r="AW23" s="11"/>
      <c r="AX23" s="11">
        <f t="shared" si="14"/>
        <v>0</v>
      </c>
      <c r="AY23" s="11">
        <f t="shared" si="14"/>
        <v>109048</v>
      </c>
      <c r="AZ23" s="11">
        <f t="shared" si="14"/>
        <v>0</v>
      </c>
      <c r="BA23" s="11">
        <f t="shared" si="14"/>
        <v>303302</v>
      </c>
      <c r="BB23" s="11">
        <f t="shared" si="14"/>
        <v>215703</v>
      </c>
      <c r="BC23" s="11">
        <f t="shared" si="14"/>
        <v>527289</v>
      </c>
      <c r="BD23" s="11">
        <f t="shared" si="14"/>
        <v>0</v>
      </c>
      <c r="BE23" s="11">
        <f t="shared" si="14"/>
        <v>0</v>
      </c>
      <c r="BF23" s="11">
        <f t="shared" si="14"/>
        <v>0</v>
      </c>
      <c r="BG23" s="11">
        <f t="shared" si="14"/>
        <v>0</v>
      </c>
      <c r="BH23" s="11">
        <f t="shared" si="14"/>
        <v>0</v>
      </c>
      <c r="BI23" s="11">
        <f t="shared" si="14"/>
        <v>0</v>
      </c>
      <c r="BJ23" s="11">
        <f t="shared" si="14"/>
        <v>0</v>
      </c>
      <c r="BK23" s="11">
        <f t="shared" si="14"/>
        <v>0</v>
      </c>
      <c r="BL23" s="11">
        <f t="shared" si="14"/>
        <v>0</v>
      </c>
      <c r="BM23" s="11">
        <f t="shared" si="14"/>
        <v>0</v>
      </c>
      <c r="BN23" s="11">
        <f t="shared" si="14"/>
        <v>0</v>
      </c>
      <c r="BO23" s="11">
        <f t="shared" si="14"/>
        <v>0</v>
      </c>
      <c r="BP23" s="11">
        <f t="shared" si="14"/>
        <v>527289</v>
      </c>
      <c r="BQ23" s="11">
        <f t="shared" si="14"/>
        <v>0</v>
      </c>
      <c r="BR23" s="11">
        <f t="shared" si="14"/>
        <v>0</v>
      </c>
      <c r="BS23" s="11">
        <f t="shared" si="14"/>
        <v>0</v>
      </c>
      <c r="BT23" s="11">
        <f t="shared" si="14"/>
        <v>0</v>
      </c>
      <c r="BU23" s="11">
        <f t="shared" si="14"/>
        <v>0</v>
      </c>
      <c r="BV23" s="11">
        <f t="shared" si="14"/>
        <v>0</v>
      </c>
      <c r="BW23" s="11">
        <f t="shared" ref="BW23:CX23" si="15">SUM(BW24:BW40)</f>
        <v>0</v>
      </c>
      <c r="BX23" s="11">
        <f t="shared" si="15"/>
        <v>0</v>
      </c>
      <c r="BY23" s="11">
        <f t="shared" si="15"/>
        <v>0</v>
      </c>
      <c r="BZ23" s="11">
        <f t="shared" si="15"/>
        <v>527289</v>
      </c>
      <c r="CA23" s="11">
        <f t="shared" si="15"/>
        <v>0</v>
      </c>
      <c r="CB23" s="11">
        <f t="shared" si="15"/>
        <v>2415154</v>
      </c>
      <c r="CC23" s="11">
        <f t="shared" si="15"/>
        <v>2415154</v>
      </c>
      <c r="CD23" s="11">
        <f t="shared" si="15"/>
        <v>952957</v>
      </c>
      <c r="CE23" s="11">
        <f t="shared" si="15"/>
        <v>0</v>
      </c>
      <c r="CF23" s="11">
        <f t="shared" si="15"/>
        <v>952957</v>
      </c>
      <c r="CG23" s="11">
        <f t="shared" si="15"/>
        <v>1460000</v>
      </c>
      <c r="CH23" s="11">
        <f t="shared" si="15"/>
        <v>0</v>
      </c>
      <c r="CI23" s="11">
        <f t="shared" si="15"/>
        <v>0</v>
      </c>
      <c r="CJ23" s="11">
        <f t="shared" si="15"/>
        <v>1460000</v>
      </c>
      <c r="CK23" s="11">
        <f t="shared" si="15"/>
        <v>0</v>
      </c>
      <c r="CL23" s="11">
        <f t="shared" si="15"/>
        <v>2197</v>
      </c>
      <c r="CM23" s="11">
        <f t="shared" si="15"/>
        <v>0</v>
      </c>
      <c r="CN23" s="11">
        <f t="shared" si="15"/>
        <v>0</v>
      </c>
      <c r="CO23" s="11">
        <f t="shared" si="15"/>
        <v>2197</v>
      </c>
      <c r="CP23" s="11"/>
      <c r="CQ23" s="11">
        <f t="shared" si="15"/>
        <v>0</v>
      </c>
      <c r="CR23" s="11">
        <f t="shared" si="15"/>
        <v>0</v>
      </c>
      <c r="CS23" s="11">
        <f t="shared" si="15"/>
        <v>0</v>
      </c>
      <c r="CT23" s="11">
        <f t="shared" si="15"/>
        <v>0</v>
      </c>
      <c r="CU23" s="11">
        <f t="shared" si="15"/>
        <v>0</v>
      </c>
      <c r="CV23" s="11">
        <f t="shared" si="15"/>
        <v>0</v>
      </c>
      <c r="CW23" s="11">
        <f t="shared" si="15"/>
        <v>0</v>
      </c>
      <c r="CX23" s="12">
        <f t="shared" si="15"/>
        <v>0</v>
      </c>
    </row>
    <row r="24" spans="1:102" ht="31.5" x14ac:dyDescent="0.25">
      <c r="A24" s="13" t="s">
        <v>1</v>
      </c>
      <c r="B24" s="14" t="s">
        <v>1</v>
      </c>
      <c r="C24" s="14" t="s">
        <v>97</v>
      </c>
      <c r="D24" s="15" t="s">
        <v>98</v>
      </c>
      <c r="E24" s="10">
        <f t="shared" ref="E24:E40" si="16">SUM(F24+CB24+CU24)</f>
        <v>15360960</v>
      </c>
      <c r="F24" s="11">
        <f t="shared" ref="F24:F40" si="17">SUM(G24+BC24)</f>
        <v>15202738</v>
      </c>
      <c r="G24" s="11">
        <f t="shared" ref="G24:G40" si="18">SUM(H24+I24+J24+Q24+T24+U24+V24+AF24+AE24)</f>
        <v>15178200</v>
      </c>
      <c r="H24" s="16">
        <f>10578399+282091</f>
        <v>10860490</v>
      </c>
      <c r="I24" s="16">
        <f>2490281+70523</f>
        <v>2560804</v>
      </c>
      <c r="J24" s="11">
        <f t="shared" si="4"/>
        <v>686643</v>
      </c>
      <c r="K24" s="16"/>
      <c r="L24" s="16"/>
      <c r="M24" s="16"/>
      <c r="N24" s="16"/>
      <c r="O24" s="16">
        <v>567038</v>
      </c>
      <c r="P24" s="16">
        <v>119605</v>
      </c>
      <c r="Q24" s="11">
        <f t="shared" si="5"/>
        <v>99970</v>
      </c>
      <c r="R24" s="16"/>
      <c r="S24" s="16">
        <v>99970</v>
      </c>
      <c r="T24" s="11">
        <v>0</v>
      </c>
      <c r="U24" s="16">
        <v>237738</v>
      </c>
      <c r="V24" s="11">
        <f t="shared" ref="V24:V40" si="19">SUM(W24:AD24)</f>
        <v>345124</v>
      </c>
      <c r="W24" s="16">
        <v>48513</v>
      </c>
      <c r="X24" s="16">
        <v>115060</v>
      </c>
      <c r="Y24" s="16">
        <v>140000</v>
      </c>
      <c r="Z24" s="16">
        <v>19860</v>
      </c>
      <c r="AA24" s="16">
        <v>12913</v>
      </c>
      <c r="AB24" s="16">
        <v>301</v>
      </c>
      <c r="AC24" s="16"/>
      <c r="AD24" s="16">
        <v>8477</v>
      </c>
      <c r="AE24" s="11"/>
      <c r="AF24" s="11">
        <f t="shared" ref="AF24:AF40" si="20">SUM(AG24:BB24)</f>
        <v>387431</v>
      </c>
      <c r="AG24" s="11">
        <v>0</v>
      </c>
      <c r="AH24" s="16"/>
      <c r="AI24" s="16">
        <v>39650</v>
      </c>
      <c r="AJ24" s="16">
        <v>8937</v>
      </c>
      <c r="AK24" s="16"/>
      <c r="AL24" s="16">
        <v>3877</v>
      </c>
      <c r="AM24" s="16"/>
      <c r="AN24" s="16">
        <v>9122</v>
      </c>
      <c r="AO24" s="16">
        <v>53231</v>
      </c>
      <c r="AP24" s="16">
        <v>45674</v>
      </c>
      <c r="AQ24" s="16"/>
      <c r="AR24" s="16"/>
      <c r="AS24" s="16"/>
      <c r="AT24" s="16">
        <v>15508</v>
      </c>
      <c r="AU24" s="16">
        <v>1556</v>
      </c>
      <c r="AV24" s="16"/>
      <c r="AW24" s="16"/>
      <c r="AX24" s="16"/>
      <c r="AY24" s="16"/>
      <c r="AZ24" s="16"/>
      <c r="BA24" s="16">
        <v>202032</v>
      </c>
      <c r="BB24" s="16">
        <v>7844</v>
      </c>
      <c r="BC24" s="11">
        <f t="shared" ref="BC24:BC40" si="21">SUM(BD24+BH24+BL24+BN24+BP24)</f>
        <v>24538</v>
      </c>
      <c r="BD24" s="11">
        <f t="shared" ref="BD24:BD40" si="22">SUM(BE24:BG24)</f>
        <v>0</v>
      </c>
      <c r="BE24" s="11">
        <v>0</v>
      </c>
      <c r="BF24" s="11">
        <v>0</v>
      </c>
      <c r="BG24" s="11">
        <v>0</v>
      </c>
      <c r="BH24" s="11">
        <f t="shared" si="6"/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f t="shared" si="7"/>
        <v>0</v>
      </c>
      <c r="BO24" s="11">
        <v>0</v>
      </c>
      <c r="BP24" s="11">
        <f t="shared" si="8"/>
        <v>24538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6">
        <v>24538</v>
      </c>
      <c r="CA24" s="11">
        <v>0</v>
      </c>
      <c r="CB24" s="11">
        <f t="shared" ref="CB24:CB40" si="23">SUM(CC24+CT24)</f>
        <v>158222</v>
      </c>
      <c r="CC24" s="11">
        <f t="shared" ref="CC24:CC40" si="24">SUM(CD24+CG24+CL24)</f>
        <v>158222</v>
      </c>
      <c r="CD24" s="11">
        <f t="shared" si="9"/>
        <v>158222</v>
      </c>
      <c r="CE24" s="11">
        <v>0</v>
      </c>
      <c r="CF24" s="16">
        <v>158222</v>
      </c>
      <c r="CG24" s="11">
        <f t="shared" ref="CG24:CG40" si="25">SUM(CH24:CK24)</f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f t="shared" ref="CL24:CL40" si="26">SUM(CM24:CQ24)</f>
        <v>0</v>
      </c>
      <c r="CM24" s="11">
        <v>0</v>
      </c>
      <c r="CN24" s="11">
        <v>0</v>
      </c>
      <c r="CO24" s="11">
        <v>0</v>
      </c>
      <c r="CP24" s="11"/>
      <c r="CQ24" s="11">
        <v>0</v>
      </c>
      <c r="CR24" s="11">
        <v>0</v>
      </c>
      <c r="CS24" s="11">
        <v>0</v>
      </c>
      <c r="CT24" s="11">
        <v>0</v>
      </c>
      <c r="CU24" s="11">
        <f t="shared" si="10"/>
        <v>0</v>
      </c>
      <c r="CV24" s="11">
        <f t="shared" si="11"/>
        <v>0</v>
      </c>
      <c r="CW24" s="11">
        <v>0</v>
      </c>
      <c r="CX24" s="12">
        <v>0</v>
      </c>
    </row>
    <row r="25" spans="1:102" ht="31.5" x14ac:dyDescent="0.25">
      <c r="A25" s="13" t="s">
        <v>1</v>
      </c>
      <c r="B25" s="14" t="s">
        <v>1</v>
      </c>
      <c r="C25" s="14" t="s">
        <v>99</v>
      </c>
      <c r="D25" s="15" t="s">
        <v>100</v>
      </c>
      <c r="E25" s="10">
        <f t="shared" si="16"/>
        <v>6123677</v>
      </c>
      <c r="F25" s="11">
        <f t="shared" si="17"/>
        <v>6097952</v>
      </c>
      <c r="G25" s="11">
        <f t="shared" si="18"/>
        <v>6090667</v>
      </c>
      <c r="H25" s="16">
        <f>4140900+110424</f>
        <v>4251324</v>
      </c>
      <c r="I25" s="16">
        <f>1035760+27606</f>
        <v>1063366</v>
      </c>
      <c r="J25" s="11">
        <f t="shared" si="4"/>
        <v>403973</v>
      </c>
      <c r="K25" s="16"/>
      <c r="L25" s="16"/>
      <c r="M25" s="16"/>
      <c r="N25" s="16"/>
      <c r="O25" s="16">
        <v>129790</v>
      </c>
      <c r="P25" s="16">
        <f>85547+188636</f>
        <v>274183</v>
      </c>
      <c r="Q25" s="11">
        <f t="shared" si="5"/>
        <v>76613</v>
      </c>
      <c r="R25" s="16"/>
      <c r="S25" s="16">
        <v>76613</v>
      </c>
      <c r="T25" s="11">
        <v>0</v>
      </c>
      <c r="U25" s="16">
        <v>144668</v>
      </c>
      <c r="V25" s="11">
        <f t="shared" si="19"/>
        <v>59545</v>
      </c>
      <c r="W25" s="16">
        <v>1473</v>
      </c>
      <c r="X25" s="16">
        <v>28561</v>
      </c>
      <c r="Y25" s="16">
        <v>21741</v>
      </c>
      <c r="Z25" s="16">
        <v>3827</v>
      </c>
      <c r="AA25" s="16">
        <v>3943</v>
      </c>
      <c r="AB25" s="16"/>
      <c r="AC25" s="16"/>
      <c r="AD25" s="16"/>
      <c r="AE25" s="11"/>
      <c r="AF25" s="11">
        <f t="shared" si="20"/>
        <v>91178</v>
      </c>
      <c r="AG25" s="11">
        <v>0</v>
      </c>
      <c r="AH25" s="16"/>
      <c r="AI25" s="16">
        <v>19377</v>
      </c>
      <c r="AJ25" s="16"/>
      <c r="AK25" s="16"/>
      <c r="AL25" s="16"/>
      <c r="AM25" s="16"/>
      <c r="AN25" s="16">
        <v>115</v>
      </c>
      <c r="AO25" s="16">
        <v>513</v>
      </c>
      <c r="AP25" s="16">
        <v>14550</v>
      </c>
      <c r="AQ25" s="16"/>
      <c r="AR25" s="16"/>
      <c r="AS25" s="16"/>
      <c r="AT25" s="16">
        <v>34966</v>
      </c>
      <c r="AU25" s="16">
        <v>2188</v>
      </c>
      <c r="AV25" s="16"/>
      <c r="AW25" s="16"/>
      <c r="AX25" s="16"/>
      <c r="AY25" s="16"/>
      <c r="AZ25" s="16"/>
      <c r="BA25" s="16"/>
      <c r="BB25" s="16">
        <v>19469</v>
      </c>
      <c r="BC25" s="11">
        <f t="shared" si="21"/>
        <v>7285</v>
      </c>
      <c r="BD25" s="11">
        <f t="shared" si="22"/>
        <v>0</v>
      </c>
      <c r="BE25" s="11">
        <v>0</v>
      </c>
      <c r="BF25" s="11">
        <v>0</v>
      </c>
      <c r="BG25" s="11">
        <v>0</v>
      </c>
      <c r="BH25" s="11">
        <f t="shared" si="6"/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f t="shared" si="7"/>
        <v>0</v>
      </c>
      <c r="BO25" s="11">
        <v>0</v>
      </c>
      <c r="BP25" s="11">
        <f t="shared" si="8"/>
        <v>7285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6">
        <v>7285</v>
      </c>
      <c r="CA25" s="11">
        <v>0</v>
      </c>
      <c r="CB25" s="11">
        <f t="shared" si="23"/>
        <v>25725</v>
      </c>
      <c r="CC25" s="11">
        <f t="shared" si="24"/>
        <v>25725</v>
      </c>
      <c r="CD25" s="11">
        <f t="shared" si="9"/>
        <v>25725</v>
      </c>
      <c r="CE25" s="11">
        <v>0</v>
      </c>
      <c r="CF25" s="16">
        <v>25725</v>
      </c>
      <c r="CG25" s="11">
        <f t="shared" si="25"/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f t="shared" si="26"/>
        <v>0</v>
      </c>
      <c r="CM25" s="11">
        <v>0</v>
      </c>
      <c r="CN25" s="11">
        <v>0</v>
      </c>
      <c r="CO25" s="11">
        <v>0</v>
      </c>
      <c r="CP25" s="11"/>
      <c r="CQ25" s="11">
        <v>0</v>
      </c>
      <c r="CR25" s="11"/>
      <c r="CS25" s="11"/>
      <c r="CT25" s="11">
        <v>0</v>
      </c>
      <c r="CU25" s="11">
        <f t="shared" si="10"/>
        <v>0</v>
      </c>
      <c r="CV25" s="11">
        <f t="shared" si="11"/>
        <v>0</v>
      </c>
      <c r="CW25" s="11">
        <v>0</v>
      </c>
      <c r="CX25" s="12">
        <v>0</v>
      </c>
    </row>
    <row r="26" spans="1:102" ht="31.5" x14ac:dyDescent="0.25">
      <c r="A26" s="13" t="s">
        <v>1</v>
      </c>
      <c r="B26" s="14" t="s">
        <v>1</v>
      </c>
      <c r="C26" s="14" t="s">
        <v>101</v>
      </c>
      <c r="D26" s="15" t="s">
        <v>102</v>
      </c>
      <c r="E26" s="10">
        <f t="shared" si="16"/>
        <v>7053123</v>
      </c>
      <c r="F26" s="11">
        <f t="shared" si="17"/>
        <v>7032866</v>
      </c>
      <c r="G26" s="11">
        <f t="shared" si="18"/>
        <v>7027115</v>
      </c>
      <c r="H26" s="16">
        <f>5304006+141440</f>
        <v>5445446</v>
      </c>
      <c r="I26" s="16">
        <f>1256226+35360</f>
        <v>1291586</v>
      </c>
      <c r="J26" s="11">
        <f t="shared" si="4"/>
        <v>85322</v>
      </c>
      <c r="K26" s="16"/>
      <c r="L26" s="16"/>
      <c r="M26" s="16"/>
      <c r="N26" s="16"/>
      <c r="O26" s="16">
        <v>42402</v>
      </c>
      <c r="P26" s="16">
        <v>42920</v>
      </c>
      <c r="Q26" s="11">
        <f t="shared" si="5"/>
        <v>65363</v>
      </c>
      <c r="R26" s="16"/>
      <c r="S26" s="16">
        <v>65363</v>
      </c>
      <c r="T26" s="11">
        <v>0</v>
      </c>
      <c r="U26" s="16">
        <v>128922</v>
      </c>
      <c r="V26" s="11">
        <f t="shared" si="19"/>
        <v>0</v>
      </c>
      <c r="W26" s="16"/>
      <c r="X26" s="16"/>
      <c r="Y26" s="16"/>
      <c r="Z26" s="16"/>
      <c r="AA26" s="16"/>
      <c r="AB26" s="16"/>
      <c r="AC26" s="16"/>
      <c r="AD26" s="16"/>
      <c r="AE26" s="11"/>
      <c r="AF26" s="11">
        <f t="shared" si="20"/>
        <v>10476</v>
      </c>
      <c r="AG26" s="11">
        <v>0</v>
      </c>
      <c r="AH26" s="16"/>
      <c r="AI26" s="16"/>
      <c r="AJ26" s="16"/>
      <c r="AK26" s="16"/>
      <c r="AL26" s="16"/>
      <c r="AM26" s="16"/>
      <c r="AN26" s="16"/>
      <c r="AO26" s="16"/>
      <c r="AP26" s="16">
        <v>10476</v>
      </c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1">
        <f t="shared" si="21"/>
        <v>5751</v>
      </c>
      <c r="BD26" s="11">
        <f t="shared" si="22"/>
        <v>0</v>
      </c>
      <c r="BE26" s="11">
        <v>0</v>
      </c>
      <c r="BF26" s="11">
        <v>0</v>
      </c>
      <c r="BG26" s="11">
        <v>0</v>
      </c>
      <c r="BH26" s="11">
        <f t="shared" si="6"/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f t="shared" si="7"/>
        <v>0</v>
      </c>
      <c r="BO26" s="11">
        <v>0</v>
      </c>
      <c r="BP26" s="11">
        <f t="shared" si="8"/>
        <v>5751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6">
        <v>5751</v>
      </c>
      <c r="CA26" s="11">
        <v>0</v>
      </c>
      <c r="CB26" s="11">
        <f t="shared" si="23"/>
        <v>20257</v>
      </c>
      <c r="CC26" s="11">
        <f t="shared" si="24"/>
        <v>20257</v>
      </c>
      <c r="CD26" s="11">
        <f t="shared" si="9"/>
        <v>20257</v>
      </c>
      <c r="CE26" s="11">
        <v>0</v>
      </c>
      <c r="CF26" s="16">
        <v>20257</v>
      </c>
      <c r="CG26" s="11">
        <f t="shared" si="25"/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f t="shared" si="26"/>
        <v>0</v>
      </c>
      <c r="CM26" s="11">
        <v>0</v>
      </c>
      <c r="CN26" s="11">
        <v>0</v>
      </c>
      <c r="CO26" s="11">
        <v>0</v>
      </c>
      <c r="CP26" s="11"/>
      <c r="CQ26" s="11">
        <v>0</v>
      </c>
      <c r="CR26" s="11">
        <v>0</v>
      </c>
      <c r="CS26" s="11">
        <v>0</v>
      </c>
      <c r="CT26" s="11">
        <v>0</v>
      </c>
      <c r="CU26" s="11">
        <f t="shared" si="10"/>
        <v>0</v>
      </c>
      <c r="CV26" s="11">
        <f t="shared" si="11"/>
        <v>0</v>
      </c>
      <c r="CW26" s="11">
        <v>0</v>
      </c>
      <c r="CX26" s="12">
        <v>0</v>
      </c>
    </row>
    <row r="27" spans="1:102" ht="31.5" x14ac:dyDescent="0.25">
      <c r="A27" s="13" t="s">
        <v>1</v>
      </c>
      <c r="B27" s="14" t="s">
        <v>1</v>
      </c>
      <c r="C27" s="14" t="s">
        <v>103</v>
      </c>
      <c r="D27" s="15" t="s">
        <v>104</v>
      </c>
      <c r="E27" s="10">
        <f t="shared" si="16"/>
        <v>4849648</v>
      </c>
      <c r="F27" s="11">
        <f t="shared" si="17"/>
        <v>4849648</v>
      </c>
      <c r="G27" s="11">
        <f t="shared" si="18"/>
        <v>4845814</v>
      </c>
      <c r="H27" s="16">
        <f>3240409+172822</f>
        <v>3413231</v>
      </c>
      <c r="I27" s="16">
        <f>772851+43205</f>
        <v>816056</v>
      </c>
      <c r="J27" s="11">
        <f t="shared" si="4"/>
        <v>90105</v>
      </c>
      <c r="K27" s="16"/>
      <c r="L27" s="16"/>
      <c r="M27" s="16"/>
      <c r="N27" s="16"/>
      <c r="O27" s="16">
        <v>70844</v>
      </c>
      <c r="P27" s="16">
        <v>19261</v>
      </c>
      <c r="Q27" s="11">
        <f t="shared" si="5"/>
        <v>68194</v>
      </c>
      <c r="R27" s="16"/>
      <c r="S27" s="16">
        <v>68194</v>
      </c>
      <c r="T27" s="11">
        <v>0</v>
      </c>
      <c r="U27" s="16">
        <v>235476</v>
      </c>
      <c r="V27" s="11">
        <f t="shared" si="19"/>
        <v>177354</v>
      </c>
      <c r="W27" s="16"/>
      <c r="X27" s="16">
        <v>127958</v>
      </c>
      <c r="Y27" s="16">
        <v>35929</v>
      </c>
      <c r="Z27" s="16">
        <v>5826</v>
      </c>
      <c r="AA27" s="16">
        <v>7641</v>
      </c>
      <c r="AB27" s="16"/>
      <c r="AC27" s="16"/>
      <c r="AD27" s="16"/>
      <c r="AE27" s="11"/>
      <c r="AF27" s="11">
        <f t="shared" si="20"/>
        <v>45398</v>
      </c>
      <c r="AG27" s="11">
        <v>0</v>
      </c>
      <c r="AH27" s="16"/>
      <c r="AI27" s="16">
        <v>785</v>
      </c>
      <c r="AJ27" s="16">
        <v>924</v>
      </c>
      <c r="AK27" s="16"/>
      <c r="AL27" s="16"/>
      <c r="AM27" s="16"/>
      <c r="AN27" s="16"/>
      <c r="AO27" s="16"/>
      <c r="AP27" s="16">
        <v>13386</v>
      </c>
      <c r="AQ27" s="16"/>
      <c r="AR27" s="16"/>
      <c r="AS27" s="16"/>
      <c r="AT27" s="16">
        <v>18616</v>
      </c>
      <c r="AU27" s="16"/>
      <c r="AV27" s="16"/>
      <c r="AW27" s="16"/>
      <c r="AX27" s="16"/>
      <c r="AY27" s="16"/>
      <c r="AZ27" s="16"/>
      <c r="BA27" s="16"/>
      <c r="BB27" s="16">
        <v>11687</v>
      </c>
      <c r="BC27" s="11">
        <f t="shared" si="21"/>
        <v>3834</v>
      </c>
      <c r="BD27" s="11">
        <f t="shared" si="22"/>
        <v>0</v>
      </c>
      <c r="BE27" s="11">
        <v>0</v>
      </c>
      <c r="BF27" s="11">
        <v>0</v>
      </c>
      <c r="BG27" s="11">
        <v>0</v>
      </c>
      <c r="BH27" s="11">
        <f t="shared" si="6"/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f t="shared" si="7"/>
        <v>0</v>
      </c>
      <c r="BO27" s="11">
        <v>0</v>
      </c>
      <c r="BP27" s="11">
        <f t="shared" si="8"/>
        <v>3834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6">
        <v>3834</v>
      </c>
      <c r="CA27" s="11">
        <v>0</v>
      </c>
      <c r="CB27" s="11">
        <f t="shared" si="23"/>
        <v>0</v>
      </c>
      <c r="CC27" s="11">
        <f t="shared" si="24"/>
        <v>0</v>
      </c>
      <c r="CD27" s="11">
        <f t="shared" si="9"/>
        <v>0</v>
      </c>
      <c r="CE27" s="11">
        <v>0</v>
      </c>
      <c r="CF27" s="16">
        <v>0</v>
      </c>
      <c r="CG27" s="11">
        <f t="shared" si="25"/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f t="shared" si="26"/>
        <v>0</v>
      </c>
      <c r="CM27" s="11">
        <v>0</v>
      </c>
      <c r="CN27" s="11">
        <v>0</v>
      </c>
      <c r="CO27" s="11">
        <v>0</v>
      </c>
      <c r="CP27" s="11"/>
      <c r="CQ27" s="11">
        <v>0</v>
      </c>
      <c r="CR27" s="11">
        <v>0</v>
      </c>
      <c r="CS27" s="11">
        <v>0</v>
      </c>
      <c r="CT27" s="11">
        <v>0</v>
      </c>
      <c r="CU27" s="11">
        <f t="shared" si="10"/>
        <v>0</v>
      </c>
      <c r="CV27" s="11">
        <f t="shared" si="11"/>
        <v>0</v>
      </c>
      <c r="CW27" s="11">
        <v>0</v>
      </c>
      <c r="CX27" s="12">
        <v>0</v>
      </c>
    </row>
    <row r="28" spans="1:102" ht="15.75" x14ac:dyDescent="0.25">
      <c r="A28" s="13" t="s">
        <v>1</v>
      </c>
      <c r="B28" s="14" t="s">
        <v>1</v>
      </c>
      <c r="C28" s="14" t="s">
        <v>105</v>
      </c>
      <c r="D28" s="15" t="s">
        <v>106</v>
      </c>
      <c r="E28" s="10">
        <f t="shared" si="16"/>
        <v>5408811</v>
      </c>
      <c r="F28" s="11">
        <f t="shared" si="17"/>
        <v>5200790</v>
      </c>
      <c r="G28" s="11">
        <f t="shared" si="18"/>
        <v>5193505</v>
      </c>
      <c r="H28" s="16">
        <f>3634112+96910</f>
        <v>3731022</v>
      </c>
      <c r="I28" s="16">
        <f>746860+24227</f>
        <v>771087</v>
      </c>
      <c r="J28" s="11">
        <f t="shared" si="4"/>
        <v>271789</v>
      </c>
      <c r="K28" s="16"/>
      <c r="L28" s="16"/>
      <c r="M28" s="16"/>
      <c r="N28" s="16"/>
      <c r="O28" s="16">
        <v>224740</v>
      </c>
      <c r="P28" s="16">
        <v>47049</v>
      </c>
      <c r="Q28" s="11">
        <f t="shared" si="5"/>
        <v>13098</v>
      </c>
      <c r="R28" s="16"/>
      <c r="S28" s="16">
        <v>13098</v>
      </c>
      <c r="T28" s="11">
        <v>0</v>
      </c>
      <c r="U28" s="16">
        <v>188727</v>
      </c>
      <c r="V28" s="11">
        <f t="shared" si="19"/>
        <v>133293</v>
      </c>
      <c r="W28" s="16">
        <v>6419</v>
      </c>
      <c r="X28" s="16">
        <v>30235</v>
      </c>
      <c r="Y28" s="16">
        <v>72803</v>
      </c>
      <c r="Z28" s="16">
        <v>13174</v>
      </c>
      <c r="AA28" s="16">
        <v>2305</v>
      </c>
      <c r="AB28" s="16"/>
      <c r="AC28" s="16"/>
      <c r="AD28" s="16">
        <v>8357</v>
      </c>
      <c r="AE28" s="11"/>
      <c r="AF28" s="11">
        <f t="shared" si="20"/>
        <v>84489</v>
      </c>
      <c r="AG28" s="11">
        <v>0</v>
      </c>
      <c r="AH28" s="16"/>
      <c r="AI28" s="16">
        <v>6739</v>
      </c>
      <c r="AJ28" s="16"/>
      <c r="AK28" s="16"/>
      <c r="AL28" s="16">
        <v>7026</v>
      </c>
      <c r="AM28" s="16">
        <v>620</v>
      </c>
      <c r="AN28" s="16"/>
      <c r="AO28" s="16">
        <v>1950</v>
      </c>
      <c r="AP28" s="16">
        <v>25026</v>
      </c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>
        <v>40553</v>
      </c>
      <c r="BB28" s="16">
        <v>2575</v>
      </c>
      <c r="BC28" s="11">
        <f t="shared" si="21"/>
        <v>7285</v>
      </c>
      <c r="BD28" s="11">
        <f t="shared" si="22"/>
        <v>0</v>
      </c>
      <c r="BE28" s="11">
        <v>0</v>
      </c>
      <c r="BF28" s="11">
        <v>0</v>
      </c>
      <c r="BG28" s="11">
        <v>0</v>
      </c>
      <c r="BH28" s="11">
        <f t="shared" si="6"/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f t="shared" si="7"/>
        <v>0</v>
      </c>
      <c r="BO28" s="11">
        <v>0</v>
      </c>
      <c r="BP28" s="11">
        <f t="shared" si="8"/>
        <v>7285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6">
        <v>7285</v>
      </c>
      <c r="CA28" s="11">
        <v>0</v>
      </c>
      <c r="CB28" s="11">
        <f t="shared" si="23"/>
        <v>208021</v>
      </c>
      <c r="CC28" s="11">
        <f t="shared" si="24"/>
        <v>208021</v>
      </c>
      <c r="CD28" s="11">
        <f t="shared" si="9"/>
        <v>208021</v>
      </c>
      <c r="CE28" s="11">
        <v>0</v>
      </c>
      <c r="CF28" s="16">
        <v>208021</v>
      </c>
      <c r="CG28" s="11">
        <f t="shared" si="25"/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f t="shared" si="26"/>
        <v>0</v>
      </c>
      <c r="CM28" s="11">
        <v>0</v>
      </c>
      <c r="CN28" s="11">
        <v>0</v>
      </c>
      <c r="CO28" s="11">
        <v>0</v>
      </c>
      <c r="CP28" s="11"/>
      <c r="CQ28" s="11">
        <v>0</v>
      </c>
      <c r="CR28" s="11">
        <v>0</v>
      </c>
      <c r="CS28" s="11">
        <v>0</v>
      </c>
      <c r="CT28" s="11">
        <v>0</v>
      </c>
      <c r="CU28" s="11">
        <f t="shared" si="10"/>
        <v>0</v>
      </c>
      <c r="CV28" s="11">
        <f t="shared" si="11"/>
        <v>0</v>
      </c>
      <c r="CW28" s="11">
        <v>0</v>
      </c>
      <c r="CX28" s="12">
        <v>0</v>
      </c>
    </row>
    <row r="29" spans="1:102" ht="31.5" x14ac:dyDescent="0.25">
      <c r="A29" s="13" t="s">
        <v>1</v>
      </c>
      <c r="B29" s="14" t="s">
        <v>1</v>
      </c>
      <c r="C29" s="14" t="s">
        <v>107</v>
      </c>
      <c r="D29" s="15" t="s">
        <v>108</v>
      </c>
      <c r="E29" s="10">
        <f t="shared" si="16"/>
        <v>7095744</v>
      </c>
      <c r="F29" s="11">
        <f t="shared" si="17"/>
        <v>7022469</v>
      </c>
      <c r="G29" s="11">
        <f t="shared" si="18"/>
        <v>6780401</v>
      </c>
      <c r="H29" s="16">
        <f>3929040+104774</f>
        <v>4033814</v>
      </c>
      <c r="I29" s="16">
        <f>954496+26194</f>
        <v>980690</v>
      </c>
      <c r="J29" s="11">
        <f t="shared" si="4"/>
        <v>382976</v>
      </c>
      <c r="K29" s="16"/>
      <c r="L29" s="16">
        <v>5410</v>
      </c>
      <c r="M29" s="16"/>
      <c r="N29" s="16"/>
      <c r="O29" s="16">
        <v>272045</v>
      </c>
      <c r="P29" s="16">
        <v>105521</v>
      </c>
      <c r="Q29" s="11">
        <f t="shared" si="5"/>
        <v>822447</v>
      </c>
      <c r="R29" s="16"/>
      <c r="S29" s="16">
        <v>822447</v>
      </c>
      <c r="T29" s="11">
        <v>0</v>
      </c>
      <c r="U29" s="16">
        <v>136145</v>
      </c>
      <c r="V29" s="11">
        <f t="shared" si="19"/>
        <v>71893</v>
      </c>
      <c r="W29" s="16">
        <v>20371</v>
      </c>
      <c r="X29" s="16"/>
      <c r="Y29" s="16">
        <v>26465</v>
      </c>
      <c r="Z29" s="16">
        <v>10472</v>
      </c>
      <c r="AA29" s="16">
        <v>6855</v>
      </c>
      <c r="AB29" s="16"/>
      <c r="AC29" s="16"/>
      <c r="AD29" s="16">
        <v>7730</v>
      </c>
      <c r="AE29" s="11"/>
      <c r="AF29" s="11">
        <f t="shared" si="20"/>
        <v>352436</v>
      </c>
      <c r="AG29" s="11">
        <v>0</v>
      </c>
      <c r="AH29" s="16"/>
      <c r="AI29" s="16">
        <v>11342</v>
      </c>
      <c r="AJ29" s="16">
        <v>54914</v>
      </c>
      <c r="AK29" s="16"/>
      <c r="AL29" s="16">
        <v>4960</v>
      </c>
      <c r="AM29" s="16"/>
      <c r="AN29" s="16"/>
      <c r="AO29" s="16">
        <v>13400</v>
      </c>
      <c r="AP29" s="16">
        <v>191752</v>
      </c>
      <c r="AQ29" s="16"/>
      <c r="AR29" s="16"/>
      <c r="AS29" s="16"/>
      <c r="AT29" s="16">
        <v>12351</v>
      </c>
      <c r="AU29" s="16">
        <v>1000</v>
      </c>
      <c r="AV29" s="16"/>
      <c r="AW29" s="16"/>
      <c r="AX29" s="16"/>
      <c r="AY29" s="16"/>
      <c r="AZ29" s="16"/>
      <c r="BA29" s="16">
        <v>60717</v>
      </c>
      <c r="BB29" s="16">
        <v>2000</v>
      </c>
      <c r="BC29" s="11">
        <f t="shared" si="21"/>
        <v>242068</v>
      </c>
      <c r="BD29" s="11">
        <f t="shared" si="22"/>
        <v>0</v>
      </c>
      <c r="BE29" s="11">
        <v>0</v>
      </c>
      <c r="BF29" s="11">
        <v>0</v>
      </c>
      <c r="BG29" s="11">
        <v>0</v>
      </c>
      <c r="BH29" s="11">
        <f t="shared" si="6"/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f t="shared" si="7"/>
        <v>0</v>
      </c>
      <c r="BO29" s="11">
        <v>0</v>
      </c>
      <c r="BP29" s="11">
        <f t="shared" si="8"/>
        <v>242068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6">
        <v>242068</v>
      </c>
      <c r="CA29" s="11">
        <v>0</v>
      </c>
      <c r="CB29" s="11">
        <f t="shared" si="23"/>
        <v>73275</v>
      </c>
      <c r="CC29" s="11">
        <f t="shared" si="24"/>
        <v>73275</v>
      </c>
      <c r="CD29" s="11">
        <f t="shared" si="9"/>
        <v>73275</v>
      </c>
      <c r="CE29" s="11">
        <v>0</v>
      </c>
      <c r="CF29" s="16">
        <v>73275</v>
      </c>
      <c r="CG29" s="11">
        <f t="shared" si="25"/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f t="shared" si="26"/>
        <v>0</v>
      </c>
      <c r="CM29" s="11">
        <v>0</v>
      </c>
      <c r="CN29" s="11">
        <v>0</v>
      </c>
      <c r="CO29" s="11">
        <v>0</v>
      </c>
      <c r="CP29" s="11"/>
      <c r="CQ29" s="11">
        <v>0</v>
      </c>
      <c r="CR29" s="11">
        <v>0</v>
      </c>
      <c r="CS29" s="11">
        <v>0</v>
      </c>
      <c r="CT29" s="11">
        <v>0</v>
      </c>
      <c r="CU29" s="11">
        <f t="shared" si="10"/>
        <v>0</v>
      </c>
      <c r="CV29" s="11">
        <f t="shared" si="11"/>
        <v>0</v>
      </c>
      <c r="CW29" s="11">
        <v>0</v>
      </c>
      <c r="CX29" s="12">
        <v>0</v>
      </c>
    </row>
    <row r="30" spans="1:102" ht="31.5" x14ac:dyDescent="0.25">
      <c r="A30" s="13" t="s">
        <v>1</v>
      </c>
      <c r="B30" s="14" t="s">
        <v>1</v>
      </c>
      <c r="C30" s="14" t="s">
        <v>109</v>
      </c>
      <c r="D30" s="15" t="s">
        <v>110</v>
      </c>
      <c r="E30" s="10">
        <f t="shared" si="16"/>
        <v>8831503</v>
      </c>
      <c r="F30" s="11">
        <f t="shared" si="17"/>
        <v>8703014</v>
      </c>
      <c r="G30" s="11">
        <f t="shared" si="18"/>
        <v>8695729</v>
      </c>
      <c r="H30" s="16">
        <f>6443099+171816</f>
        <v>6614915</v>
      </c>
      <c r="I30" s="16">
        <f>1537621+42954</f>
        <v>1580575</v>
      </c>
      <c r="J30" s="11">
        <f t="shared" si="4"/>
        <v>132454</v>
      </c>
      <c r="K30" s="16"/>
      <c r="L30" s="16"/>
      <c r="M30" s="16"/>
      <c r="N30" s="16"/>
      <c r="O30" s="16">
        <v>6836</v>
      </c>
      <c r="P30" s="16">
        <f>0+125618</f>
        <v>125618</v>
      </c>
      <c r="Q30" s="11">
        <f t="shared" si="5"/>
        <v>68090</v>
      </c>
      <c r="R30" s="16"/>
      <c r="S30" s="16">
        <v>68090</v>
      </c>
      <c r="T30" s="11">
        <v>0</v>
      </c>
      <c r="U30" s="16">
        <v>50622</v>
      </c>
      <c r="V30" s="11">
        <f t="shared" si="19"/>
        <v>227251</v>
      </c>
      <c r="W30" s="16"/>
      <c r="X30" s="16">
        <v>158133</v>
      </c>
      <c r="Y30" s="16">
        <v>49070</v>
      </c>
      <c r="Z30" s="16">
        <v>11102</v>
      </c>
      <c r="AA30" s="16">
        <f>7007+1939</f>
        <v>8946</v>
      </c>
      <c r="AB30" s="16"/>
      <c r="AC30" s="16"/>
      <c r="AD30" s="16"/>
      <c r="AE30" s="11"/>
      <c r="AF30" s="11">
        <f t="shared" si="20"/>
        <v>21822</v>
      </c>
      <c r="AG30" s="11">
        <v>0</v>
      </c>
      <c r="AH30" s="16"/>
      <c r="AI30" s="16"/>
      <c r="AJ30" s="16"/>
      <c r="AK30" s="16"/>
      <c r="AL30" s="16">
        <v>0</v>
      </c>
      <c r="AM30" s="16"/>
      <c r="AN30" s="16"/>
      <c r="AO30" s="16"/>
      <c r="AP30" s="16">
        <v>14550</v>
      </c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>
        <v>7272</v>
      </c>
      <c r="BC30" s="11">
        <f t="shared" si="21"/>
        <v>7285</v>
      </c>
      <c r="BD30" s="11">
        <f t="shared" si="22"/>
        <v>0</v>
      </c>
      <c r="BE30" s="11">
        <v>0</v>
      </c>
      <c r="BF30" s="11">
        <v>0</v>
      </c>
      <c r="BG30" s="11">
        <v>0</v>
      </c>
      <c r="BH30" s="11">
        <f t="shared" si="6"/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f t="shared" si="7"/>
        <v>0</v>
      </c>
      <c r="BO30" s="11">
        <v>0</v>
      </c>
      <c r="BP30" s="11">
        <f t="shared" si="8"/>
        <v>7285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6">
        <v>7285</v>
      </c>
      <c r="CA30" s="11">
        <v>0</v>
      </c>
      <c r="CB30" s="11">
        <f t="shared" si="23"/>
        <v>128489</v>
      </c>
      <c r="CC30" s="11">
        <f t="shared" si="24"/>
        <v>128489</v>
      </c>
      <c r="CD30" s="11">
        <f t="shared" si="9"/>
        <v>128489</v>
      </c>
      <c r="CE30" s="11">
        <v>0</v>
      </c>
      <c r="CF30" s="16">
        <f>0+128489</f>
        <v>128489</v>
      </c>
      <c r="CG30" s="11">
        <f t="shared" si="25"/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f t="shared" si="26"/>
        <v>0</v>
      </c>
      <c r="CM30" s="11">
        <v>0</v>
      </c>
      <c r="CN30" s="11">
        <v>0</v>
      </c>
      <c r="CO30" s="11">
        <v>0</v>
      </c>
      <c r="CP30" s="11"/>
      <c r="CQ30" s="11">
        <v>0</v>
      </c>
      <c r="CR30" s="11">
        <v>0</v>
      </c>
      <c r="CS30" s="11">
        <v>0</v>
      </c>
      <c r="CT30" s="11">
        <v>0</v>
      </c>
      <c r="CU30" s="11">
        <f t="shared" si="10"/>
        <v>0</v>
      </c>
      <c r="CV30" s="11">
        <f t="shared" si="11"/>
        <v>0</v>
      </c>
      <c r="CW30" s="11">
        <v>0</v>
      </c>
      <c r="CX30" s="12">
        <v>0</v>
      </c>
    </row>
    <row r="31" spans="1:102" ht="15.75" x14ac:dyDescent="0.25">
      <c r="A31" s="13" t="s">
        <v>1</v>
      </c>
      <c r="B31" s="14" t="s">
        <v>1</v>
      </c>
      <c r="C31" s="14" t="s">
        <v>111</v>
      </c>
      <c r="D31" s="15" t="s">
        <v>112</v>
      </c>
      <c r="E31" s="10">
        <f t="shared" si="16"/>
        <v>1275978</v>
      </c>
      <c r="F31" s="11">
        <f t="shared" si="17"/>
        <v>1272081</v>
      </c>
      <c r="G31" s="11">
        <f t="shared" si="18"/>
        <v>1267480</v>
      </c>
      <c r="H31" s="16">
        <f>862618+46006</f>
        <v>908624</v>
      </c>
      <c r="I31" s="16">
        <f>203349+11502</f>
        <v>214851</v>
      </c>
      <c r="J31" s="11">
        <f t="shared" si="4"/>
        <v>97902</v>
      </c>
      <c r="K31" s="16"/>
      <c r="L31" s="16"/>
      <c r="M31" s="16"/>
      <c r="N31" s="16"/>
      <c r="O31" s="16">
        <v>60162</v>
      </c>
      <c r="P31" s="16">
        <v>37740</v>
      </c>
      <c r="Q31" s="11">
        <f t="shared" si="5"/>
        <v>0</v>
      </c>
      <c r="R31" s="16"/>
      <c r="S31" s="16"/>
      <c r="T31" s="11">
        <v>0</v>
      </c>
      <c r="U31" s="16">
        <v>23483</v>
      </c>
      <c r="V31" s="11">
        <f t="shared" si="19"/>
        <v>11802</v>
      </c>
      <c r="W31" s="16"/>
      <c r="X31" s="16">
        <v>6317</v>
      </c>
      <c r="Y31" s="16">
        <v>4346</v>
      </c>
      <c r="Z31" s="16">
        <v>1139</v>
      </c>
      <c r="AA31" s="16"/>
      <c r="AB31" s="16"/>
      <c r="AC31" s="16"/>
      <c r="AD31" s="16"/>
      <c r="AE31" s="11">
        <v>0</v>
      </c>
      <c r="AF31" s="11">
        <f t="shared" si="20"/>
        <v>10818</v>
      </c>
      <c r="AG31" s="11">
        <v>0</v>
      </c>
      <c r="AH31" s="16"/>
      <c r="AI31" s="16"/>
      <c r="AJ31" s="16"/>
      <c r="AK31" s="16"/>
      <c r="AL31" s="16">
        <v>188</v>
      </c>
      <c r="AM31" s="16"/>
      <c r="AN31" s="16"/>
      <c r="AO31" s="16"/>
      <c r="AP31" s="16">
        <v>9894</v>
      </c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>
        <v>736</v>
      </c>
      <c r="BC31" s="11">
        <f t="shared" si="21"/>
        <v>4601</v>
      </c>
      <c r="BD31" s="11">
        <f t="shared" si="22"/>
        <v>0</v>
      </c>
      <c r="BE31" s="11">
        <v>0</v>
      </c>
      <c r="BF31" s="11">
        <v>0</v>
      </c>
      <c r="BG31" s="11">
        <v>0</v>
      </c>
      <c r="BH31" s="11">
        <f t="shared" si="6"/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f t="shared" si="7"/>
        <v>0</v>
      </c>
      <c r="BO31" s="11">
        <v>0</v>
      </c>
      <c r="BP31" s="11">
        <f t="shared" si="8"/>
        <v>4601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6">
        <v>4601</v>
      </c>
      <c r="CA31" s="11">
        <v>0</v>
      </c>
      <c r="CB31" s="11">
        <f t="shared" si="23"/>
        <v>3897</v>
      </c>
      <c r="CC31" s="11">
        <f t="shared" si="24"/>
        <v>3897</v>
      </c>
      <c r="CD31" s="11">
        <f t="shared" si="9"/>
        <v>3897</v>
      </c>
      <c r="CE31" s="11">
        <v>0</v>
      </c>
      <c r="CF31" s="16">
        <v>3897</v>
      </c>
      <c r="CG31" s="11">
        <f t="shared" si="25"/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f t="shared" si="26"/>
        <v>0</v>
      </c>
      <c r="CM31" s="11">
        <v>0</v>
      </c>
      <c r="CN31" s="11">
        <v>0</v>
      </c>
      <c r="CO31" s="11">
        <v>0</v>
      </c>
      <c r="CP31" s="11"/>
      <c r="CQ31" s="11">
        <v>0</v>
      </c>
      <c r="CR31" s="11">
        <v>0</v>
      </c>
      <c r="CS31" s="11">
        <v>0</v>
      </c>
      <c r="CT31" s="11">
        <v>0</v>
      </c>
      <c r="CU31" s="11">
        <f t="shared" si="10"/>
        <v>0</v>
      </c>
      <c r="CV31" s="11">
        <f t="shared" si="11"/>
        <v>0</v>
      </c>
      <c r="CW31" s="11">
        <v>0</v>
      </c>
      <c r="CX31" s="12">
        <v>0</v>
      </c>
    </row>
    <row r="32" spans="1:102" ht="31.5" x14ac:dyDescent="0.25">
      <c r="A32" s="13" t="s">
        <v>1</v>
      </c>
      <c r="B32" s="14" t="s">
        <v>1</v>
      </c>
      <c r="C32" s="14" t="s">
        <v>113</v>
      </c>
      <c r="D32" s="15" t="s">
        <v>114</v>
      </c>
      <c r="E32" s="10">
        <f t="shared" si="16"/>
        <v>1389784</v>
      </c>
      <c r="F32" s="11">
        <f t="shared" si="17"/>
        <v>1355539</v>
      </c>
      <c r="G32" s="11">
        <f t="shared" si="18"/>
        <v>1352855</v>
      </c>
      <c r="H32" s="16">
        <f>961267+51268</f>
        <v>1012535</v>
      </c>
      <c r="I32" s="16">
        <f>229237+12817</f>
        <v>242054</v>
      </c>
      <c r="J32" s="11">
        <f t="shared" si="4"/>
        <v>44731</v>
      </c>
      <c r="K32" s="16"/>
      <c r="L32" s="16"/>
      <c r="M32" s="16"/>
      <c r="N32" s="16"/>
      <c r="O32" s="16">
        <v>30394</v>
      </c>
      <c r="P32" s="16">
        <v>14337</v>
      </c>
      <c r="Q32" s="11">
        <f t="shared" si="5"/>
        <v>20913</v>
      </c>
      <c r="R32" s="16"/>
      <c r="S32" s="16">
        <v>20913</v>
      </c>
      <c r="T32" s="11">
        <v>0</v>
      </c>
      <c r="U32" s="16">
        <v>24035</v>
      </c>
      <c r="V32" s="11">
        <f t="shared" si="19"/>
        <v>0</v>
      </c>
      <c r="W32" s="16"/>
      <c r="X32" s="16"/>
      <c r="Y32" s="16"/>
      <c r="Z32" s="16"/>
      <c r="AA32" s="16"/>
      <c r="AB32" s="16"/>
      <c r="AC32" s="16"/>
      <c r="AD32" s="16"/>
      <c r="AE32" s="11">
        <v>0</v>
      </c>
      <c r="AF32" s="11">
        <f t="shared" si="20"/>
        <v>8587</v>
      </c>
      <c r="AG32" s="11">
        <v>0</v>
      </c>
      <c r="AH32" s="16"/>
      <c r="AI32" s="16"/>
      <c r="AJ32" s="16"/>
      <c r="AK32" s="16"/>
      <c r="AL32" s="16">
        <v>280</v>
      </c>
      <c r="AM32" s="16"/>
      <c r="AN32" s="16"/>
      <c r="AO32" s="16">
        <v>2636</v>
      </c>
      <c r="AP32" s="16">
        <v>5238</v>
      </c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>
        <v>433</v>
      </c>
      <c r="BC32" s="11">
        <f t="shared" si="21"/>
        <v>2684</v>
      </c>
      <c r="BD32" s="11">
        <f t="shared" si="22"/>
        <v>0</v>
      </c>
      <c r="BE32" s="11">
        <v>0</v>
      </c>
      <c r="BF32" s="11">
        <v>0</v>
      </c>
      <c r="BG32" s="11">
        <v>0</v>
      </c>
      <c r="BH32" s="11">
        <f t="shared" si="6"/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f t="shared" si="7"/>
        <v>0</v>
      </c>
      <c r="BO32" s="11">
        <v>0</v>
      </c>
      <c r="BP32" s="11">
        <f t="shared" si="8"/>
        <v>2684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6">
        <v>2684</v>
      </c>
      <c r="CA32" s="11">
        <v>0</v>
      </c>
      <c r="CB32" s="11">
        <f t="shared" si="23"/>
        <v>34245</v>
      </c>
      <c r="CC32" s="11">
        <f t="shared" si="24"/>
        <v>34245</v>
      </c>
      <c r="CD32" s="11">
        <f t="shared" si="9"/>
        <v>34245</v>
      </c>
      <c r="CE32" s="11">
        <v>0</v>
      </c>
      <c r="CF32" s="16">
        <v>34245</v>
      </c>
      <c r="CG32" s="11">
        <f t="shared" si="25"/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f t="shared" si="26"/>
        <v>0</v>
      </c>
      <c r="CM32" s="11">
        <v>0</v>
      </c>
      <c r="CN32" s="11">
        <v>0</v>
      </c>
      <c r="CO32" s="11">
        <v>0</v>
      </c>
      <c r="CP32" s="11"/>
      <c r="CQ32" s="11">
        <v>0</v>
      </c>
      <c r="CR32" s="11">
        <v>0</v>
      </c>
      <c r="CS32" s="11">
        <v>0</v>
      </c>
      <c r="CT32" s="11">
        <v>0</v>
      </c>
      <c r="CU32" s="11">
        <f t="shared" si="10"/>
        <v>0</v>
      </c>
      <c r="CV32" s="11">
        <f t="shared" si="11"/>
        <v>0</v>
      </c>
      <c r="CW32" s="11">
        <v>0</v>
      </c>
      <c r="CX32" s="12">
        <v>0</v>
      </c>
    </row>
    <row r="33" spans="1:102" ht="31.5" x14ac:dyDescent="0.25">
      <c r="A33" s="13" t="s">
        <v>1</v>
      </c>
      <c r="B33" s="14" t="s">
        <v>1</v>
      </c>
      <c r="C33" s="14" t="s">
        <v>115</v>
      </c>
      <c r="D33" s="15" t="s">
        <v>116</v>
      </c>
      <c r="E33" s="10">
        <f t="shared" si="16"/>
        <v>158270</v>
      </c>
      <c r="F33" s="11">
        <f t="shared" si="17"/>
        <v>158270</v>
      </c>
      <c r="G33" s="11">
        <f t="shared" si="18"/>
        <v>158270</v>
      </c>
      <c r="H33" s="16">
        <f>1610574-1484266</f>
        <v>126308</v>
      </c>
      <c r="I33" s="16">
        <f>379734-347772</f>
        <v>31962</v>
      </c>
      <c r="J33" s="11">
        <f t="shared" si="4"/>
        <v>0</v>
      </c>
      <c r="K33" s="16"/>
      <c r="L33" s="16"/>
      <c r="M33" s="16"/>
      <c r="N33" s="16"/>
      <c r="O33" s="16">
        <f>81470-81470</f>
        <v>0</v>
      </c>
      <c r="P33" s="16">
        <f>48901-48901</f>
        <v>0</v>
      </c>
      <c r="Q33" s="11">
        <f t="shared" si="5"/>
        <v>0</v>
      </c>
      <c r="R33" s="16"/>
      <c r="S33" s="16"/>
      <c r="T33" s="11">
        <v>0</v>
      </c>
      <c r="U33" s="16">
        <f>39468-39468</f>
        <v>0</v>
      </c>
      <c r="V33" s="11">
        <f t="shared" si="19"/>
        <v>0</v>
      </c>
      <c r="W33" s="16"/>
      <c r="X33" s="16">
        <f>51580-51580</f>
        <v>0</v>
      </c>
      <c r="Y33" s="16">
        <f>28978-28978</f>
        <v>0</v>
      </c>
      <c r="Z33" s="16">
        <f>3257-3257</f>
        <v>0</v>
      </c>
      <c r="AA33" s="16">
        <f>505-505</f>
        <v>0</v>
      </c>
      <c r="AB33" s="16"/>
      <c r="AC33" s="16"/>
      <c r="AD33" s="16"/>
      <c r="AE33" s="11">
        <v>0</v>
      </c>
      <c r="AF33" s="11">
        <f t="shared" si="20"/>
        <v>0</v>
      </c>
      <c r="AG33" s="11">
        <v>0</v>
      </c>
      <c r="AH33" s="16"/>
      <c r="AI33" s="16">
        <f>4875-4875</f>
        <v>0</v>
      </c>
      <c r="AJ33" s="16"/>
      <c r="AK33" s="16">
        <f>1591-1591</f>
        <v>0</v>
      </c>
      <c r="AL33" s="16">
        <f>854-854</f>
        <v>0</v>
      </c>
      <c r="AM33" s="16"/>
      <c r="AN33" s="16">
        <f>700-700</f>
        <v>0</v>
      </c>
      <c r="AO33" s="16"/>
      <c r="AP33" s="16">
        <f>8730-8730</f>
        <v>0</v>
      </c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>
        <f>8250-8250</f>
        <v>0</v>
      </c>
      <c r="BC33" s="11">
        <f t="shared" si="21"/>
        <v>0</v>
      </c>
      <c r="BD33" s="11">
        <f t="shared" si="22"/>
        <v>0</v>
      </c>
      <c r="BE33" s="11">
        <v>0</v>
      </c>
      <c r="BF33" s="11">
        <v>0</v>
      </c>
      <c r="BG33" s="11">
        <v>0</v>
      </c>
      <c r="BH33" s="11">
        <f t="shared" si="6"/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f t="shared" si="7"/>
        <v>0</v>
      </c>
      <c r="BO33" s="11">
        <v>0</v>
      </c>
      <c r="BP33" s="11">
        <f t="shared" si="8"/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6">
        <f>3770-3770</f>
        <v>0</v>
      </c>
      <c r="CA33" s="11">
        <v>0</v>
      </c>
      <c r="CB33" s="11">
        <f t="shared" si="23"/>
        <v>0</v>
      </c>
      <c r="CC33" s="11">
        <f t="shared" si="24"/>
        <v>0</v>
      </c>
      <c r="CD33" s="11">
        <f t="shared" si="9"/>
        <v>0</v>
      </c>
      <c r="CE33" s="11">
        <v>0</v>
      </c>
      <c r="CF33" s="16">
        <f>18863-18863</f>
        <v>0</v>
      </c>
      <c r="CG33" s="11">
        <f t="shared" si="25"/>
        <v>0</v>
      </c>
      <c r="CH33" s="11">
        <v>0</v>
      </c>
      <c r="CI33" s="11">
        <v>0</v>
      </c>
      <c r="CJ33" s="11">
        <v>0</v>
      </c>
      <c r="CK33" s="11">
        <v>0</v>
      </c>
      <c r="CL33" s="11">
        <f t="shared" si="26"/>
        <v>0</v>
      </c>
      <c r="CM33" s="11">
        <v>0</v>
      </c>
      <c r="CN33" s="11">
        <v>0</v>
      </c>
      <c r="CO33" s="11">
        <v>0</v>
      </c>
      <c r="CP33" s="11"/>
      <c r="CQ33" s="11">
        <v>0</v>
      </c>
      <c r="CR33" s="11">
        <v>0</v>
      </c>
      <c r="CS33" s="11">
        <v>0</v>
      </c>
      <c r="CT33" s="11">
        <v>0</v>
      </c>
      <c r="CU33" s="11">
        <f t="shared" si="10"/>
        <v>0</v>
      </c>
      <c r="CV33" s="11">
        <f t="shared" si="11"/>
        <v>0</v>
      </c>
      <c r="CW33" s="11">
        <v>0</v>
      </c>
      <c r="CX33" s="12">
        <v>0</v>
      </c>
    </row>
    <row r="34" spans="1:102" ht="15.75" x14ac:dyDescent="0.25">
      <c r="A34" s="13" t="s">
        <v>1</v>
      </c>
      <c r="B34" s="14" t="s">
        <v>1</v>
      </c>
      <c r="C34" s="14" t="s">
        <v>117</v>
      </c>
      <c r="D34" s="15" t="s">
        <v>118</v>
      </c>
      <c r="E34" s="10">
        <f t="shared" si="16"/>
        <v>141959</v>
      </c>
      <c r="F34" s="11">
        <f t="shared" si="17"/>
        <v>141959</v>
      </c>
      <c r="G34" s="11">
        <f t="shared" si="18"/>
        <v>141959</v>
      </c>
      <c r="H34" s="16">
        <f>2051344-1941249</f>
        <v>110095</v>
      </c>
      <c r="I34" s="16">
        <f>484749-453322</f>
        <v>31427</v>
      </c>
      <c r="J34" s="11">
        <f t="shared" si="4"/>
        <v>0</v>
      </c>
      <c r="K34" s="16"/>
      <c r="L34" s="16"/>
      <c r="M34" s="16"/>
      <c r="N34" s="16"/>
      <c r="O34" s="16">
        <f>30627-30627</f>
        <v>0</v>
      </c>
      <c r="P34" s="16">
        <f>128567-128567</f>
        <v>0</v>
      </c>
      <c r="Q34" s="11">
        <f t="shared" si="5"/>
        <v>0</v>
      </c>
      <c r="R34" s="16"/>
      <c r="S34" s="16">
        <f>4920-4920</f>
        <v>0</v>
      </c>
      <c r="T34" s="11">
        <v>0</v>
      </c>
      <c r="U34" s="16">
        <f>54531-54531</f>
        <v>0</v>
      </c>
      <c r="V34" s="11">
        <f t="shared" si="19"/>
        <v>0</v>
      </c>
      <c r="W34" s="16"/>
      <c r="X34" s="16">
        <f>49386-49386</f>
        <v>0</v>
      </c>
      <c r="Y34" s="16">
        <f>64772-64772</f>
        <v>0</v>
      </c>
      <c r="Z34" s="16">
        <f>7030-7030</f>
        <v>0</v>
      </c>
      <c r="AA34" s="16">
        <f>4016-4016</f>
        <v>0</v>
      </c>
      <c r="AB34" s="16"/>
      <c r="AC34" s="16"/>
      <c r="AD34" s="16"/>
      <c r="AE34" s="11">
        <v>0</v>
      </c>
      <c r="AF34" s="11">
        <f t="shared" si="20"/>
        <v>437</v>
      </c>
      <c r="AG34" s="11">
        <v>0</v>
      </c>
      <c r="AH34" s="16"/>
      <c r="AI34" s="16">
        <f>10330-10330</f>
        <v>0</v>
      </c>
      <c r="AJ34" s="16">
        <f>251288-251288</f>
        <v>0</v>
      </c>
      <c r="AK34" s="16"/>
      <c r="AL34" s="16">
        <f>3038-3038</f>
        <v>0</v>
      </c>
      <c r="AM34" s="16"/>
      <c r="AN34" s="16">
        <f>96-96</f>
        <v>0</v>
      </c>
      <c r="AO34" s="16"/>
      <c r="AP34" s="16">
        <f>16878-16441</f>
        <v>437</v>
      </c>
      <c r="AQ34" s="16"/>
      <c r="AR34" s="16"/>
      <c r="AS34" s="16"/>
      <c r="AT34" s="16">
        <f>61654-61654</f>
        <v>0</v>
      </c>
      <c r="AU34" s="16"/>
      <c r="AV34" s="16"/>
      <c r="AW34" s="16"/>
      <c r="AX34" s="16"/>
      <c r="AY34" s="16"/>
      <c r="AZ34" s="16"/>
      <c r="BA34" s="16"/>
      <c r="BB34" s="16">
        <f>4764-4764</f>
        <v>0</v>
      </c>
      <c r="BC34" s="11">
        <f t="shared" si="21"/>
        <v>0</v>
      </c>
      <c r="BD34" s="11">
        <f t="shared" si="22"/>
        <v>0</v>
      </c>
      <c r="BE34" s="11">
        <v>0</v>
      </c>
      <c r="BF34" s="11">
        <v>0</v>
      </c>
      <c r="BG34" s="11">
        <v>0</v>
      </c>
      <c r="BH34" s="11">
        <f t="shared" si="6"/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f t="shared" si="7"/>
        <v>0</v>
      </c>
      <c r="BO34" s="11">
        <v>0</v>
      </c>
      <c r="BP34" s="11">
        <f t="shared" si="8"/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6">
        <v>0</v>
      </c>
      <c r="CA34" s="11">
        <v>0</v>
      </c>
      <c r="CB34" s="11">
        <f t="shared" si="23"/>
        <v>0</v>
      </c>
      <c r="CC34" s="11">
        <f t="shared" si="24"/>
        <v>0</v>
      </c>
      <c r="CD34" s="11">
        <f t="shared" si="9"/>
        <v>0</v>
      </c>
      <c r="CE34" s="11">
        <v>0</v>
      </c>
      <c r="CF34" s="16">
        <f>38454-38454</f>
        <v>0</v>
      </c>
      <c r="CG34" s="11">
        <f t="shared" si="25"/>
        <v>0</v>
      </c>
      <c r="CH34" s="11">
        <v>0</v>
      </c>
      <c r="CI34" s="11">
        <v>0</v>
      </c>
      <c r="CJ34" s="11">
        <v>0</v>
      </c>
      <c r="CK34" s="11">
        <v>0</v>
      </c>
      <c r="CL34" s="11">
        <f t="shared" si="26"/>
        <v>0</v>
      </c>
      <c r="CM34" s="11">
        <v>0</v>
      </c>
      <c r="CN34" s="11">
        <v>0</v>
      </c>
      <c r="CO34" s="11">
        <v>0</v>
      </c>
      <c r="CP34" s="11"/>
      <c r="CQ34" s="11">
        <v>0</v>
      </c>
      <c r="CR34" s="11">
        <v>0</v>
      </c>
      <c r="CS34" s="11">
        <v>0</v>
      </c>
      <c r="CT34" s="11">
        <v>0</v>
      </c>
      <c r="CU34" s="11">
        <f t="shared" si="10"/>
        <v>0</v>
      </c>
      <c r="CV34" s="11">
        <f t="shared" si="11"/>
        <v>0</v>
      </c>
      <c r="CW34" s="11">
        <v>0</v>
      </c>
      <c r="CX34" s="12">
        <v>0</v>
      </c>
    </row>
    <row r="35" spans="1:102" ht="31.5" x14ac:dyDescent="0.25">
      <c r="A35" s="13" t="s">
        <v>1</v>
      </c>
      <c r="B35" s="14" t="s">
        <v>1</v>
      </c>
      <c r="C35" s="14" t="s">
        <v>119</v>
      </c>
      <c r="D35" s="15" t="s">
        <v>120</v>
      </c>
      <c r="E35" s="10">
        <f t="shared" si="16"/>
        <v>2100094</v>
      </c>
      <c r="F35" s="11">
        <f t="shared" si="17"/>
        <v>2087156</v>
      </c>
      <c r="G35" s="11">
        <f t="shared" si="18"/>
        <v>2082555</v>
      </c>
      <c r="H35" s="16">
        <f>1384209+84392+73825</f>
        <v>1542426</v>
      </c>
      <c r="I35" s="16">
        <f>333920+15608+18456</f>
        <v>367984</v>
      </c>
      <c r="J35" s="11">
        <f t="shared" si="4"/>
        <v>26206</v>
      </c>
      <c r="K35" s="16"/>
      <c r="L35" s="16"/>
      <c r="M35" s="16"/>
      <c r="N35" s="16"/>
      <c r="O35" s="16">
        <v>20089</v>
      </c>
      <c r="P35" s="16">
        <v>6117</v>
      </c>
      <c r="Q35" s="11">
        <f t="shared" si="5"/>
        <v>0</v>
      </c>
      <c r="R35" s="16"/>
      <c r="S35" s="16"/>
      <c r="T35" s="11">
        <v>0</v>
      </c>
      <c r="U35" s="16">
        <v>28104</v>
      </c>
      <c r="V35" s="11">
        <f t="shared" si="19"/>
        <v>41368</v>
      </c>
      <c r="W35" s="16"/>
      <c r="X35" s="16">
        <v>27522</v>
      </c>
      <c r="Y35" s="16">
        <v>8274</v>
      </c>
      <c r="Z35" s="16">
        <v>2953</v>
      </c>
      <c r="AA35" s="16">
        <v>2619</v>
      </c>
      <c r="AB35" s="16"/>
      <c r="AC35" s="16"/>
      <c r="AD35" s="16"/>
      <c r="AE35" s="11">
        <v>0</v>
      </c>
      <c r="AF35" s="11">
        <f t="shared" si="20"/>
        <v>76467</v>
      </c>
      <c r="AG35" s="11">
        <v>0</v>
      </c>
      <c r="AH35" s="16"/>
      <c r="AI35" s="16">
        <v>2555</v>
      </c>
      <c r="AJ35" s="16"/>
      <c r="AK35" s="16"/>
      <c r="AL35" s="16">
        <v>224</v>
      </c>
      <c r="AM35" s="16"/>
      <c r="AN35" s="16">
        <v>463</v>
      </c>
      <c r="AO35" s="16"/>
      <c r="AP35" s="16">
        <v>8730</v>
      </c>
      <c r="AQ35" s="16"/>
      <c r="AR35" s="16"/>
      <c r="AS35" s="16"/>
      <c r="AT35" s="16">
        <v>64495</v>
      </c>
      <c r="AU35" s="16"/>
      <c r="AV35" s="16"/>
      <c r="AW35" s="16"/>
      <c r="AX35" s="16"/>
      <c r="AY35" s="16"/>
      <c r="AZ35" s="16"/>
      <c r="BA35" s="16"/>
      <c r="BB35" s="16"/>
      <c r="BC35" s="11">
        <f t="shared" si="21"/>
        <v>4601</v>
      </c>
      <c r="BD35" s="11">
        <f t="shared" si="22"/>
        <v>0</v>
      </c>
      <c r="BE35" s="11">
        <v>0</v>
      </c>
      <c r="BF35" s="11">
        <v>0</v>
      </c>
      <c r="BG35" s="11">
        <v>0</v>
      </c>
      <c r="BH35" s="11">
        <f t="shared" si="6"/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f t="shared" si="7"/>
        <v>0</v>
      </c>
      <c r="BO35" s="11">
        <v>0</v>
      </c>
      <c r="BP35" s="11">
        <f t="shared" si="8"/>
        <v>4601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6">
        <v>4601</v>
      </c>
      <c r="CA35" s="11">
        <v>0</v>
      </c>
      <c r="CB35" s="11">
        <f t="shared" si="23"/>
        <v>12938</v>
      </c>
      <c r="CC35" s="11">
        <f t="shared" si="24"/>
        <v>12938</v>
      </c>
      <c r="CD35" s="11">
        <f t="shared" si="9"/>
        <v>12938</v>
      </c>
      <c r="CE35" s="11">
        <v>0</v>
      </c>
      <c r="CF35" s="16">
        <v>12938</v>
      </c>
      <c r="CG35" s="11">
        <f t="shared" si="25"/>
        <v>0</v>
      </c>
      <c r="CH35" s="11">
        <v>0</v>
      </c>
      <c r="CI35" s="11">
        <v>0</v>
      </c>
      <c r="CJ35" s="11">
        <v>0</v>
      </c>
      <c r="CK35" s="11">
        <v>0</v>
      </c>
      <c r="CL35" s="11">
        <f t="shared" si="26"/>
        <v>0</v>
      </c>
      <c r="CM35" s="11">
        <v>0</v>
      </c>
      <c r="CN35" s="11">
        <v>0</v>
      </c>
      <c r="CO35" s="11">
        <v>0</v>
      </c>
      <c r="CP35" s="11"/>
      <c r="CQ35" s="11">
        <v>0</v>
      </c>
      <c r="CR35" s="11">
        <v>0</v>
      </c>
      <c r="CS35" s="11">
        <v>0</v>
      </c>
      <c r="CT35" s="11">
        <v>0</v>
      </c>
      <c r="CU35" s="11">
        <f t="shared" si="10"/>
        <v>0</v>
      </c>
      <c r="CV35" s="11">
        <f t="shared" si="11"/>
        <v>0</v>
      </c>
      <c r="CW35" s="11">
        <v>0</v>
      </c>
      <c r="CX35" s="12">
        <v>0</v>
      </c>
    </row>
    <row r="36" spans="1:102" ht="31.5" x14ac:dyDescent="0.25">
      <c r="A36" s="13" t="s">
        <v>1</v>
      </c>
      <c r="B36" s="14" t="s">
        <v>1</v>
      </c>
      <c r="C36" s="14" t="s">
        <v>121</v>
      </c>
      <c r="D36" s="15" t="s">
        <v>122</v>
      </c>
      <c r="E36" s="10">
        <f t="shared" si="16"/>
        <v>3900639</v>
      </c>
      <c r="F36" s="11">
        <f t="shared" si="17"/>
        <v>3890414</v>
      </c>
      <c r="G36" s="11">
        <f t="shared" si="18"/>
        <v>3890414</v>
      </c>
      <c r="H36" s="16">
        <f>2770353+147752</f>
        <v>2918105</v>
      </c>
      <c r="I36" s="16">
        <f>679995+36938</f>
        <v>716933</v>
      </c>
      <c r="J36" s="11">
        <f t="shared" si="4"/>
        <v>148199</v>
      </c>
      <c r="K36" s="16"/>
      <c r="L36" s="16"/>
      <c r="M36" s="16"/>
      <c r="N36" s="16"/>
      <c r="O36" s="16">
        <v>131270</v>
      </c>
      <c r="P36" s="16">
        <f>5494+11435</f>
        <v>16929</v>
      </c>
      <c r="Q36" s="11">
        <f t="shared" si="5"/>
        <v>0</v>
      </c>
      <c r="R36" s="16"/>
      <c r="S36" s="16"/>
      <c r="T36" s="11">
        <v>0</v>
      </c>
      <c r="U36" s="16">
        <v>55402</v>
      </c>
      <c r="V36" s="11">
        <f t="shared" si="19"/>
        <v>22047</v>
      </c>
      <c r="W36" s="16"/>
      <c r="X36" s="16">
        <v>2683</v>
      </c>
      <c r="Y36" s="16">
        <v>15859</v>
      </c>
      <c r="Z36" s="16">
        <v>1310</v>
      </c>
      <c r="AA36" s="16">
        <f>2119+76</f>
        <v>2195</v>
      </c>
      <c r="AB36" s="16"/>
      <c r="AC36" s="16"/>
      <c r="AD36" s="16"/>
      <c r="AE36" s="11">
        <v>0</v>
      </c>
      <c r="AF36" s="11">
        <f t="shared" si="20"/>
        <v>29728</v>
      </c>
      <c r="AG36" s="11">
        <v>0</v>
      </c>
      <c r="AH36" s="16"/>
      <c r="AI36" s="16">
        <f>0+1542</f>
        <v>1542</v>
      </c>
      <c r="AJ36" s="16">
        <f>0+6000</f>
        <v>6000</v>
      </c>
      <c r="AK36" s="16"/>
      <c r="AL36" s="16"/>
      <c r="AM36" s="16"/>
      <c r="AN36" s="16">
        <f>0+9000</f>
        <v>9000</v>
      </c>
      <c r="AO36" s="16"/>
      <c r="AP36" s="16">
        <v>8730</v>
      </c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>
        <v>4456</v>
      </c>
      <c r="BC36" s="11">
        <f t="shared" si="21"/>
        <v>0</v>
      </c>
      <c r="BD36" s="11">
        <f t="shared" si="22"/>
        <v>0</v>
      </c>
      <c r="BE36" s="11">
        <v>0</v>
      </c>
      <c r="BF36" s="11">
        <v>0</v>
      </c>
      <c r="BG36" s="11">
        <v>0</v>
      </c>
      <c r="BH36" s="11">
        <f t="shared" si="6"/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f t="shared" si="7"/>
        <v>0</v>
      </c>
      <c r="BO36" s="11">
        <v>0</v>
      </c>
      <c r="BP36" s="11">
        <f t="shared" si="8"/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6">
        <v>0</v>
      </c>
      <c r="CA36" s="11">
        <v>0</v>
      </c>
      <c r="CB36" s="11">
        <f t="shared" si="23"/>
        <v>10225</v>
      </c>
      <c r="CC36" s="11">
        <f t="shared" si="24"/>
        <v>10225</v>
      </c>
      <c r="CD36" s="11">
        <f t="shared" si="9"/>
        <v>10225</v>
      </c>
      <c r="CE36" s="11">
        <v>0</v>
      </c>
      <c r="CF36" s="16">
        <f>0+10225</f>
        <v>10225</v>
      </c>
      <c r="CG36" s="11">
        <f t="shared" si="25"/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f t="shared" si="26"/>
        <v>0</v>
      </c>
      <c r="CM36" s="11">
        <v>0</v>
      </c>
      <c r="CN36" s="11">
        <v>0</v>
      </c>
      <c r="CO36" s="11">
        <v>0</v>
      </c>
      <c r="CP36" s="11"/>
      <c r="CQ36" s="11">
        <v>0</v>
      </c>
      <c r="CR36" s="11">
        <v>0</v>
      </c>
      <c r="CS36" s="11">
        <v>0</v>
      </c>
      <c r="CT36" s="11">
        <v>0</v>
      </c>
      <c r="CU36" s="11">
        <f t="shared" si="10"/>
        <v>0</v>
      </c>
      <c r="CV36" s="11">
        <f t="shared" si="11"/>
        <v>0</v>
      </c>
      <c r="CW36" s="11">
        <v>0</v>
      </c>
      <c r="CX36" s="12">
        <v>0</v>
      </c>
    </row>
    <row r="37" spans="1:102" ht="31.5" x14ac:dyDescent="0.25">
      <c r="A37" s="13" t="s">
        <v>1</v>
      </c>
      <c r="B37" s="14" t="s">
        <v>1</v>
      </c>
      <c r="C37" s="14" t="s">
        <v>123</v>
      </c>
      <c r="D37" s="15" t="s">
        <v>124</v>
      </c>
      <c r="E37" s="10">
        <f t="shared" si="16"/>
        <v>1005801</v>
      </c>
      <c r="F37" s="11">
        <f t="shared" si="17"/>
        <v>971613</v>
      </c>
      <c r="G37" s="11">
        <f t="shared" si="18"/>
        <v>967012</v>
      </c>
      <c r="H37" s="16">
        <f>645800+34443</f>
        <v>680243</v>
      </c>
      <c r="I37" s="16">
        <f>152523+8611</f>
        <v>161134</v>
      </c>
      <c r="J37" s="11">
        <f t="shared" si="4"/>
        <v>82800</v>
      </c>
      <c r="K37" s="16"/>
      <c r="L37" s="16"/>
      <c r="M37" s="16"/>
      <c r="N37" s="16"/>
      <c r="O37" s="16">
        <v>69300</v>
      </c>
      <c r="P37" s="16">
        <v>13500</v>
      </c>
      <c r="Q37" s="11">
        <f t="shared" si="5"/>
        <v>0</v>
      </c>
      <c r="R37" s="16"/>
      <c r="S37" s="16"/>
      <c r="T37" s="11">
        <v>0</v>
      </c>
      <c r="U37" s="16">
        <v>22942</v>
      </c>
      <c r="V37" s="11">
        <f t="shared" si="19"/>
        <v>10177</v>
      </c>
      <c r="W37" s="16"/>
      <c r="X37" s="16">
        <v>5240</v>
      </c>
      <c r="Y37" s="16">
        <v>3670</v>
      </c>
      <c r="Z37" s="16">
        <v>742</v>
      </c>
      <c r="AA37" s="16">
        <v>525</v>
      </c>
      <c r="AB37" s="16"/>
      <c r="AC37" s="16"/>
      <c r="AD37" s="16"/>
      <c r="AE37" s="11">
        <v>0</v>
      </c>
      <c r="AF37" s="11">
        <f t="shared" si="20"/>
        <v>9716</v>
      </c>
      <c r="AG37" s="11">
        <v>0</v>
      </c>
      <c r="AH37" s="16"/>
      <c r="AI37" s="16">
        <v>705</v>
      </c>
      <c r="AJ37" s="16"/>
      <c r="AK37" s="16"/>
      <c r="AL37" s="16">
        <v>281</v>
      </c>
      <c r="AM37" s="16"/>
      <c r="AN37" s="16"/>
      <c r="AO37" s="16"/>
      <c r="AP37" s="16">
        <v>8730</v>
      </c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1">
        <f t="shared" si="21"/>
        <v>4601</v>
      </c>
      <c r="BD37" s="11">
        <f t="shared" si="22"/>
        <v>0</v>
      </c>
      <c r="BE37" s="11">
        <v>0</v>
      </c>
      <c r="BF37" s="11">
        <v>0</v>
      </c>
      <c r="BG37" s="11">
        <v>0</v>
      </c>
      <c r="BH37" s="11">
        <f t="shared" si="6"/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f t="shared" si="7"/>
        <v>0</v>
      </c>
      <c r="BO37" s="11">
        <v>0</v>
      </c>
      <c r="BP37" s="11">
        <f t="shared" si="8"/>
        <v>4601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  <c r="BZ37" s="16">
        <v>4601</v>
      </c>
      <c r="CA37" s="11">
        <v>0</v>
      </c>
      <c r="CB37" s="11">
        <f t="shared" si="23"/>
        <v>34188</v>
      </c>
      <c r="CC37" s="11">
        <f t="shared" si="24"/>
        <v>34188</v>
      </c>
      <c r="CD37" s="11">
        <f t="shared" si="9"/>
        <v>34188</v>
      </c>
      <c r="CE37" s="11">
        <v>0</v>
      </c>
      <c r="CF37" s="16">
        <v>34188</v>
      </c>
      <c r="CG37" s="11">
        <f t="shared" si="25"/>
        <v>0</v>
      </c>
      <c r="CH37" s="11">
        <v>0</v>
      </c>
      <c r="CI37" s="11">
        <v>0</v>
      </c>
      <c r="CJ37" s="11">
        <v>0</v>
      </c>
      <c r="CK37" s="11">
        <v>0</v>
      </c>
      <c r="CL37" s="11">
        <f t="shared" si="26"/>
        <v>0</v>
      </c>
      <c r="CM37" s="11">
        <v>0</v>
      </c>
      <c r="CN37" s="11">
        <v>0</v>
      </c>
      <c r="CO37" s="11">
        <v>0</v>
      </c>
      <c r="CP37" s="11"/>
      <c r="CQ37" s="11">
        <v>0</v>
      </c>
      <c r="CR37" s="11">
        <v>0</v>
      </c>
      <c r="CS37" s="11">
        <v>0</v>
      </c>
      <c r="CT37" s="11">
        <v>0</v>
      </c>
      <c r="CU37" s="11">
        <f t="shared" si="10"/>
        <v>0</v>
      </c>
      <c r="CV37" s="11">
        <f t="shared" si="11"/>
        <v>0</v>
      </c>
      <c r="CW37" s="11">
        <v>0</v>
      </c>
      <c r="CX37" s="12">
        <v>0</v>
      </c>
    </row>
    <row r="38" spans="1:102" ht="15.75" x14ac:dyDescent="0.25">
      <c r="A38" s="13" t="s">
        <v>1</v>
      </c>
      <c r="B38" s="14" t="s">
        <v>1</v>
      </c>
      <c r="C38" s="14" t="s">
        <v>125</v>
      </c>
      <c r="D38" s="15" t="s">
        <v>126</v>
      </c>
      <c r="E38" s="10">
        <f t="shared" si="16"/>
        <v>14878863</v>
      </c>
      <c r="F38" s="11">
        <f t="shared" si="17"/>
        <v>13236463</v>
      </c>
      <c r="G38" s="11">
        <f t="shared" si="18"/>
        <v>13030161</v>
      </c>
      <c r="H38" s="16">
        <f>9010147+240271</f>
        <v>9250418</v>
      </c>
      <c r="I38" s="16">
        <f>1509958+60068</f>
        <v>1570026</v>
      </c>
      <c r="J38" s="11">
        <f t="shared" si="4"/>
        <v>682899</v>
      </c>
      <c r="K38" s="16"/>
      <c r="L38" s="16">
        <v>122719</v>
      </c>
      <c r="M38" s="16"/>
      <c r="N38" s="16"/>
      <c r="O38" s="16">
        <v>218979</v>
      </c>
      <c r="P38" s="16">
        <v>341201</v>
      </c>
      <c r="Q38" s="11">
        <f t="shared" si="5"/>
        <v>29218</v>
      </c>
      <c r="R38" s="16"/>
      <c r="S38" s="16">
        <v>29218</v>
      </c>
      <c r="T38" s="11">
        <v>0</v>
      </c>
      <c r="U38" s="16">
        <v>628344</v>
      </c>
      <c r="V38" s="11">
        <f t="shared" si="19"/>
        <v>394301</v>
      </c>
      <c r="W38" s="16">
        <v>101992</v>
      </c>
      <c r="X38" s="16"/>
      <c r="Y38" s="16">
        <v>190845</v>
      </c>
      <c r="Z38" s="16">
        <v>21687</v>
      </c>
      <c r="AA38" s="16">
        <v>13352</v>
      </c>
      <c r="AB38" s="16">
        <v>52968</v>
      </c>
      <c r="AC38" s="16"/>
      <c r="AD38" s="16">
        <v>13457</v>
      </c>
      <c r="AE38" s="11"/>
      <c r="AF38" s="11">
        <f t="shared" si="20"/>
        <v>474955</v>
      </c>
      <c r="AG38" s="11">
        <v>0</v>
      </c>
      <c r="AH38" s="16"/>
      <c r="AI38" s="16">
        <v>19531</v>
      </c>
      <c r="AJ38" s="16">
        <v>74603</v>
      </c>
      <c r="AK38" s="16"/>
      <c r="AL38" s="16">
        <v>5866</v>
      </c>
      <c r="AM38" s="16">
        <v>50000</v>
      </c>
      <c r="AN38" s="16">
        <v>335</v>
      </c>
      <c r="AO38" s="16">
        <v>50000</v>
      </c>
      <c r="AP38" s="16">
        <v>22407</v>
      </c>
      <c r="AQ38" s="16"/>
      <c r="AR38" s="16"/>
      <c r="AS38" s="16"/>
      <c r="AT38" s="16"/>
      <c r="AU38" s="16"/>
      <c r="AV38" s="16"/>
      <c r="AW38" s="16"/>
      <c r="AX38" s="16"/>
      <c r="AY38" s="16">
        <v>109048</v>
      </c>
      <c r="AZ38" s="16"/>
      <c r="BA38" s="16"/>
      <c r="BB38" s="16">
        <v>143165</v>
      </c>
      <c r="BC38" s="11">
        <f t="shared" si="21"/>
        <v>206302</v>
      </c>
      <c r="BD38" s="11">
        <f t="shared" si="22"/>
        <v>0</v>
      </c>
      <c r="BE38" s="11">
        <v>0</v>
      </c>
      <c r="BF38" s="11">
        <v>0</v>
      </c>
      <c r="BG38" s="11">
        <v>0</v>
      </c>
      <c r="BH38" s="11">
        <f t="shared" si="6"/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f t="shared" si="7"/>
        <v>0</v>
      </c>
      <c r="BO38" s="11">
        <v>0</v>
      </c>
      <c r="BP38" s="11">
        <f t="shared" si="8"/>
        <v>206302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6">
        <v>206302</v>
      </c>
      <c r="CA38" s="11">
        <v>0</v>
      </c>
      <c r="CB38" s="11">
        <f t="shared" si="23"/>
        <v>1642400</v>
      </c>
      <c r="CC38" s="11">
        <f t="shared" si="24"/>
        <v>1642400</v>
      </c>
      <c r="CD38" s="11">
        <f t="shared" si="9"/>
        <v>180203</v>
      </c>
      <c r="CE38" s="11">
        <v>0</v>
      </c>
      <c r="CF38" s="16">
        <v>180203</v>
      </c>
      <c r="CG38" s="11">
        <f t="shared" si="25"/>
        <v>1460000</v>
      </c>
      <c r="CH38" s="11">
        <v>0</v>
      </c>
      <c r="CI38" s="11">
        <v>0</v>
      </c>
      <c r="CJ38" s="17">
        <v>1460000</v>
      </c>
      <c r="CK38" s="17"/>
      <c r="CL38" s="11">
        <f t="shared" si="26"/>
        <v>2197</v>
      </c>
      <c r="CM38" s="11">
        <v>0</v>
      </c>
      <c r="CN38" s="16"/>
      <c r="CO38" s="11">
        <v>2197</v>
      </c>
      <c r="CP38" s="11"/>
      <c r="CQ38" s="11">
        <v>0</v>
      </c>
      <c r="CR38" s="11">
        <v>0</v>
      </c>
      <c r="CS38" s="11">
        <v>0</v>
      </c>
      <c r="CT38" s="11">
        <v>0</v>
      </c>
      <c r="CU38" s="11">
        <f t="shared" si="10"/>
        <v>0</v>
      </c>
      <c r="CV38" s="11">
        <f t="shared" si="11"/>
        <v>0</v>
      </c>
      <c r="CW38" s="11">
        <v>0</v>
      </c>
      <c r="CX38" s="12">
        <v>0</v>
      </c>
    </row>
    <row r="39" spans="1:102" ht="15.75" x14ac:dyDescent="0.25">
      <c r="A39" s="13" t="s">
        <v>1</v>
      </c>
      <c r="B39" s="14" t="s">
        <v>1</v>
      </c>
      <c r="C39" s="14" t="s">
        <v>127</v>
      </c>
      <c r="D39" s="15" t="s">
        <v>128</v>
      </c>
      <c r="E39" s="10">
        <f t="shared" si="16"/>
        <v>2269986</v>
      </c>
      <c r="F39" s="11">
        <f t="shared" si="17"/>
        <v>2264031</v>
      </c>
      <c r="G39" s="11">
        <f t="shared" si="18"/>
        <v>2261347</v>
      </c>
      <c r="H39" s="16">
        <f>1572130+83847</f>
        <v>1655977</v>
      </c>
      <c r="I39" s="16">
        <f>377582+20962</f>
        <v>398544</v>
      </c>
      <c r="J39" s="11">
        <f t="shared" ref="J39" si="27">SUM(K39:P39)</f>
        <v>64280</v>
      </c>
      <c r="K39" s="16"/>
      <c r="L39" s="16"/>
      <c r="M39" s="16"/>
      <c r="N39" s="16"/>
      <c r="O39" s="16">
        <v>13820</v>
      </c>
      <c r="P39" s="16">
        <v>50460</v>
      </c>
      <c r="Q39" s="11">
        <f t="shared" si="5"/>
        <v>15079</v>
      </c>
      <c r="R39" s="16">
        <v>370</v>
      </c>
      <c r="S39" s="16">
        <v>14709</v>
      </c>
      <c r="T39" s="11">
        <v>0</v>
      </c>
      <c r="U39" s="16">
        <v>56934</v>
      </c>
      <c r="V39" s="11">
        <f t="shared" ref="V39" si="28">SUM(W39:AD39)</f>
        <v>24752</v>
      </c>
      <c r="W39" s="16">
        <v>76</v>
      </c>
      <c r="X39" s="16">
        <v>10997</v>
      </c>
      <c r="Y39" s="16">
        <v>11296</v>
      </c>
      <c r="Z39" s="16">
        <v>2383</v>
      </c>
      <c r="AA39" s="16"/>
      <c r="AB39" s="16"/>
      <c r="AC39" s="16"/>
      <c r="AD39" s="16"/>
      <c r="AE39" s="11">
        <v>0</v>
      </c>
      <c r="AF39" s="11">
        <f t="shared" ref="AF39" si="29">SUM(AG39:BB39)</f>
        <v>45781</v>
      </c>
      <c r="AG39" s="11">
        <v>0</v>
      </c>
      <c r="AH39" s="16"/>
      <c r="AI39" s="16">
        <v>5264</v>
      </c>
      <c r="AJ39" s="16"/>
      <c r="AK39" s="16"/>
      <c r="AL39" s="16">
        <v>354</v>
      </c>
      <c r="AM39" s="16"/>
      <c r="AN39" s="16">
        <v>120</v>
      </c>
      <c r="AO39" s="16">
        <v>15200</v>
      </c>
      <c r="AP39" s="16">
        <v>5238</v>
      </c>
      <c r="AQ39" s="16"/>
      <c r="AR39" s="16"/>
      <c r="AS39" s="16"/>
      <c r="AT39" s="16">
        <v>18257</v>
      </c>
      <c r="AU39" s="16">
        <v>296</v>
      </c>
      <c r="AV39" s="16"/>
      <c r="AW39" s="16"/>
      <c r="AX39" s="16"/>
      <c r="AY39" s="16"/>
      <c r="AZ39" s="16"/>
      <c r="BA39" s="16"/>
      <c r="BB39" s="16">
        <v>1052</v>
      </c>
      <c r="BC39" s="11">
        <f t="shared" si="21"/>
        <v>2684</v>
      </c>
      <c r="BD39" s="11">
        <f t="shared" si="22"/>
        <v>0</v>
      </c>
      <c r="BE39" s="11">
        <v>0</v>
      </c>
      <c r="BF39" s="11">
        <v>0</v>
      </c>
      <c r="BG39" s="11">
        <v>0</v>
      </c>
      <c r="BH39" s="11">
        <f t="shared" si="6"/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f t="shared" si="7"/>
        <v>0</v>
      </c>
      <c r="BO39" s="11">
        <v>0</v>
      </c>
      <c r="BP39" s="11">
        <f t="shared" si="8"/>
        <v>2684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  <c r="BZ39" s="16">
        <v>2684</v>
      </c>
      <c r="CA39" s="11">
        <v>0</v>
      </c>
      <c r="CB39" s="11">
        <f t="shared" si="23"/>
        <v>5955</v>
      </c>
      <c r="CC39" s="11">
        <f t="shared" si="24"/>
        <v>5955</v>
      </c>
      <c r="CD39" s="11">
        <f t="shared" ref="CD39" si="30">SUM(CE39:CF39)</f>
        <v>5955</v>
      </c>
      <c r="CE39" s="11">
        <v>0</v>
      </c>
      <c r="CF39" s="16">
        <v>5955</v>
      </c>
      <c r="CG39" s="11">
        <f t="shared" si="25"/>
        <v>0</v>
      </c>
      <c r="CH39" s="11">
        <v>0</v>
      </c>
      <c r="CI39" s="11">
        <v>0</v>
      </c>
      <c r="CJ39" s="11">
        <v>0</v>
      </c>
      <c r="CK39" s="11">
        <v>0</v>
      </c>
      <c r="CL39" s="11">
        <f t="shared" si="26"/>
        <v>0</v>
      </c>
      <c r="CM39" s="11">
        <v>0</v>
      </c>
      <c r="CN39" s="11">
        <v>0</v>
      </c>
      <c r="CO39" s="11">
        <v>0</v>
      </c>
      <c r="CP39" s="11"/>
      <c r="CQ39" s="11">
        <v>0</v>
      </c>
      <c r="CR39" s="11">
        <v>0</v>
      </c>
      <c r="CS39" s="11">
        <v>0</v>
      </c>
      <c r="CT39" s="11">
        <v>0</v>
      </c>
      <c r="CU39" s="11">
        <f t="shared" ref="CU39" si="31">SUM(CV39)</f>
        <v>0</v>
      </c>
      <c r="CV39" s="11">
        <f t="shared" si="11"/>
        <v>0</v>
      </c>
      <c r="CW39" s="11">
        <v>0</v>
      </c>
      <c r="CX39" s="12">
        <v>0</v>
      </c>
    </row>
    <row r="40" spans="1:102" ht="31.5" x14ac:dyDescent="0.25">
      <c r="A40" s="13" t="s">
        <v>1</v>
      </c>
      <c r="B40" s="14" t="s">
        <v>1</v>
      </c>
      <c r="C40" s="14" t="s">
        <v>129</v>
      </c>
      <c r="D40" s="15" t="s">
        <v>130</v>
      </c>
      <c r="E40" s="10">
        <f t="shared" si="16"/>
        <v>5558259</v>
      </c>
      <c r="F40" s="11">
        <f t="shared" si="17"/>
        <v>5500942</v>
      </c>
      <c r="G40" s="11">
        <f t="shared" si="18"/>
        <v>5497172</v>
      </c>
      <c r="H40" s="16">
        <f>0+3620817</f>
        <v>3620817</v>
      </c>
      <c r="I40" s="16">
        <f>0+849920</f>
        <v>849920</v>
      </c>
      <c r="J40" s="11">
        <f t="shared" si="4"/>
        <v>312557</v>
      </c>
      <c r="K40" s="16"/>
      <c r="L40" s="16"/>
      <c r="M40" s="16"/>
      <c r="N40" s="16"/>
      <c r="O40" s="16">
        <f>0+112097</f>
        <v>112097</v>
      </c>
      <c r="P40" s="16">
        <f>0+22992+177468</f>
        <v>200460</v>
      </c>
      <c r="Q40" s="11">
        <f t="shared" si="5"/>
        <v>4920</v>
      </c>
      <c r="R40" s="16"/>
      <c r="S40" s="16">
        <f>0+4920</f>
        <v>4920</v>
      </c>
      <c r="T40" s="11">
        <v>0</v>
      </c>
      <c r="U40" s="16">
        <f>0+93999</f>
        <v>93999</v>
      </c>
      <c r="V40" s="11">
        <f t="shared" si="19"/>
        <v>209524</v>
      </c>
      <c r="W40" s="16"/>
      <c r="X40" s="16">
        <f>0+100966</f>
        <v>100966</v>
      </c>
      <c r="Y40" s="16">
        <f>0+93750</f>
        <v>93750</v>
      </c>
      <c r="Z40" s="16">
        <f>0+10287</f>
        <v>10287</v>
      </c>
      <c r="AA40" s="16">
        <f>0+4521</f>
        <v>4521</v>
      </c>
      <c r="AB40" s="16"/>
      <c r="AC40" s="16"/>
      <c r="AD40" s="16"/>
      <c r="AE40" s="11">
        <v>0</v>
      </c>
      <c r="AF40" s="11">
        <f t="shared" si="20"/>
        <v>405435</v>
      </c>
      <c r="AG40" s="11">
        <v>0</v>
      </c>
      <c r="AH40" s="16"/>
      <c r="AI40" s="16">
        <f>0+15205</f>
        <v>15205</v>
      </c>
      <c r="AJ40" s="16">
        <f>0+30742+251288</f>
        <v>282030</v>
      </c>
      <c r="AK40" s="16">
        <f>0+1591</f>
        <v>1591</v>
      </c>
      <c r="AL40" s="16">
        <f>0+3892</f>
        <v>3892</v>
      </c>
      <c r="AM40" s="16"/>
      <c r="AN40" s="16">
        <f>0+796</f>
        <v>796</v>
      </c>
      <c r="AO40" s="16"/>
      <c r="AP40" s="16">
        <f>0+25171</f>
        <v>25171</v>
      </c>
      <c r="AQ40" s="16">
        <f>0+82</f>
        <v>82</v>
      </c>
      <c r="AR40" s="16"/>
      <c r="AS40" s="16"/>
      <c r="AT40" s="16">
        <f>0+61654</f>
        <v>61654</v>
      </c>
      <c r="AU40" s="16"/>
      <c r="AV40" s="16"/>
      <c r="AW40" s="16"/>
      <c r="AX40" s="16"/>
      <c r="AY40" s="16"/>
      <c r="AZ40" s="16"/>
      <c r="BA40" s="16"/>
      <c r="BB40" s="16">
        <f>0+2000+13014</f>
        <v>15014</v>
      </c>
      <c r="BC40" s="11">
        <f t="shared" si="21"/>
        <v>3770</v>
      </c>
      <c r="BD40" s="11">
        <f t="shared" si="22"/>
        <v>0</v>
      </c>
      <c r="BE40" s="11">
        <v>0</v>
      </c>
      <c r="BF40" s="11">
        <v>0</v>
      </c>
      <c r="BG40" s="11">
        <v>0</v>
      </c>
      <c r="BH40" s="11">
        <f t="shared" si="6"/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f t="shared" si="7"/>
        <v>0</v>
      </c>
      <c r="BO40" s="11">
        <v>0</v>
      </c>
      <c r="BP40" s="11">
        <f t="shared" si="8"/>
        <v>3770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6">
        <f>0+3770</f>
        <v>3770</v>
      </c>
      <c r="CA40" s="11">
        <v>0</v>
      </c>
      <c r="CB40" s="11">
        <f t="shared" si="23"/>
        <v>57317</v>
      </c>
      <c r="CC40" s="11">
        <f t="shared" si="24"/>
        <v>57317</v>
      </c>
      <c r="CD40" s="11">
        <f t="shared" si="9"/>
        <v>57317</v>
      </c>
      <c r="CE40" s="11">
        <v>0</v>
      </c>
      <c r="CF40" s="16">
        <f>0+57317</f>
        <v>57317</v>
      </c>
      <c r="CG40" s="11">
        <f t="shared" si="25"/>
        <v>0</v>
      </c>
      <c r="CH40" s="11">
        <v>0</v>
      </c>
      <c r="CI40" s="11">
        <v>0</v>
      </c>
      <c r="CJ40" s="11">
        <v>0</v>
      </c>
      <c r="CK40" s="11">
        <v>0</v>
      </c>
      <c r="CL40" s="11">
        <f t="shared" si="26"/>
        <v>0</v>
      </c>
      <c r="CM40" s="11">
        <v>0</v>
      </c>
      <c r="CN40" s="11">
        <v>0</v>
      </c>
      <c r="CO40" s="11">
        <v>0</v>
      </c>
      <c r="CP40" s="11"/>
      <c r="CQ40" s="11">
        <v>0</v>
      </c>
      <c r="CR40" s="11">
        <v>0</v>
      </c>
      <c r="CS40" s="11">
        <v>0</v>
      </c>
      <c r="CT40" s="11">
        <v>0</v>
      </c>
      <c r="CU40" s="11">
        <f t="shared" si="10"/>
        <v>0</v>
      </c>
      <c r="CV40" s="11">
        <f t="shared" si="11"/>
        <v>0</v>
      </c>
      <c r="CW40" s="11">
        <v>0</v>
      </c>
      <c r="CX40" s="12">
        <v>0</v>
      </c>
    </row>
    <row r="41" spans="1:102" ht="31.5" x14ac:dyDescent="0.25">
      <c r="A41" s="7"/>
      <c r="B41" s="8" t="s">
        <v>131</v>
      </c>
      <c r="C41" s="8" t="s">
        <v>1</v>
      </c>
      <c r="D41" s="9" t="s">
        <v>132</v>
      </c>
      <c r="E41" s="10">
        <f>SUM(E42)</f>
        <v>31042041</v>
      </c>
      <c r="F41" s="11">
        <f t="shared" ref="F41:BV41" si="32">SUM(F42)</f>
        <v>30549694</v>
      </c>
      <c r="G41" s="11">
        <f t="shared" si="32"/>
        <v>28447294</v>
      </c>
      <c r="H41" s="11">
        <f t="shared" si="32"/>
        <v>21177904</v>
      </c>
      <c r="I41" s="11">
        <f t="shared" si="32"/>
        <v>2011289</v>
      </c>
      <c r="J41" s="11">
        <f t="shared" si="32"/>
        <v>1915072</v>
      </c>
      <c r="K41" s="11">
        <f t="shared" si="32"/>
        <v>0</v>
      </c>
      <c r="L41" s="11">
        <f t="shared" si="32"/>
        <v>1207905</v>
      </c>
      <c r="M41" s="11">
        <f t="shared" si="32"/>
        <v>0</v>
      </c>
      <c r="N41" s="11">
        <f t="shared" si="32"/>
        <v>0</v>
      </c>
      <c r="O41" s="11">
        <f t="shared" si="32"/>
        <v>441050</v>
      </c>
      <c r="P41" s="11">
        <f t="shared" si="32"/>
        <v>266117</v>
      </c>
      <c r="Q41" s="11">
        <f t="shared" si="32"/>
        <v>0</v>
      </c>
      <c r="R41" s="11">
        <f t="shared" si="32"/>
        <v>0</v>
      </c>
      <c r="S41" s="11">
        <f t="shared" si="32"/>
        <v>0</v>
      </c>
      <c r="T41" s="11">
        <f t="shared" si="32"/>
        <v>0</v>
      </c>
      <c r="U41" s="11">
        <f t="shared" si="32"/>
        <v>958097</v>
      </c>
      <c r="V41" s="11">
        <f t="shared" si="32"/>
        <v>718302</v>
      </c>
      <c r="W41" s="11">
        <f t="shared" si="32"/>
        <v>64827</v>
      </c>
      <c r="X41" s="11">
        <f t="shared" si="32"/>
        <v>112344</v>
      </c>
      <c r="Y41" s="11">
        <f t="shared" si="32"/>
        <v>153067</v>
      </c>
      <c r="Z41" s="11">
        <f t="shared" si="32"/>
        <v>23223</v>
      </c>
      <c r="AA41" s="11">
        <f t="shared" si="32"/>
        <v>7803</v>
      </c>
      <c r="AB41" s="11">
        <f t="shared" si="32"/>
        <v>346125</v>
      </c>
      <c r="AC41" s="11">
        <f t="shared" si="32"/>
        <v>0</v>
      </c>
      <c r="AD41" s="11">
        <f t="shared" si="32"/>
        <v>10913</v>
      </c>
      <c r="AE41" s="11">
        <f t="shared" si="32"/>
        <v>0</v>
      </c>
      <c r="AF41" s="11">
        <f t="shared" si="32"/>
        <v>1666630</v>
      </c>
      <c r="AG41" s="11">
        <f t="shared" si="32"/>
        <v>0</v>
      </c>
      <c r="AH41" s="11">
        <f t="shared" si="32"/>
        <v>0</v>
      </c>
      <c r="AI41" s="11">
        <f t="shared" si="32"/>
        <v>59933</v>
      </c>
      <c r="AJ41" s="11">
        <f t="shared" si="32"/>
        <v>65920</v>
      </c>
      <c r="AK41" s="11">
        <f t="shared" si="32"/>
        <v>0</v>
      </c>
      <c r="AL41" s="11">
        <f t="shared" si="32"/>
        <v>26586</v>
      </c>
      <c r="AM41" s="11">
        <f t="shared" si="32"/>
        <v>50000</v>
      </c>
      <c r="AN41" s="11">
        <f t="shared" si="32"/>
        <v>1694</v>
      </c>
      <c r="AO41" s="11">
        <f t="shared" si="32"/>
        <v>90548</v>
      </c>
      <c r="AP41" s="11">
        <f t="shared" si="32"/>
        <v>0</v>
      </c>
      <c r="AQ41" s="11">
        <f t="shared" si="32"/>
        <v>0</v>
      </c>
      <c r="AR41" s="11">
        <f t="shared" si="32"/>
        <v>0</v>
      </c>
      <c r="AS41" s="11">
        <f t="shared" si="32"/>
        <v>0</v>
      </c>
      <c r="AT41" s="11">
        <f t="shared" si="32"/>
        <v>74756</v>
      </c>
      <c r="AU41" s="11">
        <f t="shared" si="32"/>
        <v>0</v>
      </c>
      <c r="AV41" s="11"/>
      <c r="AW41" s="11"/>
      <c r="AX41" s="11">
        <f t="shared" si="32"/>
        <v>0</v>
      </c>
      <c r="AY41" s="11">
        <f t="shared" si="32"/>
        <v>1257940</v>
      </c>
      <c r="AZ41" s="11">
        <f t="shared" si="32"/>
        <v>0</v>
      </c>
      <c r="BA41" s="11">
        <f t="shared" si="32"/>
        <v>0</v>
      </c>
      <c r="BB41" s="11">
        <f t="shared" si="32"/>
        <v>39253</v>
      </c>
      <c r="BC41" s="11">
        <f t="shared" si="32"/>
        <v>2102400</v>
      </c>
      <c r="BD41" s="11">
        <f t="shared" si="32"/>
        <v>0</v>
      </c>
      <c r="BE41" s="11">
        <f t="shared" si="32"/>
        <v>0</v>
      </c>
      <c r="BF41" s="11">
        <f t="shared" si="32"/>
        <v>0</v>
      </c>
      <c r="BG41" s="11">
        <f t="shared" si="32"/>
        <v>0</v>
      </c>
      <c r="BH41" s="11">
        <f t="shared" si="32"/>
        <v>0</v>
      </c>
      <c r="BI41" s="11">
        <f t="shared" si="32"/>
        <v>0</v>
      </c>
      <c r="BJ41" s="11">
        <f t="shared" si="32"/>
        <v>0</v>
      </c>
      <c r="BK41" s="11">
        <f t="shared" si="32"/>
        <v>0</v>
      </c>
      <c r="BL41" s="11">
        <f t="shared" si="32"/>
        <v>0</v>
      </c>
      <c r="BM41" s="11">
        <f t="shared" si="32"/>
        <v>0</v>
      </c>
      <c r="BN41" s="11">
        <f t="shared" si="32"/>
        <v>0</v>
      </c>
      <c r="BO41" s="11">
        <f t="shared" si="32"/>
        <v>0</v>
      </c>
      <c r="BP41" s="11">
        <f t="shared" si="32"/>
        <v>2102400</v>
      </c>
      <c r="BQ41" s="11">
        <f t="shared" si="32"/>
        <v>0</v>
      </c>
      <c r="BR41" s="11">
        <f t="shared" si="32"/>
        <v>0</v>
      </c>
      <c r="BS41" s="11">
        <f t="shared" si="32"/>
        <v>0</v>
      </c>
      <c r="BT41" s="11">
        <f t="shared" si="32"/>
        <v>0</v>
      </c>
      <c r="BU41" s="11">
        <f t="shared" si="32"/>
        <v>0</v>
      </c>
      <c r="BV41" s="11">
        <f t="shared" si="32"/>
        <v>0</v>
      </c>
      <c r="BW41" s="11">
        <f t="shared" ref="BW41:CX41" si="33">SUM(BW42)</f>
        <v>0</v>
      </c>
      <c r="BX41" s="11">
        <f t="shared" si="33"/>
        <v>0</v>
      </c>
      <c r="BY41" s="11">
        <f t="shared" si="33"/>
        <v>0</v>
      </c>
      <c r="BZ41" s="11">
        <f t="shared" si="33"/>
        <v>2102400</v>
      </c>
      <c r="CA41" s="11">
        <f t="shared" si="33"/>
        <v>0</v>
      </c>
      <c r="CB41" s="11">
        <f t="shared" si="33"/>
        <v>492347</v>
      </c>
      <c r="CC41" s="11">
        <f t="shared" si="33"/>
        <v>492347</v>
      </c>
      <c r="CD41" s="11">
        <f t="shared" si="33"/>
        <v>412557</v>
      </c>
      <c r="CE41" s="11">
        <f t="shared" si="33"/>
        <v>0</v>
      </c>
      <c r="CF41" s="11">
        <f t="shared" si="33"/>
        <v>412557</v>
      </c>
      <c r="CG41" s="11">
        <f t="shared" si="33"/>
        <v>0</v>
      </c>
      <c r="CH41" s="11">
        <f t="shared" si="33"/>
        <v>0</v>
      </c>
      <c r="CI41" s="11">
        <f t="shared" si="33"/>
        <v>0</v>
      </c>
      <c r="CJ41" s="11">
        <f t="shared" si="33"/>
        <v>0</v>
      </c>
      <c r="CK41" s="11">
        <f t="shared" si="33"/>
        <v>0</v>
      </c>
      <c r="CL41" s="11">
        <f t="shared" si="33"/>
        <v>79790</v>
      </c>
      <c r="CM41" s="11">
        <f t="shared" si="33"/>
        <v>0</v>
      </c>
      <c r="CN41" s="11">
        <f t="shared" si="33"/>
        <v>0</v>
      </c>
      <c r="CO41" s="11">
        <f t="shared" si="33"/>
        <v>79790</v>
      </c>
      <c r="CP41" s="11"/>
      <c r="CQ41" s="11">
        <f t="shared" si="33"/>
        <v>0</v>
      </c>
      <c r="CR41" s="11">
        <f t="shared" si="33"/>
        <v>0</v>
      </c>
      <c r="CS41" s="11">
        <f t="shared" si="33"/>
        <v>0</v>
      </c>
      <c r="CT41" s="11">
        <f t="shared" si="33"/>
        <v>0</v>
      </c>
      <c r="CU41" s="11">
        <f t="shared" si="33"/>
        <v>0</v>
      </c>
      <c r="CV41" s="11">
        <f t="shared" si="33"/>
        <v>0</v>
      </c>
      <c r="CW41" s="11">
        <f t="shared" si="33"/>
        <v>0</v>
      </c>
      <c r="CX41" s="12">
        <f t="shared" si="33"/>
        <v>0</v>
      </c>
    </row>
    <row r="42" spans="1:102" ht="31.5" x14ac:dyDescent="0.25">
      <c r="A42" s="13" t="s">
        <v>1</v>
      </c>
      <c r="B42" s="14" t="s">
        <v>1</v>
      </c>
      <c r="C42" s="14" t="s">
        <v>125</v>
      </c>
      <c r="D42" s="15" t="s">
        <v>133</v>
      </c>
      <c r="E42" s="10">
        <f>SUM(F42+CB42+CU42)</f>
        <v>31042041</v>
      </c>
      <c r="F42" s="11">
        <f>SUM(G42+BC42)</f>
        <v>30549694</v>
      </c>
      <c r="G42" s="11">
        <f>SUM(H42+I42+J42+Q42+T42+U42+V42+AF42+AE42)</f>
        <v>28447294</v>
      </c>
      <c r="H42" s="16">
        <f>20627829+550075</f>
        <v>21177904</v>
      </c>
      <c r="I42" s="16">
        <f>1873770+137519</f>
        <v>2011289</v>
      </c>
      <c r="J42" s="11">
        <f t="shared" si="4"/>
        <v>1915072</v>
      </c>
      <c r="K42" s="11">
        <v>0</v>
      </c>
      <c r="L42" s="11">
        <v>1207905</v>
      </c>
      <c r="M42" s="11">
        <v>0</v>
      </c>
      <c r="N42" s="11">
        <v>0</v>
      </c>
      <c r="O42" s="11">
        <v>441050</v>
      </c>
      <c r="P42" s="11">
        <v>266117</v>
      </c>
      <c r="Q42" s="11">
        <f t="shared" si="5"/>
        <v>0</v>
      </c>
      <c r="R42" s="11">
        <v>0</v>
      </c>
      <c r="S42" s="11"/>
      <c r="T42" s="11">
        <v>0</v>
      </c>
      <c r="U42" s="11">
        <v>958097</v>
      </c>
      <c r="V42" s="11">
        <f>SUM(W42:AD42)</f>
        <v>718302</v>
      </c>
      <c r="W42" s="16">
        <v>64827</v>
      </c>
      <c r="X42" s="16">
        <v>112344</v>
      </c>
      <c r="Y42" s="16">
        <v>153067</v>
      </c>
      <c r="Z42" s="16">
        <v>23223</v>
      </c>
      <c r="AA42" s="16">
        <v>7803</v>
      </c>
      <c r="AB42" s="16">
        <v>346125</v>
      </c>
      <c r="AC42" s="16"/>
      <c r="AD42" s="16">
        <v>10913</v>
      </c>
      <c r="AE42" s="11"/>
      <c r="AF42" s="11">
        <f>SUM(AG42:BB42)</f>
        <v>1666630</v>
      </c>
      <c r="AG42" s="11">
        <v>0</v>
      </c>
      <c r="AH42" s="11"/>
      <c r="AI42" s="16">
        <v>59933</v>
      </c>
      <c r="AJ42" s="16">
        <v>65920</v>
      </c>
      <c r="AK42" s="16"/>
      <c r="AL42" s="16">
        <v>26586</v>
      </c>
      <c r="AM42" s="16">
        <v>50000</v>
      </c>
      <c r="AN42" s="16">
        <v>1694</v>
      </c>
      <c r="AO42" s="16">
        <v>90548</v>
      </c>
      <c r="AP42" s="16"/>
      <c r="AQ42" s="16"/>
      <c r="AR42" s="16"/>
      <c r="AS42" s="16"/>
      <c r="AT42" s="16">
        <v>74756</v>
      </c>
      <c r="AU42" s="16"/>
      <c r="AV42" s="16"/>
      <c r="AW42" s="16"/>
      <c r="AX42" s="16"/>
      <c r="AY42" s="16">
        <v>1257940</v>
      </c>
      <c r="AZ42" s="16"/>
      <c r="BA42" s="16"/>
      <c r="BB42" s="16">
        <v>39253</v>
      </c>
      <c r="BC42" s="11">
        <f>SUM(BD42+BH42+BL42+BN42+BP42)</f>
        <v>2102400</v>
      </c>
      <c r="BD42" s="11">
        <f>SUM(BE42:BG42)</f>
        <v>0</v>
      </c>
      <c r="BE42" s="11">
        <v>0</v>
      </c>
      <c r="BF42" s="11">
        <v>0</v>
      </c>
      <c r="BG42" s="11">
        <v>0</v>
      </c>
      <c r="BH42" s="11">
        <f t="shared" si="6"/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f t="shared" si="7"/>
        <v>0</v>
      </c>
      <c r="BO42" s="11">
        <v>0</v>
      </c>
      <c r="BP42" s="11">
        <f t="shared" si="8"/>
        <v>2102400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2102400</v>
      </c>
      <c r="CA42" s="11">
        <v>0</v>
      </c>
      <c r="CB42" s="11">
        <f>SUM(CC42+CT42)</f>
        <v>492347</v>
      </c>
      <c r="CC42" s="11">
        <f>SUM(CD42+CG42+CL42)</f>
        <v>492347</v>
      </c>
      <c r="CD42" s="11">
        <f t="shared" si="9"/>
        <v>412557</v>
      </c>
      <c r="CE42" s="11">
        <v>0</v>
      </c>
      <c r="CF42" s="11">
        <v>412557</v>
      </c>
      <c r="CG42" s="11">
        <f>SUM(CH42:CK42)</f>
        <v>0</v>
      </c>
      <c r="CH42" s="11">
        <v>0</v>
      </c>
      <c r="CI42" s="11">
        <v>0</v>
      </c>
      <c r="CJ42" s="11">
        <v>0</v>
      </c>
      <c r="CK42" s="11">
        <v>0</v>
      </c>
      <c r="CL42" s="11">
        <f>SUM(CM42:CQ42)</f>
        <v>79790</v>
      </c>
      <c r="CM42" s="11">
        <v>0</v>
      </c>
      <c r="CN42" s="11"/>
      <c r="CO42" s="11">
        <v>79790</v>
      </c>
      <c r="CP42" s="11"/>
      <c r="CQ42" s="11">
        <v>0</v>
      </c>
      <c r="CR42" s="11">
        <v>0</v>
      </c>
      <c r="CS42" s="11">
        <v>0</v>
      </c>
      <c r="CT42" s="11">
        <v>0</v>
      </c>
      <c r="CU42" s="11">
        <f t="shared" si="10"/>
        <v>0</v>
      </c>
      <c r="CV42" s="11">
        <f t="shared" si="11"/>
        <v>0</v>
      </c>
      <c r="CW42" s="11">
        <v>0</v>
      </c>
      <c r="CX42" s="12">
        <v>0</v>
      </c>
    </row>
    <row r="43" spans="1:102" ht="31.5" x14ac:dyDescent="0.25">
      <c r="A43" s="7"/>
      <c r="B43" s="8" t="s">
        <v>134</v>
      </c>
      <c r="C43" s="8" t="s">
        <v>1</v>
      </c>
      <c r="D43" s="9" t="s">
        <v>135</v>
      </c>
      <c r="E43" s="10">
        <f t="shared" ref="E43:BS43" si="34">SUM(E44:E48)</f>
        <v>20779240</v>
      </c>
      <c r="F43" s="11">
        <f t="shared" si="34"/>
        <v>19134348</v>
      </c>
      <c r="G43" s="11">
        <f t="shared" si="34"/>
        <v>19131664</v>
      </c>
      <c r="H43" s="11">
        <f t="shared" si="34"/>
        <v>12322945</v>
      </c>
      <c r="I43" s="11">
        <f t="shared" si="34"/>
        <v>2985888</v>
      </c>
      <c r="J43" s="11">
        <f t="shared" si="34"/>
        <v>721787</v>
      </c>
      <c r="K43" s="11">
        <f t="shared" si="34"/>
        <v>0</v>
      </c>
      <c r="L43" s="11">
        <f t="shared" si="34"/>
        <v>0</v>
      </c>
      <c r="M43" s="11">
        <f t="shared" si="34"/>
        <v>0</v>
      </c>
      <c r="N43" s="11">
        <f t="shared" si="34"/>
        <v>0</v>
      </c>
      <c r="O43" s="11">
        <f t="shared" si="34"/>
        <v>359205</v>
      </c>
      <c r="P43" s="11">
        <f t="shared" si="34"/>
        <v>362582</v>
      </c>
      <c r="Q43" s="11">
        <f t="shared" si="34"/>
        <v>726890</v>
      </c>
      <c r="R43" s="11">
        <f t="shared" si="34"/>
        <v>3270</v>
      </c>
      <c r="S43" s="11">
        <f t="shared" si="34"/>
        <v>723620</v>
      </c>
      <c r="T43" s="11">
        <f t="shared" si="34"/>
        <v>0</v>
      </c>
      <c r="U43" s="11">
        <f t="shared" si="34"/>
        <v>444314</v>
      </c>
      <c r="V43" s="11">
        <f t="shared" si="34"/>
        <v>956166</v>
      </c>
      <c r="W43" s="11">
        <f t="shared" si="34"/>
        <v>27038</v>
      </c>
      <c r="X43" s="11">
        <f t="shared" si="34"/>
        <v>95478</v>
      </c>
      <c r="Y43" s="11">
        <f t="shared" si="34"/>
        <v>96927</v>
      </c>
      <c r="Z43" s="11">
        <f t="shared" si="34"/>
        <v>15620</v>
      </c>
      <c r="AA43" s="11">
        <f t="shared" si="34"/>
        <v>16345</v>
      </c>
      <c r="AB43" s="11">
        <f t="shared" si="34"/>
        <v>694824</v>
      </c>
      <c r="AC43" s="11">
        <f t="shared" si="34"/>
        <v>0</v>
      </c>
      <c r="AD43" s="11">
        <f t="shared" si="34"/>
        <v>9934</v>
      </c>
      <c r="AE43" s="11">
        <f t="shared" si="34"/>
        <v>0</v>
      </c>
      <c r="AF43" s="11">
        <f t="shared" si="34"/>
        <v>973674</v>
      </c>
      <c r="AG43" s="11">
        <f t="shared" si="34"/>
        <v>0</v>
      </c>
      <c r="AH43" s="11">
        <f t="shared" si="34"/>
        <v>0</v>
      </c>
      <c r="AI43" s="11">
        <f t="shared" si="34"/>
        <v>77659</v>
      </c>
      <c r="AJ43" s="11">
        <f t="shared" si="34"/>
        <v>157261</v>
      </c>
      <c r="AK43" s="11">
        <f t="shared" si="34"/>
        <v>0</v>
      </c>
      <c r="AL43" s="11">
        <f t="shared" si="34"/>
        <v>27353</v>
      </c>
      <c r="AM43" s="11">
        <f t="shared" si="34"/>
        <v>0</v>
      </c>
      <c r="AN43" s="11">
        <f t="shared" si="34"/>
        <v>3270</v>
      </c>
      <c r="AO43" s="11">
        <f t="shared" si="34"/>
        <v>227300</v>
      </c>
      <c r="AP43" s="11">
        <f t="shared" si="34"/>
        <v>7566</v>
      </c>
      <c r="AQ43" s="11">
        <f t="shared" si="34"/>
        <v>0</v>
      </c>
      <c r="AR43" s="11">
        <f t="shared" si="34"/>
        <v>0</v>
      </c>
      <c r="AS43" s="11">
        <f t="shared" si="34"/>
        <v>0</v>
      </c>
      <c r="AT43" s="11">
        <f t="shared" si="34"/>
        <v>132721</v>
      </c>
      <c r="AU43" s="11">
        <f t="shared" si="34"/>
        <v>0</v>
      </c>
      <c r="AV43" s="11"/>
      <c r="AW43" s="11"/>
      <c r="AX43" s="11">
        <f t="shared" si="34"/>
        <v>0</v>
      </c>
      <c r="AY43" s="11">
        <f t="shared" si="34"/>
        <v>0</v>
      </c>
      <c r="AZ43" s="11">
        <f t="shared" si="34"/>
        <v>0</v>
      </c>
      <c r="BA43" s="11">
        <f t="shared" si="34"/>
        <v>188092</v>
      </c>
      <c r="BB43" s="11">
        <f t="shared" si="34"/>
        <v>152452</v>
      </c>
      <c r="BC43" s="11">
        <f t="shared" si="34"/>
        <v>2684</v>
      </c>
      <c r="BD43" s="11">
        <f t="shared" si="34"/>
        <v>0</v>
      </c>
      <c r="BE43" s="11">
        <f t="shared" si="34"/>
        <v>0</v>
      </c>
      <c r="BF43" s="11">
        <f t="shared" si="34"/>
        <v>0</v>
      </c>
      <c r="BG43" s="11">
        <f t="shared" si="34"/>
        <v>0</v>
      </c>
      <c r="BH43" s="11">
        <f t="shared" si="34"/>
        <v>0</v>
      </c>
      <c r="BI43" s="11">
        <f t="shared" si="34"/>
        <v>0</v>
      </c>
      <c r="BJ43" s="11">
        <f t="shared" si="34"/>
        <v>0</v>
      </c>
      <c r="BK43" s="11">
        <f t="shared" si="34"/>
        <v>0</v>
      </c>
      <c r="BL43" s="11">
        <f t="shared" si="34"/>
        <v>0</v>
      </c>
      <c r="BM43" s="11">
        <f t="shared" si="34"/>
        <v>0</v>
      </c>
      <c r="BN43" s="11">
        <f t="shared" si="34"/>
        <v>0</v>
      </c>
      <c r="BO43" s="11">
        <f t="shared" si="34"/>
        <v>0</v>
      </c>
      <c r="BP43" s="11">
        <f t="shared" si="34"/>
        <v>2684</v>
      </c>
      <c r="BQ43" s="11">
        <f t="shared" si="34"/>
        <v>0</v>
      </c>
      <c r="BR43" s="11">
        <f t="shared" si="34"/>
        <v>0</v>
      </c>
      <c r="BS43" s="11">
        <f t="shared" si="34"/>
        <v>0</v>
      </c>
      <c r="BT43" s="11">
        <f t="shared" ref="BT43:CX43" si="35">SUM(BT44:BT48)</f>
        <v>0</v>
      </c>
      <c r="BU43" s="11">
        <f t="shared" si="35"/>
        <v>0</v>
      </c>
      <c r="BV43" s="11">
        <f t="shared" si="35"/>
        <v>0</v>
      </c>
      <c r="BW43" s="11">
        <f t="shared" si="35"/>
        <v>0</v>
      </c>
      <c r="BX43" s="11">
        <f t="shared" si="35"/>
        <v>0</v>
      </c>
      <c r="BY43" s="11">
        <f t="shared" si="35"/>
        <v>0</v>
      </c>
      <c r="BZ43" s="11">
        <f t="shared" si="35"/>
        <v>2684</v>
      </c>
      <c r="CA43" s="11">
        <f t="shared" si="35"/>
        <v>0</v>
      </c>
      <c r="CB43" s="11">
        <f t="shared" si="35"/>
        <v>1644892</v>
      </c>
      <c r="CC43" s="11">
        <f t="shared" si="35"/>
        <v>1644892</v>
      </c>
      <c r="CD43" s="11">
        <f t="shared" si="35"/>
        <v>1644892</v>
      </c>
      <c r="CE43" s="11">
        <f t="shared" si="35"/>
        <v>0</v>
      </c>
      <c r="CF43" s="11">
        <f t="shared" si="35"/>
        <v>1644892</v>
      </c>
      <c r="CG43" s="11">
        <f t="shared" si="35"/>
        <v>0</v>
      </c>
      <c r="CH43" s="11">
        <f t="shared" si="35"/>
        <v>0</v>
      </c>
      <c r="CI43" s="11">
        <f t="shared" si="35"/>
        <v>0</v>
      </c>
      <c r="CJ43" s="11">
        <f t="shared" si="35"/>
        <v>0</v>
      </c>
      <c r="CK43" s="11">
        <f t="shared" si="35"/>
        <v>0</v>
      </c>
      <c r="CL43" s="11">
        <f t="shared" si="35"/>
        <v>0</v>
      </c>
      <c r="CM43" s="11">
        <f t="shared" si="35"/>
        <v>0</v>
      </c>
      <c r="CN43" s="11">
        <f t="shared" si="35"/>
        <v>0</v>
      </c>
      <c r="CO43" s="11">
        <f t="shared" si="35"/>
        <v>0</v>
      </c>
      <c r="CP43" s="11"/>
      <c r="CQ43" s="11">
        <f t="shared" si="35"/>
        <v>0</v>
      </c>
      <c r="CR43" s="11">
        <f t="shared" si="35"/>
        <v>0</v>
      </c>
      <c r="CS43" s="11">
        <f t="shared" si="35"/>
        <v>0</v>
      </c>
      <c r="CT43" s="11">
        <f t="shared" si="35"/>
        <v>0</v>
      </c>
      <c r="CU43" s="11">
        <f t="shared" si="35"/>
        <v>0</v>
      </c>
      <c r="CV43" s="11">
        <f t="shared" si="35"/>
        <v>0</v>
      </c>
      <c r="CW43" s="11">
        <f t="shared" si="35"/>
        <v>0</v>
      </c>
      <c r="CX43" s="12">
        <f t="shared" si="35"/>
        <v>0</v>
      </c>
    </row>
    <row r="44" spans="1:102" ht="15.75" x14ac:dyDescent="0.25">
      <c r="A44" s="13" t="s">
        <v>1</v>
      </c>
      <c r="B44" s="14" t="s">
        <v>1</v>
      </c>
      <c r="C44" s="14" t="s">
        <v>97</v>
      </c>
      <c r="D44" s="15" t="s">
        <v>458</v>
      </c>
      <c r="E44" s="10">
        <f>SUM(F44+CB44+CU44)</f>
        <v>2164934</v>
      </c>
      <c r="F44" s="11">
        <f>SUM(G44+BC44)</f>
        <v>2037370</v>
      </c>
      <c r="G44" s="11">
        <f>SUM(H44+I44+J44+Q44+T44+U44+V44+AF44+AE44)</f>
        <v>2037370</v>
      </c>
      <c r="H44" s="16">
        <f>892764+23807</f>
        <v>916571</v>
      </c>
      <c r="I44" s="16">
        <f>223191+5952</f>
        <v>229143</v>
      </c>
      <c r="J44" s="11">
        <f t="shared" si="4"/>
        <v>67743</v>
      </c>
      <c r="K44" s="11">
        <v>0</v>
      </c>
      <c r="L44" s="11">
        <v>0</v>
      </c>
      <c r="M44" s="11">
        <v>0</v>
      </c>
      <c r="N44" s="11">
        <v>0</v>
      </c>
      <c r="O44" s="16">
        <v>23105</v>
      </c>
      <c r="P44" s="16">
        <v>44638</v>
      </c>
      <c r="Q44" s="11">
        <f t="shared" si="5"/>
        <v>304220</v>
      </c>
      <c r="R44" s="16"/>
      <c r="S44" s="16">
        <v>304220</v>
      </c>
      <c r="T44" s="11">
        <v>0</v>
      </c>
      <c r="U44" s="16">
        <v>43659</v>
      </c>
      <c r="V44" s="11">
        <f t="shared" ref="V44:V48" si="36">SUM(W44:AD44)</f>
        <v>219574</v>
      </c>
      <c r="W44" s="16"/>
      <c r="X44" s="16">
        <v>369</v>
      </c>
      <c r="Y44" s="16">
        <v>4045</v>
      </c>
      <c r="Z44" s="16"/>
      <c r="AA44" s="16"/>
      <c r="AB44" s="16">
        <v>215160</v>
      </c>
      <c r="AC44" s="16"/>
      <c r="AD44" s="16"/>
      <c r="AE44" s="11">
        <v>0</v>
      </c>
      <c r="AF44" s="11">
        <f>SUM(AG44:BB44)</f>
        <v>256460</v>
      </c>
      <c r="AG44" s="11">
        <v>0</v>
      </c>
      <c r="AH44" s="11">
        <v>0</v>
      </c>
      <c r="AI44" s="16">
        <v>6269</v>
      </c>
      <c r="AJ44" s="16"/>
      <c r="AK44" s="16"/>
      <c r="AL44" s="16">
        <v>1591</v>
      </c>
      <c r="AM44" s="16"/>
      <c r="AN44" s="16"/>
      <c r="AO44" s="16">
        <v>129000</v>
      </c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>
        <v>119600</v>
      </c>
      <c r="BC44" s="11">
        <f>SUM(BD44+BH44+BL44+BN44+BP44)</f>
        <v>0</v>
      </c>
      <c r="BD44" s="11">
        <f>SUM(BE44:BG44)</f>
        <v>0</v>
      </c>
      <c r="BE44" s="11">
        <v>0</v>
      </c>
      <c r="BF44" s="11">
        <v>0</v>
      </c>
      <c r="BG44" s="11">
        <v>0</v>
      </c>
      <c r="BH44" s="11">
        <f t="shared" si="6"/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f t="shared" si="7"/>
        <v>0</v>
      </c>
      <c r="BO44" s="11">
        <v>0</v>
      </c>
      <c r="BP44" s="11">
        <f t="shared" si="8"/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f>SUM(CC44+CT44)</f>
        <v>127564</v>
      </c>
      <c r="CC44" s="11">
        <f>SUM(CD44+CG44+CL44)</f>
        <v>127564</v>
      </c>
      <c r="CD44" s="11">
        <f t="shared" si="9"/>
        <v>127564</v>
      </c>
      <c r="CE44" s="11">
        <v>0</v>
      </c>
      <c r="CF44" s="16">
        <v>127564</v>
      </c>
      <c r="CG44" s="11">
        <f>SUM(CH44:CK44)</f>
        <v>0</v>
      </c>
      <c r="CH44" s="11">
        <v>0</v>
      </c>
      <c r="CI44" s="11">
        <v>0</v>
      </c>
      <c r="CJ44" s="11">
        <v>0</v>
      </c>
      <c r="CK44" s="11">
        <v>0</v>
      </c>
      <c r="CL44" s="11">
        <f>SUM(CM44:CQ44)</f>
        <v>0</v>
      </c>
      <c r="CM44" s="11">
        <v>0</v>
      </c>
      <c r="CN44" s="11">
        <v>0</v>
      </c>
      <c r="CO44" s="11">
        <v>0</v>
      </c>
      <c r="CP44" s="11"/>
      <c r="CQ44" s="11">
        <v>0</v>
      </c>
      <c r="CR44" s="11">
        <v>0</v>
      </c>
      <c r="CS44" s="11">
        <v>0</v>
      </c>
      <c r="CT44" s="11">
        <v>0</v>
      </c>
      <c r="CU44" s="11">
        <f t="shared" si="10"/>
        <v>0</v>
      </c>
      <c r="CV44" s="11">
        <f t="shared" si="11"/>
        <v>0</v>
      </c>
      <c r="CW44" s="11">
        <v>0</v>
      </c>
      <c r="CX44" s="12">
        <v>0</v>
      </c>
    </row>
    <row r="45" spans="1:102" ht="31.5" x14ac:dyDescent="0.25">
      <c r="A45" s="13" t="s">
        <v>1</v>
      </c>
      <c r="B45" s="14" t="s">
        <v>1</v>
      </c>
      <c r="C45" s="14" t="s">
        <v>97</v>
      </c>
      <c r="D45" s="15" t="s">
        <v>459</v>
      </c>
      <c r="E45" s="10">
        <f>SUM(F45+CB45+CU45)</f>
        <v>2681265</v>
      </c>
      <c r="F45" s="11">
        <f>SUM(G45+BC45)</f>
        <v>2566093</v>
      </c>
      <c r="G45" s="11">
        <f>SUM(H45+I45+J45+Q45+T45+U45+V45+AF45+AE45)</f>
        <v>2566093</v>
      </c>
      <c r="H45" s="16">
        <f>1251211+33366</f>
        <v>1284577</v>
      </c>
      <c r="I45" s="16">
        <f>312803+8341</f>
        <v>321144</v>
      </c>
      <c r="J45" s="11">
        <f>SUM(K45:P45)</f>
        <v>111971</v>
      </c>
      <c r="K45" s="11">
        <v>0</v>
      </c>
      <c r="L45" s="11">
        <v>0</v>
      </c>
      <c r="M45" s="11">
        <v>0</v>
      </c>
      <c r="N45" s="11">
        <v>0</v>
      </c>
      <c r="O45" s="16">
        <v>67360</v>
      </c>
      <c r="P45" s="16">
        <v>44611</v>
      </c>
      <c r="Q45" s="11">
        <f>SUM(R45:S45)</f>
        <v>419400</v>
      </c>
      <c r="R45" s="16"/>
      <c r="S45" s="16">
        <f>419400</f>
        <v>419400</v>
      </c>
      <c r="T45" s="11">
        <v>0</v>
      </c>
      <c r="U45" s="16">
        <v>15725</v>
      </c>
      <c r="V45" s="11">
        <f t="shared" si="36"/>
        <v>330310</v>
      </c>
      <c r="W45" s="16"/>
      <c r="X45" s="16"/>
      <c r="Y45" s="16"/>
      <c r="Z45" s="16"/>
      <c r="AA45" s="16"/>
      <c r="AB45" s="16">
        <v>330310</v>
      </c>
      <c r="AC45" s="16"/>
      <c r="AD45" s="16"/>
      <c r="AE45" s="11">
        <v>0</v>
      </c>
      <c r="AF45" s="11">
        <f>SUM(AG45:BB45)</f>
        <v>82966</v>
      </c>
      <c r="AG45" s="11">
        <v>0</v>
      </c>
      <c r="AH45" s="11"/>
      <c r="AI45" s="16">
        <v>1148</v>
      </c>
      <c r="AJ45" s="16"/>
      <c r="AK45" s="16"/>
      <c r="AL45" s="16"/>
      <c r="AM45" s="16"/>
      <c r="AN45" s="16"/>
      <c r="AO45" s="16">
        <v>59750</v>
      </c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>
        <v>22068</v>
      </c>
      <c r="BC45" s="11">
        <f>SUM(BD45+BH45+BL45+BN45+BP45)</f>
        <v>0</v>
      </c>
      <c r="BD45" s="11">
        <f>SUM(BE45:BG45)</f>
        <v>0</v>
      </c>
      <c r="BE45" s="11">
        <v>0</v>
      </c>
      <c r="BF45" s="11">
        <v>0</v>
      </c>
      <c r="BG45" s="11">
        <v>0</v>
      </c>
      <c r="BH45" s="11">
        <f>SUM(BJ45:BK45)</f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f>SUM(BO45)</f>
        <v>0</v>
      </c>
      <c r="BO45" s="11">
        <v>0</v>
      </c>
      <c r="BP45" s="11">
        <f>SUM(BQ45:CA45)</f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0</v>
      </c>
      <c r="CB45" s="11">
        <f>SUM(CC45+CT45)</f>
        <v>115172</v>
      </c>
      <c r="CC45" s="11">
        <f>SUM(CD45+CG45+CL45)</f>
        <v>115172</v>
      </c>
      <c r="CD45" s="11">
        <f>SUM(CE45:CF45)</f>
        <v>115172</v>
      </c>
      <c r="CE45" s="11">
        <v>0</v>
      </c>
      <c r="CF45" s="16">
        <v>115172</v>
      </c>
      <c r="CG45" s="11">
        <f>SUM(CH45:CK45)</f>
        <v>0</v>
      </c>
      <c r="CH45" s="11">
        <v>0</v>
      </c>
      <c r="CI45" s="11">
        <v>0</v>
      </c>
      <c r="CJ45" s="11">
        <v>0</v>
      </c>
      <c r="CK45" s="11">
        <v>0</v>
      </c>
      <c r="CL45" s="11">
        <f>SUM(CM45:CQ45)</f>
        <v>0</v>
      </c>
      <c r="CM45" s="11">
        <v>0</v>
      </c>
      <c r="CN45" s="11">
        <v>0</v>
      </c>
      <c r="CO45" s="11">
        <v>0</v>
      </c>
      <c r="CP45" s="11"/>
      <c r="CQ45" s="11">
        <v>0</v>
      </c>
      <c r="CR45" s="11">
        <v>0</v>
      </c>
      <c r="CS45" s="11">
        <v>0</v>
      </c>
      <c r="CT45" s="11">
        <v>0</v>
      </c>
      <c r="CU45" s="11">
        <f>SUM(CV45)</f>
        <v>0</v>
      </c>
      <c r="CV45" s="11">
        <f>SUM(CW45:CX45)</f>
        <v>0</v>
      </c>
      <c r="CW45" s="11">
        <v>0</v>
      </c>
      <c r="CX45" s="12">
        <v>0</v>
      </c>
    </row>
    <row r="46" spans="1:102" ht="15.75" x14ac:dyDescent="0.25">
      <c r="A46" s="13" t="s">
        <v>1</v>
      </c>
      <c r="B46" s="14" t="s">
        <v>1</v>
      </c>
      <c r="C46" s="14" t="s">
        <v>97</v>
      </c>
      <c r="D46" s="15" t="s">
        <v>460</v>
      </c>
      <c r="E46" s="10">
        <f>SUM(F46+CB46+CU46)</f>
        <v>1378031</v>
      </c>
      <c r="F46" s="11">
        <f>SUM(G46+BC46)</f>
        <v>621212</v>
      </c>
      <c r="G46" s="11">
        <f>SUM(H46+I46+J46+Q46+T46+U46+V46+AF46+AE46)</f>
        <v>621212</v>
      </c>
      <c r="H46" s="16">
        <f>362759+9674</f>
        <v>372433</v>
      </c>
      <c r="I46" s="16">
        <f>86090+2418</f>
        <v>88508</v>
      </c>
      <c r="J46" s="11">
        <f t="shared" si="4"/>
        <v>41686</v>
      </c>
      <c r="K46" s="11">
        <v>0</v>
      </c>
      <c r="L46" s="11">
        <v>0</v>
      </c>
      <c r="M46" s="11">
        <v>0</v>
      </c>
      <c r="N46" s="11">
        <v>0</v>
      </c>
      <c r="O46" s="16">
        <v>23548</v>
      </c>
      <c r="P46" s="16">
        <v>18138</v>
      </c>
      <c r="Q46" s="11">
        <f t="shared" si="5"/>
        <v>3270</v>
      </c>
      <c r="R46" s="16">
        <v>3270</v>
      </c>
      <c r="S46" s="16"/>
      <c r="T46" s="11">
        <v>0</v>
      </c>
      <c r="U46" s="16">
        <v>10672</v>
      </c>
      <c r="V46" s="11">
        <f t="shared" si="36"/>
        <v>9133</v>
      </c>
      <c r="W46" s="16"/>
      <c r="X46" s="16">
        <v>1963</v>
      </c>
      <c r="Y46" s="16">
        <v>6640</v>
      </c>
      <c r="Z46" s="16">
        <v>530</v>
      </c>
      <c r="AA46" s="16"/>
      <c r="AB46" s="16"/>
      <c r="AC46" s="16"/>
      <c r="AD46" s="16"/>
      <c r="AE46" s="11">
        <v>0</v>
      </c>
      <c r="AF46" s="11">
        <f>SUM(AG46:BB46)</f>
        <v>95510</v>
      </c>
      <c r="AG46" s="11">
        <v>0</v>
      </c>
      <c r="AH46" s="11"/>
      <c r="AI46" s="16">
        <v>3700</v>
      </c>
      <c r="AJ46" s="16"/>
      <c r="AK46" s="16"/>
      <c r="AL46" s="16"/>
      <c r="AM46" s="16"/>
      <c r="AN46" s="16">
        <v>3270</v>
      </c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>
        <v>88540</v>
      </c>
      <c r="BB46" s="16"/>
      <c r="BC46" s="11">
        <f>SUM(BD46+BH46+BL46+BN46+BP46)</f>
        <v>0</v>
      </c>
      <c r="BD46" s="11">
        <f>SUM(BE46:BG46)</f>
        <v>0</v>
      </c>
      <c r="BE46" s="11">
        <v>0</v>
      </c>
      <c r="BF46" s="11">
        <v>0</v>
      </c>
      <c r="BG46" s="11">
        <v>0</v>
      </c>
      <c r="BH46" s="11">
        <f t="shared" si="6"/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f t="shared" si="7"/>
        <v>0</v>
      </c>
      <c r="BO46" s="11">
        <v>0</v>
      </c>
      <c r="BP46" s="11">
        <f t="shared" si="8"/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>
        <v>0</v>
      </c>
      <c r="CB46" s="11">
        <f>SUM(CC46+CT46)</f>
        <v>756819</v>
      </c>
      <c r="CC46" s="11">
        <f>SUM(CD46+CG46+CL46)</f>
        <v>756819</v>
      </c>
      <c r="CD46" s="11">
        <f t="shared" si="9"/>
        <v>756819</v>
      </c>
      <c r="CE46" s="11">
        <v>0</v>
      </c>
      <c r="CF46" s="16">
        <v>756819</v>
      </c>
      <c r="CG46" s="11">
        <f>SUM(CH46:CK46)</f>
        <v>0</v>
      </c>
      <c r="CH46" s="11">
        <v>0</v>
      </c>
      <c r="CI46" s="11">
        <v>0</v>
      </c>
      <c r="CJ46" s="11">
        <v>0</v>
      </c>
      <c r="CK46" s="11">
        <v>0</v>
      </c>
      <c r="CL46" s="11">
        <f>SUM(CM46:CQ46)</f>
        <v>0</v>
      </c>
      <c r="CM46" s="11">
        <v>0</v>
      </c>
      <c r="CN46" s="11">
        <v>0</v>
      </c>
      <c r="CO46" s="11">
        <v>0</v>
      </c>
      <c r="CP46" s="11"/>
      <c r="CQ46" s="11">
        <v>0</v>
      </c>
      <c r="CR46" s="11">
        <v>0</v>
      </c>
      <c r="CS46" s="11">
        <v>0</v>
      </c>
      <c r="CT46" s="11">
        <v>0</v>
      </c>
      <c r="CU46" s="11">
        <f t="shared" si="10"/>
        <v>0</v>
      </c>
      <c r="CV46" s="11">
        <f t="shared" si="11"/>
        <v>0</v>
      </c>
      <c r="CW46" s="11">
        <v>0</v>
      </c>
      <c r="CX46" s="12">
        <v>0</v>
      </c>
    </row>
    <row r="47" spans="1:102" ht="15.75" x14ac:dyDescent="0.25">
      <c r="A47" s="13" t="s">
        <v>1</v>
      </c>
      <c r="B47" s="14" t="s">
        <v>1</v>
      </c>
      <c r="C47" s="14" t="s">
        <v>105</v>
      </c>
      <c r="D47" s="15" t="s">
        <v>136</v>
      </c>
      <c r="E47" s="10">
        <f>SUM(F47+CB47+CU47)</f>
        <v>9182348</v>
      </c>
      <c r="F47" s="11">
        <f>SUM(G47+BC47)</f>
        <v>8641729</v>
      </c>
      <c r="G47" s="11">
        <f>SUM(H47+I47+J47+Q47+T47+U47+V47+AF47+AE47)</f>
        <v>8639045</v>
      </c>
      <c r="H47" s="16">
        <f>5957760+158874</f>
        <v>6116634</v>
      </c>
      <c r="I47" s="16">
        <f>1423100+39718</f>
        <v>1462818</v>
      </c>
      <c r="J47" s="11">
        <f t="shared" si="4"/>
        <v>246993</v>
      </c>
      <c r="K47" s="11">
        <v>0</v>
      </c>
      <c r="L47" s="11">
        <f>90519-90519</f>
        <v>0</v>
      </c>
      <c r="M47" s="11">
        <v>0</v>
      </c>
      <c r="N47" s="11">
        <v>0</v>
      </c>
      <c r="O47" s="16">
        <v>87561</v>
      </c>
      <c r="P47" s="16">
        <v>159432</v>
      </c>
      <c r="Q47" s="11">
        <f t="shared" si="5"/>
        <v>0</v>
      </c>
      <c r="R47" s="16"/>
      <c r="S47" s="16"/>
      <c r="T47" s="11">
        <v>0</v>
      </c>
      <c r="U47" s="16">
        <v>223707</v>
      </c>
      <c r="V47" s="11">
        <f t="shared" si="36"/>
        <v>211059</v>
      </c>
      <c r="W47" s="16">
        <v>27038</v>
      </c>
      <c r="X47" s="16">
        <v>48849</v>
      </c>
      <c r="Y47" s="16">
        <v>69071</v>
      </c>
      <c r="Z47" s="16">
        <v>11224</v>
      </c>
      <c r="AA47" s="16">
        <v>6318</v>
      </c>
      <c r="AB47" s="16">
        <v>39448</v>
      </c>
      <c r="AC47" s="16"/>
      <c r="AD47" s="16">
        <v>9111</v>
      </c>
      <c r="AE47" s="11"/>
      <c r="AF47" s="11">
        <f>SUM(AG47:BB47)</f>
        <v>377834</v>
      </c>
      <c r="AG47" s="11">
        <v>0</v>
      </c>
      <c r="AH47" s="11"/>
      <c r="AI47" s="16">
        <v>51568</v>
      </c>
      <c r="AJ47" s="16">
        <v>157261</v>
      </c>
      <c r="AK47" s="16"/>
      <c r="AL47" s="16">
        <v>13415</v>
      </c>
      <c r="AM47" s="16"/>
      <c r="AN47" s="16"/>
      <c r="AO47" s="16">
        <v>38550</v>
      </c>
      <c r="AP47" s="16">
        <v>7566</v>
      </c>
      <c r="AQ47" s="16"/>
      <c r="AR47" s="16"/>
      <c r="AS47" s="16"/>
      <c r="AT47" s="16">
        <v>109198</v>
      </c>
      <c r="AU47" s="16"/>
      <c r="AV47" s="16"/>
      <c r="AW47" s="16"/>
      <c r="AX47" s="16"/>
      <c r="AY47" s="16"/>
      <c r="AZ47" s="16"/>
      <c r="BA47" s="16"/>
      <c r="BB47" s="16">
        <v>276</v>
      </c>
      <c r="BC47" s="11">
        <f>SUM(BD47+BH47+BL47+BM47+BN47+BP47)</f>
        <v>2684</v>
      </c>
      <c r="BD47" s="11">
        <f>SUM(BE47:BG47)</f>
        <v>0</v>
      </c>
      <c r="BE47" s="11">
        <v>0</v>
      </c>
      <c r="BF47" s="11">
        <v>0</v>
      </c>
      <c r="BG47" s="11">
        <v>0</v>
      </c>
      <c r="BH47" s="11">
        <f t="shared" si="6"/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f t="shared" si="7"/>
        <v>0</v>
      </c>
      <c r="BO47" s="11">
        <v>0</v>
      </c>
      <c r="BP47" s="11">
        <f t="shared" si="8"/>
        <v>2684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2684</v>
      </c>
      <c r="CA47" s="11">
        <v>0</v>
      </c>
      <c r="CB47" s="11">
        <f>SUM(CC47+CT47)</f>
        <v>540619</v>
      </c>
      <c r="CC47" s="11">
        <f>SUM(CD47+CG47+CL47)</f>
        <v>540619</v>
      </c>
      <c r="CD47" s="11">
        <f t="shared" si="9"/>
        <v>540619</v>
      </c>
      <c r="CE47" s="11">
        <v>0</v>
      </c>
      <c r="CF47" s="16">
        <v>540619</v>
      </c>
      <c r="CG47" s="11">
        <f>SUM(CH47:CK47)</f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f>SUM(CM47:CQ47)</f>
        <v>0</v>
      </c>
      <c r="CM47" s="11">
        <v>0</v>
      </c>
      <c r="CN47" s="11">
        <v>0</v>
      </c>
      <c r="CO47" s="11">
        <v>0</v>
      </c>
      <c r="CP47" s="11"/>
      <c r="CQ47" s="11">
        <v>0</v>
      </c>
      <c r="CR47" s="11">
        <v>0</v>
      </c>
      <c r="CS47" s="11">
        <v>0</v>
      </c>
      <c r="CT47" s="11">
        <v>0</v>
      </c>
      <c r="CU47" s="11">
        <f t="shared" si="10"/>
        <v>0</v>
      </c>
      <c r="CV47" s="11">
        <f t="shared" si="11"/>
        <v>0</v>
      </c>
      <c r="CW47" s="11">
        <v>0</v>
      </c>
      <c r="CX47" s="12">
        <v>0</v>
      </c>
    </row>
    <row r="48" spans="1:102" ht="31.5" x14ac:dyDescent="0.25">
      <c r="A48" s="13" t="s">
        <v>1</v>
      </c>
      <c r="B48" s="14" t="s">
        <v>1</v>
      </c>
      <c r="C48" s="14" t="s">
        <v>109</v>
      </c>
      <c r="D48" s="15" t="s">
        <v>137</v>
      </c>
      <c r="E48" s="10">
        <f>SUM(F48+CB48+CU48)</f>
        <v>5372662</v>
      </c>
      <c r="F48" s="11">
        <f>SUM(G48+BC48)</f>
        <v>5267944</v>
      </c>
      <c r="G48" s="11">
        <f>SUM(H48+I48+J48+Q48+T48+U48+V48+AF48+AE48)</f>
        <v>5267944</v>
      </c>
      <c r="H48" s="16">
        <f>3538373+94357</f>
        <v>3632730</v>
      </c>
      <c r="I48" s="16">
        <f>860686+23589</f>
        <v>884275</v>
      </c>
      <c r="J48" s="11">
        <f t="shared" si="4"/>
        <v>253394</v>
      </c>
      <c r="K48" s="11">
        <v>0</v>
      </c>
      <c r="L48" s="11">
        <v>0</v>
      </c>
      <c r="M48" s="11">
        <v>0</v>
      </c>
      <c r="N48" s="11">
        <v>0</v>
      </c>
      <c r="O48" s="16">
        <f>135823+21808</f>
        <v>157631</v>
      </c>
      <c r="P48" s="16">
        <f>74452+21311</f>
        <v>95763</v>
      </c>
      <c r="Q48" s="11">
        <f t="shared" si="5"/>
        <v>0</v>
      </c>
      <c r="R48" s="16"/>
      <c r="S48" s="16"/>
      <c r="T48" s="11">
        <v>0</v>
      </c>
      <c r="U48" s="16">
        <v>150551</v>
      </c>
      <c r="V48" s="11">
        <f t="shared" si="36"/>
        <v>186090</v>
      </c>
      <c r="W48" s="16"/>
      <c r="X48" s="16">
        <v>44297</v>
      </c>
      <c r="Y48" s="16">
        <v>17171</v>
      </c>
      <c r="Z48" s="16">
        <v>3866</v>
      </c>
      <c r="AA48" s="16">
        <f>5321+4706</f>
        <v>10027</v>
      </c>
      <c r="AB48" s="16">
        <v>109906</v>
      </c>
      <c r="AC48" s="16"/>
      <c r="AD48" s="16">
        <v>823</v>
      </c>
      <c r="AE48" s="11"/>
      <c r="AF48" s="11">
        <f>SUM(AG48:BB48)</f>
        <v>160904</v>
      </c>
      <c r="AG48" s="11">
        <v>0</v>
      </c>
      <c r="AH48" s="11"/>
      <c r="AI48" s="16">
        <v>14974</v>
      </c>
      <c r="AJ48" s="16"/>
      <c r="AK48" s="16"/>
      <c r="AL48" s="16">
        <v>12347</v>
      </c>
      <c r="AM48" s="16"/>
      <c r="AN48" s="16"/>
      <c r="AO48" s="16"/>
      <c r="AP48" s="16"/>
      <c r="AQ48" s="16"/>
      <c r="AR48" s="16"/>
      <c r="AS48" s="16"/>
      <c r="AT48" s="16">
        <v>23523</v>
      </c>
      <c r="AU48" s="16"/>
      <c r="AV48" s="16"/>
      <c r="AW48" s="16"/>
      <c r="AX48" s="16"/>
      <c r="AY48" s="16"/>
      <c r="AZ48" s="16"/>
      <c r="BA48" s="16">
        <v>99552</v>
      </c>
      <c r="BB48" s="16">
        <f>4875+5633</f>
        <v>10508</v>
      </c>
      <c r="BC48" s="11">
        <f>SUM(BD48+BH48+BL48+BM48+BN48+BP48)</f>
        <v>0</v>
      </c>
      <c r="BD48" s="11">
        <f>SUM(BE48:BG48)</f>
        <v>0</v>
      </c>
      <c r="BE48" s="11">
        <v>0</v>
      </c>
      <c r="BF48" s="11">
        <v>0</v>
      </c>
      <c r="BG48" s="11">
        <v>0</v>
      </c>
      <c r="BH48" s="11">
        <f t="shared" si="6"/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f t="shared" si="7"/>
        <v>0</v>
      </c>
      <c r="BO48" s="11">
        <v>0</v>
      </c>
      <c r="BP48" s="11">
        <f t="shared" si="8"/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f>SUM(CC48+CT48)</f>
        <v>104718</v>
      </c>
      <c r="CC48" s="11">
        <f>SUM(CD48+CG48+CL48)</f>
        <v>104718</v>
      </c>
      <c r="CD48" s="11">
        <f t="shared" si="9"/>
        <v>104718</v>
      </c>
      <c r="CE48" s="11">
        <v>0</v>
      </c>
      <c r="CF48" s="16">
        <v>104718</v>
      </c>
      <c r="CG48" s="11">
        <f>SUM(CH48:CK48)</f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f>SUM(CM48:CQ48)</f>
        <v>0</v>
      </c>
      <c r="CM48" s="11">
        <v>0</v>
      </c>
      <c r="CN48" s="11">
        <v>0</v>
      </c>
      <c r="CO48" s="11">
        <v>0</v>
      </c>
      <c r="CP48" s="11"/>
      <c r="CQ48" s="11">
        <v>0</v>
      </c>
      <c r="CR48" s="11">
        <v>0</v>
      </c>
      <c r="CS48" s="11">
        <v>0</v>
      </c>
      <c r="CT48" s="11">
        <v>0</v>
      </c>
      <c r="CU48" s="11">
        <f t="shared" si="10"/>
        <v>0</v>
      </c>
      <c r="CV48" s="11">
        <f t="shared" si="11"/>
        <v>0</v>
      </c>
      <c r="CW48" s="11">
        <v>0</v>
      </c>
      <c r="CX48" s="12">
        <v>0</v>
      </c>
    </row>
    <row r="49" spans="1:102" ht="15.75" x14ac:dyDescent="0.25">
      <c r="A49" s="7"/>
      <c r="B49" s="8" t="s">
        <v>138</v>
      </c>
      <c r="C49" s="8" t="s">
        <v>1</v>
      </c>
      <c r="D49" s="9" t="s">
        <v>139</v>
      </c>
      <c r="E49" s="10">
        <f>SUM(E50)</f>
        <v>3255341</v>
      </c>
      <c r="F49" s="11">
        <f t="shared" ref="F49:BV49" si="37">SUM(F50)</f>
        <v>3240341</v>
      </c>
      <c r="G49" s="11">
        <f t="shared" si="37"/>
        <v>3240341</v>
      </c>
      <c r="H49" s="11">
        <f t="shared" si="37"/>
        <v>2278485</v>
      </c>
      <c r="I49" s="11">
        <f t="shared" si="37"/>
        <v>548222</v>
      </c>
      <c r="J49" s="11">
        <f t="shared" si="37"/>
        <v>13278</v>
      </c>
      <c r="K49" s="11">
        <f t="shared" si="37"/>
        <v>0</v>
      </c>
      <c r="L49" s="11">
        <f t="shared" si="37"/>
        <v>0</v>
      </c>
      <c r="M49" s="11">
        <f t="shared" si="37"/>
        <v>0</v>
      </c>
      <c r="N49" s="11">
        <f t="shared" si="37"/>
        <v>0</v>
      </c>
      <c r="O49" s="11">
        <f t="shared" si="37"/>
        <v>0</v>
      </c>
      <c r="P49" s="11">
        <f t="shared" si="37"/>
        <v>13278</v>
      </c>
      <c r="Q49" s="11">
        <f t="shared" si="37"/>
        <v>0</v>
      </c>
      <c r="R49" s="11">
        <f t="shared" si="37"/>
        <v>0</v>
      </c>
      <c r="S49" s="11">
        <f t="shared" si="37"/>
        <v>0</v>
      </c>
      <c r="T49" s="11">
        <f t="shared" si="37"/>
        <v>0</v>
      </c>
      <c r="U49" s="11">
        <f t="shared" si="37"/>
        <v>108762</v>
      </c>
      <c r="V49" s="11">
        <f t="shared" si="37"/>
        <v>263939</v>
      </c>
      <c r="W49" s="11">
        <f t="shared" si="37"/>
        <v>8045</v>
      </c>
      <c r="X49" s="11">
        <f t="shared" si="37"/>
        <v>16795</v>
      </c>
      <c r="Y49" s="11">
        <f t="shared" si="37"/>
        <v>10684</v>
      </c>
      <c r="Z49" s="11">
        <f t="shared" si="37"/>
        <v>3125</v>
      </c>
      <c r="AA49" s="11">
        <f t="shared" si="37"/>
        <v>1805</v>
      </c>
      <c r="AB49" s="11">
        <f t="shared" si="37"/>
        <v>223485</v>
      </c>
      <c r="AC49" s="11">
        <f t="shared" si="37"/>
        <v>0</v>
      </c>
      <c r="AD49" s="11">
        <f t="shared" si="37"/>
        <v>0</v>
      </c>
      <c r="AE49" s="11">
        <f t="shared" si="37"/>
        <v>0</v>
      </c>
      <c r="AF49" s="11">
        <f t="shared" si="37"/>
        <v>27655</v>
      </c>
      <c r="AG49" s="11">
        <f t="shared" si="37"/>
        <v>0</v>
      </c>
      <c r="AH49" s="11">
        <f t="shared" si="37"/>
        <v>0</v>
      </c>
      <c r="AI49" s="11">
        <f t="shared" si="37"/>
        <v>4373</v>
      </c>
      <c r="AJ49" s="11">
        <f t="shared" si="37"/>
        <v>19983</v>
      </c>
      <c r="AK49" s="11">
        <f t="shared" si="37"/>
        <v>0</v>
      </c>
      <c r="AL49" s="11">
        <f t="shared" si="37"/>
        <v>3000</v>
      </c>
      <c r="AM49" s="11">
        <f t="shared" si="37"/>
        <v>0</v>
      </c>
      <c r="AN49" s="11">
        <f t="shared" si="37"/>
        <v>149</v>
      </c>
      <c r="AO49" s="11">
        <f t="shared" si="37"/>
        <v>0</v>
      </c>
      <c r="AP49" s="11">
        <f t="shared" si="37"/>
        <v>0</v>
      </c>
      <c r="AQ49" s="11">
        <f t="shared" si="37"/>
        <v>0</v>
      </c>
      <c r="AR49" s="11">
        <f t="shared" si="37"/>
        <v>0</v>
      </c>
      <c r="AS49" s="11">
        <f t="shared" si="37"/>
        <v>0</v>
      </c>
      <c r="AT49" s="11">
        <f t="shared" si="37"/>
        <v>0</v>
      </c>
      <c r="AU49" s="11">
        <f t="shared" si="37"/>
        <v>0</v>
      </c>
      <c r="AV49" s="11"/>
      <c r="AW49" s="11"/>
      <c r="AX49" s="11">
        <f t="shared" si="37"/>
        <v>0</v>
      </c>
      <c r="AY49" s="11">
        <f t="shared" si="37"/>
        <v>0</v>
      </c>
      <c r="AZ49" s="11">
        <f t="shared" si="37"/>
        <v>0</v>
      </c>
      <c r="BA49" s="11">
        <f t="shared" si="37"/>
        <v>0</v>
      </c>
      <c r="BB49" s="11">
        <f t="shared" si="37"/>
        <v>150</v>
      </c>
      <c r="BC49" s="11">
        <f t="shared" si="37"/>
        <v>0</v>
      </c>
      <c r="BD49" s="11">
        <f t="shared" si="37"/>
        <v>0</v>
      </c>
      <c r="BE49" s="11">
        <f t="shared" si="37"/>
        <v>0</v>
      </c>
      <c r="BF49" s="11">
        <f t="shared" si="37"/>
        <v>0</v>
      </c>
      <c r="BG49" s="11">
        <f t="shared" si="37"/>
        <v>0</v>
      </c>
      <c r="BH49" s="11">
        <f t="shared" si="37"/>
        <v>0</v>
      </c>
      <c r="BI49" s="11">
        <f t="shared" si="37"/>
        <v>0</v>
      </c>
      <c r="BJ49" s="11">
        <f t="shared" si="37"/>
        <v>0</v>
      </c>
      <c r="BK49" s="11">
        <f t="shared" si="37"/>
        <v>0</v>
      </c>
      <c r="BL49" s="11">
        <f t="shared" si="37"/>
        <v>0</v>
      </c>
      <c r="BM49" s="11">
        <f t="shared" si="37"/>
        <v>0</v>
      </c>
      <c r="BN49" s="11">
        <f t="shared" si="37"/>
        <v>0</v>
      </c>
      <c r="BO49" s="11">
        <f t="shared" si="37"/>
        <v>0</v>
      </c>
      <c r="BP49" s="11">
        <f t="shared" si="37"/>
        <v>0</v>
      </c>
      <c r="BQ49" s="11">
        <f t="shared" si="37"/>
        <v>0</v>
      </c>
      <c r="BR49" s="11">
        <f t="shared" si="37"/>
        <v>0</v>
      </c>
      <c r="BS49" s="11">
        <f t="shared" si="37"/>
        <v>0</v>
      </c>
      <c r="BT49" s="11">
        <f t="shared" si="37"/>
        <v>0</v>
      </c>
      <c r="BU49" s="11">
        <f t="shared" si="37"/>
        <v>0</v>
      </c>
      <c r="BV49" s="11">
        <f t="shared" si="37"/>
        <v>0</v>
      </c>
      <c r="BW49" s="11">
        <f t="shared" ref="BW49:CX49" si="38">SUM(BW50)</f>
        <v>0</v>
      </c>
      <c r="BX49" s="11">
        <f t="shared" si="38"/>
        <v>0</v>
      </c>
      <c r="BY49" s="11">
        <f t="shared" si="38"/>
        <v>0</v>
      </c>
      <c r="BZ49" s="11">
        <f t="shared" si="38"/>
        <v>0</v>
      </c>
      <c r="CA49" s="11">
        <f t="shared" si="38"/>
        <v>0</v>
      </c>
      <c r="CB49" s="11">
        <f t="shared" si="38"/>
        <v>15000</v>
      </c>
      <c r="CC49" s="11">
        <f t="shared" si="38"/>
        <v>15000</v>
      </c>
      <c r="CD49" s="11">
        <f t="shared" si="38"/>
        <v>15000</v>
      </c>
      <c r="CE49" s="11">
        <f t="shared" si="38"/>
        <v>0</v>
      </c>
      <c r="CF49" s="11">
        <f t="shared" si="38"/>
        <v>15000</v>
      </c>
      <c r="CG49" s="11">
        <f t="shared" si="38"/>
        <v>0</v>
      </c>
      <c r="CH49" s="11">
        <f t="shared" si="38"/>
        <v>0</v>
      </c>
      <c r="CI49" s="11">
        <f t="shared" si="38"/>
        <v>0</v>
      </c>
      <c r="CJ49" s="11">
        <f t="shared" si="38"/>
        <v>0</v>
      </c>
      <c r="CK49" s="11">
        <f t="shared" si="38"/>
        <v>0</v>
      </c>
      <c r="CL49" s="11">
        <f t="shared" si="38"/>
        <v>0</v>
      </c>
      <c r="CM49" s="11">
        <f t="shared" si="38"/>
        <v>0</v>
      </c>
      <c r="CN49" s="11">
        <f t="shared" si="38"/>
        <v>0</v>
      </c>
      <c r="CO49" s="11">
        <f t="shared" si="38"/>
        <v>0</v>
      </c>
      <c r="CP49" s="11"/>
      <c r="CQ49" s="11">
        <f t="shared" si="38"/>
        <v>0</v>
      </c>
      <c r="CR49" s="11">
        <f t="shared" si="38"/>
        <v>0</v>
      </c>
      <c r="CS49" s="11">
        <f t="shared" si="38"/>
        <v>0</v>
      </c>
      <c r="CT49" s="11">
        <f t="shared" si="38"/>
        <v>0</v>
      </c>
      <c r="CU49" s="11">
        <f t="shared" si="38"/>
        <v>0</v>
      </c>
      <c r="CV49" s="11">
        <f t="shared" si="38"/>
        <v>0</v>
      </c>
      <c r="CW49" s="11">
        <f t="shared" si="38"/>
        <v>0</v>
      </c>
      <c r="CX49" s="12">
        <f t="shared" si="38"/>
        <v>0</v>
      </c>
    </row>
    <row r="50" spans="1:102" ht="31.5" x14ac:dyDescent="0.25">
      <c r="A50" s="13" t="s">
        <v>1</v>
      </c>
      <c r="B50" s="14" t="s">
        <v>1</v>
      </c>
      <c r="C50" s="14" t="s">
        <v>127</v>
      </c>
      <c r="D50" s="15" t="s">
        <v>140</v>
      </c>
      <c r="E50" s="10">
        <f>SUM(F50+CB50+CU50)</f>
        <v>3255341</v>
      </c>
      <c r="F50" s="11">
        <f>SUM(G50+BC50)</f>
        <v>3240341</v>
      </c>
      <c r="G50" s="11">
        <f>SUM(H50+I50+J50+Q50+T50+U50+V50+AF50+AE50)</f>
        <v>3240341</v>
      </c>
      <c r="H50" s="11">
        <f>2163119+115366</f>
        <v>2278485</v>
      </c>
      <c r="I50" s="11">
        <f>519380+28842</f>
        <v>548222</v>
      </c>
      <c r="J50" s="11">
        <f t="shared" si="4"/>
        <v>13278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13278</v>
      </c>
      <c r="Q50" s="11">
        <f t="shared" si="5"/>
        <v>0</v>
      </c>
      <c r="R50" s="11"/>
      <c r="S50" s="11">
        <v>0</v>
      </c>
      <c r="T50" s="11">
        <v>0</v>
      </c>
      <c r="U50" s="11">
        <v>108762</v>
      </c>
      <c r="V50" s="11">
        <f>SUM(W50:AD50)</f>
        <v>263939</v>
      </c>
      <c r="W50" s="16">
        <v>8045</v>
      </c>
      <c r="X50" s="16">
        <v>16795</v>
      </c>
      <c r="Y50" s="16">
        <v>10684</v>
      </c>
      <c r="Z50" s="16">
        <v>3125</v>
      </c>
      <c r="AA50" s="16">
        <v>1805</v>
      </c>
      <c r="AB50" s="16">
        <v>223485</v>
      </c>
      <c r="AC50" s="16"/>
      <c r="AD50" s="16"/>
      <c r="AE50" s="11">
        <v>0</v>
      </c>
      <c r="AF50" s="11">
        <f>SUM(AG50:BB50)</f>
        <v>27655</v>
      </c>
      <c r="AG50" s="11">
        <v>0</v>
      </c>
      <c r="AH50" s="11"/>
      <c r="AI50" s="16">
        <v>4373</v>
      </c>
      <c r="AJ50" s="16">
        <v>19983</v>
      </c>
      <c r="AK50" s="16"/>
      <c r="AL50" s="16">
        <v>3000</v>
      </c>
      <c r="AM50" s="16"/>
      <c r="AN50" s="16">
        <v>149</v>
      </c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>
        <v>150</v>
      </c>
      <c r="BC50" s="11">
        <f>SUM(BD50+BH50+BL50+BM50+BN50+BP50)</f>
        <v>0</v>
      </c>
      <c r="BD50" s="11">
        <f>SUM(BE50:BG50)</f>
        <v>0</v>
      </c>
      <c r="BE50" s="11">
        <v>0</v>
      </c>
      <c r="BF50" s="11">
        <v>0</v>
      </c>
      <c r="BG50" s="11">
        <v>0</v>
      </c>
      <c r="BH50" s="11">
        <f t="shared" si="6"/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f t="shared" si="7"/>
        <v>0</v>
      </c>
      <c r="BO50" s="11">
        <v>0</v>
      </c>
      <c r="BP50" s="11">
        <f t="shared" si="8"/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f>SUM(CC50+CT50)</f>
        <v>15000</v>
      </c>
      <c r="CC50" s="11">
        <f>SUM(CD50+CG50+CL50)</f>
        <v>15000</v>
      </c>
      <c r="CD50" s="11">
        <f t="shared" si="9"/>
        <v>15000</v>
      </c>
      <c r="CE50" s="11">
        <v>0</v>
      </c>
      <c r="CF50" s="11">
        <v>15000</v>
      </c>
      <c r="CG50" s="11">
        <f>SUM(CH50:CK50)</f>
        <v>0</v>
      </c>
      <c r="CH50" s="11">
        <v>0</v>
      </c>
      <c r="CI50" s="11">
        <v>0</v>
      </c>
      <c r="CJ50" s="11">
        <v>0</v>
      </c>
      <c r="CK50" s="11">
        <v>0</v>
      </c>
      <c r="CL50" s="11">
        <f>SUM(CM50:CQ50)</f>
        <v>0</v>
      </c>
      <c r="CM50" s="11">
        <v>0</v>
      </c>
      <c r="CN50" s="11">
        <v>0</v>
      </c>
      <c r="CO50" s="11">
        <v>0</v>
      </c>
      <c r="CP50" s="11"/>
      <c r="CQ50" s="11">
        <v>0</v>
      </c>
      <c r="CR50" s="11">
        <v>0</v>
      </c>
      <c r="CS50" s="11">
        <v>0</v>
      </c>
      <c r="CT50" s="11">
        <v>0</v>
      </c>
      <c r="CU50" s="11">
        <f t="shared" si="10"/>
        <v>0</v>
      </c>
      <c r="CV50" s="11">
        <f t="shared" si="11"/>
        <v>0</v>
      </c>
      <c r="CW50" s="11">
        <v>0</v>
      </c>
      <c r="CX50" s="12">
        <v>0</v>
      </c>
    </row>
    <row r="51" spans="1:102" ht="31.5" x14ac:dyDescent="0.25">
      <c r="A51" s="7"/>
      <c r="B51" s="8" t="s">
        <v>141</v>
      </c>
      <c r="C51" s="8" t="s">
        <v>1</v>
      </c>
      <c r="D51" s="9" t="s">
        <v>142</v>
      </c>
      <c r="E51" s="10">
        <f t="shared" ref="E51:AL51" si="39">SUM(E52)</f>
        <v>10236959</v>
      </c>
      <c r="F51" s="11">
        <f t="shared" si="39"/>
        <v>9816868</v>
      </c>
      <c r="G51" s="11">
        <f t="shared" si="39"/>
        <v>9799232</v>
      </c>
      <c r="H51" s="11">
        <f t="shared" si="39"/>
        <v>5396040</v>
      </c>
      <c r="I51" s="11">
        <f t="shared" si="39"/>
        <v>1383449</v>
      </c>
      <c r="J51" s="11">
        <f t="shared" si="39"/>
        <v>561096</v>
      </c>
      <c r="K51" s="11">
        <f t="shared" si="39"/>
        <v>450</v>
      </c>
      <c r="L51" s="11">
        <f t="shared" si="39"/>
        <v>0</v>
      </c>
      <c r="M51" s="11">
        <f t="shared" si="39"/>
        <v>0</v>
      </c>
      <c r="N51" s="11">
        <f t="shared" si="39"/>
        <v>0</v>
      </c>
      <c r="O51" s="11">
        <f t="shared" si="39"/>
        <v>378490</v>
      </c>
      <c r="P51" s="11">
        <f t="shared" si="39"/>
        <v>182156</v>
      </c>
      <c r="Q51" s="11">
        <f t="shared" si="39"/>
        <v>460994</v>
      </c>
      <c r="R51" s="11">
        <f t="shared" si="39"/>
        <v>0</v>
      </c>
      <c r="S51" s="11">
        <f t="shared" si="39"/>
        <v>460994</v>
      </c>
      <c r="T51" s="11">
        <f t="shared" si="39"/>
        <v>0</v>
      </c>
      <c r="U51" s="11">
        <f t="shared" si="39"/>
        <v>333465</v>
      </c>
      <c r="V51" s="11">
        <f t="shared" si="39"/>
        <v>564722</v>
      </c>
      <c r="W51" s="11">
        <f t="shared" si="39"/>
        <v>109851</v>
      </c>
      <c r="X51" s="11">
        <f t="shared" si="39"/>
        <v>234331</v>
      </c>
      <c r="Y51" s="11">
        <f t="shared" si="39"/>
        <v>161230</v>
      </c>
      <c r="Z51" s="11">
        <f t="shared" si="39"/>
        <v>42488</v>
      </c>
      <c r="AA51" s="11">
        <f t="shared" si="39"/>
        <v>16822</v>
      </c>
      <c r="AB51" s="11">
        <f t="shared" si="39"/>
        <v>0</v>
      </c>
      <c r="AC51" s="11">
        <f t="shared" si="39"/>
        <v>0</v>
      </c>
      <c r="AD51" s="11">
        <f t="shared" si="39"/>
        <v>0</v>
      </c>
      <c r="AE51" s="11">
        <f t="shared" si="39"/>
        <v>0</v>
      </c>
      <c r="AF51" s="11">
        <f t="shared" si="39"/>
        <v>1099466</v>
      </c>
      <c r="AG51" s="11">
        <f t="shared" si="39"/>
        <v>0</v>
      </c>
      <c r="AH51" s="11">
        <f t="shared" si="39"/>
        <v>0</v>
      </c>
      <c r="AI51" s="11">
        <f t="shared" si="39"/>
        <v>27184</v>
      </c>
      <c r="AJ51" s="11">
        <f t="shared" si="39"/>
        <v>570015</v>
      </c>
      <c r="AK51" s="11">
        <f t="shared" si="39"/>
        <v>0</v>
      </c>
      <c r="AL51" s="11">
        <f t="shared" si="39"/>
        <v>2308</v>
      </c>
      <c r="AM51" s="11">
        <f t="shared" ref="AM51:CX51" si="40">SUM(AM52)</f>
        <v>20166</v>
      </c>
      <c r="AN51" s="11">
        <f t="shared" si="40"/>
        <v>46750</v>
      </c>
      <c r="AO51" s="11">
        <f t="shared" si="40"/>
        <v>0</v>
      </c>
      <c r="AP51" s="11">
        <f t="shared" si="40"/>
        <v>277213</v>
      </c>
      <c r="AQ51" s="11">
        <f t="shared" si="40"/>
        <v>0</v>
      </c>
      <c r="AR51" s="11">
        <f t="shared" si="40"/>
        <v>0</v>
      </c>
      <c r="AS51" s="11">
        <f t="shared" si="40"/>
        <v>0</v>
      </c>
      <c r="AT51" s="11">
        <f t="shared" si="40"/>
        <v>0</v>
      </c>
      <c r="AU51" s="11">
        <f t="shared" si="40"/>
        <v>13596</v>
      </c>
      <c r="AV51" s="11"/>
      <c r="AW51" s="11"/>
      <c r="AX51" s="11">
        <f t="shared" si="40"/>
        <v>0</v>
      </c>
      <c r="AY51" s="11">
        <f t="shared" si="40"/>
        <v>0</v>
      </c>
      <c r="AZ51" s="11">
        <f t="shared" si="40"/>
        <v>0</v>
      </c>
      <c r="BA51" s="11">
        <f t="shared" si="40"/>
        <v>43920</v>
      </c>
      <c r="BB51" s="11">
        <f t="shared" si="40"/>
        <v>98314</v>
      </c>
      <c r="BC51" s="11">
        <f t="shared" si="40"/>
        <v>17636</v>
      </c>
      <c r="BD51" s="11">
        <f t="shared" si="40"/>
        <v>0</v>
      </c>
      <c r="BE51" s="11">
        <f t="shared" si="40"/>
        <v>0</v>
      </c>
      <c r="BF51" s="11">
        <f t="shared" si="40"/>
        <v>0</v>
      </c>
      <c r="BG51" s="11">
        <f t="shared" si="40"/>
        <v>0</v>
      </c>
      <c r="BH51" s="11">
        <f t="shared" si="40"/>
        <v>0</v>
      </c>
      <c r="BI51" s="11">
        <f t="shared" si="40"/>
        <v>0</v>
      </c>
      <c r="BJ51" s="11">
        <f t="shared" si="40"/>
        <v>0</v>
      </c>
      <c r="BK51" s="11">
        <f t="shared" si="40"/>
        <v>0</v>
      </c>
      <c r="BL51" s="11">
        <f t="shared" si="40"/>
        <v>0</v>
      </c>
      <c r="BM51" s="11">
        <f t="shared" si="40"/>
        <v>0</v>
      </c>
      <c r="BN51" s="11">
        <f t="shared" si="40"/>
        <v>0</v>
      </c>
      <c r="BO51" s="11">
        <f t="shared" si="40"/>
        <v>0</v>
      </c>
      <c r="BP51" s="11">
        <f t="shared" si="40"/>
        <v>17636</v>
      </c>
      <c r="BQ51" s="11">
        <f t="shared" si="40"/>
        <v>0</v>
      </c>
      <c r="BR51" s="11">
        <f t="shared" si="40"/>
        <v>0</v>
      </c>
      <c r="BS51" s="11">
        <f t="shared" si="40"/>
        <v>0</v>
      </c>
      <c r="BT51" s="11">
        <f t="shared" si="40"/>
        <v>0</v>
      </c>
      <c r="BU51" s="11">
        <f t="shared" si="40"/>
        <v>0</v>
      </c>
      <c r="BV51" s="11">
        <f t="shared" si="40"/>
        <v>0</v>
      </c>
      <c r="BW51" s="11">
        <f t="shared" si="40"/>
        <v>0</v>
      </c>
      <c r="BX51" s="11">
        <f t="shared" si="40"/>
        <v>0</v>
      </c>
      <c r="BY51" s="11">
        <f t="shared" si="40"/>
        <v>0</v>
      </c>
      <c r="BZ51" s="11">
        <f t="shared" si="40"/>
        <v>17636</v>
      </c>
      <c r="CA51" s="11">
        <f t="shared" si="40"/>
        <v>0</v>
      </c>
      <c r="CB51" s="11">
        <f t="shared" si="40"/>
        <v>420091</v>
      </c>
      <c r="CC51" s="11">
        <f t="shared" si="40"/>
        <v>420091</v>
      </c>
      <c r="CD51" s="11">
        <f t="shared" si="40"/>
        <v>250000</v>
      </c>
      <c r="CE51" s="11">
        <f t="shared" si="40"/>
        <v>0</v>
      </c>
      <c r="CF51" s="11">
        <f t="shared" si="40"/>
        <v>250000</v>
      </c>
      <c r="CG51" s="11">
        <f t="shared" si="40"/>
        <v>0</v>
      </c>
      <c r="CH51" s="11">
        <f t="shared" si="40"/>
        <v>0</v>
      </c>
      <c r="CI51" s="11">
        <f t="shared" si="40"/>
        <v>0</v>
      </c>
      <c r="CJ51" s="11">
        <f t="shared" si="40"/>
        <v>0</v>
      </c>
      <c r="CK51" s="11">
        <f t="shared" si="40"/>
        <v>0</v>
      </c>
      <c r="CL51" s="11">
        <f t="shared" si="40"/>
        <v>170091</v>
      </c>
      <c r="CM51" s="11">
        <f t="shared" si="40"/>
        <v>0</v>
      </c>
      <c r="CN51" s="11">
        <f t="shared" si="40"/>
        <v>0</v>
      </c>
      <c r="CO51" s="11">
        <f t="shared" si="40"/>
        <v>170091</v>
      </c>
      <c r="CP51" s="11"/>
      <c r="CQ51" s="11">
        <f t="shared" si="40"/>
        <v>0</v>
      </c>
      <c r="CR51" s="11">
        <f t="shared" si="40"/>
        <v>0</v>
      </c>
      <c r="CS51" s="11">
        <f t="shared" si="40"/>
        <v>0</v>
      </c>
      <c r="CT51" s="11">
        <f t="shared" si="40"/>
        <v>0</v>
      </c>
      <c r="CU51" s="11">
        <f t="shared" si="40"/>
        <v>0</v>
      </c>
      <c r="CV51" s="11">
        <f t="shared" si="40"/>
        <v>0</v>
      </c>
      <c r="CW51" s="11">
        <f t="shared" si="40"/>
        <v>0</v>
      </c>
      <c r="CX51" s="12">
        <f t="shared" si="40"/>
        <v>0</v>
      </c>
    </row>
    <row r="52" spans="1:102" ht="15.75" x14ac:dyDescent="0.25">
      <c r="A52" s="13" t="s">
        <v>1</v>
      </c>
      <c r="B52" s="14" t="s">
        <v>1</v>
      </c>
      <c r="C52" s="14" t="s">
        <v>143</v>
      </c>
      <c r="D52" s="15" t="s">
        <v>144</v>
      </c>
      <c r="E52" s="10">
        <f>SUM(F52+CB52+CU52)</f>
        <v>10236959</v>
      </c>
      <c r="F52" s="11">
        <f>SUM(G52+BC52)</f>
        <v>9816868</v>
      </c>
      <c r="G52" s="11">
        <f>SUM(H52+I52+J52+Q52+T52+U52+V52+AF52+AE52)</f>
        <v>9799232</v>
      </c>
      <c r="H52" s="16">
        <f>5122823+273217</f>
        <v>5396040</v>
      </c>
      <c r="I52" s="16">
        <f>1315145+68304</f>
        <v>1383449</v>
      </c>
      <c r="J52" s="11">
        <f t="shared" si="4"/>
        <v>561096</v>
      </c>
      <c r="K52" s="11">
        <v>450</v>
      </c>
      <c r="L52" s="11">
        <v>0</v>
      </c>
      <c r="M52" s="11">
        <v>0</v>
      </c>
      <c r="N52" s="11">
        <v>0</v>
      </c>
      <c r="O52" s="11">
        <v>378490</v>
      </c>
      <c r="P52" s="11">
        <v>182156</v>
      </c>
      <c r="Q52" s="11">
        <f t="shared" si="5"/>
        <v>460994</v>
      </c>
      <c r="R52" s="11">
        <v>0</v>
      </c>
      <c r="S52" s="11">
        <v>460994</v>
      </c>
      <c r="T52" s="11">
        <v>0</v>
      </c>
      <c r="U52" s="11">
        <v>333465</v>
      </c>
      <c r="V52" s="11">
        <f>SUM(W52:AD52)</f>
        <v>564722</v>
      </c>
      <c r="W52" s="16">
        <v>109851</v>
      </c>
      <c r="X52" s="16">
        <v>234331</v>
      </c>
      <c r="Y52" s="16">
        <v>161230</v>
      </c>
      <c r="Z52" s="16">
        <v>42488</v>
      </c>
      <c r="AA52" s="16">
        <v>16822</v>
      </c>
      <c r="AB52" s="16"/>
      <c r="AC52" s="16"/>
      <c r="AD52" s="16"/>
      <c r="AE52" s="11">
        <v>0</v>
      </c>
      <c r="AF52" s="11">
        <f>SUM(AG52:BB52)</f>
        <v>1099466</v>
      </c>
      <c r="AG52" s="11">
        <v>0</v>
      </c>
      <c r="AH52" s="11"/>
      <c r="AI52" s="16">
        <v>27184</v>
      </c>
      <c r="AJ52" s="16">
        <v>570015</v>
      </c>
      <c r="AK52" s="16"/>
      <c r="AL52" s="16">
        <v>2308</v>
      </c>
      <c r="AM52" s="16">
        <v>20166</v>
      </c>
      <c r="AN52" s="16">
        <v>46750</v>
      </c>
      <c r="AO52" s="16"/>
      <c r="AP52" s="16">
        <v>277213</v>
      </c>
      <c r="AQ52" s="16"/>
      <c r="AR52" s="16"/>
      <c r="AS52" s="16"/>
      <c r="AT52" s="16"/>
      <c r="AU52" s="16">
        <v>13596</v>
      </c>
      <c r="AV52" s="16"/>
      <c r="AW52" s="16"/>
      <c r="AX52" s="16"/>
      <c r="AY52" s="16"/>
      <c r="AZ52" s="16"/>
      <c r="BA52" s="16">
        <v>43920</v>
      </c>
      <c r="BB52" s="16">
        <v>98314</v>
      </c>
      <c r="BC52" s="11">
        <f>SUM(BD52+BH52+BL52+BM52+BN52+BP52)</f>
        <v>17636</v>
      </c>
      <c r="BD52" s="11">
        <f>SUM(BE52:BG52)</f>
        <v>0</v>
      </c>
      <c r="BE52" s="11">
        <v>0</v>
      </c>
      <c r="BF52" s="11">
        <v>0</v>
      </c>
      <c r="BG52" s="11">
        <v>0</v>
      </c>
      <c r="BH52" s="11">
        <f t="shared" si="6"/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f t="shared" si="7"/>
        <v>0</v>
      </c>
      <c r="BO52" s="11">
        <v>0</v>
      </c>
      <c r="BP52" s="11">
        <f t="shared" si="8"/>
        <v>17636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17636</v>
      </c>
      <c r="CA52" s="11">
        <v>0</v>
      </c>
      <c r="CB52" s="11">
        <f>SUM(CC52+CT52)</f>
        <v>420091</v>
      </c>
      <c r="CC52" s="11">
        <f>SUM(CD52+CG52+CL52)</f>
        <v>420091</v>
      </c>
      <c r="CD52" s="11">
        <f t="shared" si="9"/>
        <v>250000</v>
      </c>
      <c r="CE52" s="11">
        <v>0</v>
      </c>
      <c r="CF52" s="11">
        <v>250000</v>
      </c>
      <c r="CG52" s="11">
        <f>SUM(CH52:CK52)</f>
        <v>0</v>
      </c>
      <c r="CH52" s="11">
        <v>0</v>
      </c>
      <c r="CI52" s="11">
        <v>0</v>
      </c>
      <c r="CJ52" s="11">
        <v>0</v>
      </c>
      <c r="CK52" s="11">
        <v>0</v>
      </c>
      <c r="CL52" s="11">
        <f>SUM(CM52:CQ52)</f>
        <v>170091</v>
      </c>
      <c r="CM52" s="11">
        <v>0</v>
      </c>
      <c r="CN52" s="11"/>
      <c r="CO52" s="11">
        <v>170091</v>
      </c>
      <c r="CP52" s="11"/>
      <c r="CQ52" s="11">
        <v>0</v>
      </c>
      <c r="CR52" s="11">
        <v>0</v>
      </c>
      <c r="CS52" s="11">
        <v>0</v>
      </c>
      <c r="CT52" s="11">
        <v>0</v>
      </c>
      <c r="CU52" s="11">
        <f t="shared" si="10"/>
        <v>0</v>
      </c>
      <c r="CV52" s="11">
        <f t="shared" si="11"/>
        <v>0</v>
      </c>
      <c r="CW52" s="11">
        <v>0</v>
      </c>
      <c r="CX52" s="12">
        <v>0</v>
      </c>
    </row>
    <row r="53" spans="1:102" ht="15.75" x14ac:dyDescent="0.25">
      <c r="A53" s="18" t="s">
        <v>145</v>
      </c>
      <c r="B53" s="19" t="s">
        <v>1</v>
      </c>
      <c r="C53" s="19" t="s">
        <v>1</v>
      </c>
      <c r="D53" s="20" t="s">
        <v>146</v>
      </c>
      <c r="E53" s="21">
        <f>SUM(E54+E56+E58+E60+E62)</f>
        <v>49759145</v>
      </c>
      <c r="F53" s="22">
        <f t="shared" ref="F53:BV53" si="41">SUM(F54+F56+F58+F60+F62)</f>
        <v>49203571</v>
      </c>
      <c r="G53" s="22">
        <f t="shared" si="41"/>
        <v>49164080</v>
      </c>
      <c r="H53" s="22">
        <f t="shared" si="41"/>
        <v>39918804</v>
      </c>
      <c r="I53" s="22">
        <f t="shared" si="41"/>
        <v>4392219</v>
      </c>
      <c r="J53" s="22">
        <f t="shared" si="41"/>
        <v>1430428</v>
      </c>
      <c r="K53" s="22">
        <f t="shared" si="41"/>
        <v>0</v>
      </c>
      <c r="L53" s="22">
        <f t="shared" si="41"/>
        <v>0</v>
      </c>
      <c r="M53" s="22">
        <f t="shared" si="41"/>
        <v>0</v>
      </c>
      <c r="N53" s="22">
        <f t="shared" si="41"/>
        <v>0</v>
      </c>
      <c r="O53" s="22">
        <f t="shared" si="41"/>
        <v>1021211</v>
      </c>
      <c r="P53" s="22">
        <f t="shared" si="41"/>
        <v>409217</v>
      </c>
      <c r="Q53" s="22">
        <f t="shared" si="41"/>
        <v>1140</v>
      </c>
      <c r="R53" s="22">
        <f t="shared" si="41"/>
        <v>1140</v>
      </c>
      <c r="S53" s="22">
        <f t="shared" si="41"/>
        <v>0</v>
      </c>
      <c r="T53" s="22">
        <f t="shared" si="41"/>
        <v>0</v>
      </c>
      <c r="U53" s="22">
        <f t="shared" si="41"/>
        <v>1004240</v>
      </c>
      <c r="V53" s="22">
        <f t="shared" si="41"/>
        <v>557640</v>
      </c>
      <c r="W53" s="22">
        <f t="shared" si="41"/>
        <v>89517</v>
      </c>
      <c r="X53" s="22">
        <f t="shared" si="41"/>
        <v>159834</v>
      </c>
      <c r="Y53" s="22">
        <f t="shared" si="41"/>
        <v>208680</v>
      </c>
      <c r="Z53" s="22">
        <f t="shared" si="41"/>
        <v>44716</v>
      </c>
      <c r="AA53" s="22">
        <f t="shared" si="41"/>
        <v>9659</v>
      </c>
      <c r="AB53" s="22">
        <f t="shared" si="41"/>
        <v>0</v>
      </c>
      <c r="AC53" s="22">
        <f t="shared" si="41"/>
        <v>0</v>
      </c>
      <c r="AD53" s="22">
        <f t="shared" si="41"/>
        <v>45234</v>
      </c>
      <c r="AE53" s="22">
        <f t="shared" si="41"/>
        <v>0</v>
      </c>
      <c r="AF53" s="22">
        <f t="shared" si="41"/>
        <v>1859609</v>
      </c>
      <c r="AG53" s="22">
        <f t="shared" si="41"/>
        <v>0</v>
      </c>
      <c r="AH53" s="22">
        <f t="shared" si="41"/>
        <v>0</v>
      </c>
      <c r="AI53" s="22">
        <f t="shared" si="41"/>
        <v>25237</v>
      </c>
      <c r="AJ53" s="22">
        <f t="shared" si="41"/>
        <v>58207</v>
      </c>
      <c r="AK53" s="22">
        <f t="shared" si="41"/>
        <v>0</v>
      </c>
      <c r="AL53" s="22">
        <f t="shared" si="41"/>
        <v>14775</v>
      </c>
      <c r="AM53" s="22">
        <f t="shared" si="41"/>
        <v>4230</v>
      </c>
      <c r="AN53" s="22">
        <f t="shared" si="41"/>
        <v>42752</v>
      </c>
      <c r="AO53" s="22">
        <f t="shared" si="41"/>
        <v>89568</v>
      </c>
      <c r="AP53" s="22">
        <f t="shared" si="41"/>
        <v>166064</v>
      </c>
      <c r="AQ53" s="22">
        <f t="shared" si="41"/>
        <v>15984</v>
      </c>
      <c r="AR53" s="22">
        <f>SUM(AR54+AR56+AR58+AR60+AR62)</f>
        <v>0</v>
      </c>
      <c r="AS53" s="22">
        <f t="shared" si="41"/>
        <v>0</v>
      </c>
      <c r="AT53" s="22">
        <f t="shared" si="41"/>
        <v>749921</v>
      </c>
      <c r="AU53" s="22">
        <f t="shared" si="41"/>
        <v>735</v>
      </c>
      <c r="AV53" s="22">
        <f t="shared" si="41"/>
        <v>524239</v>
      </c>
      <c r="AW53" s="22"/>
      <c r="AX53" s="22">
        <f t="shared" si="41"/>
        <v>0</v>
      </c>
      <c r="AY53" s="22">
        <f t="shared" si="41"/>
        <v>0</v>
      </c>
      <c r="AZ53" s="22">
        <f t="shared" si="41"/>
        <v>0</v>
      </c>
      <c r="BA53" s="22">
        <f t="shared" si="41"/>
        <v>122687</v>
      </c>
      <c r="BB53" s="22">
        <f t="shared" si="41"/>
        <v>45210</v>
      </c>
      <c r="BC53" s="22">
        <f t="shared" si="41"/>
        <v>39491</v>
      </c>
      <c r="BD53" s="22">
        <f t="shared" si="41"/>
        <v>0</v>
      </c>
      <c r="BE53" s="22">
        <f t="shared" si="41"/>
        <v>0</v>
      </c>
      <c r="BF53" s="22">
        <f t="shared" si="41"/>
        <v>0</v>
      </c>
      <c r="BG53" s="22">
        <f t="shared" si="41"/>
        <v>0</v>
      </c>
      <c r="BH53" s="22">
        <f t="shared" si="41"/>
        <v>0</v>
      </c>
      <c r="BI53" s="22">
        <f t="shared" si="41"/>
        <v>0</v>
      </c>
      <c r="BJ53" s="22">
        <f t="shared" si="41"/>
        <v>0</v>
      </c>
      <c r="BK53" s="22">
        <f t="shared" si="41"/>
        <v>0</v>
      </c>
      <c r="BL53" s="22">
        <f t="shared" si="41"/>
        <v>0</v>
      </c>
      <c r="BM53" s="22">
        <f t="shared" si="41"/>
        <v>0</v>
      </c>
      <c r="BN53" s="22">
        <f t="shared" si="41"/>
        <v>0</v>
      </c>
      <c r="BO53" s="22">
        <f t="shared" si="41"/>
        <v>0</v>
      </c>
      <c r="BP53" s="22">
        <f t="shared" si="41"/>
        <v>39491</v>
      </c>
      <c r="BQ53" s="22">
        <f t="shared" si="41"/>
        <v>0</v>
      </c>
      <c r="BR53" s="22">
        <f t="shared" si="41"/>
        <v>0</v>
      </c>
      <c r="BS53" s="22">
        <f t="shared" si="41"/>
        <v>0</v>
      </c>
      <c r="BT53" s="22">
        <f t="shared" si="41"/>
        <v>0</v>
      </c>
      <c r="BU53" s="22">
        <f t="shared" si="41"/>
        <v>0</v>
      </c>
      <c r="BV53" s="22">
        <f t="shared" si="41"/>
        <v>0</v>
      </c>
      <c r="BW53" s="22">
        <f t="shared" ref="BW53:CX53" si="42">SUM(BW54+BW56+BW58+BW60+BW62)</f>
        <v>0</v>
      </c>
      <c r="BX53" s="22">
        <f t="shared" si="42"/>
        <v>0</v>
      </c>
      <c r="BY53" s="22">
        <f t="shared" si="42"/>
        <v>0</v>
      </c>
      <c r="BZ53" s="22">
        <f t="shared" si="42"/>
        <v>39491</v>
      </c>
      <c r="CA53" s="22">
        <f t="shared" si="42"/>
        <v>0</v>
      </c>
      <c r="CB53" s="22">
        <f t="shared" si="42"/>
        <v>555574</v>
      </c>
      <c r="CC53" s="22">
        <f t="shared" si="42"/>
        <v>555574</v>
      </c>
      <c r="CD53" s="22">
        <f t="shared" si="42"/>
        <v>555544</v>
      </c>
      <c r="CE53" s="22">
        <f t="shared" si="42"/>
        <v>0</v>
      </c>
      <c r="CF53" s="22">
        <f t="shared" si="42"/>
        <v>555544</v>
      </c>
      <c r="CG53" s="22">
        <f t="shared" si="42"/>
        <v>0</v>
      </c>
      <c r="CH53" s="22">
        <f t="shared" si="42"/>
        <v>0</v>
      </c>
      <c r="CI53" s="22">
        <f t="shared" si="42"/>
        <v>0</v>
      </c>
      <c r="CJ53" s="22">
        <f t="shared" si="42"/>
        <v>0</v>
      </c>
      <c r="CK53" s="22">
        <f t="shared" si="42"/>
        <v>0</v>
      </c>
      <c r="CL53" s="22">
        <f t="shared" si="42"/>
        <v>30</v>
      </c>
      <c r="CM53" s="22">
        <f t="shared" si="42"/>
        <v>0</v>
      </c>
      <c r="CN53" s="22">
        <f t="shared" si="42"/>
        <v>0</v>
      </c>
      <c r="CO53" s="22">
        <f t="shared" si="42"/>
        <v>30</v>
      </c>
      <c r="CP53" s="22"/>
      <c r="CQ53" s="22">
        <f t="shared" si="42"/>
        <v>0</v>
      </c>
      <c r="CR53" s="22">
        <f t="shared" si="42"/>
        <v>0</v>
      </c>
      <c r="CS53" s="22">
        <f t="shared" si="42"/>
        <v>0</v>
      </c>
      <c r="CT53" s="22">
        <f t="shared" si="42"/>
        <v>0</v>
      </c>
      <c r="CU53" s="22">
        <f t="shared" si="42"/>
        <v>0</v>
      </c>
      <c r="CV53" s="22">
        <f t="shared" si="42"/>
        <v>0</v>
      </c>
      <c r="CW53" s="22">
        <f t="shared" si="42"/>
        <v>0</v>
      </c>
      <c r="CX53" s="23">
        <f t="shared" si="42"/>
        <v>0</v>
      </c>
    </row>
    <row r="54" spans="1:102" ht="15.75" x14ac:dyDescent="0.25">
      <c r="A54" s="7"/>
      <c r="B54" s="8" t="s">
        <v>147</v>
      </c>
      <c r="C54" s="8" t="s">
        <v>1</v>
      </c>
      <c r="D54" s="9" t="s">
        <v>148</v>
      </c>
      <c r="E54" s="10">
        <f t="shared" ref="E54:BS54" si="43">SUM(E55)</f>
        <v>4245966</v>
      </c>
      <c r="F54" s="11">
        <f t="shared" si="43"/>
        <v>4158286</v>
      </c>
      <c r="G54" s="11">
        <f t="shared" si="43"/>
        <v>4146400</v>
      </c>
      <c r="H54" s="11">
        <f t="shared" si="43"/>
        <v>3300399</v>
      </c>
      <c r="I54" s="11">
        <f t="shared" si="43"/>
        <v>451693</v>
      </c>
      <c r="J54" s="11">
        <f t="shared" si="43"/>
        <v>86788</v>
      </c>
      <c r="K54" s="11">
        <f t="shared" si="43"/>
        <v>0</v>
      </c>
      <c r="L54" s="11">
        <f t="shared" si="43"/>
        <v>0</v>
      </c>
      <c r="M54" s="11">
        <f t="shared" si="43"/>
        <v>0</v>
      </c>
      <c r="N54" s="11">
        <f t="shared" si="43"/>
        <v>0</v>
      </c>
      <c r="O54" s="11">
        <f t="shared" si="43"/>
        <v>72559</v>
      </c>
      <c r="P54" s="11">
        <f t="shared" si="43"/>
        <v>14229</v>
      </c>
      <c r="Q54" s="11">
        <f t="shared" si="43"/>
        <v>0</v>
      </c>
      <c r="R54" s="11">
        <f t="shared" si="43"/>
        <v>0</v>
      </c>
      <c r="S54" s="11">
        <f t="shared" si="43"/>
        <v>0</v>
      </c>
      <c r="T54" s="11">
        <f t="shared" si="43"/>
        <v>0</v>
      </c>
      <c r="U54" s="11">
        <f t="shared" si="43"/>
        <v>109399</v>
      </c>
      <c r="V54" s="11">
        <f t="shared" si="43"/>
        <v>99511</v>
      </c>
      <c r="W54" s="11">
        <f t="shared" si="43"/>
        <v>27758</v>
      </c>
      <c r="X54" s="11">
        <f t="shared" si="43"/>
        <v>0</v>
      </c>
      <c r="Y54" s="11">
        <f t="shared" si="43"/>
        <v>53384</v>
      </c>
      <c r="Z54" s="11">
        <f t="shared" si="43"/>
        <v>7163</v>
      </c>
      <c r="AA54" s="11">
        <f t="shared" si="43"/>
        <v>1011</v>
      </c>
      <c r="AB54" s="11">
        <f t="shared" si="43"/>
        <v>0</v>
      </c>
      <c r="AC54" s="11">
        <f t="shared" si="43"/>
        <v>0</v>
      </c>
      <c r="AD54" s="11">
        <f t="shared" si="43"/>
        <v>10195</v>
      </c>
      <c r="AE54" s="11">
        <f t="shared" si="43"/>
        <v>0</v>
      </c>
      <c r="AF54" s="11">
        <f t="shared" si="43"/>
        <v>98610</v>
      </c>
      <c r="AG54" s="11">
        <f t="shared" si="43"/>
        <v>0</v>
      </c>
      <c r="AH54" s="11">
        <f t="shared" si="43"/>
        <v>0</v>
      </c>
      <c r="AI54" s="11">
        <f t="shared" si="43"/>
        <v>651</v>
      </c>
      <c r="AJ54" s="11">
        <f t="shared" si="43"/>
        <v>2464</v>
      </c>
      <c r="AK54" s="11">
        <f t="shared" si="43"/>
        <v>0</v>
      </c>
      <c r="AL54" s="11">
        <f t="shared" si="43"/>
        <v>0</v>
      </c>
      <c r="AM54" s="11">
        <f t="shared" si="43"/>
        <v>0</v>
      </c>
      <c r="AN54" s="11">
        <f t="shared" si="43"/>
        <v>202</v>
      </c>
      <c r="AO54" s="11">
        <f t="shared" si="43"/>
        <v>10125</v>
      </c>
      <c r="AP54" s="11">
        <f t="shared" si="43"/>
        <v>69646</v>
      </c>
      <c r="AQ54" s="11">
        <f t="shared" si="43"/>
        <v>0</v>
      </c>
      <c r="AR54" s="11">
        <f t="shared" si="43"/>
        <v>0</v>
      </c>
      <c r="AS54" s="11">
        <f t="shared" si="43"/>
        <v>0</v>
      </c>
      <c r="AT54" s="11">
        <f t="shared" si="43"/>
        <v>15522</v>
      </c>
      <c r="AU54" s="11">
        <f t="shared" si="43"/>
        <v>0</v>
      </c>
      <c r="AV54" s="11"/>
      <c r="AW54" s="11"/>
      <c r="AX54" s="11">
        <f t="shared" si="43"/>
        <v>0</v>
      </c>
      <c r="AY54" s="11">
        <f t="shared" si="43"/>
        <v>0</v>
      </c>
      <c r="AZ54" s="11">
        <f t="shared" si="43"/>
        <v>0</v>
      </c>
      <c r="BA54" s="11">
        <f t="shared" si="43"/>
        <v>0</v>
      </c>
      <c r="BB54" s="11">
        <f t="shared" si="43"/>
        <v>0</v>
      </c>
      <c r="BC54" s="11">
        <f t="shared" si="43"/>
        <v>11886</v>
      </c>
      <c r="BD54" s="11">
        <f t="shared" si="43"/>
        <v>0</v>
      </c>
      <c r="BE54" s="11">
        <f t="shared" si="43"/>
        <v>0</v>
      </c>
      <c r="BF54" s="11">
        <f t="shared" si="43"/>
        <v>0</v>
      </c>
      <c r="BG54" s="11">
        <f t="shared" si="43"/>
        <v>0</v>
      </c>
      <c r="BH54" s="11">
        <f t="shared" si="43"/>
        <v>0</v>
      </c>
      <c r="BI54" s="11">
        <f t="shared" si="43"/>
        <v>0</v>
      </c>
      <c r="BJ54" s="11">
        <f t="shared" si="43"/>
        <v>0</v>
      </c>
      <c r="BK54" s="11">
        <f t="shared" si="43"/>
        <v>0</v>
      </c>
      <c r="BL54" s="11">
        <f t="shared" si="43"/>
        <v>0</v>
      </c>
      <c r="BM54" s="11">
        <f t="shared" si="43"/>
        <v>0</v>
      </c>
      <c r="BN54" s="11">
        <f t="shared" si="43"/>
        <v>0</v>
      </c>
      <c r="BO54" s="11">
        <f t="shared" si="43"/>
        <v>0</v>
      </c>
      <c r="BP54" s="11">
        <f t="shared" si="43"/>
        <v>11886</v>
      </c>
      <c r="BQ54" s="11">
        <f t="shared" si="43"/>
        <v>0</v>
      </c>
      <c r="BR54" s="11">
        <f t="shared" si="43"/>
        <v>0</v>
      </c>
      <c r="BS54" s="11">
        <f t="shared" si="43"/>
        <v>0</v>
      </c>
      <c r="BT54" s="11">
        <f t="shared" ref="BT54:CX54" si="44">SUM(BT55)</f>
        <v>0</v>
      </c>
      <c r="BU54" s="11">
        <f t="shared" si="44"/>
        <v>0</v>
      </c>
      <c r="BV54" s="11">
        <f t="shared" si="44"/>
        <v>0</v>
      </c>
      <c r="BW54" s="11">
        <f t="shared" si="44"/>
        <v>0</v>
      </c>
      <c r="BX54" s="11">
        <f t="shared" si="44"/>
        <v>0</v>
      </c>
      <c r="BY54" s="11">
        <f t="shared" si="44"/>
        <v>0</v>
      </c>
      <c r="BZ54" s="11">
        <f t="shared" si="44"/>
        <v>11886</v>
      </c>
      <c r="CA54" s="11">
        <f t="shared" si="44"/>
        <v>0</v>
      </c>
      <c r="CB54" s="11">
        <f t="shared" si="44"/>
        <v>87680</v>
      </c>
      <c r="CC54" s="11">
        <f t="shared" si="44"/>
        <v>87680</v>
      </c>
      <c r="CD54" s="11">
        <f t="shared" si="44"/>
        <v>87680</v>
      </c>
      <c r="CE54" s="11">
        <f t="shared" si="44"/>
        <v>0</v>
      </c>
      <c r="CF54" s="11">
        <f t="shared" si="44"/>
        <v>87680</v>
      </c>
      <c r="CG54" s="11">
        <f t="shared" si="44"/>
        <v>0</v>
      </c>
      <c r="CH54" s="11">
        <f t="shared" si="44"/>
        <v>0</v>
      </c>
      <c r="CI54" s="11">
        <f t="shared" si="44"/>
        <v>0</v>
      </c>
      <c r="CJ54" s="11">
        <f t="shared" si="44"/>
        <v>0</v>
      </c>
      <c r="CK54" s="11">
        <f t="shared" si="44"/>
        <v>0</v>
      </c>
      <c r="CL54" s="11">
        <f t="shared" si="44"/>
        <v>0</v>
      </c>
      <c r="CM54" s="11">
        <f t="shared" si="44"/>
        <v>0</v>
      </c>
      <c r="CN54" s="11">
        <f t="shared" si="44"/>
        <v>0</v>
      </c>
      <c r="CO54" s="11">
        <f t="shared" si="44"/>
        <v>0</v>
      </c>
      <c r="CP54" s="11"/>
      <c r="CQ54" s="11">
        <f t="shared" si="44"/>
        <v>0</v>
      </c>
      <c r="CR54" s="11">
        <f t="shared" si="44"/>
        <v>0</v>
      </c>
      <c r="CS54" s="11">
        <f t="shared" si="44"/>
        <v>0</v>
      </c>
      <c r="CT54" s="11">
        <f t="shared" si="44"/>
        <v>0</v>
      </c>
      <c r="CU54" s="11">
        <f t="shared" si="44"/>
        <v>0</v>
      </c>
      <c r="CV54" s="11">
        <f t="shared" si="44"/>
        <v>0</v>
      </c>
      <c r="CW54" s="11">
        <f t="shared" si="44"/>
        <v>0</v>
      </c>
      <c r="CX54" s="12">
        <f t="shared" si="44"/>
        <v>0</v>
      </c>
    </row>
    <row r="55" spans="1:102" ht="15.75" x14ac:dyDescent="0.25">
      <c r="A55" s="13"/>
      <c r="B55" s="14" t="s">
        <v>1</v>
      </c>
      <c r="C55" s="14" t="s">
        <v>149</v>
      </c>
      <c r="D55" s="15" t="s">
        <v>150</v>
      </c>
      <c r="E55" s="10">
        <f>SUM(F55+CB55+CU55)</f>
        <v>4245966</v>
      </c>
      <c r="F55" s="11">
        <f>SUM(G55+BC55)</f>
        <v>4158286</v>
      </c>
      <c r="G55" s="11">
        <f>SUM(H55+I55+J55+Q55+T55+U55+V55+AF55+AE55)</f>
        <v>4146400</v>
      </c>
      <c r="H55" s="16">
        <f>3200453+99946</f>
        <v>3300399</v>
      </c>
      <c r="I55" s="16">
        <f>426706+24987</f>
        <v>451693</v>
      </c>
      <c r="J55" s="11">
        <f t="shared" si="4"/>
        <v>86788</v>
      </c>
      <c r="K55" s="11">
        <v>0</v>
      </c>
      <c r="L55" s="11"/>
      <c r="M55" s="11">
        <v>0</v>
      </c>
      <c r="N55" s="11">
        <v>0</v>
      </c>
      <c r="O55" s="16">
        <v>72559</v>
      </c>
      <c r="P55" s="16">
        <v>14229</v>
      </c>
      <c r="Q55" s="11">
        <f t="shared" si="5"/>
        <v>0</v>
      </c>
      <c r="R55" s="11">
        <v>0</v>
      </c>
      <c r="S55" s="11">
        <v>0</v>
      </c>
      <c r="T55" s="11">
        <v>0</v>
      </c>
      <c r="U55" s="11">
        <v>109399</v>
      </c>
      <c r="V55" s="11">
        <f>SUM(W55:AD55)</f>
        <v>99511</v>
      </c>
      <c r="W55" s="16">
        <v>27758</v>
      </c>
      <c r="X55" s="16"/>
      <c r="Y55" s="16">
        <v>53384</v>
      </c>
      <c r="Z55" s="16">
        <v>7163</v>
      </c>
      <c r="AA55" s="16">
        <v>1011</v>
      </c>
      <c r="AB55" s="16"/>
      <c r="AC55" s="16"/>
      <c r="AD55" s="16">
        <v>10195</v>
      </c>
      <c r="AE55" s="11"/>
      <c r="AF55" s="11">
        <f>SUM(AG55:BB55)</f>
        <v>98610</v>
      </c>
      <c r="AG55" s="11">
        <v>0</v>
      </c>
      <c r="AH55" s="11"/>
      <c r="AI55" s="16">
        <v>651</v>
      </c>
      <c r="AJ55" s="16">
        <v>2464</v>
      </c>
      <c r="AK55" s="16"/>
      <c r="AL55" s="16"/>
      <c r="AM55" s="16"/>
      <c r="AN55" s="16">
        <v>202</v>
      </c>
      <c r="AO55" s="16">
        <v>10125</v>
      </c>
      <c r="AP55" s="16">
        <v>69646</v>
      </c>
      <c r="AQ55" s="16"/>
      <c r="AR55" s="16"/>
      <c r="AS55" s="16"/>
      <c r="AT55" s="16">
        <v>15522</v>
      </c>
      <c r="AU55" s="16"/>
      <c r="AV55" s="16"/>
      <c r="AW55" s="16"/>
      <c r="AX55" s="16"/>
      <c r="AY55" s="16"/>
      <c r="AZ55" s="16"/>
      <c r="BA55" s="16"/>
      <c r="BB55" s="16"/>
      <c r="BC55" s="11">
        <f>SUM(BD55+BH55+BL55+BM55+BN55+BP55)</f>
        <v>11886</v>
      </c>
      <c r="BD55" s="11">
        <f>SUM(BE55:BG55)</f>
        <v>0</v>
      </c>
      <c r="BE55" s="11">
        <v>0</v>
      </c>
      <c r="BF55" s="11">
        <v>0</v>
      </c>
      <c r="BG55" s="11">
        <v>0</v>
      </c>
      <c r="BH55" s="11">
        <f t="shared" si="6"/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f t="shared" si="7"/>
        <v>0</v>
      </c>
      <c r="BO55" s="11">
        <v>0</v>
      </c>
      <c r="BP55" s="11">
        <f t="shared" si="8"/>
        <v>11886</v>
      </c>
      <c r="BQ55" s="11">
        <v>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11886</v>
      </c>
      <c r="CA55" s="11">
        <v>0</v>
      </c>
      <c r="CB55" s="11">
        <f>SUM(CC55+CT55)</f>
        <v>87680</v>
      </c>
      <c r="CC55" s="11">
        <f>SUM(CD55+CG55+CL55)</f>
        <v>87680</v>
      </c>
      <c r="CD55" s="11">
        <f t="shared" si="9"/>
        <v>87680</v>
      </c>
      <c r="CE55" s="11">
        <v>0</v>
      </c>
      <c r="CF55" s="11">
        <v>87680</v>
      </c>
      <c r="CG55" s="11">
        <f>SUM(CH55:CK55)</f>
        <v>0</v>
      </c>
      <c r="CH55" s="11">
        <v>0</v>
      </c>
      <c r="CI55" s="11">
        <v>0</v>
      </c>
      <c r="CJ55" s="11">
        <v>0</v>
      </c>
      <c r="CK55" s="11">
        <v>0</v>
      </c>
      <c r="CL55" s="11">
        <f>SUM(CM55:CQ55)</f>
        <v>0</v>
      </c>
      <c r="CM55" s="11">
        <v>0</v>
      </c>
      <c r="CN55" s="11">
        <v>0</v>
      </c>
      <c r="CO55" s="11">
        <v>0</v>
      </c>
      <c r="CP55" s="11"/>
      <c r="CQ55" s="11">
        <v>0</v>
      </c>
      <c r="CR55" s="11">
        <v>0</v>
      </c>
      <c r="CS55" s="11">
        <v>0</v>
      </c>
      <c r="CT55" s="11">
        <v>0</v>
      </c>
      <c r="CU55" s="11">
        <f t="shared" si="10"/>
        <v>0</v>
      </c>
      <c r="CV55" s="11">
        <f t="shared" si="11"/>
        <v>0</v>
      </c>
      <c r="CW55" s="11">
        <v>0</v>
      </c>
      <c r="CX55" s="12">
        <v>0</v>
      </c>
    </row>
    <row r="56" spans="1:102" ht="15.75" x14ac:dyDescent="0.25">
      <c r="A56" s="7"/>
      <c r="B56" s="8" t="s">
        <v>151</v>
      </c>
      <c r="C56" s="8" t="s">
        <v>1</v>
      </c>
      <c r="D56" s="9" t="s">
        <v>152</v>
      </c>
      <c r="E56" s="10">
        <f t="shared" ref="E56:AL56" si="45">SUM(E57)</f>
        <v>12791620</v>
      </c>
      <c r="F56" s="11">
        <f t="shared" si="45"/>
        <v>12716002</v>
      </c>
      <c r="G56" s="11">
        <f t="shared" si="45"/>
        <v>12716002</v>
      </c>
      <c r="H56" s="11">
        <f t="shared" si="45"/>
        <v>11145449</v>
      </c>
      <c r="I56" s="11">
        <f t="shared" si="45"/>
        <v>1026228</v>
      </c>
      <c r="J56" s="11">
        <f t="shared" si="45"/>
        <v>237946</v>
      </c>
      <c r="K56" s="11">
        <f t="shared" si="45"/>
        <v>0</v>
      </c>
      <c r="L56" s="11">
        <f t="shared" si="45"/>
        <v>0</v>
      </c>
      <c r="M56" s="11">
        <f t="shared" si="45"/>
        <v>0</v>
      </c>
      <c r="N56" s="11">
        <f t="shared" si="45"/>
        <v>0</v>
      </c>
      <c r="O56" s="11">
        <f t="shared" si="45"/>
        <v>187969</v>
      </c>
      <c r="P56" s="11">
        <f t="shared" si="45"/>
        <v>49977</v>
      </c>
      <c r="Q56" s="11">
        <f t="shared" si="45"/>
        <v>1140</v>
      </c>
      <c r="R56" s="11">
        <f t="shared" si="45"/>
        <v>1140</v>
      </c>
      <c r="S56" s="11">
        <f t="shared" si="45"/>
        <v>0</v>
      </c>
      <c r="T56" s="11">
        <f t="shared" si="45"/>
        <v>0</v>
      </c>
      <c r="U56" s="11">
        <f t="shared" si="45"/>
        <v>100377</v>
      </c>
      <c r="V56" s="11">
        <f t="shared" si="45"/>
        <v>106614</v>
      </c>
      <c r="W56" s="11">
        <f t="shared" si="45"/>
        <v>18595</v>
      </c>
      <c r="X56" s="11">
        <f t="shared" si="45"/>
        <v>52086</v>
      </c>
      <c r="Y56" s="11">
        <f t="shared" si="45"/>
        <v>26503</v>
      </c>
      <c r="Z56" s="11">
        <f t="shared" si="45"/>
        <v>6610</v>
      </c>
      <c r="AA56" s="11">
        <f t="shared" si="45"/>
        <v>2820</v>
      </c>
      <c r="AB56" s="11">
        <f t="shared" si="45"/>
        <v>0</v>
      </c>
      <c r="AC56" s="11">
        <f t="shared" si="45"/>
        <v>0</v>
      </c>
      <c r="AD56" s="11">
        <f t="shared" si="45"/>
        <v>0</v>
      </c>
      <c r="AE56" s="11">
        <f t="shared" si="45"/>
        <v>0</v>
      </c>
      <c r="AF56" s="11">
        <f t="shared" si="45"/>
        <v>98248</v>
      </c>
      <c r="AG56" s="11">
        <f t="shared" si="45"/>
        <v>0</v>
      </c>
      <c r="AH56" s="11">
        <f t="shared" si="45"/>
        <v>0</v>
      </c>
      <c r="AI56" s="11">
        <f t="shared" si="45"/>
        <v>738</v>
      </c>
      <c r="AJ56" s="11">
        <f t="shared" si="45"/>
        <v>0</v>
      </c>
      <c r="AK56" s="11">
        <f t="shared" si="45"/>
        <v>0</v>
      </c>
      <c r="AL56" s="11">
        <f t="shared" si="45"/>
        <v>0</v>
      </c>
      <c r="AM56" s="11">
        <f t="shared" ref="AM56:CX56" si="46">SUM(AM57)</f>
        <v>0</v>
      </c>
      <c r="AN56" s="11">
        <f t="shared" si="46"/>
        <v>0</v>
      </c>
      <c r="AO56" s="11">
        <f t="shared" si="46"/>
        <v>6228</v>
      </c>
      <c r="AP56" s="11">
        <f t="shared" si="46"/>
        <v>57424</v>
      </c>
      <c r="AQ56" s="11">
        <f t="shared" si="46"/>
        <v>0</v>
      </c>
      <c r="AR56" s="11">
        <f t="shared" si="46"/>
        <v>0</v>
      </c>
      <c r="AS56" s="11">
        <f t="shared" si="46"/>
        <v>0</v>
      </c>
      <c r="AT56" s="11">
        <f t="shared" si="46"/>
        <v>32532</v>
      </c>
      <c r="AU56" s="11">
        <f t="shared" si="46"/>
        <v>735</v>
      </c>
      <c r="AV56" s="11"/>
      <c r="AW56" s="11"/>
      <c r="AX56" s="11">
        <f t="shared" si="46"/>
        <v>0</v>
      </c>
      <c r="AY56" s="11">
        <f t="shared" si="46"/>
        <v>0</v>
      </c>
      <c r="AZ56" s="11">
        <f t="shared" si="46"/>
        <v>0</v>
      </c>
      <c r="BA56" s="11">
        <f t="shared" si="46"/>
        <v>0</v>
      </c>
      <c r="BB56" s="11">
        <f t="shared" si="46"/>
        <v>591</v>
      </c>
      <c r="BC56" s="11">
        <f t="shared" si="46"/>
        <v>0</v>
      </c>
      <c r="BD56" s="11">
        <f t="shared" si="46"/>
        <v>0</v>
      </c>
      <c r="BE56" s="11">
        <f t="shared" si="46"/>
        <v>0</v>
      </c>
      <c r="BF56" s="11">
        <f t="shared" si="46"/>
        <v>0</v>
      </c>
      <c r="BG56" s="11">
        <f t="shared" si="46"/>
        <v>0</v>
      </c>
      <c r="BH56" s="11">
        <f t="shared" si="46"/>
        <v>0</v>
      </c>
      <c r="BI56" s="11">
        <f t="shared" si="46"/>
        <v>0</v>
      </c>
      <c r="BJ56" s="11">
        <f t="shared" si="46"/>
        <v>0</v>
      </c>
      <c r="BK56" s="11">
        <f t="shared" si="46"/>
        <v>0</v>
      </c>
      <c r="BL56" s="11">
        <f t="shared" si="46"/>
        <v>0</v>
      </c>
      <c r="BM56" s="11">
        <f t="shared" si="46"/>
        <v>0</v>
      </c>
      <c r="BN56" s="11">
        <f t="shared" si="46"/>
        <v>0</v>
      </c>
      <c r="BO56" s="11">
        <f t="shared" si="46"/>
        <v>0</v>
      </c>
      <c r="BP56" s="11">
        <f t="shared" si="46"/>
        <v>0</v>
      </c>
      <c r="BQ56" s="11">
        <f t="shared" si="46"/>
        <v>0</v>
      </c>
      <c r="BR56" s="11">
        <f t="shared" si="46"/>
        <v>0</v>
      </c>
      <c r="BS56" s="11">
        <f t="shared" si="46"/>
        <v>0</v>
      </c>
      <c r="BT56" s="11">
        <f t="shared" si="46"/>
        <v>0</v>
      </c>
      <c r="BU56" s="11">
        <f t="shared" si="46"/>
        <v>0</v>
      </c>
      <c r="BV56" s="11">
        <f t="shared" si="46"/>
        <v>0</v>
      </c>
      <c r="BW56" s="11">
        <f t="shared" si="46"/>
        <v>0</v>
      </c>
      <c r="BX56" s="11">
        <f t="shared" si="46"/>
        <v>0</v>
      </c>
      <c r="BY56" s="11">
        <f t="shared" si="46"/>
        <v>0</v>
      </c>
      <c r="BZ56" s="11">
        <f t="shared" si="46"/>
        <v>0</v>
      </c>
      <c r="CA56" s="11">
        <f t="shared" si="46"/>
        <v>0</v>
      </c>
      <c r="CB56" s="11">
        <f t="shared" si="46"/>
        <v>75618</v>
      </c>
      <c r="CC56" s="11">
        <f t="shared" si="46"/>
        <v>75618</v>
      </c>
      <c r="CD56" s="11">
        <f t="shared" si="46"/>
        <v>75618</v>
      </c>
      <c r="CE56" s="11">
        <f t="shared" si="46"/>
        <v>0</v>
      </c>
      <c r="CF56" s="11">
        <f t="shared" si="46"/>
        <v>75618</v>
      </c>
      <c r="CG56" s="11">
        <f t="shared" si="46"/>
        <v>0</v>
      </c>
      <c r="CH56" s="11">
        <f t="shared" si="46"/>
        <v>0</v>
      </c>
      <c r="CI56" s="11">
        <f t="shared" si="46"/>
        <v>0</v>
      </c>
      <c r="CJ56" s="11">
        <f t="shared" si="46"/>
        <v>0</v>
      </c>
      <c r="CK56" s="11">
        <f t="shared" si="46"/>
        <v>0</v>
      </c>
      <c r="CL56" s="11">
        <f t="shared" si="46"/>
        <v>0</v>
      </c>
      <c r="CM56" s="11">
        <f t="shared" si="46"/>
        <v>0</v>
      </c>
      <c r="CN56" s="11">
        <f t="shared" si="46"/>
        <v>0</v>
      </c>
      <c r="CO56" s="11">
        <f t="shared" si="46"/>
        <v>0</v>
      </c>
      <c r="CP56" s="11"/>
      <c r="CQ56" s="11">
        <f t="shared" si="46"/>
        <v>0</v>
      </c>
      <c r="CR56" s="11">
        <f t="shared" si="46"/>
        <v>0</v>
      </c>
      <c r="CS56" s="11">
        <f t="shared" si="46"/>
        <v>0</v>
      </c>
      <c r="CT56" s="11">
        <f t="shared" si="46"/>
        <v>0</v>
      </c>
      <c r="CU56" s="11">
        <f t="shared" si="46"/>
        <v>0</v>
      </c>
      <c r="CV56" s="11">
        <f t="shared" si="46"/>
        <v>0</v>
      </c>
      <c r="CW56" s="11">
        <f t="shared" si="46"/>
        <v>0</v>
      </c>
      <c r="CX56" s="12">
        <f t="shared" si="46"/>
        <v>0</v>
      </c>
    </row>
    <row r="57" spans="1:102" ht="15.75" x14ac:dyDescent="0.25">
      <c r="A57" s="13"/>
      <c r="B57" s="14" t="s">
        <v>1</v>
      </c>
      <c r="C57" s="14" t="s">
        <v>153</v>
      </c>
      <c r="D57" s="15" t="s">
        <v>154</v>
      </c>
      <c r="E57" s="10">
        <f>SUM(F57+CB57+CU57)</f>
        <v>12791620</v>
      </c>
      <c r="F57" s="11">
        <f>SUM(G57+BC57)</f>
        <v>12716002</v>
      </c>
      <c r="G57" s="11">
        <f>SUM(H57+I57+J57+Q57+T57+U57+V57+AF57+AE57)</f>
        <v>12716002</v>
      </c>
      <c r="H57" s="11">
        <f>10924654+220795</f>
        <v>11145449</v>
      </c>
      <c r="I57" s="11">
        <f>971029+55199</f>
        <v>1026228</v>
      </c>
      <c r="J57" s="11">
        <f t="shared" si="4"/>
        <v>237946</v>
      </c>
      <c r="K57" s="11">
        <v>0</v>
      </c>
      <c r="L57" s="11"/>
      <c r="M57" s="11">
        <v>0</v>
      </c>
      <c r="N57" s="11">
        <v>0</v>
      </c>
      <c r="O57" s="11">
        <v>187969</v>
      </c>
      <c r="P57" s="11">
        <v>49977</v>
      </c>
      <c r="Q57" s="11">
        <f t="shared" si="5"/>
        <v>1140</v>
      </c>
      <c r="R57" s="11">
        <v>1140</v>
      </c>
      <c r="S57" s="11">
        <v>0</v>
      </c>
      <c r="T57" s="11">
        <v>0</v>
      </c>
      <c r="U57" s="16">
        <v>100377</v>
      </c>
      <c r="V57" s="11">
        <f>SUM(W57:AD57)</f>
        <v>106614</v>
      </c>
      <c r="W57" s="16">
        <v>18595</v>
      </c>
      <c r="X57" s="16">
        <v>52086</v>
      </c>
      <c r="Y57" s="16">
        <v>26503</v>
      </c>
      <c r="Z57" s="16">
        <v>6610</v>
      </c>
      <c r="AA57" s="16">
        <v>2820</v>
      </c>
      <c r="AB57" s="11">
        <v>0</v>
      </c>
      <c r="AC57" s="11">
        <v>0</v>
      </c>
      <c r="AD57" s="11">
        <v>0</v>
      </c>
      <c r="AE57" s="11">
        <v>0</v>
      </c>
      <c r="AF57" s="11">
        <f>SUM(AG57:BB57)</f>
        <v>98248</v>
      </c>
      <c r="AG57" s="11">
        <v>0</v>
      </c>
      <c r="AH57" s="11"/>
      <c r="AI57" s="16">
        <v>738</v>
      </c>
      <c r="AJ57" s="16"/>
      <c r="AK57" s="16"/>
      <c r="AL57" s="16"/>
      <c r="AM57" s="16"/>
      <c r="AN57" s="16"/>
      <c r="AO57" s="16">
        <v>6228</v>
      </c>
      <c r="AP57" s="16">
        <v>57424</v>
      </c>
      <c r="AQ57" s="16"/>
      <c r="AR57" s="16"/>
      <c r="AS57" s="16"/>
      <c r="AT57" s="16">
        <v>32532</v>
      </c>
      <c r="AU57" s="16">
        <v>735</v>
      </c>
      <c r="AV57" s="16"/>
      <c r="AW57" s="11"/>
      <c r="AX57" s="11">
        <v>0</v>
      </c>
      <c r="AY57" s="11">
        <v>0</v>
      </c>
      <c r="AZ57" s="11">
        <v>0</v>
      </c>
      <c r="BA57" s="11">
        <v>0</v>
      </c>
      <c r="BB57" s="11">
        <v>591</v>
      </c>
      <c r="BC57" s="11">
        <f>SUM(BD57+BH57+BL57+BM57+BN57+BP57)</f>
        <v>0</v>
      </c>
      <c r="BD57" s="11">
        <f>SUM(BE57:BG57)</f>
        <v>0</v>
      </c>
      <c r="BE57" s="11">
        <v>0</v>
      </c>
      <c r="BF57" s="11">
        <v>0</v>
      </c>
      <c r="BG57" s="11">
        <v>0</v>
      </c>
      <c r="BH57" s="11">
        <f t="shared" si="6"/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f t="shared" si="7"/>
        <v>0</v>
      </c>
      <c r="BO57" s="11">
        <v>0</v>
      </c>
      <c r="BP57" s="11">
        <f t="shared" si="8"/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0</v>
      </c>
      <c r="CB57" s="11">
        <f>SUM(CC57+CT57)</f>
        <v>75618</v>
      </c>
      <c r="CC57" s="11">
        <f>SUM(CD57+CG57+CL57)</f>
        <v>75618</v>
      </c>
      <c r="CD57" s="11">
        <f t="shared" si="9"/>
        <v>75618</v>
      </c>
      <c r="CE57" s="11">
        <v>0</v>
      </c>
      <c r="CF57" s="11">
        <v>75618</v>
      </c>
      <c r="CG57" s="11">
        <f>SUM(CH57:CK57)</f>
        <v>0</v>
      </c>
      <c r="CH57" s="11">
        <v>0</v>
      </c>
      <c r="CI57" s="11">
        <v>0</v>
      </c>
      <c r="CJ57" s="11">
        <v>0</v>
      </c>
      <c r="CK57" s="11">
        <v>0</v>
      </c>
      <c r="CL57" s="11">
        <f>SUM(CM57:CQ57)</f>
        <v>0</v>
      </c>
      <c r="CM57" s="11">
        <v>0</v>
      </c>
      <c r="CN57" s="11">
        <v>0</v>
      </c>
      <c r="CO57" s="11">
        <v>0</v>
      </c>
      <c r="CP57" s="11"/>
      <c r="CQ57" s="11">
        <v>0</v>
      </c>
      <c r="CR57" s="11">
        <v>0</v>
      </c>
      <c r="CS57" s="11">
        <v>0</v>
      </c>
      <c r="CT57" s="11">
        <v>0</v>
      </c>
      <c r="CU57" s="11">
        <f t="shared" si="10"/>
        <v>0</v>
      </c>
      <c r="CV57" s="11">
        <f t="shared" si="11"/>
        <v>0</v>
      </c>
      <c r="CW57" s="11">
        <v>0</v>
      </c>
      <c r="CX57" s="12">
        <v>0</v>
      </c>
    </row>
    <row r="58" spans="1:102" ht="15.75" x14ac:dyDescent="0.25">
      <c r="A58" s="7"/>
      <c r="B58" s="8" t="s">
        <v>155</v>
      </c>
      <c r="C58" s="8" t="s">
        <v>1</v>
      </c>
      <c r="D58" s="9" t="s">
        <v>156</v>
      </c>
      <c r="E58" s="10">
        <f t="shared" ref="E58:AL58" si="47">SUM(E59)</f>
        <v>25890092</v>
      </c>
      <c r="F58" s="11">
        <f t="shared" si="47"/>
        <v>25552441</v>
      </c>
      <c r="G58" s="11">
        <f t="shared" si="47"/>
        <v>25552441</v>
      </c>
      <c r="H58" s="11">
        <f t="shared" si="47"/>
        <v>20392527</v>
      </c>
      <c r="I58" s="11">
        <f t="shared" si="47"/>
        <v>2526988</v>
      </c>
      <c r="J58" s="11">
        <f t="shared" si="47"/>
        <v>794320</v>
      </c>
      <c r="K58" s="11">
        <f t="shared" si="47"/>
        <v>0</v>
      </c>
      <c r="L58" s="11">
        <f t="shared" si="47"/>
        <v>0</v>
      </c>
      <c r="M58" s="11">
        <f t="shared" si="47"/>
        <v>0</v>
      </c>
      <c r="N58" s="11">
        <f t="shared" si="47"/>
        <v>0</v>
      </c>
      <c r="O58" s="11">
        <f t="shared" si="47"/>
        <v>501253</v>
      </c>
      <c r="P58" s="11">
        <f t="shared" si="47"/>
        <v>293067</v>
      </c>
      <c r="Q58" s="11">
        <f t="shared" si="47"/>
        <v>0</v>
      </c>
      <c r="R58" s="11">
        <f t="shared" si="47"/>
        <v>0</v>
      </c>
      <c r="S58" s="11">
        <f t="shared" si="47"/>
        <v>0</v>
      </c>
      <c r="T58" s="11">
        <f t="shared" si="47"/>
        <v>0</v>
      </c>
      <c r="U58" s="11">
        <f t="shared" si="47"/>
        <v>634899</v>
      </c>
      <c r="V58" s="11">
        <f t="shared" si="47"/>
        <v>312591</v>
      </c>
      <c r="W58" s="11">
        <f t="shared" si="47"/>
        <v>43164</v>
      </c>
      <c r="X58" s="11">
        <f t="shared" si="47"/>
        <v>107748</v>
      </c>
      <c r="Y58" s="11">
        <f t="shared" si="47"/>
        <v>102193</v>
      </c>
      <c r="Z58" s="11">
        <f t="shared" si="47"/>
        <v>27460</v>
      </c>
      <c r="AA58" s="11">
        <f t="shared" si="47"/>
        <v>5828</v>
      </c>
      <c r="AB58" s="11">
        <f t="shared" si="47"/>
        <v>0</v>
      </c>
      <c r="AC58" s="11">
        <f t="shared" si="47"/>
        <v>0</v>
      </c>
      <c r="AD58" s="11">
        <f t="shared" si="47"/>
        <v>26198</v>
      </c>
      <c r="AE58" s="11">
        <f t="shared" si="47"/>
        <v>0</v>
      </c>
      <c r="AF58" s="11">
        <f t="shared" si="47"/>
        <v>891116</v>
      </c>
      <c r="AG58" s="11">
        <f t="shared" si="47"/>
        <v>0</v>
      </c>
      <c r="AH58" s="11">
        <f t="shared" si="47"/>
        <v>0</v>
      </c>
      <c r="AI58" s="11">
        <f t="shared" si="47"/>
        <v>22450</v>
      </c>
      <c r="AJ58" s="11">
        <f t="shared" si="47"/>
        <v>55743</v>
      </c>
      <c r="AK58" s="11">
        <f t="shared" si="47"/>
        <v>0</v>
      </c>
      <c r="AL58" s="11">
        <f t="shared" si="47"/>
        <v>5427</v>
      </c>
      <c r="AM58" s="11">
        <f t="shared" ref="AM58:CX58" si="48">SUM(AM59)</f>
        <v>4230</v>
      </c>
      <c r="AN58" s="11">
        <f t="shared" si="48"/>
        <v>770</v>
      </c>
      <c r="AO58" s="11">
        <f t="shared" si="48"/>
        <v>73215</v>
      </c>
      <c r="AP58" s="11">
        <f t="shared" si="48"/>
        <v>5238</v>
      </c>
      <c r="AQ58" s="11">
        <f t="shared" si="48"/>
        <v>15984</v>
      </c>
      <c r="AR58" s="11">
        <f t="shared" si="48"/>
        <v>0</v>
      </c>
      <c r="AS58" s="11">
        <f t="shared" si="48"/>
        <v>0</v>
      </c>
      <c r="AT58" s="11">
        <f t="shared" si="48"/>
        <v>598035</v>
      </c>
      <c r="AU58" s="11">
        <f t="shared" si="48"/>
        <v>0</v>
      </c>
      <c r="AV58" s="11"/>
      <c r="AW58" s="11"/>
      <c r="AX58" s="11">
        <f t="shared" si="48"/>
        <v>0</v>
      </c>
      <c r="AY58" s="11">
        <f t="shared" si="48"/>
        <v>0</v>
      </c>
      <c r="AZ58" s="11">
        <f t="shared" si="48"/>
        <v>0</v>
      </c>
      <c r="BA58" s="11">
        <f t="shared" si="48"/>
        <v>77687</v>
      </c>
      <c r="BB58" s="11">
        <f t="shared" si="48"/>
        <v>32337</v>
      </c>
      <c r="BC58" s="11">
        <f t="shared" si="48"/>
        <v>0</v>
      </c>
      <c r="BD58" s="11">
        <f t="shared" si="48"/>
        <v>0</v>
      </c>
      <c r="BE58" s="11">
        <f t="shared" si="48"/>
        <v>0</v>
      </c>
      <c r="BF58" s="11">
        <f t="shared" si="48"/>
        <v>0</v>
      </c>
      <c r="BG58" s="11">
        <f t="shared" si="48"/>
        <v>0</v>
      </c>
      <c r="BH58" s="11">
        <f t="shared" si="48"/>
        <v>0</v>
      </c>
      <c r="BI58" s="11">
        <f t="shared" si="48"/>
        <v>0</v>
      </c>
      <c r="BJ58" s="11">
        <f t="shared" si="48"/>
        <v>0</v>
      </c>
      <c r="BK58" s="11">
        <f t="shared" si="48"/>
        <v>0</v>
      </c>
      <c r="BL58" s="11">
        <f t="shared" si="48"/>
        <v>0</v>
      </c>
      <c r="BM58" s="11">
        <f t="shared" si="48"/>
        <v>0</v>
      </c>
      <c r="BN58" s="11">
        <f t="shared" si="48"/>
        <v>0</v>
      </c>
      <c r="BO58" s="11">
        <f t="shared" si="48"/>
        <v>0</v>
      </c>
      <c r="BP58" s="11">
        <f t="shared" si="48"/>
        <v>0</v>
      </c>
      <c r="BQ58" s="11">
        <f t="shared" si="48"/>
        <v>0</v>
      </c>
      <c r="BR58" s="11">
        <f t="shared" si="48"/>
        <v>0</v>
      </c>
      <c r="BS58" s="11">
        <f t="shared" si="48"/>
        <v>0</v>
      </c>
      <c r="BT58" s="11">
        <f t="shared" si="48"/>
        <v>0</v>
      </c>
      <c r="BU58" s="11">
        <f t="shared" si="48"/>
        <v>0</v>
      </c>
      <c r="BV58" s="11">
        <f t="shared" si="48"/>
        <v>0</v>
      </c>
      <c r="BW58" s="11">
        <f t="shared" si="48"/>
        <v>0</v>
      </c>
      <c r="BX58" s="11">
        <f t="shared" si="48"/>
        <v>0</v>
      </c>
      <c r="BY58" s="11">
        <f t="shared" si="48"/>
        <v>0</v>
      </c>
      <c r="BZ58" s="11">
        <f t="shared" si="48"/>
        <v>0</v>
      </c>
      <c r="CA58" s="11">
        <f t="shared" si="48"/>
        <v>0</v>
      </c>
      <c r="CB58" s="11">
        <f t="shared" si="48"/>
        <v>337651</v>
      </c>
      <c r="CC58" s="11">
        <f t="shared" si="48"/>
        <v>337651</v>
      </c>
      <c r="CD58" s="11">
        <f t="shared" si="48"/>
        <v>337621</v>
      </c>
      <c r="CE58" s="11">
        <f t="shared" si="48"/>
        <v>0</v>
      </c>
      <c r="CF58" s="11">
        <f t="shared" si="48"/>
        <v>337621</v>
      </c>
      <c r="CG58" s="11">
        <f t="shared" si="48"/>
        <v>0</v>
      </c>
      <c r="CH58" s="11">
        <f t="shared" si="48"/>
        <v>0</v>
      </c>
      <c r="CI58" s="11">
        <f t="shared" si="48"/>
        <v>0</v>
      </c>
      <c r="CJ58" s="11">
        <f t="shared" si="48"/>
        <v>0</v>
      </c>
      <c r="CK58" s="11">
        <f t="shared" si="48"/>
        <v>0</v>
      </c>
      <c r="CL58" s="11">
        <f t="shared" si="48"/>
        <v>30</v>
      </c>
      <c r="CM58" s="11">
        <f t="shared" si="48"/>
        <v>0</v>
      </c>
      <c r="CN58" s="11">
        <f t="shared" si="48"/>
        <v>0</v>
      </c>
      <c r="CO58" s="11">
        <f t="shared" si="48"/>
        <v>30</v>
      </c>
      <c r="CP58" s="11"/>
      <c r="CQ58" s="11">
        <f t="shared" si="48"/>
        <v>0</v>
      </c>
      <c r="CR58" s="11">
        <f t="shared" si="48"/>
        <v>0</v>
      </c>
      <c r="CS58" s="11">
        <f t="shared" si="48"/>
        <v>0</v>
      </c>
      <c r="CT58" s="11">
        <f t="shared" si="48"/>
        <v>0</v>
      </c>
      <c r="CU58" s="11">
        <f t="shared" si="48"/>
        <v>0</v>
      </c>
      <c r="CV58" s="11">
        <f t="shared" si="48"/>
        <v>0</v>
      </c>
      <c r="CW58" s="11">
        <f t="shared" si="48"/>
        <v>0</v>
      </c>
      <c r="CX58" s="12">
        <f t="shared" si="48"/>
        <v>0</v>
      </c>
    </row>
    <row r="59" spans="1:102" ht="31.5" x14ac:dyDescent="0.25">
      <c r="A59" s="13"/>
      <c r="B59" s="14" t="s">
        <v>1</v>
      </c>
      <c r="C59" s="14" t="s">
        <v>157</v>
      </c>
      <c r="D59" s="15" t="s">
        <v>158</v>
      </c>
      <c r="E59" s="10">
        <f>SUM(F59+CB59+CU59)</f>
        <v>25890092</v>
      </c>
      <c r="F59" s="11">
        <f>SUM(G59+BC59)</f>
        <v>25552441</v>
      </c>
      <c r="G59" s="11">
        <f>SUM(H59+I59+J59+Q59+T59+U59+V59+AF59+AE59)</f>
        <v>25552441</v>
      </c>
      <c r="H59" s="11">
        <f>19359994+1032533</f>
        <v>20392527</v>
      </c>
      <c r="I59" s="11">
        <f>2268855+258133</f>
        <v>2526988</v>
      </c>
      <c r="J59" s="11">
        <f t="shared" si="4"/>
        <v>794320</v>
      </c>
      <c r="K59" s="11">
        <v>0</v>
      </c>
      <c r="L59" s="11"/>
      <c r="M59" s="11">
        <v>0</v>
      </c>
      <c r="N59" s="11">
        <v>0</v>
      </c>
      <c r="O59" s="11">
        <v>501253</v>
      </c>
      <c r="P59" s="11">
        <v>293067</v>
      </c>
      <c r="Q59" s="11">
        <f t="shared" si="5"/>
        <v>0</v>
      </c>
      <c r="R59" s="11">
        <v>0</v>
      </c>
      <c r="S59" s="11">
        <v>0</v>
      </c>
      <c r="T59" s="11">
        <v>0</v>
      </c>
      <c r="U59" s="16">
        <v>634899</v>
      </c>
      <c r="V59" s="11">
        <f>SUM(W59:AD59)</f>
        <v>312591</v>
      </c>
      <c r="W59" s="16">
        <v>43164</v>
      </c>
      <c r="X59" s="16">
        <v>107748</v>
      </c>
      <c r="Y59" s="16">
        <v>102193</v>
      </c>
      <c r="Z59" s="16">
        <v>27460</v>
      </c>
      <c r="AA59" s="16">
        <v>5828</v>
      </c>
      <c r="AB59" s="11">
        <v>0</v>
      </c>
      <c r="AC59" s="11">
        <v>0</v>
      </c>
      <c r="AD59" s="11">
        <v>26198</v>
      </c>
      <c r="AE59" s="11"/>
      <c r="AF59" s="11">
        <f>SUM(AG59:BB59)</f>
        <v>891116</v>
      </c>
      <c r="AG59" s="11">
        <v>0</v>
      </c>
      <c r="AH59" s="11"/>
      <c r="AI59" s="16">
        <v>22450</v>
      </c>
      <c r="AJ59" s="16">
        <v>55743</v>
      </c>
      <c r="AK59" s="16"/>
      <c r="AL59" s="16">
        <v>5427</v>
      </c>
      <c r="AM59" s="16">
        <v>4230</v>
      </c>
      <c r="AN59" s="16">
        <v>770</v>
      </c>
      <c r="AO59" s="16">
        <v>73215</v>
      </c>
      <c r="AP59" s="16">
        <v>5238</v>
      </c>
      <c r="AQ59" s="16">
        <v>15984</v>
      </c>
      <c r="AR59" s="16"/>
      <c r="AS59" s="16"/>
      <c r="AT59" s="16">
        <v>598035</v>
      </c>
      <c r="AU59" s="11">
        <v>0</v>
      </c>
      <c r="AV59" s="11"/>
      <c r="AW59" s="11"/>
      <c r="AX59" s="11">
        <v>0</v>
      </c>
      <c r="AY59" s="11">
        <v>0</v>
      </c>
      <c r="AZ59" s="11">
        <v>0</v>
      </c>
      <c r="BA59" s="11">
        <v>77687</v>
      </c>
      <c r="BB59" s="11">
        <v>32337</v>
      </c>
      <c r="BC59" s="11">
        <f>SUM(BD59+BH59+BL59+BM59+BN59+BP59)</f>
        <v>0</v>
      </c>
      <c r="BD59" s="11">
        <f>SUM(BE59:BG59)</f>
        <v>0</v>
      </c>
      <c r="BE59" s="11">
        <v>0</v>
      </c>
      <c r="BF59" s="11">
        <v>0</v>
      </c>
      <c r="BG59" s="11">
        <v>0</v>
      </c>
      <c r="BH59" s="11">
        <f t="shared" si="6"/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f t="shared" si="7"/>
        <v>0</v>
      </c>
      <c r="BO59" s="11">
        <v>0</v>
      </c>
      <c r="BP59" s="11"/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/>
      <c r="CB59" s="11">
        <f>SUM(CC59+CT59)</f>
        <v>337651</v>
      </c>
      <c r="CC59" s="11">
        <f>SUM(CD59+CG59+CL59)</f>
        <v>337651</v>
      </c>
      <c r="CD59" s="11">
        <f t="shared" si="9"/>
        <v>337621</v>
      </c>
      <c r="CE59" s="11">
        <v>0</v>
      </c>
      <c r="CF59" s="11">
        <v>337621</v>
      </c>
      <c r="CG59" s="11">
        <f>SUM(CH59:CK59)</f>
        <v>0</v>
      </c>
      <c r="CH59" s="11">
        <v>0</v>
      </c>
      <c r="CI59" s="11">
        <v>0</v>
      </c>
      <c r="CJ59" s="11">
        <v>0</v>
      </c>
      <c r="CK59" s="11">
        <v>0</v>
      </c>
      <c r="CL59" s="11">
        <f>SUM(CM59:CQ59)</f>
        <v>30</v>
      </c>
      <c r="CM59" s="11">
        <v>0</v>
      </c>
      <c r="CN59" s="11"/>
      <c r="CO59" s="11">
        <v>30</v>
      </c>
      <c r="CP59" s="11"/>
      <c r="CQ59" s="11">
        <v>0</v>
      </c>
      <c r="CR59" s="11"/>
      <c r="CS59" s="11"/>
      <c r="CT59" s="11">
        <v>0</v>
      </c>
      <c r="CU59" s="11">
        <f t="shared" si="10"/>
        <v>0</v>
      </c>
      <c r="CV59" s="11">
        <f t="shared" si="11"/>
        <v>0</v>
      </c>
      <c r="CW59" s="11">
        <v>0</v>
      </c>
      <c r="CX59" s="12">
        <v>0</v>
      </c>
    </row>
    <row r="60" spans="1:102" ht="15.75" x14ac:dyDescent="0.25">
      <c r="A60" s="7"/>
      <c r="B60" s="8" t="s">
        <v>159</v>
      </c>
      <c r="C60" s="8" t="s">
        <v>1</v>
      </c>
      <c r="D60" s="9" t="s">
        <v>160</v>
      </c>
      <c r="E60" s="10">
        <f t="shared" ref="E60:AL60" si="49">SUM(E61)</f>
        <v>6307228</v>
      </c>
      <c r="F60" s="11">
        <f t="shared" si="49"/>
        <v>6252603</v>
      </c>
      <c r="G60" s="11">
        <f t="shared" si="49"/>
        <v>6224998</v>
      </c>
      <c r="H60" s="11">
        <f t="shared" si="49"/>
        <v>5080429</v>
      </c>
      <c r="I60" s="11">
        <f t="shared" si="49"/>
        <v>387310</v>
      </c>
      <c r="J60" s="11">
        <f t="shared" si="49"/>
        <v>311374</v>
      </c>
      <c r="K60" s="11">
        <f t="shared" si="49"/>
        <v>0</v>
      </c>
      <c r="L60" s="11">
        <f t="shared" si="49"/>
        <v>0</v>
      </c>
      <c r="M60" s="11">
        <f t="shared" si="49"/>
        <v>0</v>
      </c>
      <c r="N60" s="11">
        <f t="shared" si="49"/>
        <v>0</v>
      </c>
      <c r="O60" s="11">
        <f t="shared" si="49"/>
        <v>259430</v>
      </c>
      <c r="P60" s="11">
        <f t="shared" si="49"/>
        <v>51944</v>
      </c>
      <c r="Q60" s="11">
        <f t="shared" si="49"/>
        <v>0</v>
      </c>
      <c r="R60" s="11">
        <f t="shared" si="49"/>
        <v>0</v>
      </c>
      <c r="S60" s="11">
        <f t="shared" si="49"/>
        <v>0</v>
      </c>
      <c r="T60" s="11">
        <f t="shared" si="49"/>
        <v>0</v>
      </c>
      <c r="U60" s="11">
        <f t="shared" si="49"/>
        <v>159565</v>
      </c>
      <c r="V60" s="11">
        <f t="shared" si="49"/>
        <v>38924</v>
      </c>
      <c r="W60" s="11">
        <f t="shared" si="49"/>
        <v>0</v>
      </c>
      <c r="X60" s="11">
        <f t="shared" si="49"/>
        <v>0</v>
      </c>
      <c r="Y60" s="11">
        <f t="shared" si="49"/>
        <v>26600</v>
      </c>
      <c r="Z60" s="11">
        <f t="shared" si="49"/>
        <v>3483</v>
      </c>
      <c r="AA60" s="11">
        <f t="shared" si="49"/>
        <v>0</v>
      </c>
      <c r="AB60" s="11">
        <f t="shared" si="49"/>
        <v>0</v>
      </c>
      <c r="AC60" s="11">
        <f t="shared" si="49"/>
        <v>0</v>
      </c>
      <c r="AD60" s="11">
        <f t="shared" si="49"/>
        <v>8841</v>
      </c>
      <c r="AE60" s="11">
        <f t="shared" si="49"/>
        <v>0</v>
      </c>
      <c r="AF60" s="11">
        <f t="shared" si="49"/>
        <v>247396</v>
      </c>
      <c r="AG60" s="11">
        <f t="shared" si="49"/>
        <v>0</v>
      </c>
      <c r="AH60" s="11">
        <f t="shared" si="49"/>
        <v>0</v>
      </c>
      <c r="AI60" s="11">
        <f t="shared" si="49"/>
        <v>1398</v>
      </c>
      <c r="AJ60" s="11">
        <f t="shared" si="49"/>
        <v>0</v>
      </c>
      <c r="AK60" s="11">
        <f t="shared" si="49"/>
        <v>0</v>
      </c>
      <c r="AL60" s="11">
        <f t="shared" si="49"/>
        <v>9348</v>
      </c>
      <c r="AM60" s="11">
        <f t="shared" ref="AM60:CX60" si="50">SUM(AM61)</f>
        <v>0</v>
      </c>
      <c r="AN60" s="11">
        <f t="shared" si="50"/>
        <v>41780</v>
      </c>
      <c r="AO60" s="11">
        <f t="shared" si="50"/>
        <v>0</v>
      </c>
      <c r="AP60" s="11">
        <f t="shared" si="50"/>
        <v>33756</v>
      </c>
      <c r="AQ60" s="11">
        <f t="shared" si="50"/>
        <v>0</v>
      </c>
      <c r="AR60" s="11">
        <f t="shared" si="50"/>
        <v>0</v>
      </c>
      <c r="AS60" s="11">
        <f t="shared" si="50"/>
        <v>0</v>
      </c>
      <c r="AT60" s="11">
        <f t="shared" si="50"/>
        <v>103832</v>
      </c>
      <c r="AU60" s="11">
        <f t="shared" si="50"/>
        <v>0</v>
      </c>
      <c r="AV60" s="11"/>
      <c r="AW60" s="11"/>
      <c r="AX60" s="11">
        <f t="shared" si="50"/>
        <v>0</v>
      </c>
      <c r="AY60" s="11">
        <f t="shared" si="50"/>
        <v>0</v>
      </c>
      <c r="AZ60" s="11">
        <f t="shared" si="50"/>
        <v>0</v>
      </c>
      <c r="BA60" s="11">
        <f t="shared" si="50"/>
        <v>45000</v>
      </c>
      <c r="BB60" s="11">
        <f t="shared" si="50"/>
        <v>12282</v>
      </c>
      <c r="BC60" s="11">
        <f t="shared" si="50"/>
        <v>27605</v>
      </c>
      <c r="BD60" s="11">
        <f t="shared" si="50"/>
        <v>0</v>
      </c>
      <c r="BE60" s="11">
        <f t="shared" si="50"/>
        <v>0</v>
      </c>
      <c r="BF60" s="11">
        <f t="shared" si="50"/>
        <v>0</v>
      </c>
      <c r="BG60" s="11">
        <f t="shared" si="50"/>
        <v>0</v>
      </c>
      <c r="BH60" s="11">
        <f t="shared" si="50"/>
        <v>0</v>
      </c>
      <c r="BI60" s="11">
        <f t="shared" si="50"/>
        <v>0</v>
      </c>
      <c r="BJ60" s="11">
        <f t="shared" si="50"/>
        <v>0</v>
      </c>
      <c r="BK60" s="11">
        <f t="shared" si="50"/>
        <v>0</v>
      </c>
      <c r="BL60" s="11">
        <f t="shared" si="50"/>
        <v>0</v>
      </c>
      <c r="BM60" s="11">
        <f t="shared" si="50"/>
        <v>0</v>
      </c>
      <c r="BN60" s="11">
        <f t="shared" si="50"/>
        <v>0</v>
      </c>
      <c r="BO60" s="11">
        <f t="shared" si="50"/>
        <v>0</v>
      </c>
      <c r="BP60" s="11">
        <f t="shared" si="50"/>
        <v>27605</v>
      </c>
      <c r="BQ60" s="11">
        <f t="shared" si="50"/>
        <v>0</v>
      </c>
      <c r="BR60" s="11">
        <f t="shared" si="50"/>
        <v>0</v>
      </c>
      <c r="BS60" s="11">
        <f t="shared" si="50"/>
        <v>0</v>
      </c>
      <c r="BT60" s="11">
        <f t="shared" si="50"/>
        <v>0</v>
      </c>
      <c r="BU60" s="11">
        <f t="shared" si="50"/>
        <v>0</v>
      </c>
      <c r="BV60" s="11">
        <f t="shared" si="50"/>
        <v>0</v>
      </c>
      <c r="BW60" s="11">
        <f t="shared" si="50"/>
        <v>0</v>
      </c>
      <c r="BX60" s="11">
        <f t="shared" si="50"/>
        <v>0</v>
      </c>
      <c r="BY60" s="11">
        <f t="shared" si="50"/>
        <v>0</v>
      </c>
      <c r="BZ60" s="11">
        <f t="shared" si="50"/>
        <v>27605</v>
      </c>
      <c r="CA60" s="11">
        <f t="shared" si="50"/>
        <v>0</v>
      </c>
      <c r="CB60" s="11">
        <f t="shared" si="50"/>
        <v>54625</v>
      </c>
      <c r="CC60" s="11">
        <f t="shared" si="50"/>
        <v>54625</v>
      </c>
      <c r="CD60" s="11">
        <f t="shared" si="50"/>
        <v>54625</v>
      </c>
      <c r="CE60" s="11">
        <f t="shared" si="50"/>
        <v>0</v>
      </c>
      <c r="CF60" s="11">
        <f t="shared" si="50"/>
        <v>54625</v>
      </c>
      <c r="CG60" s="11">
        <f t="shared" si="50"/>
        <v>0</v>
      </c>
      <c r="CH60" s="11">
        <f t="shared" si="50"/>
        <v>0</v>
      </c>
      <c r="CI60" s="11">
        <f t="shared" si="50"/>
        <v>0</v>
      </c>
      <c r="CJ60" s="11">
        <f t="shared" si="50"/>
        <v>0</v>
      </c>
      <c r="CK60" s="11">
        <f t="shared" si="50"/>
        <v>0</v>
      </c>
      <c r="CL60" s="11">
        <f t="shared" si="50"/>
        <v>0</v>
      </c>
      <c r="CM60" s="11">
        <f t="shared" si="50"/>
        <v>0</v>
      </c>
      <c r="CN60" s="11">
        <f t="shared" si="50"/>
        <v>0</v>
      </c>
      <c r="CO60" s="11">
        <f t="shared" si="50"/>
        <v>0</v>
      </c>
      <c r="CP60" s="11"/>
      <c r="CQ60" s="11">
        <f t="shared" si="50"/>
        <v>0</v>
      </c>
      <c r="CR60" s="11">
        <f t="shared" si="50"/>
        <v>0</v>
      </c>
      <c r="CS60" s="11">
        <f t="shared" si="50"/>
        <v>0</v>
      </c>
      <c r="CT60" s="11">
        <f t="shared" si="50"/>
        <v>0</v>
      </c>
      <c r="CU60" s="11">
        <f t="shared" si="50"/>
        <v>0</v>
      </c>
      <c r="CV60" s="11">
        <f t="shared" si="50"/>
        <v>0</v>
      </c>
      <c r="CW60" s="11">
        <f t="shared" si="50"/>
        <v>0</v>
      </c>
      <c r="CX60" s="12">
        <f t="shared" si="50"/>
        <v>0</v>
      </c>
    </row>
    <row r="61" spans="1:102" ht="15.75" x14ac:dyDescent="0.25">
      <c r="A61" s="13"/>
      <c r="B61" s="14" t="s">
        <v>1</v>
      </c>
      <c r="C61" s="14" t="s">
        <v>161</v>
      </c>
      <c r="D61" s="15" t="s">
        <v>162</v>
      </c>
      <c r="E61" s="10">
        <f>SUM(F61+CB61+CU61)</f>
        <v>6307228</v>
      </c>
      <c r="F61" s="11">
        <f>SUM(G61+BC61)</f>
        <v>6252603</v>
      </c>
      <c r="G61" s="11">
        <f>SUM(H61+I61+J61+Q61+T61+U61+V61+AF61+AE61)</f>
        <v>6224998</v>
      </c>
      <c r="H61" s="11">
        <f>5004302+76127</f>
        <v>5080429</v>
      </c>
      <c r="I61" s="11">
        <f>368278+19032</f>
        <v>387310</v>
      </c>
      <c r="J61" s="11">
        <f t="shared" si="4"/>
        <v>311374</v>
      </c>
      <c r="K61" s="11">
        <v>0</v>
      </c>
      <c r="L61" s="11"/>
      <c r="M61" s="11">
        <v>0</v>
      </c>
      <c r="N61" s="11">
        <v>0</v>
      </c>
      <c r="O61" s="11">
        <v>259430</v>
      </c>
      <c r="P61" s="11">
        <v>51944</v>
      </c>
      <c r="Q61" s="11">
        <f t="shared" si="5"/>
        <v>0</v>
      </c>
      <c r="R61" s="11">
        <v>0</v>
      </c>
      <c r="S61" s="11">
        <v>0</v>
      </c>
      <c r="T61" s="11">
        <v>0</v>
      </c>
      <c r="U61" s="16">
        <v>159565</v>
      </c>
      <c r="V61" s="11">
        <f>SUM(W61:AD61)</f>
        <v>38924</v>
      </c>
      <c r="W61" s="11"/>
      <c r="X61" s="11">
        <v>0</v>
      </c>
      <c r="Y61" s="11">
        <v>26600</v>
      </c>
      <c r="Z61" s="11">
        <v>3483</v>
      </c>
      <c r="AA61" s="11">
        <v>0</v>
      </c>
      <c r="AB61" s="11">
        <v>0</v>
      </c>
      <c r="AC61" s="11">
        <v>0</v>
      </c>
      <c r="AD61" s="11">
        <v>8841</v>
      </c>
      <c r="AE61" s="11"/>
      <c r="AF61" s="11">
        <f>SUM(AG61:BB61)</f>
        <v>247396</v>
      </c>
      <c r="AG61" s="11">
        <v>0</v>
      </c>
      <c r="AH61" s="11"/>
      <c r="AI61" s="16">
        <v>1398</v>
      </c>
      <c r="AJ61" s="16"/>
      <c r="AK61" s="16"/>
      <c r="AL61" s="16">
        <v>9348</v>
      </c>
      <c r="AM61" s="16"/>
      <c r="AN61" s="16">
        <v>41780</v>
      </c>
      <c r="AO61" s="16"/>
      <c r="AP61" s="16">
        <v>33756</v>
      </c>
      <c r="AQ61" s="16"/>
      <c r="AR61" s="16"/>
      <c r="AS61" s="16"/>
      <c r="AT61" s="16">
        <v>103832</v>
      </c>
      <c r="AU61" s="11">
        <v>0</v>
      </c>
      <c r="AV61" s="11"/>
      <c r="AW61" s="11"/>
      <c r="AX61" s="11">
        <v>0</v>
      </c>
      <c r="AY61" s="11">
        <v>0</v>
      </c>
      <c r="AZ61" s="11">
        <v>0</v>
      </c>
      <c r="BA61" s="11">
        <v>45000</v>
      </c>
      <c r="BB61" s="11">
        <v>12282</v>
      </c>
      <c r="BC61" s="11">
        <f>SUM(BD61+BH61+BL61+BM61+BN61+BP61)</f>
        <v>27605</v>
      </c>
      <c r="BD61" s="11">
        <f>SUM(BE61:BG61)</f>
        <v>0</v>
      </c>
      <c r="BE61" s="11">
        <v>0</v>
      </c>
      <c r="BF61" s="11">
        <v>0</v>
      </c>
      <c r="BG61" s="11">
        <v>0</v>
      </c>
      <c r="BH61" s="11">
        <f t="shared" si="6"/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f t="shared" si="7"/>
        <v>0</v>
      </c>
      <c r="BO61" s="11">
        <v>0</v>
      </c>
      <c r="BP61" s="11">
        <f t="shared" si="8"/>
        <v>27605</v>
      </c>
      <c r="BQ61" s="11">
        <v>0</v>
      </c>
      <c r="BR61" s="11">
        <v>0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  <c r="BZ61" s="11">
        <v>27605</v>
      </c>
      <c r="CA61" s="11">
        <v>0</v>
      </c>
      <c r="CB61" s="11">
        <f>SUM(CC61+CT61)</f>
        <v>54625</v>
      </c>
      <c r="CC61" s="11">
        <f>SUM(CD61+CG61+CL61)</f>
        <v>54625</v>
      </c>
      <c r="CD61" s="11">
        <f t="shared" si="9"/>
        <v>54625</v>
      </c>
      <c r="CE61" s="11">
        <v>0</v>
      </c>
      <c r="CF61" s="11">
        <v>54625</v>
      </c>
      <c r="CG61" s="11">
        <f>SUM(CH61:CK61)</f>
        <v>0</v>
      </c>
      <c r="CH61" s="11">
        <v>0</v>
      </c>
      <c r="CI61" s="11">
        <v>0</v>
      </c>
      <c r="CJ61" s="11">
        <v>0</v>
      </c>
      <c r="CK61" s="11">
        <v>0</v>
      </c>
      <c r="CL61" s="11">
        <f>SUM(CM61:CQ61)</f>
        <v>0</v>
      </c>
      <c r="CM61" s="11">
        <v>0</v>
      </c>
      <c r="CN61" s="11">
        <v>0</v>
      </c>
      <c r="CO61" s="11">
        <v>0</v>
      </c>
      <c r="CP61" s="11"/>
      <c r="CQ61" s="11">
        <v>0</v>
      </c>
      <c r="CR61" s="11">
        <v>0</v>
      </c>
      <c r="CS61" s="11">
        <v>0</v>
      </c>
      <c r="CT61" s="11">
        <v>0</v>
      </c>
      <c r="CU61" s="11">
        <f t="shared" si="10"/>
        <v>0</v>
      </c>
      <c r="CV61" s="11">
        <f t="shared" si="11"/>
        <v>0</v>
      </c>
      <c r="CW61" s="11">
        <v>0</v>
      </c>
      <c r="CX61" s="12">
        <v>0</v>
      </c>
    </row>
    <row r="62" spans="1:102" ht="15.75" x14ac:dyDescent="0.25">
      <c r="A62" s="7"/>
      <c r="B62" s="8" t="s">
        <v>163</v>
      </c>
      <c r="C62" s="8" t="s">
        <v>1</v>
      </c>
      <c r="D62" s="9" t="s">
        <v>164</v>
      </c>
      <c r="E62" s="10">
        <f t="shared" ref="E62:AL62" si="51">SUM(E63)</f>
        <v>524239</v>
      </c>
      <c r="F62" s="11">
        <f t="shared" si="51"/>
        <v>524239</v>
      </c>
      <c r="G62" s="11">
        <f t="shared" si="51"/>
        <v>524239</v>
      </c>
      <c r="H62" s="11">
        <f t="shared" si="51"/>
        <v>0</v>
      </c>
      <c r="I62" s="11">
        <f t="shared" si="51"/>
        <v>0</v>
      </c>
      <c r="J62" s="11">
        <f t="shared" si="51"/>
        <v>0</v>
      </c>
      <c r="K62" s="11">
        <f t="shared" si="51"/>
        <v>0</v>
      </c>
      <c r="L62" s="11">
        <f t="shared" si="51"/>
        <v>0</v>
      </c>
      <c r="M62" s="11">
        <f t="shared" si="51"/>
        <v>0</v>
      </c>
      <c r="N62" s="11">
        <f t="shared" si="51"/>
        <v>0</v>
      </c>
      <c r="O62" s="11">
        <f t="shared" si="51"/>
        <v>0</v>
      </c>
      <c r="P62" s="11">
        <f t="shared" si="51"/>
        <v>0</v>
      </c>
      <c r="Q62" s="11">
        <f t="shared" si="51"/>
        <v>0</v>
      </c>
      <c r="R62" s="11">
        <f t="shared" si="51"/>
        <v>0</v>
      </c>
      <c r="S62" s="11">
        <f t="shared" si="51"/>
        <v>0</v>
      </c>
      <c r="T62" s="11">
        <f t="shared" si="51"/>
        <v>0</v>
      </c>
      <c r="U62" s="11">
        <f t="shared" si="51"/>
        <v>0</v>
      </c>
      <c r="V62" s="11">
        <f t="shared" si="51"/>
        <v>0</v>
      </c>
      <c r="W62" s="11">
        <f t="shared" si="51"/>
        <v>0</v>
      </c>
      <c r="X62" s="11">
        <f t="shared" si="51"/>
        <v>0</v>
      </c>
      <c r="Y62" s="11">
        <f t="shared" si="51"/>
        <v>0</v>
      </c>
      <c r="Z62" s="11">
        <f t="shared" si="51"/>
        <v>0</v>
      </c>
      <c r="AA62" s="11">
        <f t="shared" si="51"/>
        <v>0</v>
      </c>
      <c r="AB62" s="11">
        <f t="shared" si="51"/>
        <v>0</v>
      </c>
      <c r="AC62" s="11">
        <f t="shared" si="51"/>
        <v>0</v>
      </c>
      <c r="AD62" s="11">
        <f t="shared" si="51"/>
        <v>0</v>
      </c>
      <c r="AE62" s="11">
        <f t="shared" si="51"/>
        <v>0</v>
      </c>
      <c r="AF62" s="11">
        <f t="shared" si="51"/>
        <v>524239</v>
      </c>
      <c r="AG62" s="11">
        <f t="shared" si="51"/>
        <v>0</v>
      </c>
      <c r="AH62" s="11">
        <f t="shared" si="51"/>
        <v>0</v>
      </c>
      <c r="AI62" s="11">
        <f t="shared" si="51"/>
        <v>0</v>
      </c>
      <c r="AJ62" s="11">
        <f t="shared" si="51"/>
        <v>0</v>
      </c>
      <c r="AK62" s="11">
        <f t="shared" si="51"/>
        <v>0</v>
      </c>
      <c r="AL62" s="11">
        <f t="shared" si="51"/>
        <v>0</v>
      </c>
      <c r="AM62" s="11">
        <f t="shared" ref="AM62:CX62" si="52">SUM(AM63)</f>
        <v>0</v>
      </c>
      <c r="AN62" s="11">
        <f t="shared" si="52"/>
        <v>0</v>
      </c>
      <c r="AO62" s="11">
        <f t="shared" si="52"/>
        <v>0</v>
      </c>
      <c r="AP62" s="11">
        <f t="shared" si="52"/>
        <v>0</v>
      </c>
      <c r="AQ62" s="11">
        <f t="shared" si="52"/>
        <v>0</v>
      </c>
      <c r="AR62" s="11">
        <f t="shared" si="52"/>
        <v>0</v>
      </c>
      <c r="AS62" s="11">
        <f t="shared" si="52"/>
        <v>0</v>
      </c>
      <c r="AT62" s="11">
        <f t="shared" si="52"/>
        <v>0</v>
      </c>
      <c r="AU62" s="11">
        <f t="shared" si="52"/>
        <v>0</v>
      </c>
      <c r="AV62" s="11">
        <f t="shared" si="52"/>
        <v>524239</v>
      </c>
      <c r="AW62" s="11">
        <f t="shared" si="52"/>
        <v>0</v>
      </c>
      <c r="AX62" s="11">
        <f t="shared" si="52"/>
        <v>0</v>
      </c>
      <c r="AY62" s="11">
        <f t="shared" si="52"/>
        <v>0</v>
      </c>
      <c r="AZ62" s="11">
        <f t="shared" si="52"/>
        <v>0</v>
      </c>
      <c r="BA62" s="11">
        <f t="shared" si="52"/>
        <v>0</v>
      </c>
      <c r="BB62" s="11">
        <f t="shared" si="52"/>
        <v>0</v>
      </c>
      <c r="BC62" s="11">
        <f t="shared" si="52"/>
        <v>0</v>
      </c>
      <c r="BD62" s="11">
        <f t="shared" si="52"/>
        <v>0</v>
      </c>
      <c r="BE62" s="11">
        <f t="shared" si="52"/>
        <v>0</v>
      </c>
      <c r="BF62" s="11">
        <f t="shared" si="52"/>
        <v>0</v>
      </c>
      <c r="BG62" s="11">
        <f t="shared" si="52"/>
        <v>0</v>
      </c>
      <c r="BH62" s="11">
        <f t="shared" si="52"/>
        <v>0</v>
      </c>
      <c r="BI62" s="11">
        <f t="shared" si="52"/>
        <v>0</v>
      </c>
      <c r="BJ62" s="11">
        <f t="shared" si="52"/>
        <v>0</v>
      </c>
      <c r="BK62" s="11">
        <f t="shared" si="52"/>
        <v>0</v>
      </c>
      <c r="BL62" s="11">
        <f t="shared" si="52"/>
        <v>0</v>
      </c>
      <c r="BM62" s="11">
        <f t="shared" si="52"/>
        <v>0</v>
      </c>
      <c r="BN62" s="11">
        <f t="shared" si="52"/>
        <v>0</v>
      </c>
      <c r="BO62" s="11">
        <f t="shared" si="52"/>
        <v>0</v>
      </c>
      <c r="BP62" s="11">
        <f t="shared" si="52"/>
        <v>0</v>
      </c>
      <c r="BQ62" s="11">
        <f t="shared" si="52"/>
        <v>0</v>
      </c>
      <c r="BR62" s="11">
        <f t="shared" si="52"/>
        <v>0</v>
      </c>
      <c r="BS62" s="11">
        <f t="shared" si="52"/>
        <v>0</v>
      </c>
      <c r="BT62" s="11">
        <f t="shared" si="52"/>
        <v>0</v>
      </c>
      <c r="BU62" s="11">
        <f t="shared" si="52"/>
        <v>0</v>
      </c>
      <c r="BV62" s="11">
        <f t="shared" si="52"/>
        <v>0</v>
      </c>
      <c r="BW62" s="11">
        <f t="shared" si="52"/>
        <v>0</v>
      </c>
      <c r="BX62" s="11">
        <f t="shared" si="52"/>
        <v>0</v>
      </c>
      <c r="BY62" s="11">
        <f t="shared" si="52"/>
        <v>0</v>
      </c>
      <c r="BZ62" s="11">
        <f t="shared" si="52"/>
        <v>0</v>
      </c>
      <c r="CA62" s="11">
        <f t="shared" si="52"/>
        <v>0</v>
      </c>
      <c r="CB62" s="11">
        <f t="shared" si="52"/>
        <v>0</v>
      </c>
      <c r="CC62" s="11">
        <f t="shared" si="52"/>
        <v>0</v>
      </c>
      <c r="CD62" s="11">
        <f t="shared" si="52"/>
        <v>0</v>
      </c>
      <c r="CE62" s="11">
        <f t="shared" si="52"/>
        <v>0</v>
      </c>
      <c r="CF62" s="11">
        <f t="shared" si="52"/>
        <v>0</v>
      </c>
      <c r="CG62" s="11">
        <f t="shared" si="52"/>
        <v>0</v>
      </c>
      <c r="CH62" s="11">
        <f t="shared" si="52"/>
        <v>0</v>
      </c>
      <c r="CI62" s="11">
        <f t="shared" si="52"/>
        <v>0</v>
      </c>
      <c r="CJ62" s="11">
        <f t="shared" si="52"/>
        <v>0</v>
      </c>
      <c r="CK62" s="11">
        <f t="shared" si="52"/>
        <v>0</v>
      </c>
      <c r="CL62" s="11">
        <f t="shared" si="52"/>
        <v>0</v>
      </c>
      <c r="CM62" s="11">
        <f t="shared" si="52"/>
        <v>0</v>
      </c>
      <c r="CN62" s="11">
        <f t="shared" si="52"/>
        <v>0</v>
      </c>
      <c r="CO62" s="11">
        <f t="shared" si="52"/>
        <v>0</v>
      </c>
      <c r="CP62" s="11"/>
      <c r="CQ62" s="11">
        <f t="shared" si="52"/>
        <v>0</v>
      </c>
      <c r="CR62" s="11">
        <f t="shared" si="52"/>
        <v>0</v>
      </c>
      <c r="CS62" s="11">
        <f t="shared" si="52"/>
        <v>0</v>
      </c>
      <c r="CT62" s="11">
        <f t="shared" si="52"/>
        <v>0</v>
      </c>
      <c r="CU62" s="11">
        <f t="shared" si="52"/>
        <v>0</v>
      </c>
      <c r="CV62" s="11">
        <f t="shared" si="52"/>
        <v>0</v>
      </c>
      <c r="CW62" s="11">
        <f t="shared" si="52"/>
        <v>0</v>
      </c>
      <c r="CX62" s="12">
        <f t="shared" si="52"/>
        <v>0</v>
      </c>
    </row>
    <row r="63" spans="1:102" ht="15.75" x14ac:dyDescent="0.25">
      <c r="A63" s="13" t="s">
        <v>1</v>
      </c>
      <c r="B63" s="14" t="s">
        <v>1</v>
      </c>
      <c r="C63" s="14" t="s">
        <v>157</v>
      </c>
      <c r="D63" s="15" t="s">
        <v>165</v>
      </c>
      <c r="E63" s="10">
        <f>SUM(F63+CB63+CU63)</f>
        <v>524239</v>
      </c>
      <c r="F63" s="11">
        <f>SUM(G63+BC63)</f>
        <v>524239</v>
      </c>
      <c r="G63" s="11">
        <f>SUM(H63+I63+J63+Q63+T63+U63+V63+AF63+AE63)</f>
        <v>524239</v>
      </c>
      <c r="H63" s="11">
        <v>0</v>
      </c>
      <c r="I63" s="11">
        <v>0</v>
      </c>
      <c r="J63" s="11">
        <f t="shared" si="4"/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f t="shared" si="5"/>
        <v>0</v>
      </c>
      <c r="R63" s="11">
        <v>0</v>
      </c>
      <c r="S63" s="11">
        <v>0</v>
      </c>
      <c r="T63" s="11">
        <v>0</v>
      </c>
      <c r="U63" s="11">
        <v>0</v>
      </c>
      <c r="V63" s="11">
        <f>SUM(W63:AD63)</f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f>SUM(AG63:BB63)</f>
        <v>524239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524239</v>
      </c>
      <c r="AW63" s="11"/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f>SUM(BD63+BH63+BL63+BM63+BN63+BP63)</f>
        <v>0</v>
      </c>
      <c r="BD63" s="11">
        <f>SUM(BE63:BG63)</f>
        <v>0</v>
      </c>
      <c r="BE63" s="11">
        <v>0</v>
      </c>
      <c r="BF63" s="11">
        <v>0</v>
      </c>
      <c r="BG63" s="11">
        <v>0</v>
      </c>
      <c r="BH63" s="11">
        <f t="shared" si="6"/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f t="shared" si="7"/>
        <v>0</v>
      </c>
      <c r="BO63" s="11">
        <v>0</v>
      </c>
      <c r="BP63" s="11">
        <f t="shared" si="8"/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f>SUM(CC63+CT63)</f>
        <v>0</v>
      </c>
      <c r="CC63" s="11">
        <f>SUM(CD63+CG63+CL63)</f>
        <v>0</v>
      </c>
      <c r="CD63" s="11">
        <f t="shared" si="9"/>
        <v>0</v>
      </c>
      <c r="CE63" s="11">
        <v>0</v>
      </c>
      <c r="CF63" s="11">
        <v>0</v>
      </c>
      <c r="CG63" s="11">
        <f>SUM(CH63:CK63)</f>
        <v>0</v>
      </c>
      <c r="CH63" s="11">
        <v>0</v>
      </c>
      <c r="CI63" s="11">
        <v>0</v>
      </c>
      <c r="CJ63" s="11">
        <v>0</v>
      </c>
      <c r="CK63" s="11">
        <v>0</v>
      </c>
      <c r="CL63" s="11">
        <f>SUM(CM63:CQ63)</f>
        <v>0</v>
      </c>
      <c r="CM63" s="11">
        <v>0</v>
      </c>
      <c r="CN63" s="11">
        <v>0</v>
      </c>
      <c r="CO63" s="11">
        <v>0</v>
      </c>
      <c r="CP63" s="11"/>
      <c r="CQ63" s="11">
        <v>0</v>
      </c>
      <c r="CR63" s="11">
        <v>0</v>
      </c>
      <c r="CS63" s="11">
        <v>0</v>
      </c>
      <c r="CT63" s="11">
        <v>0</v>
      </c>
      <c r="CU63" s="11">
        <f t="shared" si="10"/>
        <v>0</v>
      </c>
      <c r="CV63" s="11">
        <f t="shared" si="11"/>
        <v>0</v>
      </c>
      <c r="CW63" s="11">
        <v>0</v>
      </c>
      <c r="CX63" s="12">
        <v>0</v>
      </c>
    </row>
    <row r="64" spans="1:102" ht="15.75" x14ac:dyDescent="0.25">
      <c r="A64" s="18" t="s">
        <v>166</v>
      </c>
      <c r="B64" s="19" t="s">
        <v>1</v>
      </c>
      <c r="C64" s="19" t="s">
        <v>1</v>
      </c>
      <c r="D64" s="20" t="s">
        <v>167</v>
      </c>
      <c r="E64" s="21">
        <f>SUM(E65+E67)</f>
        <v>4729307</v>
      </c>
      <c r="F64" s="22">
        <f t="shared" ref="F64:BV64" si="53">SUM(F65+F67)</f>
        <v>4677407</v>
      </c>
      <c r="G64" s="22">
        <f t="shared" si="53"/>
        <v>4677407</v>
      </c>
      <c r="H64" s="22">
        <f t="shared" si="53"/>
        <v>2102285</v>
      </c>
      <c r="I64" s="22">
        <f t="shared" si="53"/>
        <v>525571</v>
      </c>
      <c r="J64" s="22">
        <f t="shared" si="53"/>
        <v>85827</v>
      </c>
      <c r="K64" s="22">
        <f t="shared" si="53"/>
        <v>0</v>
      </c>
      <c r="L64" s="22">
        <f t="shared" si="53"/>
        <v>0</v>
      </c>
      <c r="M64" s="22">
        <f t="shared" si="53"/>
        <v>0</v>
      </c>
      <c r="N64" s="22">
        <f t="shared" si="53"/>
        <v>0</v>
      </c>
      <c r="O64" s="22">
        <f t="shared" si="53"/>
        <v>39576</v>
      </c>
      <c r="P64" s="22">
        <f t="shared" si="53"/>
        <v>46251</v>
      </c>
      <c r="Q64" s="22">
        <f t="shared" si="53"/>
        <v>122533</v>
      </c>
      <c r="R64" s="22">
        <f t="shared" si="53"/>
        <v>0</v>
      </c>
      <c r="S64" s="22">
        <f t="shared" si="53"/>
        <v>122533</v>
      </c>
      <c r="T64" s="22">
        <f t="shared" si="53"/>
        <v>0</v>
      </c>
      <c r="U64" s="22">
        <f t="shared" si="53"/>
        <v>54384</v>
      </c>
      <c r="V64" s="22">
        <f t="shared" si="53"/>
        <v>474362</v>
      </c>
      <c r="W64" s="22">
        <f t="shared" si="53"/>
        <v>23082</v>
      </c>
      <c r="X64" s="22">
        <f t="shared" si="53"/>
        <v>0</v>
      </c>
      <c r="Y64" s="22">
        <f t="shared" si="53"/>
        <v>0</v>
      </c>
      <c r="Z64" s="22">
        <f t="shared" si="53"/>
        <v>0</v>
      </c>
      <c r="AA64" s="22">
        <f t="shared" si="53"/>
        <v>0</v>
      </c>
      <c r="AB64" s="22">
        <f t="shared" si="53"/>
        <v>451280</v>
      </c>
      <c r="AC64" s="22">
        <f t="shared" si="53"/>
        <v>0</v>
      </c>
      <c r="AD64" s="22">
        <f t="shared" si="53"/>
        <v>0</v>
      </c>
      <c r="AE64" s="22">
        <f t="shared" si="53"/>
        <v>0</v>
      </c>
      <c r="AF64" s="22">
        <f t="shared" si="53"/>
        <v>1312445</v>
      </c>
      <c r="AG64" s="22">
        <f t="shared" si="53"/>
        <v>0</v>
      </c>
      <c r="AH64" s="22">
        <f t="shared" si="53"/>
        <v>0</v>
      </c>
      <c r="AI64" s="22">
        <f t="shared" si="53"/>
        <v>0</v>
      </c>
      <c r="AJ64" s="22">
        <f t="shared" si="53"/>
        <v>0</v>
      </c>
      <c r="AK64" s="22">
        <f t="shared" si="53"/>
        <v>0</v>
      </c>
      <c r="AL64" s="22">
        <f t="shared" si="53"/>
        <v>0</v>
      </c>
      <c r="AM64" s="22">
        <f t="shared" si="53"/>
        <v>1753</v>
      </c>
      <c r="AN64" s="22">
        <f t="shared" si="53"/>
        <v>0</v>
      </c>
      <c r="AO64" s="22">
        <f t="shared" si="53"/>
        <v>0</v>
      </c>
      <c r="AP64" s="22">
        <f t="shared" si="53"/>
        <v>435469</v>
      </c>
      <c r="AQ64" s="22">
        <f t="shared" si="53"/>
        <v>0</v>
      </c>
      <c r="AR64" s="22">
        <f>SUM(AR65+AR67)</f>
        <v>0</v>
      </c>
      <c r="AS64" s="22">
        <f t="shared" si="53"/>
        <v>0</v>
      </c>
      <c r="AT64" s="22">
        <f t="shared" si="53"/>
        <v>0</v>
      </c>
      <c r="AU64" s="22">
        <f t="shared" si="53"/>
        <v>0</v>
      </c>
      <c r="AV64" s="22"/>
      <c r="AW64" s="22"/>
      <c r="AX64" s="22">
        <f t="shared" si="53"/>
        <v>0</v>
      </c>
      <c r="AY64" s="22">
        <f t="shared" si="53"/>
        <v>0</v>
      </c>
      <c r="AZ64" s="22">
        <f t="shared" si="53"/>
        <v>0</v>
      </c>
      <c r="BA64" s="22">
        <f t="shared" si="53"/>
        <v>100128</v>
      </c>
      <c r="BB64" s="22">
        <f t="shared" si="53"/>
        <v>775095</v>
      </c>
      <c r="BC64" s="22">
        <f t="shared" si="53"/>
        <v>0</v>
      </c>
      <c r="BD64" s="22">
        <f t="shared" si="53"/>
        <v>0</v>
      </c>
      <c r="BE64" s="22">
        <f t="shared" si="53"/>
        <v>0</v>
      </c>
      <c r="BF64" s="22">
        <f t="shared" si="53"/>
        <v>0</v>
      </c>
      <c r="BG64" s="22">
        <f t="shared" si="53"/>
        <v>0</v>
      </c>
      <c r="BH64" s="22">
        <f t="shared" si="53"/>
        <v>0</v>
      </c>
      <c r="BI64" s="22">
        <f t="shared" si="53"/>
        <v>0</v>
      </c>
      <c r="BJ64" s="22">
        <f t="shared" si="53"/>
        <v>0</v>
      </c>
      <c r="BK64" s="22">
        <f t="shared" si="53"/>
        <v>0</v>
      </c>
      <c r="BL64" s="22">
        <f t="shared" si="53"/>
        <v>0</v>
      </c>
      <c r="BM64" s="22">
        <f t="shared" si="53"/>
        <v>0</v>
      </c>
      <c r="BN64" s="22">
        <f t="shared" si="53"/>
        <v>0</v>
      </c>
      <c r="BO64" s="22">
        <f t="shared" si="53"/>
        <v>0</v>
      </c>
      <c r="BP64" s="22">
        <f t="shared" si="53"/>
        <v>0</v>
      </c>
      <c r="BQ64" s="22">
        <f t="shared" si="53"/>
        <v>0</v>
      </c>
      <c r="BR64" s="22">
        <f t="shared" si="53"/>
        <v>0</v>
      </c>
      <c r="BS64" s="22">
        <f t="shared" si="53"/>
        <v>0</v>
      </c>
      <c r="BT64" s="22">
        <f t="shared" si="53"/>
        <v>0</v>
      </c>
      <c r="BU64" s="22">
        <f t="shared" si="53"/>
        <v>0</v>
      </c>
      <c r="BV64" s="22">
        <f t="shared" si="53"/>
        <v>0</v>
      </c>
      <c r="BW64" s="22">
        <f t="shared" ref="BW64:CX64" si="54">SUM(BW65+BW67)</f>
        <v>0</v>
      </c>
      <c r="BX64" s="22">
        <f t="shared" si="54"/>
        <v>0</v>
      </c>
      <c r="BY64" s="22">
        <f t="shared" si="54"/>
        <v>0</v>
      </c>
      <c r="BZ64" s="22">
        <f t="shared" si="54"/>
        <v>0</v>
      </c>
      <c r="CA64" s="22">
        <f t="shared" si="54"/>
        <v>0</v>
      </c>
      <c r="CB64" s="22">
        <f t="shared" si="54"/>
        <v>51900</v>
      </c>
      <c r="CC64" s="22">
        <f t="shared" si="54"/>
        <v>51900</v>
      </c>
      <c r="CD64" s="22">
        <f t="shared" si="54"/>
        <v>51900</v>
      </c>
      <c r="CE64" s="22">
        <f t="shared" si="54"/>
        <v>0</v>
      </c>
      <c r="CF64" s="22">
        <f t="shared" si="54"/>
        <v>51900</v>
      </c>
      <c r="CG64" s="22">
        <f t="shared" si="54"/>
        <v>0</v>
      </c>
      <c r="CH64" s="22">
        <f t="shared" si="54"/>
        <v>0</v>
      </c>
      <c r="CI64" s="22">
        <f t="shared" si="54"/>
        <v>0</v>
      </c>
      <c r="CJ64" s="22">
        <f t="shared" si="54"/>
        <v>0</v>
      </c>
      <c r="CK64" s="22">
        <f t="shared" si="54"/>
        <v>0</v>
      </c>
      <c r="CL64" s="22">
        <f t="shared" si="54"/>
        <v>0</v>
      </c>
      <c r="CM64" s="22">
        <f t="shared" si="54"/>
        <v>0</v>
      </c>
      <c r="CN64" s="22">
        <f t="shared" si="54"/>
        <v>0</v>
      </c>
      <c r="CO64" s="22">
        <f t="shared" si="54"/>
        <v>0</v>
      </c>
      <c r="CP64" s="22"/>
      <c r="CQ64" s="22">
        <f t="shared" si="54"/>
        <v>0</v>
      </c>
      <c r="CR64" s="22">
        <f t="shared" si="54"/>
        <v>0</v>
      </c>
      <c r="CS64" s="22">
        <f t="shared" si="54"/>
        <v>0</v>
      </c>
      <c r="CT64" s="22">
        <f t="shared" si="54"/>
        <v>0</v>
      </c>
      <c r="CU64" s="22">
        <f t="shared" si="54"/>
        <v>0</v>
      </c>
      <c r="CV64" s="22">
        <f t="shared" si="54"/>
        <v>0</v>
      </c>
      <c r="CW64" s="22">
        <f t="shared" si="54"/>
        <v>0</v>
      </c>
      <c r="CX64" s="23">
        <f t="shared" si="54"/>
        <v>0</v>
      </c>
    </row>
    <row r="65" spans="1:102" ht="15.75" x14ac:dyDescent="0.25">
      <c r="A65" s="7"/>
      <c r="B65" s="8" t="s">
        <v>168</v>
      </c>
      <c r="C65" s="8" t="s">
        <v>1</v>
      </c>
      <c r="D65" s="9" t="s">
        <v>169</v>
      </c>
      <c r="E65" s="10">
        <f t="shared" ref="E65:BS65" si="55">SUM(E66)</f>
        <v>3979307</v>
      </c>
      <c r="F65" s="11">
        <f t="shared" si="55"/>
        <v>3927407</v>
      </c>
      <c r="G65" s="11">
        <f t="shared" si="55"/>
        <v>3927407</v>
      </c>
      <c r="H65" s="11">
        <f t="shared" si="55"/>
        <v>2102285</v>
      </c>
      <c r="I65" s="11">
        <f t="shared" si="55"/>
        <v>525571</v>
      </c>
      <c r="J65" s="11">
        <f t="shared" si="55"/>
        <v>85827</v>
      </c>
      <c r="K65" s="11">
        <f t="shared" si="55"/>
        <v>0</v>
      </c>
      <c r="L65" s="11">
        <f t="shared" si="55"/>
        <v>0</v>
      </c>
      <c r="M65" s="11">
        <f t="shared" si="55"/>
        <v>0</v>
      </c>
      <c r="N65" s="11">
        <f t="shared" si="55"/>
        <v>0</v>
      </c>
      <c r="O65" s="11">
        <f t="shared" si="55"/>
        <v>39576</v>
      </c>
      <c r="P65" s="11">
        <f t="shared" si="55"/>
        <v>46251</v>
      </c>
      <c r="Q65" s="11">
        <f t="shared" si="55"/>
        <v>122533</v>
      </c>
      <c r="R65" s="11">
        <f t="shared" si="55"/>
        <v>0</v>
      </c>
      <c r="S65" s="11">
        <f t="shared" si="55"/>
        <v>122533</v>
      </c>
      <c r="T65" s="11">
        <f t="shared" si="55"/>
        <v>0</v>
      </c>
      <c r="U65" s="11">
        <f t="shared" si="55"/>
        <v>54384</v>
      </c>
      <c r="V65" s="11">
        <f t="shared" si="55"/>
        <v>474362</v>
      </c>
      <c r="W65" s="11">
        <f t="shared" si="55"/>
        <v>23082</v>
      </c>
      <c r="X65" s="11">
        <f t="shared" si="55"/>
        <v>0</v>
      </c>
      <c r="Y65" s="11">
        <f t="shared" si="55"/>
        <v>0</v>
      </c>
      <c r="Z65" s="11">
        <f t="shared" si="55"/>
        <v>0</v>
      </c>
      <c r="AA65" s="11">
        <f t="shared" si="55"/>
        <v>0</v>
      </c>
      <c r="AB65" s="11">
        <f t="shared" si="55"/>
        <v>451280</v>
      </c>
      <c r="AC65" s="11">
        <f t="shared" si="55"/>
        <v>0</v>
      </c>
      <c r="AD65" s="11">
        <f t="shared" si="55"/>
        <v>0</v>
      </c>
      <c r="AE65" s="11">
        <f t="shared" si="55"/>
        <v>0</v>
      </c>
      <c r="AF65" s="11">
        <f t="shared" si="55"/>
        <v>562445</v>
      </c>
      <c r="AG65" s="11">
        <f t="shared" si="55"/>
        <v>0</v>
      </c>
      <c r="AH65" s="11">
        <f t="shared" si="55"/>
        <v>0</v>
      </c>
      <c r="AI65" s="11">
        <f t="shared" si="55"/>
        <v>0</v>
      </c>
      <c r="AJ65" s="11">
        <f t="shared" si="55"/>
        <v>0</v>
      </c>
      <c r="AK65" s="11">
        <f t="shared" si="55"/>
        <v>0</v>
      </c>
      <c r="AL65" s="11">
        <f t="shared" si="55"/>
        <v>0</v>
      </c>
      <c r="AM65" s="11">
        <f t="shared" si="55"/>
        <v>1753</v>
      </c>
      <c r="AN65" s="11">
        <f t="shared" si="55"/>
        <v>0</v>
      </c>
      <c r="AO65" s="11">
        <f t="shared" si="55"/>
        <v>0</v>
      </c>
      <c r="AP65" s="11">
        <f t="shared" si="55"/>
        <v>435469</v>
      </c>
      <c r="AQ65" s="11">
        <f t="shared" si="55"/>
        <v>0</v>
      </c>
      <c r="AR65" s="11">
        <f t="shared" si="55"/>
        <v>0</v>
      </c>
      <c r="AS65" s="11">
        <f t="shared" si="55"/>
        <v>0</v>
      </c>
      <c r="AT65" s="11">
        <f t="shared" si="55"/>
        <v>0</v>
      </c>
      <c r="AU65" s="11">
        <f t="shared" si="55"/>
        <v>0</v>
      </c>
      <c r="AV65" s="11"/>
      <c r="AW65" s="11"/>
      <c r="AX65" s="11">
        <f t="shared" si="55"/>
        <v>0</v>
      </c>
      <c r="AY65" s="11">
        <f t="shared" si="55"/>
        <v>0</v>
      </c>
      <c r="AZ65" s="11">
        <f t="shared" si="55"/>
        <v>0</v>
      </c>
      <c r="BA65" s="11">
        <f t="shared" si="55"/>
        <v>100128</v>
      </c>
      <c r="BB65" s="11">
        <f t="shared" si="55"/>
        <v>25095</v>
      </c>
      <c r="BC65" s="11">
        <f t="shared" si="55"/>
        <v>0</v>
      </c>
      <c r="BD65" s="11">
        <f t="shared" si="55"/>
        <v>0</v>
      </c>
      <c r="BE65" s="11">
        <f t="shared" si="55"/>
        <v>0</v>
      </c>
      <c r="BF65" s="11">
        <f t="shared" si="55"/>
        <v>0</v>
      </c>
      <c r="BG65" s="11">
        <f t="shared" si="55"/>
        <v>0</v>
      </c>
      <c r="BH65" s="11">
        <f t="shared" si="55"/>
        <v>0</v>
      </c>
      <c r="BI65" s="11">
        <f t="shared" si="55"/>
        <v>0</v>
      </c>
      <c r="BJ65" s="11">
        <f t="shared" si="55"/>
        <v>0</v>
      </c>
      <c r="BK65" s="11">
        <f t="shared" si="55"/>
        <v>0</v>
      </c>
      <c r="BL65" s="11">
        <f t="shared" si="55"/>
        <v>0</v>
      </c>
      <c r="BM65" s="11">
        <f t="shared" si="55"/>
        <v>0</v>
      </c>
      <c r="BN65" s="11">
        <f t="shared" si="55"/>
        <v>0</v>
      </c>
      <c r="BO65" s="11">
        <f t="shared" si="55"/>
        <v>0</v>
      </c>
      <c r="BP65" s="11">
        <f t="shared" si="55"/>
        <v>0</v>
      </c>
      <c r="BQ65" s="11">
        <f t="shared" si="55"/>
        <v>0</v>
      </c>
      <c r="BR65" s="11">
        <f t="shared" si="55"/>
        <v>0</v>
      </c>
      <c r="BS65" s="11">
        <f t="shared" si="55"/>
        <v>0</v>
      </c>
      <c r="BT65" s="11">
        <f t="shared" ref="BT65:CX65" si="56">SUM(BT66)</f>
        <v>0</v>
      </c>
      <c r="BU65" s="11">
        <f t="shared" si="56"/>
        <v>0</v>
      </c>
      <c r="BV65" s="11">
        <f t="shared" si="56"/>
        <v>0</v>
      </c>
      <c r="BW65" s="11">
        <f t="shared" si="56"/>
        <v>0</v>
      </c>
      <c r="BX65" s="11">
        <f t="shared" si="56"/>
        <v>0</v>
      </c>
      <c r="BY65" s="11">
        <f t="shared" si="56"/>
        <v>0</v>
      </c>
      <c r="BZ65" s="11">
        <f t="shared" si="56"/>
        <v>0</v>
      </c>
      <c r="CA65" s="11">
        <f t="shared" si="56"/>
        <v>0</v>
      </c>
      <c r="CB65" s="11">
        <f t="shared" si="56"/>
        <v>51900</v>
      </c>
      <c r="CC65" s="11">
        <f t="shared" si="56"/>
        <v>51900</v>
      </c>
      <c r="CD65" s="11">
        <f t="shared" si="56"/>
        <v>51900</v>
      </c>
      <c r="CE65" s="11">
        <f t="shared" si="56"/>
        <v>0</v>
      </c>
      <c r="CF65" s="11">
        <f t="shared" si="56"/>
        <v>51900</v>
      </c>
      <c r="CG65" s="11">
        <f t="shared" si="56"/>
        <v>0</v>
      </c>
      <c r="CH65" s="11">
        <f t="shared" si="56"/>
        <v>0</v>
      </c>
      <c r="CI65" s="11">
        <f t="shared" si="56"/>
        <v>0</v>
      </c>
      <c r="CJ65" s="11">
        <f t="shared" si="56"/>
        <v>0</v>
      </c>
      <c r="CK65" s="11">
        <f t="shared" si="56"/>
        <v>0</v>
      </c>
      <c r="CL65" s="11">
        <f t="shared" si="56"/>
        <v>0</v>
      </c>
      <c r="CM65" s="11">
        <f t="shared" si="56"/>
        <v>0</v>
      </c>
      <c r="CN65" s="11">
        <f t="shared" si="56"/>
        <v>0</v>
      </c>
      <c r="CO65" s="11">
        <f t="shared" si="56"/>
        <v>0</v>
      </c>
      <c r="CP65" s="11"/>
      <c r="CQ65" s="11">
        <f t="shared" si="56"/>
        <v>0</v>
      </c>
      <c r="CR65" s="11">
        <f t="shared" si="56"/>
        <v>0</v>
      </c>
      <c r="CS65" s="11">
        <f t="shared" si="56"/>
        <v>0</v>
      </c>
      <c r="CT65" s="11">
        <f t="shared" si="56"/>
        <v>0</v>
      </c>
      <c r="CU65" s="11">
        <f t="shared" si="56"/>
        <v>0</v>
      </c>
      <c r="CV65" s="11">
        <f t="shared" si="56"/>
        <v>0</v>
      </c>
      <c r="CW65" s="11">
        <f t="shared" si="56"/>
        <v>0</v>
      </c>
      <c r="CX65" s="12">
        <f t="shared" si="56"/>
        <v>0</v>
      </c>
    </row>
    <row r="66" spans="1:102" ht="31.5" x14ac:dyDescent="0.25">
      <c r="A66" s="13"/>
      <c r="B66" s="14" t="s">
        <v>1</v>
      </c>
      <c r="C66" s="14" t="s">
        <v>107</v>
      </c>
      <c r="D66" s="15" t="s">
        <v>170</v>
      </c>
      <c r="E66" s="10">
        <f>SUM(F66+CB66+CU66)</f>
        <v>3979307</v>
      </c>
      <c r="F66" s="11">
        <f>SUM(G66+BC66)</f>
        <v>3927407</v>
      </c>
      <c r="G66" s="11">
        <f>SUM(H66+I66+J66+Q66+T66+U66+V66+AF66+AE66)</f>
        <v>3927407</v>
      </c>
      <c r="H66" s="16">
        <f>1995840+106445</f>
        <v>2102285</v>
      </c>
      <c r="I66" s="16">
        <f>498960+26611</f>
        <v>525571</v>
      </c>
      <c r="J66" s="11">
        <f t="shared" si="4"/>
        <v>85827</v>
      </c>
      <c r="K66" s="11">
        <v>0</v>
      </c>
      <c r="L66" s="11">
        <v>0</v>
      </c>
      <c r="M66" s="11">
        <v>0</v>
      </c>
      <c r="N66" s="11">
        <v>0</v>
      </c>
      <c r="O66" s="11">
        <v>39576</v>
      </c>
      <c r="P66" s="11">
        <v>46251</v>
      </c>
      <c r="Q66" s="11">
        <f t="shared" si="5"/>
        <v>122533</v>
      </c>
      <c r="R66" s="11">
        <v>0</v>
      </c>
      <c r="S66" s="11">
        <v>122533</v>
      </c>
      <c r="T66" s="11">
        <v>0</v>
      </c>
      <c r="U66" s="11">
        <v>54384</v>
      </c>
      <c r="V66" s="11">
        <f>SUM(W66:AD66)</f>
        <v>474362</v>
      </c>
      <c r="W66" s="11">
        <v>23082</v>
      </c>
      <c r="X66" s="11">
        <v>0</v>
      </c>
      <c r="Y66" s="11">
        <v>0</v>
      </c>
      <c r="Z66" s="11">
        <v>0</v>
      </c>
      <c r="AA66" s="11">
        <v>0</v>
      </c>
      <c r="AB66" s="11">
        <v>451280</v>
      </c>
      <c r="AC66" s="11">
        <v>0</v>
      </c>
      <c r="AD66" s="11">
        <v>0</v>
      </c>
      <c r="AE66" s="11">
        <v>0</v>
      </c>
      <c r="AF66" s="11">
        <f>SUM(AG66:BB66)</f>
        <v>562445</v>
      </c>
      <c r="AG66" s="11"/>
      <c r="AH66" s="11"/>
      <c r="AI66" s="11"/>
      <c r="AJ66" s="11"/>
      <c r="AK66" s="11"/>
      <c r="AL66" s="11"/>
      <c r="AM66" s="11">
        <v>1753</v>
      </c>
      <c r="AN66" s="11"/>
      <c r="AO66" s="11">
        <v>0</v>
      </c>
      <c r="AP66" s="11">
        <v>435469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/>
      <c r="AW66" s="11"/>
      <c r="AX66" s="11">
        <v>0</v>
      </c>
      <c r="AY66" s="11">
        <v>0</v>
      </c>
      <c r="AZ66" s="11">
        <v>0</v>
      </c>
      <c r="BA66" s="11">
        <v>100128</v>
      </c>
      <c r="BB66" s="11">
        <v>25095</v>
      </c>
      <c r="BC66" s="11">
        <f>SUM(BD66+BH66+BL66+BM66+BN66+BP66)</f>
        <v>0</v>
      </c>
      <c r="BD66" s="11">
        <f>SUM(BE66:BG66)</f>
        <v>0</v>
      </c>
      <c r="BE66" s="11">
        <v>0</v>
      </c>
      <c r="BF66" s="11">
        <v>0</v>
      </c>
      <c r="BG66" s="11">
        <v>0</v>
      </c>
      <c r="BH66" s="11">
        <f t="shared" si="6"/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f t="shared" si="7"/>
        <v>0</v>
      </c>
      <c r="BO66" s="11">
        <v>0</v>
      </c>
      <c r="BP66" s="11">
        <f t="shared" si="8"/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f>SUM(CC66+CT66)</f>
        <v>51900</v>
      </c>
      <c r="CC66" s="11">
        <f>SUM(CD66+CG66+CL66)</f>
        <v>51900</v>
      </c>
      <c r="CD66" s="11">
        <f t="shared" si="9"/>
        <v>51900</v>
      </c>
      <c r="CE66" s="11">
        <v>0</v>
      </c>
      <c r="CF66" s="11">
        <v>51900</v>
      </c>
      <c r="CG66" s="11">
        <f>SUM(CH66:CK66)</f>
        <v>0</v>
      </c>
      <c r="CH66" s="11">
        <v>0</v>
      </c>
      <c r="CI66" s="11">
        <v>0</v>
      </c>
      <c r="CJ66" s="11">
        <v>0</v>
      </c>
      <c r="CK66" s="11">
        <v>0</v>
      </c>
      <c r="CL66" s="11">
        <f>SUM(CM66:CQ66)</f>
        <v>0</v>
      </c>
      <c r="CM66" s="11">
        <v>0</v>
      </c>
      <c r="CN66" s="11">
        <v>0</v>
      </c>
      <c r="CO66" s="11">
        <v>0</v>
      </c>
      <c r="CP66" s="11"/>
      <c r="CQ66" s="11">
        <v>0</v>
      </c>
      <c r="CR66" s="11">
        <v>0</v>
      </c>
      <c r="CS66" s="11">
        <v>0</v>
      </c>
      <c r="CT66" s="11">
        <v>0</v>
      </c>
      <c r="CU66" s="11">
        <f t="shared" si="10"/>
        <v>0</v>
      </c>
      <c r="CV66" s="11">
        <f t="shared" si="11"/>
        <v>0</v>
      </c>
      <c r="CW66" s="11">
        <v>0</v>
      </c>
      <c r="CX66" s="12">
        <v>0</v>
      </c>
    </row>
    <row r="67" spans="1:102" ht="31.5" x14ac:dyDescent="0.25">
      <c r="A67" s="7"/>
      <c r="B67" s="8" t="s">
        <v>171</v>
      </c>
      <c r="C67" s="8" t="s">
        <v>1</v>
      </c>
      <c r="D67" s="9" t="s">
        <v>172</v>
      </c>
      <c r="E67" s="10">
        <f t="shared" ref="E67:AL67" si="57">SUM(E68)</f>
        <v>750000</v>
      </c>
      <c r="F67" s="11">
        <f t="shared" si="57"/>
        <v>750000</v>
      </c>
      <c r="G67" s="11">
        <f t="shared" si="57"/>
        <v>750000</v>
      </c>
      <c r="H67" s="11">
        <f t="shared" si="57"/>
        <v>0</v>
      </c>
      <c r="I67" s="11">
        <f t="shared" si="57"/>
        <v>0</v>
      </c>
      <c r="J67" s="11">
        <f t="shared" si="57"/>
        <v>0</v>
      </c>
      <c r="K67" s="11">
        <f t="shared" si="57"/>
        <v>0</v>
      </c>
      <c r="L67" s="11">
        <f t="shared" si="57"/>
        <v>0</v>
      </c>
      <c r="M67" s="11">
        <f t="shared" si="57"/>
        <v>0</v>
      </c>
      <c r="N67" s="11">
        <f t="shared" si="57"/>
        <v>0</v>
      </c>
      <c r="O67" s="11">
        <f t="shared" si="57"/>
        <v>0</v>
      </c>
      <c r="P67" s="11">
        <f t="shared" si="57"/>
        <v>0</v>
      </c>
      <c r="Q67" s="11">
        <f t="shared" si="57"/>
        <v>0</v>
      </c>
      <c r="R67" s="11">
        <f t="shared" si="57"/>
        <v>0</v>
      </c>
      <c r="S67" s="11">
        <f t="shared" si="57"/>
        <v>0</v>
      </c>
      <c r="T67" s="11">
        <f t="shared" si="57"/>
        <v>0</v>
      </c>
      <c r="U67" s="11">
        <f t="shared" si="57"/>
        <v>0</v>
      </c>
      <c r="V67" s="11">
        <f t="shared" si="57"/>
        <v>0</v>
      </c>
      <c r="W67" s="11">
        <f t="shared" si="57"/>
        <v>0</v>
      </c>
      <c r="X67" s="11">
        <f t="shared" si="57"/>
        <v>0</v>
      </c>
      <c r="Y67" s="11">
        <f t="shared" si="57"/>
        <v>0</v>
      </c>
      <c r="Z67" s="11">
        <f t="shared" si="57"/>
        <v>0</v>
      </c>
      <c r="AA67" s="11">
        <f t="shared" si="57"/>
        <v>0</v>
      </c>
      <c r="AB67" s="11">
        <f t="shared" si="57"/>
        <v>0</v>
      </c>
      <c r="AC67" s="11">
        <f t="shared" si="57"/>
        <v>0</v>
      </c>
      <c r="AD67" s="11">
        <f t="shared" si="57"/>
        <v>0</v>
      </c>
      <c r="AE67" s="11">
        <f t="shared" si="57"/>
        <v>0</v>
      </c>
      <c r="AF67" s="11">
        <f t="shared" si="57"/>
        <v>750000</v>
      </c>
      <c r="AG67" s="11">
        <f t="shared" si="57"/>
        <v>0</v>
      </c>
      <c r="AH67" s="11">
        <f t="shared" si="57"/>
        <v>0</v>
      </c>
      <c r="AI67" s="11">
        <f t="shared" si="57"/>
        <v>0</v>
      </c>
      <c r="AJ67" s="11">
        <f t="shared" si="57"/>
        <v>0</v>
      </c>
      <c r="AK67" s="11">
        <f t="shared" si="57"/>
        <v>0</v>
      </c>
      <c r="AL67" s="11">
        <f t="shared" si="57"/>
        <v>0</v>
      </c>
      <c r="AM67" s="11">
        <f t="shared" ref="AM67:CX67" si="58">SUM(AM68)</f>
        <v>0</v>
      </c>
      <c r="AN67" s="11">
        <f t="shared" si="58"/>
        <v>0</v>
      </c>
      <c r="AO67" s="11">
        <f t="shared" si="58"/>
        <v>0</v>
      </c>
      <c r="AP67" s="11">
        <f t="shared" si="58"/>
        <v>0</v>
      </c>
      <c r="AQ67" s="11">
        <f t="shared" si="58"/>
        <v>0</v>
      </c>
      <c r="AR67" s="11">
        <f t="shared" si="58"/>
        <v>0</v>
      </c>
      <c r="AS67" s="11">
        <f t="shared" si="58"/>
        <v>0</v>
      </c>
      <c r="AT67" s="11">
        <f t="shared" si="58"/>
        <v>0</v>
      </c>
      <c r="AU67" s="11">
        <f t="shared" si="58"/>
        <v>0</v>
      </c>
      <c r="AV67" s="11"/>
      <c r="AW67" s="11"/>
      <c r="AX67" s="11">
        <f t="shared" si="58"/>
        <v>0</v>
      </c>
      <c r="AY67" s="11">
        <f t="shared" si="58"/>
        <v>0</v>
      </c>
      <c r="AZ67" s="11">
        <f t="shared" si="58"/>
        <v>0</v>
      </c>
      <c r="BA67" s="11">
        <f t="shared" si="58"/>
        <v>0</v>
      </c>
      <c r="BB67" s="11">
        <f t="shared" si="58"/>
        <v>750000</v>
      </c>
      <c r="BC67" s="11">
        <f t="shared" si="58"/>
        <v>0</v>
      </c>
      <c r="BD67" s="11">
        <f t="shared" si="58"/>
        <v>0</v>
      </c>
      <c r="BE67" s="11">
        <f t="shared" si="58"/>
        <v>0</v>
      </c>
      <c r="BF67" s="11">
        <f t="shared" si="58"/>
        <v>0</v>
      </c>
      <c r="BG67" s="11">
        <f t="shared" si="58"/>
        <v>0</v>
      </c>
      <c r="BH67" s="11">
        <f t="shared" si="58"/>
        <v>0</v>
      </c>
      <c r="BI67" s="11">
        <f t="shared" si="58"/>
        <v>0</v>
      </c>
      <c r="BJ67" s="11">
        <f t="shared" si="58"/>
        <v>0</v>
      </c>
      <c r="BK67" s="11">
        <f t="shared" si="58"/>
        <v>0</v>
      </c>
      <c r="BL67" s="11">
        <f t="shared" si="58"/>
        <v>0</v>
      </c>
      <c r="BM67" s="11">
        <f t="shared" si="58"/>
        <v>0</v>
      </c>
      <c r="BN67" s="11">
        <f t="shared" si="58"/>
        <v>0</v>
      </c>
      <c r="BO67" s="11">
        <f t="shared" si="58"/>
        <v>0</v>
      </c>
      <c r="BP67" s="11">
        <f t="shared" si="58"/>
        <v>0</v>
      </c>
      <c r="BQ67" s="11">
        <f t="shared" si="58"/>
        <v>0</v>
      </c>
      <c r="BR67" s="11">
        <f t="shared" si="58"/>
        <v>0</v>
      </c>
      <c r="BS67" s="11">
        <f t="shared" si="58"/>
        <v>0</v>
      </c>
      <c r="BT67" s="11">
        <f t="shared" si="58"/>
        <v>0</v>
      </c>
      <c r="BU67" s="11">
        <f t="shared" si="58"/>
        <v>0</v>
      </c>
      <c r="BV67" s="11">
        <f t="shared" si="58"/>
        <v>0</v>
      </c>
      <c r="BW67" s="11">
        <f t="shared" si="58"/>
        <v>0</v>
      </c>
      <c r="BX67" s="11">
        <f t="shared" si="58"/>
        <v>0</v>
      </c>
      <c r="BY67" s="11">
        <f t="shared" si="58"/>
        <v>0</v>
      </c>
      <c r="BZ67" s="11">
        <f t="shared" si="58"/>
        <v>0</v>
      </c>
      <c r="CA67" s="11">
        <f t="shared" si="58"/>
        <v>0</v>
      </c>
      <c r="CB67" s="11">
        <f t="shared" si="58"/>
        <v>0</v>
      </c>
      <c r="CC67" s="11">
        <f t="shared" si="58"/>
        <v>0</v>
      </c>
      <c r="CD67" s="11">
        <f t="shared" si="58"/>
        <v>0</v>
      </c>
      <c r="CE67" s="11">
        <f t="shared" si="58"/>
        <v>0</v>
      </c>
      <c r="CF67" s="11">
        <f t="shared" si="58"/>
        <v>0</v>
      </c>
      <c r="CG67" s="11">
        <f t="shared" si="58"/>
        <v>0</v>
      </c>
      <c r="CH67" s="11">
        <f t="shared" si="58"/>
        <v>0</v>
      </c>
      <c r="CI67" s="11">
        <f t="shared" si="58"/>
        <v>0</v>
      </c>
      <c r="CJ67" s="11">
        <f t="shared" si="58"/>
        <v>0</v>
      </c>
      <c r="CK67" s="11">
        <f t="shared" si="58"/>
        <v>0</v>
      </c>
      <c r="CL67" s="11">
        <f t="shared" si="58"/>
        <v>0</v>
      </c>
      <c r="CM67" s="11">
        <f t="shared" si="58"/>
        <v>0</v>
      </c>
      <c r="CN67" s="11">
        <f t="shared" si="58"/>
        <v>0</v>
      </c>
      <c r="CO67" s="11">
        <f t="shared" si="58"/>
        <v>0</v>
      </c>
      <c r="CP67" s="11"/>
      <c r="CQ67" s="11">
        <f t="shared" si="58"/>
        <v>0</v>
      </c>
      <c r="CR67" s="11">
        <f t="shared" si="58"/>
        <v>0</v>
      </c>
      <c r="CS67" s="11">
        <f t="shared" si="58"/>
        <v>0</v>
      </c>
      <c r="CT67" s="11">
        <f t="shared" si="58"/>
        <v>0</v>
      </c>
      <c r="CU67" s="11">
        <f t="shared" si="58"/>
        <v>0</v>
      </c>
      <c r="CV67" s="11">
        <f t="shared" si="58"/>
        <v>0</v>
      </c>
      <c r="CW67" s="11">
        <f t="shared" si="58"/>
        <v>0</v>
      </c>
      <c r="CX67" s="12">
        <f t="shared" si="58"/>
        <v>0</v>
      </c>
    </row>
    <row r="68" spans="1:102" ht="15.75" x14ac:dyDescent="0.25">
      <c r="A68" s="13" t="s">
        <v>1</v>
      </c>
      <c r="B68" s="14" t="s">
        <v>1</v>
      </c>
      <c r="C68" s="14" t="s">
        <v>97</v>
      </c>
      <c r="D68" s="15" t="s">
        <v>461</v>
      </c>
      <c r="E68" s="10">
        <f>SUM(F68+CB68+CU68)</f>
        <v>750000</v>
      </c>
      <c r="F68" s="11">
        <f>SUM(G68+BC68)</f>
        <v>750000</v>
      </c>
      <c r="G68" s="11">
        <f>SUM(H68+I68+J68+Q68+T68+U68+V68+AF68+AE68)</f>
        <v>750000</v>
      </c>
      <c r="H68" s="11">
        <v>0</v>
      </c>
      <c r="I68" s="11">
        <v>0</v>
      </c>
      <c r="J68" s="11">
        <f t="shared" si="4"/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f t="shared" si="5"/>
        <v>0</v>
      </c>
      <c r="R68" s="11">
        <v>0</v>
      </c>
      <c r="S68" s="11">
        <v>0</v>
      </c>
      <c r="T68" s="11">
        <v>0</v>
      </c>
      <c r="U68" s="11">
        <v>0</v>
      </c>
      <c r="V68" s="11">
        <f>SUM(W68:AD68)</f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f>SUM(AG68:BB68)</f>
        <v>750000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/>
      <c r="AW68" s="11"/>
      <c r="AX68" s="11">
        <v>0</v>
      </c>
      <c r="AY68" s="11">
        <v>0</v>
      </c>
      <c r="AZ68" s="11">
        <v>0</v>
      </c>
      <c r="BA68" s="11">
        <v>0</v>
      </c>
      <c r="BB68" s="11">
        <f>1531800-781800</f>
        <v>750000</v>
      </c>
      <c r="BC68" s="11">
        <f>SUM(BD68+BH68+BL68+BM68+BN68+BP68)</f>
        <v>0</v>
      </c>
      <c r="BD68" s="11">
        <f>SUM(BE68:BG68)</f>
        <v>0</v>
      </c>
      <c r="BE68" s="11">
        <v>0</v>
      </c>
      <c r="BF68" s="11">
        <v>0</v>
      </c>
      <c r="BG68" s="11">
        <v>0</v>
      </c>
      <c r="BH68" s="11">
        <f t="shared" si="6"/>
        <v>0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f t="shared" si="7"/>
        <v>0</v>
      </c>
      <c r="BO68" s="11">
        <v>0</v>
      </c>
      <c r="BP68" s="11">
        <f t="shared" si="8"/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f>SUM(CC68+CT68)</f>
        <v>0</v>
      </c>
      <c r="CC68" s="11">
        <f>SUM(CD68+CG68+CL68)</f>
        <v>0</v>
      </c>
      <c r="CD68" s="11">
        <f t="shared" si="9"/>
        <v>0</v>
      </c>
      <c r="CE68" s="11">
        <v>0</v>
      </c>
      <c r="CF68" s="11">
        <v>0</v>
      </c>
      <c r="CG68" s="11">
        <f>SUM(CH68:CK68)</f>
        <v>0</v>
      </c>
      <c r="CH68" s="11">
        <v>0</v>
      </c>
      <c r="CI68" s="11">
        <v>0</v>
      </c>
      <c r="CJ68" s="11">
        <v>0</v>
      </c>
      <c r="CK68" s="11">
        <v>0</v>
      </c>
      <c r="CL68" s="11">
        <f>SUM(CM68:CQ68)</f>
        <v>0</v>
      </c>
      <c r="CM68" s="11">
        <v>0</v>
      </c>
      <c r="CN68" s="11">
        <v>0</v>
      </c>
      <c r="CO68" s="11">
        <v>0</v>
      </c>
      <c r="CP68" s="11"/>
      <c r="CQ68" s="11">
        <v>0</v>
      </c>
      <c r="CR68" s="11">
        <v>0</v>
      </c>
      <c r="CS68" s="11">
        <v>0</v>
      </c>
      <c r="CT68" s="11">
        <v>0</v>
      </c>
      <c r="CU68" s="11">
        <f t="shared" si="10"/>
        <v>0</v>
      </c>
      <c r="CV68" s="11">
        <f t="shared" si="11"/>
        <v>0</v>
      </c>
      <c r="CW68" s="11">
        <v>0</v>
      </c>
      <c r="CX68" s="12">
        <v>0</v>
      </c>
    </row>
    <row r="69" spans="1:102" ht="15.75" x14ac:dyDescent="0.25">
      <c r="A69" s="18" t="s">
        <v>173</v>
      </c>
      <c r="B69" s="19" t="s">
        <v>1</v>
      </c>
      <c r="C69" s="19" t="s">
        <v>1</v>
      </c>
      <c r="D69" s="20" t="s">
        <v>174</v>
      </c>
      <c r="E69" s="21">
        <f t="shared" ref="E69:BS69" si="59">SUM(E70+E72)</f>
        <v>206955162</v>
      </c>
      <c r="F69" s="22">
        <f t="shared" si="59"/>
        <v>203576813</v>
      </c>
      <c r="G69" s="22">
        <f t="shared" si="59"/>
        <v>202979118</v>
      </c>
      <c r="H69" s="22">
        <f t="shared" si="59"/>
        <v>127050725</v>
      </c>
      <c r="I69" s="22">
        <f t="shared" si="59"/>
        <v>6493804</v>
      </c>
      <c r="J69" s="22">
        <f t="shared" si="59"/>
        <v>48397894</v>
      </c>
      <c r="K69" s="22">
        <f t="shared" si="59"/>
        <v>99993</v>
      </c>
      <c r="L69" s="22">
        <f t="shared" si="59"/>
        <v>20592723</v>
      </c>
      <c r="M69" s="22">
        <f t="shared" si="59"/>
        <v>12648339</v>
      </c>
      <c r="N69" s="22">
        <f t="shared" si="59"/>
        <v>1508770</v>
      </c>
      <c r="O69" s="22">
        <f t="shared" si="59"/>
        <v>11872864</v>
      </c>
      <c r="P69" s="22">
        <f t="shared" si="59"/>
        <v>1675205</v>
      </c>
      <c r="Q69" s="22">
        <f t="shared" si="59"/>
        <v>180131</v>
      </c>
      <c r="R69" s="22">
        <f t="shared" si="59"/>
        <v>77186</v>
      </c>
      <c r="S69" s="22">
        <f t="shared" si="59"/>
        <v>102945</v>
      </c>
      <c r="T69" s="22">
        <f t="shared" si="59"/>
        <v>0</v>
      </c>
      <c r="U69" s="22">
        <f t="shared" si="59"/>
        <v>791854</v>
      </c>
      <c r="V69" s="22">
        <f t="shared" si="59"/>
        <v>6834386</v>
      </c>
      <c r="W69" s="22">
        <f t="shared" si="59"/>
        <v>293152</v>
      </c>
      <c r="X69" s="22">
        <f t="shared" si="59"/>
        <v>1892567</v>
      </c>
      <c r="Y69" s="22">
        <f t="shared" si="59"/>
        <v>3191250</v>
      </c>
      <c r="Z69" s="22">
        <f t="shared" si="59"/>
        <v>1082741</v>
      </c>
      <c r="AA69" s="22">
        <f t="shared" si="59"/>
        <v>39025</v>
      </c>
      <c r="AB69" s="22">
        <f t="shared" si="59"/>
        <v>0</v>
      </c>
      <c r="AC69" s="22">
        <f t="shared" si="59"/>
        <v>0</v>
      </c>
      <c r="AD69" s="22">
        <f t="shared" si="59"/>
        <v>335651</v>
      </c>
      <c r="AE69" s="22">
        <f t="shared" si="59"/>
        <v>0</v>
      </c>
      <c r="AF69" s="22">
        <f t="shared" si="59"/>
        <v>13230324</v>
      </c>
      <c r="AG69" s="22">
        <f t="shared" si="59"/>
        <v>0</v>
      </c>
      <c r="AH69" s="22">
        <f t="shared" si="59"/>
        <v>0</v>
      </c>
      <c r="AI69" s="22">
        <f t="shared" si="59"/>
        <v>32201</v>
      </c>
      <c r="AJ69" s="22">
        <f t="shared" si="59"/>
        <v>135928</v>
      </c>
      <c r="AK69" s="22">
        <f t="shared" si="59"/>
        <v>0</v>
      </c>
      <c r="AL69" s="22">
        <f t="shared" si="59"/>
        <v>2100</v>
      </c>
      <c r="AM69" s="22">
        <f t="shared" si="59"/>
        <v>0</v>
      </c>
      <c r="AN69" s="22">
        <f t="shared" si="59"/>
        <v>24718</v>
      </c>
      <c r="AO69" s="22">
        <f t="shared" si="59"/>
        <v>43973</v>
      </c>
      <c r="AP69" s="22">
        <f t="shared" si="59"/>
        <v>61692</v>
      </c>
      <c r="AQ69" s="22">
        <f t="shared" si="59"/>
        <v>4921</v>
      </c>
      <c r="AR69" s="22">
        <f>SUM(AR70+AR72)</f>
        <v>0</v>
      </c>
      <c r="AS69" s="22">
        <f t="shared" si="59"/>
        <v>1195636</v>
      </c>
      <c r="AT69" s="22">
        <f t="shared" si="59"/>
        <v>78789</v>
      </c>
      <c r="AU69" s="22">
        <f t="shared" si="59"/>
        <v>0</v>
      </c>
      <c r="AV69" s="22"/>
      <c r="AW69" s="22"/>
      <c r="AX69" s="22">
        <f t="shared" si="59"/>
        <v>0</v>
      </c>
      <c r="AY69" s="22">
        <f t="shared" si="59"/>
        <v>8500044</v>
      </c>
      <c r="AZ69" s="22">
        <f t="shared" si="59"/>
        <v>0</v>
      </c>
      <c r="BA69" s="22">
        <f t="shared" si="59"/>
        <v>387568</v>
      </c>
      <c r="BB69" s="22">
        <f t="shared" si="59"/>
        <v>2762754</v>
      </c>
      <c r="BC69" s="22">
        <f t="shared" si="59"/>
        <v>597695</v>
      </c>
      <c r="BD69" s="22">
        <f t="shared" si="59"/>
        <v>0</v>
      </c>
      <c r="BE69" s="22">
        <f t="shared" si="59"/>
        <v>0</v>
      </c>
      <c r="BF69" s="22">
        <f t="shared" si="59"/>
        <v>0</v>
      </c>
      <c r="BG69" s="22">
        <f t="shared" si="59"/>
        <v>0</v>
      </c>
      <c r="BH69" s="22">
        <f t="shared" si="59"/>
        <v>0</v>
      </c>
      <c r="BI69" s="22">
        <f t="shared" si="59"/>
        <v>0</v>
      </c>
      <c r="BJ69" s="22">
        <f t="shared" si="59"/>
        <v>0</v>
      </c>
      <c r="BK69" s="22">
        <f t="shared" si="59"/>
        <v>0</v>
      </c>
      <c r="BL69" s="22">
        <f t="shared" si="59"/>
        <v>0</v>
      </c>
      <c r="BM69" s="22">
        <f t="shared" si="59"/>
        <v>0</v>
      </c>
      <c r="BN69" s="22">
        <f t="shared" si="59"/>
        <v>285362</v>
      </c>
      <c r="BO69" s="22">
        <f t="shared" si="59"/>
        <v>285362</v>
      </c>
      <c r="BP69" s="22">
        <f t="shared" si="59"/>
        <v>312333</v>
      </c>
      <c r="BQ69" s="22">
        <f t="shared" si="59"/>
        <v>0</v>
      </c>
      <c r="BR69" s="22">
        <f t="shared" si="59"/>
        <v>0</v>
      </c>
      <c r="BS69" s="22">
        <f t="shared" si="59"/>
        <v>0</v>
      </c>
      <c r="BT69" s="22">
        <f t="shared" ref="BT69:CX69" si="60">SUM(BT70+BT72)</f>
        <v>0</v>
      </c>
      <c r="BU69" s="22">
        <f t="shared" si="60"/>
        <v>0</v>
      </c>
      <c r="BV69" s="22">
        <f t="shared" si="60"/>
        <v>0</v>
      </c>
      <c r="BW69" s="22">
        <f t="shared" si="60"/>
        <v>0</v>
      </c>
      <c r="BX69" s="22">
        <f t="shared" si="60"/>
        <v>0</v>
      </c>
      <c r="BY69" s="22">
        <f t="shared" si="60"/>
        <v>0</v>
      </c>
      <c r="BZ69" s="22">
        <f t="shared" si="60"/>
        <v>74516</v>
      </c>
      <c r="CA69" s="22">
        <f t="shared" si="60"/>
        <v>237817</v>
      </c>
      <c r="CB69" s="22">
        <f t="shared" si="60"/>
        <v>3378349</v>
      </c>
      <c r="CC69" s="22">
        <f t="shared" si="60"/>
        <v>3378349</v>
      </c>
      <c r="CD69" s="22">
        <f t="shared" si="60"/>
        <v>2946277</v>
      </c>
      <c r="CE69" s="22">
        <f t="shared" si="60"/>
        <v>0</v>
      </c>
      <c r="CF69" s="22">
        <f t="shared" si="60"/>
        <v>2946277</v>
      </c>
      <c r="CG69" s="22">
        <f t="shared" si="60"/>
        <v>0</v>
      </c>
      <c r="CH69" s="22">
        <f t="shared" si="60"/>
        <v>0</v>
      </c>
      <c r="CI69" s="22">
        <f t="shared" si="60"/>
        <v>0</v>
      </c>
      <c r="CJ69" s="22">
        <f t="shared" si="60"/>
        <v>0</v>
      </c>
      <c r="CK69" s="22">
        <f t="shared" si="60"/>
        <v>0</v>
      </c>
      <c r="CL69" s="22">
        <f t="shared" si="60"/>
        <v>432072</v>
      </c>
      <c r="CM69" s="22">
        <f t="shared" si="60"/>
        <v>0</v>
      </c>
      <c r="CN69" s="22">
        <f t="shared" si="60"/>
        <v>45799</v>
      </c>
      <c r="CO69" s="22">
        <f t="shared" si="60"/>
        <v>386273</v>
      </c>
      <c r="CP69" s="22"/>
      <c r="CQ69" s="22">
        <f t="shared" si="60"/>
        <v>0</v>
      </c>
      <c r="CR69" s="22">
        <f t="shared" si="60"/>
        <v>0</v>
      </c>
      <c r="CS69" s="22">
        <f t="shared" si="60"/>
        <v>0</v>
      </c>
      <c r="CT69" s="22">
        <f t="shared" si="60"/>
        <v>0</v>
      </c>
      <c r="CU69" s="22">
        <f t="shared" si="60"/>
        <v>0</v>
      </c>
      <c r="CV69" s="22">
        <f t="shared" si="60"/>
        <v>0</v>
      </c>
      <c r="CW69" s="22">
        <f t="shared" si="60"/>
        <v>0</v>
      </c>
      <c r="CX69" s="23">
        <f t="shared" si="60"/>
        <v>0</v>
      </c>
    </row>
    <row r="70" spans="1:102" ht="15.75" x14ac:dyDescent="0.25">
      <c r="A70" s="7"/>
      <c r="B70" s="8" t="s">
        <v>175</v>
      </c>
      <c r="C70" s="8" t="s">
        <v>1</v>
      </c>
      <c r="D70" s="9" t="s">
        <v>176</v>
      </c>
      <c r="E70" s="10">
        <f t="shared" ref="E70:BS70" si="61">SUM(E71)</f>
        <v>168606589</v>
      </c>
      <c r="F70" s="11">
        <f t="shared" si="61"/>
        <v>165395738</v>
      </c>
      <c r="G70" s="11">
        <f t="shared" si="61"/>
        <v>164798043</v>
      </c>
      <c r="H70" s="11">
        <f t="shared" si="61"/>
        <v>94002407</v>
      </c>
      <c r="I70" s="11">
        <f t="shared" si="61"/>
        <v>5756178</v>
      </c>
      <c r="J70" s="11">
        <f t="shared" si="61"/>
        <v>46611895</v>
      </c>
      <c r="K70" s="11">
        <f t="shared" si="61"/>
        <v>74996</v>
      </c>
      <c r="L70" s="11">
        <f t="shared" si="61"/>
        <v>20092803</v>
      </c>
      <c r="M70" s="11">
        <f t="shared" si="61"/>
        <v>12448734</v>
      </c>
      <c r="N70" s="11">
        <f t="shared" si="61"/>
        <v>1508770</v>
      </c>
      <c r="O70" s="11">
        <f t="shared" si="61"/>
        <v>10889896</v>
      </c>
      <c r="P70" s="11">
        <f t="shared" si="61"/>
        <v>1596696</v>
      </c>
      <c r="Q70" s="11">
        <f t="shared" si="61"/>
        <v>10000</v>
      </c>
      <c r="R70" s="11">
        <f t="shared" si="61"/>
        <v>10000</v>
      </c>
      <c r="S70" s="11">
        <f t="shared" si="61"/>
        <v>0</v>
      </c>
      <c r="T70" s="11">
        <f t="shared" si="61"/>
        <v>0</v>
      </c>
      <c r="U70" s="11">
        <f t="shared" si="61"/>
        <v>734456</v>
      </c>
      <c r="V70" s="11">
        <f t="shared" si="61"/>
        <v>6831284</v>
      </c>
      <c r="W70" s="11">
        <f t="shared" si="61"/>
        <v>290050</v>
      </c>
      <c r="X70" s="11">
        <f t="shared" si="61"/>
        <v>1892567</v>
      </c>
      <c r="Y70" s="11">
        <f t="shared" si="61"/>
        <v>3191250</v>
      </c>
      <c r="Z70" s="11">
        <f t="shared" si="61"/>
        <v>1082741</v>
      </c>
      <c r="AA70" s="11">
        <f t="shared" si="61"/>
        <v>39025</v>
      </c>
      <c r="AB70" s="11">
        <f t="shared" si="61"/>
        <v>0</v>
      </c>
      <c r="AC70" s="11">
        <f t="shared" si="61"/>
        <v>0</v>
      </c>
      <c r="AD70" s="11">
        <f t="shared" si="61"/>
        <v>335651</v>
      </c>
      <c r="AE70" s="11">
        <f t="shared" si="61"/>
        <v>0</v>
      </c>
      <c r="AF70" s="11">
        <f t="shared" si="61"/>
        <v>10851823</v>
      </c>
      <c r="AG70" s="11">
        <f t="shared" si="61"/>
        <v>0</v>
      </c>
      <c r="AH70" s="11">
        <f t="shared" si="61"/>
        <v>0</v>
      </c>
      <c r="AI70" s="11">
        <f t="shared" si="61"/>
        <v>31482</v>
      </c>
      <c r="AJ70" s="11">
        <f t="shared" si="61"/>
        <v>135928</v>
      </c>
      <c r="AK70" s="11">
        <f t="shared" si="61"/>
        <v>0</v>
      </c>
      <c r="AL70" s="11">
        <f t="shared" si="61"/>
        <v>2100</v>
      </c>
      <c r="AM70" s="11">
        <f t="shared" si="61"/>
        <v>0</v>
      </c>
      <c r="AN70" s="11">
        <f t="shared" si="61"/>
        <v>24718</v>
      </c>
      <c r="AO70" s="11">
        <f t="shared" si="61"/>
        <v>35873</v>
      </c>
      <c r="AP70" s="11">
        <f t="shared" si="61"/>
        <v>32010</v>
      </c>
      <c r="AQ70" s="11">
        <f t="shared" si="61"/>
        <v>4921</v>
      </c>
      <c r="AR70" s="11">
        <f t="shared" si="61"/>
        <v>0</v>
      </c>
      <c r="AS70" s="11">
        <f t="shared" si="61"/>
        <v>1195636</v>
      </c>
      <c r="AT70" s="11">
        <f t="shared" si="61"/>
        <v>78789</v>
      </c>
      <c r="AU70" s="11">
        <f t="shared" si="61"/>
        <v>0</v>
      </c>
      <c r="AV70" s="11"/>
      <c r="AW70" s="11"/>
      <c r="AX70" s="11">
        <f t="shared" si="61"/>
        <v>0</v>
      </c>
      <c r="AY70" s="11">
        <f t="shared" si="61"/>
        <v>6160044</v>
      </c>
      <c r="AZ70" s="11">
        <f t="shared" si="61"/>
        <v>0</v>
      </c>
      <c r="BA70" s="11">
        <f t="shared" si="61"/>
        <v>387568</v>
      </c>
      <c r="BB70" s="11">
        <f t="shared" si="61"/>
        <v>2762754</v>
      </c>
      <c r="BC70" s="11">
        <f t="shared" si="61"/>
        <v>597695</v>
      </c>
      <c r="BD70" s="11">
        <f t="shared" si="61"/>
        <v>0</v>
      </c>
      <c r="BE70" s="11">
        <f t="shared" si="61"/>
        <v>0</v>
      </c>
      <c r="BF70" s="11">
        <f t="shared" si="61"/>
        <v>0</v>
      </c>
      <c r="BG70" s="11">
        <f t="shared" si="61"/>
        <v>0</v>
      </c>
      <c r="BH70" s="11">
        <f t="shared" si="61"/>
        <v>0</v>
      </c>
      <c r="BI70" s="11">
        <f t="shared" si="61"/>
        <v>0</v>
      </c>
      <c r="BJ70" s="11">
        <f t="shared" si="61"/>
        <v>0</v>
      </c>
      <c r="BK70" s="11">
        <f t="shared" si="61"/>
        <v>0</v>
      </c>
      <c r="BL70" s="11">
        <f t="shared" si="61"/>
        <v>0</v>
      </c>
      <c r="BM70" s="11">
        <f t="shared" si="61"/>
        <v>0</v>
      </c>
      <c r="BN70" s="11">
        <f t="shared" si="61"/>
        <v>285362</v>
      </c>
      <c r="BO70" s="11">
        <f t="shared" si="61"/>
        <v>285362</v>
      </c>
      <c r="BP70" s="11">
        <f t="shared" si="61"/>
        <v>312333</v>
      </c>
      <c r="BQ70" s="11">
        <f t="shared" si="61"/>
        <v>0</v>
      </c>
      <c r="BR70" s="11">
        <f t="shared" si="61"/>
        <v>0</v>
      </c>
      <c r="BS70" s="11">
        <f t="shared" si="61"/>
        <v>0</v>
      </c>
      <c r="BT70" s="11">
        <f t="shared" ref="BT70:CX70" si="62">SUM(BT71)</f>
        <v>0</v>
      </c>
      <c r="BU70" s="11">
        <f t="shared" si="62"/>
        <v>0</v>
      </c>
      <c r="BV70" s="11">
        <f t="shared" si="62"/>
        <v>0</v>
      </c>
      <c r="BW70" s="11">
        <f t="shared" si="62"/>
        <v>0</v>
      </c>
      <c r="BX70" s="11">
        <f t="shared" si="62"/>
        <v>0</v>
      </c>
      <c r="BY70" s="11">
        <f t="shared" si="62"/>
        <v>0</v>
      </c>
      <c r="BZ70" s="11">
        <f t="shared" si="62"/>
        <v>74516</v>
      </c>
      <c r="CA70" s="11">
        <f t="shared" si="62"/>
        <v>237817</v>
      </c>
      <c r="CB70" s="11">
        <f t="shared" si="62"/>
        <v>3210851</v>
      </c>
      <c r="CC70" s="11">
        <f t="shared" si="62"/>
        <v>3210851</v>
      </c>
      <c r="CD70" s="11">
        <f t="shared" si="62"/>
        <v>2778779</v>
      </c>
      <c r="CE70" s="11">
        <f t="shared" si="62"/>
        <v>0</v>
      </c>
      <c r="CF70" s="11">
        <f t="shared" si="62"/>
        <v>2778779</v>
      </c>
      <c r="CG70" s="11">
        <f t="shared" si="62"/>
        <v>0</v>
      </c>
      <c r="CH70" s="11">
        <f t="shared" si="62"/>
        <v>0</v>
      </c>
      <c r="CI70" s="11">
        <f t="shared" si="62"/>
        <v>0</v>
      </c>
      <c r="CJ70" s="11">
        <f t="shared" si="62"/>
        <v>0</v>
      </c>
      <c r="CK70" s="11">
        <f t="shared" si="62"/>
        <v>0</v>
      </c>
      <c r="CL70" s="11">
        <f t="shared" si="62"/>
        <v>432072</v>
      </c>
      <c r="CM70" s="11">
        <f t="shared" si="62"/>
        <v>0</v>
      </c>
      <c r="CN70" s="11">
        <f t="shared" si="62"/>
        <v>45799</v>
      </c>
      <c r="CO70" s="11">
        <f t="shared" si="62"/>
        <v>386273</v>
      </c>
      <c r="CP70" s="11"/>
      <c r="CQ70" s="11">
        <f t="shared" si="62"/>
        <v>0</v>
      </c>
      <c r="CR70" s="11">
        <f t="shared" si="62"/>
        <v>0</v>
      </c>
      <c r="CS70" s="11">
        <f t="shared" si="62"/>
        <v>0</v>
      </c>
      <c r="CT70" s="11">
        <f t="shared" si="62"/>
        <v>0</v>
      </c>
      <c r="CU70" s="11">
        <f t="shared" si="62"/>
        <v>0</v>
      </c>
      <c r="CV70" s="11">
        <f t="shared" si="62"/>
        <v>0</v>
      </c>
      <c r="CW70" s="11">
        <f t="shared" si="62"/>
        <v>0</v>
      </c>
      <c r="CX70" s="12">
        <f t="shared" si="62"/>
        <v>0</v>
      </c>
    </row>
    <row r="71" spans="1:102" ht="15.75" x14ac:dyDescent="0.25">
      <c r="A71" s="13"/>
      <c r="B71" s="14" t="s">
        <v>1</v>
      </c>
      <c r="C71" s="14" t="s">
        <v>177</v>
      </c>
      <c r="D71" s="15" t="s">
        <v>178</v>
      </c>
      <c r="E71" s="10">
        <f>SUM(F71+CB71+CU71)</f>
        <v>168606589</v>
      </c>
      <c r="F71" s="11">
        <f>SUM(G71+BC71)</f>
        <v>165395738</v>
      </c>
      <c r="G71" s="11">
        <f>SUM(H71+I71+J71+Q71+T71+U71+V71+AF71+AE71)</f>
        <v>164798043</v>
      </c>
      <c r="H71" s="16">
        <f>88127257+5875150</f>
        <v>94002407</v>
      </c>
      <c r="I71" s="16">
        <f>4287390+1468788</f>
        <v>5756178</v>
      </c>
      <c r="J71" s="11">
        <f t="shared" si="4"/>
        <v>46611895</v>
      </c>
      <c r="K71" s="16">
        <v>74996</v>
      </c>
      <c r="L71" s="16">
        <f>19800303+292500</f>
        <v>20092803</v>
      </c>
      <c r="M71" s="16">
        <f>12438978+9756</f>
        <v>12448734</v>
      </c>
      <c r="N71" s="16">
        <v>1508770</v>
      </c>
      <c r="O71" s="16">
        <v>10889896</v>
      </c>
      <c r="P71" s="16">
        <v>1596696</v>
      </c>
      <c r="Q71" s="11">
        <f t="shared" si="5"/>
        <v>10000</v>
      </c>
      <c r="R71" s="16">
        <v>10000</v>
      </c>
      <c r="S71" s="16"/>
      <c r="T71" s="11">
        <v>0</v>
      </c>
      <c r="U71" s="11">
        <v>734456</v>
      </c>
      <c r="V71" s="11">
        <f>SUM(W71:AD71)</f>
        <v>6831284</v>
      </c>
      <c r="W71" s="16">
        <v>290050</v>
      </c>
      <c r="X71" s="16">
        <v>1892567</v>
      </c>
      <c r="Y71" s="16">
        <v>3191250</v>
      </c>
      <c r="Z71" s="16">
        <v>1082741</v>
      </c>
      <c r="AA71" s="16">
        <v>39025</v>
      </c>
      <c r="AB71" s="16"/>
      <c r="AC71" s="16"/>
      <c r="AD71" s="16">
        <v>335651</v>
      </c>
      <c r="AE71" s="11"/>
      <c r="AF71" s="11">
        <f>SUM(AG71:BB71)</f>
        <v>10851823</v>
      </c>
      <c r="AG71" s="11">
        <v>0</v>
      </c>
      <c r="AH71" s="11"/>
      <c r="AI71" s="16">
        <v>31482</v>
      </c>
      <c r="AJ71" s="16">
        <v>135928</v>
      </c>
      <c r="AK71" s="16"/>
      <c r="AL71" s="16">
        <v>2100</v>
      </c>
      <c r="AM71" s="16"/>
      <c r="AN71" s="16">
        <v>24718</v>
      </c>
      <c r="AO71" s="16">
        <v>35873</v>
      </c>
      <c r="AP71" s="16">
        <v>32010</v>
      </c>
      <c r="AQ71" s="16">
        <v>4921</v>
      </c>
      <c r="AR71" s="16"/>
      <c r="AS71" s="16">
        <v>1195636</v>
      </c>
      <c r="AT71" s="16">
        <v>78789</v>
      </c>
      <c r="AU71" s="16"/>
      <c r="AV71" s="16"/>
      <c r="AW71" s="11"/>
      <c r="AX71" s="11">
        <v>0</v>
      </c>
      <c r="AY71" s="11">
        <v>6160044</v>
      </c>
      <c r="AZ71" s="11">
        <v>0</v>
      </c>
      <c r="BA71" s="11">
        <v>387568</v>
      </c>
      <c r="BB71" s="11">
        <v>2762754</v>
      </c>
      <c r="BC71" s="11">
        <f>SUM(BD71+BH71+BL71+BN71+BP71)</f>
        <v>597695</v>
      </c>
      <c r="BD71" s="11">
        <f>SUM(BE71:BG71)</f>
        <v>0</v>
      </c>
      <c r="BE71" s="11">
        <v>0</v>
      </c>
      <c r="BF71" s="11">
        <v>0</v>
      </c>
      <c r="BG71" s="11">
        <v>0</v>
      </c>
      <c r="BH71" s="11">
        <f t="shared" si="6"/>
        <v>0</v>
      </c>
      <c r="BI71" s="11">
        <v>0</v>
      </c>
      <c r="BJ71" s="11">
        <v>0</v>
      </c>
      <c r="BK71" s="11">
        <v>0</v>
      </c>
      <c r="BL71" s="11">
        <v>0</v>
      </c>
      <c r="BM71" s="11">
        <v>0</v>
      </c>
      <c r="BN71" s="11">
        <f t="shared" si="7"/>
        <v>285362</v>
      </c>
      <c r="BO71" s="11">
        <v>285362</v>
      </c>
      <c r="BP71" s="11">
        <v>312333</v>
      </c>
      <c r="BQ71" s="11">
        <v>0</v>
      </c>
      <c r="BR71" s="11">
        <v>0</v>
      </c>
      <c r="BS71" s="11">
        <v>0</v>
      </c>
      <c r="BT71" s="11">
        <v>0</v>
      </c>
      <c r="BU71" s="11">
        <v>0</v>
      </c>
      <c r="BV71" s="11">
        <v>0</v>
      </c>
      <c r="BW71" s="11">
        <v>0</v>
      </c>
      <c r="BX71" s="11">
        <v>0</v>
      </c>
      <c r="BY71" s="11">
        <v>0</v>
      </c>
      <c r="BZ71" s="11">
        <v>74516</v>
      </c>
      <c r="CA71" s="11">
        <v>237817</v>
      </c>
      <c r="CB71" s="11">
        <f>SUM(CC71+CT71)</f>
        <v>3210851</v>
      </c>
      <c r="CC71" s="11">
        <f>SUM(CD71+CG71+CL71)</f>
        <v>3210851</v>
      </c>
      <c r="CD71" s="11">
        <f t="shared" si="9"/>
        <v>2778779</v>
      </c>
      <c r="CE71" s="11">
        <v>0</v>
      </c>
      <c r="CF71" s="11">
        <v>2778779</v>
      </c>
      <c r="CG71" s="11">
        <f>SUM(CH71:CK71)</f>
        <v>0</v>
      </c>
      <c r="CH71" s="11">
        <v>0</v>
      </c>
      <c r="CI71" s="11">
        <v>0</v>
      </c>
      <c r="CJ71" s="11">
        <v>0</v>
      </c>
      <c r="CK71" s="11">
        <v>0</v>
      </c>
      <c r="CL71" s="11">
        <f>SUM(CM71:CQ71)</f>
        <v>432072</v>
      </c>
      <c r="CM71" s="11">
        <v>0</v>
      </c>
      <c r="CN71" s="11">
        <v>45799</v>
      </c>
      <c r="CO71" s="11">
        <v>386273</v>
      </c>
      <c r="CP71" s="11"/>
      <c r="CQ71" s="11">
        <v>0</v>
      </c>
      <c r="CR71" s="11"/>
      <c r="CS71" s="11"/>
      <c r="CT71" s="11">
        <v>0</v>
      </c>
      <c r="CU71" s="11">
        <f t="shared" si="10"/>
        <v>0</v>
      </c>
      <c r="CV71" s="11">
        <f t="shared" si="11"/>
        <v>0</v>
      </c>
      <c r="CW71" s="11">
        <v>0</v>
      </c>
      <c r="CX71" s="12">
        <v>0</v>
      </c>
    </row>
    <row r="72" spans="1:102" ht="15.75" x14ac:dyDescent="0.25">
      <c r="A72" s="7"/>
      <c r="B72" s="8" t="s">
        <v>179</v>
      </c>
      <c r="C72" s="8" t="s">
        <v>1</v>
      </c>
      <c r="D72" s="9" t="s">
        <v>180</v>
      </c>
      <c r="E72" s="10">
        <f t="shared" ref="E72:AL72" si="63">SUM(E73)</f>
        <v>38348573</v>
      </c>
      <c r="F72" s="11">
        <f t="shared" si="63"/>
        <v>38181075</v>
      </c>
      <c r="G72" s="11">
        <f t="shared" si="63"/>
        <v>38181075</v>
      </c>
      <c r="H72" s="11">
        <f t="shared" si="63"/>
        <v>33048318</v>
      </c>
      <c r="I72" s="11">
        <f t="shared" si="63"/>
        <v>737626</v>
      </c>
      <c r="J72" s="11">
        <f t="shared" si="63"/>
        <v>1785999</v>
      </c>
      <c r="K72" s="11">
        <f t="shared" si="63"/>
        <v>24997</v>
      </c>
      <c r="L72" s="11">
        <f t="shared" si="63"/>
        <v>499920</v>
      </c>
      <c r="M72" s="11">
        <f t="shared" si="63"/>
        <v>199605</v>
      </c>
      <c r="N72" s="11">
        <f t="shared" si="63"/>
        <v>0</v>
      </c>
      <c r="O72" s="11">
        <f t="shared" si="63"/>
        <v>982968</v>
      </c>
      <c r="P72" s="11">
        <f t="shared" si="63"/>
        <v>78509</v>
      </c>
      <c r="Q72" s="11">
        <f t="shared" si="63"/>
        <v>170131</v>
      </c>
      <c r="R72" s="11">
        <f t="shared" si="63"/>
        <v>67186</v>
      </c>
      <c r="S72" s="11">
        <f t="shared" si="63"/>
        <v>102945</v>
      </c>
      <c r="T72" s="11">
        <f t="shared" si="63"/>
        <v>0</v>
      </c>
      <c r="U72" s="11">
        <f t="shared" si="63"/>
        <v>57398</v>
      </c>
      <c r="V72" s="11">
        <f t="shared" si="63"/>
        <v>3102</v>
      </c>
      <c r="W72" s="11">
        <f t="shared" si="63"/>
        <v>3102</v>
      </c>
      <c r="X72" s="11">
        <f t="shared" si="63"/>
        <v>0</v>
      </c>
      <c r="Y72" s="11">
        <f t="shared" si="63"/>
        <v>0</v>
      </c>
      <c r="Z72" s="11">
        <f t="shared" si="63"/>
        <v>0</v>
      </c>
      <c r="AA72" s="11">
        <f t="shared" si="63"/>
        <v>0</v>
      </c>
      <c r="AB72" s="11">
        <f t="shared" si="63"/>
        <v>0</v>
      </c>
      <c r="AC72" s="11">
        <f t="shared" si="63"/>
        <v>0</v>
      </c>
      <c r="AD72" s="11">
        <f t="shared" si="63"/>
        <v>0</v>
      </c>
      <c r="AE72" s="11">
        <f t="shared" si="63"/>
        <v>0</v>
      </c>
      <c r="AF72" s="11">
        <f t="shared" si="63"/>
        <v>2378501</v>
      </c>
      <c r="AG72" s="11">
        <f t="shared" si="63"/>
        <v>0</v>
      </c>
      <c r="AH72" s="11">
        <f t="shared" si="63"/>
        <v>0</v>
      </c>
      <c r="AI72" s="11">
        <f t="shared" si="63"/>
        <v>719</v>
      </c>
      <c r="AJ72" s="11">
        <f t="shared" si="63"/>
        <v>0</v>
      </c>
      <c r="AK72" s="11">
        <f t="shared" si="63"/>
        <v>0</v>
      </c>
      <c r="AL72" s="11">
        <f t="shared" si="63"/>
        <v>0</v>
      </c>
      <c r="AM72" s="11">
        <f t="shared" ref="AM72:CX72" si="64">SUM(AM73)</f>
        <v>0</v>
      </c>
      <c r="AN72" s="11">
        <f t="shared" si="64"/>
        <v>0</v>
      </c>
      <c r="AO72" s="11">
        <f t="shared" si="64"/>
        <v>8100</v>
      </c>
      <c r="AP72" s="11">
        <f t="shared" si="64"/>
        <v>29682</v>
      </c>
      <c r="AQ72" s="11">
        <f t="shared" si="64"/>
        <v>0</v>
      </c>
      <c r="AR72" s="11">
        <f t="shared" si="64"/>
        <v>0</v>
      </c>
      <c r="AS72" s="11">
        <f t="shared" si="64"/>
        <v>0</v>
      </c>
      <c r="AT72" s="11">
        <f t="shared" si="64"/>
        <v>0</v>
      </c>
      <c r="AU72" s="11">
        <f t="shared" si="64"/>
        <v>0</v>
      </c>
      <c r="AV72" s="11"/>
      <c r="AW72" s="11"/>
      <c r="AX72" s="11">
        <f t="shared" si="64"/>
        <v>0</v>
      </c>
      <c r="AY72" s="11">
        <f t="shared" si="64"/>
        <v>2340000</v>
      </c>
      <c r="AZ72" s="11">
        <f t="shared" si="64"/>
        <v>0</v>
      </c>
      <c r="BA72" s="11">
        <f t="shared" si="64"/>
        <v>0</v>
      </c>
      <c r="BB72" s="11">
        <f t="shared" si="64"/>
        <v>0</v>
      </c>
      <c r="BC72" s="11">
        <f t="shared" si="64"/>
        <v>0</v>
      </c>
      <c r="BD72" s="11">
        <f t="shared" si="64"/>
        <v>0</v>
      </c>
      <c r="BE72" s="11">
        <f t="shared" si="64"/>
        <v>0</v>
      </c>
      <c r="BF72" s="11">
        <f t="shared" si="64"/>
        <v>0</v>
      </c>
      <c r="BG72" s="11">
        <f t="shared" si="64"/>
        <v>0</v>
      </c>
      <c r="BH72" s="11">
        <f t="shared" si="64"/>
        <v>0</v>
      </c>
      <c r="BI72" s="11">
        <f t="shared" si="64"/>
        <v>0</v>
      </c>
      <c r="BJ72" s="11">
        <f t="shared" si="64"/>
        <v>0</v>
      </c>
      <c r="BK72" s="11">
        <f t="shared" si="64"/>
        <v>0</v>
      </c>
      <c r="BL72" s="11">
        <f t="shared" si="64"/>
        <v>0</v>
      </c>
      <c r="BM72" s="11">
        <f t="shared" si="64"/>
        <v>0</v>
      </c>
      <c r="BN72" s="11">
        <f t="shared" si="64"/>
        <v>0</v>
      </c>
      <c r="BO72" s="11">
        <f t="shared" si="64"/>
        <v>0</v>
      </c>
      <c r="BP72" s="11">
        <f t="shared" si="64"/>
        <v>0</v>
      </c>
      <c r="BQ72" s="11">
        <f t="shared" si="64"/>
        <v>0</v>
      </c>
      <c r="BR72" s="11">
        <f t="shared" si="64"/>
        <v>0</v>
      </c>
      <c r="BS72" s="11">
        <f t="shared" si="64"/>
        <v>0</v>
      </c>
      <c r="BT72" s="11">
        <f t="shared" si="64"/>
        <v>0</v>
      </c>
      <c r="BU72" s="11">
        <f t="shared" si="64"/>
        <v>0</v>
      </c>
      <c r="BV72" s="11">
        <f t="shared" si="64"/>
        <v>0</v>
      </c>
      <c r="BW72" s="11">
        <f t="shared" si="64"/>
        <v>0</v>
      </c>
      <c r="BX72" s="11">
        <f t="shared" si="64"/>
        <v>0</v>
      </c>
      <c r="BY72" s="11">
        <f t="shared" si="64"/>
        <v>0</v>
      </c>
      <c r="BZ72" s="11">
        <f t="shared" si="64"/>
        <v>0</v>
      </c>
      <c r="CA72" s="11">
        <f t="shared" si="64"/>
        <v>0</v>
      </c>
      <c r="CB72" s="11">
        <f t="shared" si="64"/>
        <v>167498</v>
      </c>
      <c r="CC72" s="11">
        <f t="shared" si="64"/>
        <v>167498</v>
      </c>
      <c r="CD72" s="11">
        <f t="shared" si="64"/>
        <v>167498</v>
      </c>
      <c r="CE72" s="11">
        <f t="shared" si="64"/>
        <v>0</v>
      </c>
      <c r="CF72" s="11">
        <f t="shared" si="64"/>
        <v>167498</v>
      </c>
      <c r="CG72" s="11">
        <f t="shared" si="64"/>
        <v>0</v>
      </c>
      <c r="CH72" s="11">
        <f t="shared" si="64"/>
        <v>0</v>
      </c>
      <c r="CI72" s="11">
        <f t="shared" si="64"/>
        <v>0</v>
      </c>
      <c r="CJ72" s="11">
        <f t="shared" si="64"/>
        <v>0</v>
      </c>
      <c r="CK72" s="11">
        <f t="shared" si="64"/>
        <v>0</v>
      </c>
      <c r="CL72" s="11">
        <f t="shared" si="64"/>
        <v>0</v>
      </c>
      <c r="CM72" s="11">
        <f t="shared" si="64"/>
        <v>0</v>
      </c>
      <c r="CN72" s="11">
        <f t="shared" si="64"/>
        <v>0</v>
      </c>
      <c r="CO72" s="11">
        <f t="shared" si="64"/>
        <v>0</v>
      </c>
      <c r="CP72" s="11"/>
      <c r="CQ72" s="11">
        <f t="shared" si="64"/>
        <v>0</v>
      </c>
      <c r="CR72" s="11">
        <f t="shared" si="64"/>
        <v>0</v>
      </c>
      <c r="CS72" s="11">
        <f t="shared" si="64"/>
        <v>0</v>
      </c>
      <c r="CT72" s="11">
        <f t="shared" si="64"/>
        <v>0</v>
      </c>
      <c r="CU72" s="11">
        <f t="shared" si="64"/>
        <v>0</v>
      </c>
      <c r="CV72" s="11">
        <f t="shared" si="64"/>
        <v>0</v>
      </c>
      <c r="CW72" s="11">
        <f t="shared" si="64"/>
        <v>0</v>
      </c>
      <c r="CX72" s="12">
        <f t="shared" si="64"/>
        <v>0</v>
      </c>
    </row>
    <row r="73" spans="1:102" ht="15.75" x14ac:dyDescent="0.25">
      <c r="A73" s="13" t="s">
        <v>1</v>
      </c>
      <c r="B73" s="14" t="s">
        <v>1</v>
      </c>
      <c r="C73" s="14" t="s">
        <v>177</v>
      </c>
      <c r="D73" s="15" t="s">
        <v>180</v>
      </c>
      <c r="E73" s="10">
        <f>SUM(F73+CB73+CU73)</f>
        <v>38348573</v>
      </c>
      <c r="F73" s="11">
        <f>SUM(G73+BC73)</f>
        <v>38181075</v>
      </c>
      <c r="G73" s="11">
        <f>SUM(H73+I73+J73+Q73+T73+U73+V73+AF73+AE73)</f>
        <v>38181075</v>
      </c>
      <c r="H73" s="16">
        <f>30982798+2065520</f>
        <v>33048318</v>
      </c>
      <c r="I73" s="16">
        <f>221246+516380</f>
        <v>737626</v>
      </c>
      <c r="J73" s="11">
        <f t="shared" si="4"/>
        <v>1785999</v>
      </c>
      <c r="K73" s="16">
        <v>24997</v>
      </c>
      <c r="L73" s="16">
        <v>499920</v>
      </c>
      <c r="M73" s="16">
        <v>199605</v>
      </c>
      <c r="N73" s="16"/>
      <c r="O73" s="16">
        <v>982968</v>
      </c>
      <c r="P73" s="16">
        <v>78509</v>
      </c>
      <c r="Q73" s="11">
        <f t="shared" si="5"/>
        <v>170131</v>
      </c>
      <c r="R73" s="11">
        <v>67186</v>
      </c>
      <c r="S73" s="11">
        <v>102945</v>
      </c>
      <c r="T73" s="11">
        <v>0</v>
      </c>
      <c r="U73" s="11">
        <v>57398</v>
      </c>
      <c r="V73" s="11">
        <f>SUM(W73:AD73)</f>
        <v>3102</v>
      </c>
      <c r="W73" s="11">
        <v>3102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f>SUM(AG73:BB73)</f>
        <v>2378501</v>
      </c>
      <c r="AG73" s="11">
        <v>0</v>
      </c>
      <c r="AH73" s="11"/>
      <c r="AI73" s="16">
        <v>719</v>
      </c>
      <c r="AJ73" s="16"/>
      <c r="AK73" s="16"/>
      <c r="AL73" s="16"/>
      <c r="AM73" s="16"/>
      <c r="AN73" s="16"/>
      <c r="AO73" s="16">
        <v>8100</v>
      </c>
      <c r="AP73" s="16">
        <v>29682</v>
      </c>
      <c r="AQ73" s="16"/>
      <c r="AR73" s="16"/>
      <c r="AS73" s="16"/>
      <c r="AT73" s="16"/>
      <c r="AU73" s="16"/>
      <c r="AV73" s="11"/>
      <c r="AW73" s="11"/>
      <c r="AX73" s="11">
        <v>0</v>
      </c>
      <c r="AY73" s="11">
        <v>2340000</v>
      </c>
      <c r="AZ73" s="11">
        <v>0</v>
      </c>
      <c r="BA73" s="11">
        <v>0</v>
      </c>
      <c r="BB73" s="11"/>
      <c r="BC73" s="11">
        <f>SUM(BD73+BH73+BL73+BN73+BP73)</f>
        <v>0</v>
      </c>
      <c r="BD73" s="11">
        <f>SUM(BE73:BG73)</f>
        <v>0</v>
      </c>
      <c r="BE73" s="11">
        <v>0</v>
      </c>
      <c r="BF73" s="11">
        <v>0</v>
      </c>
      <c r="BG73" s="11">
        <v>0</v>
      </c>
      <c r="BH73" s="11">
        <f t="shared" si="6"/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f t="shared" si="7"/>
        <v>0</v>
      </c>
      <c r="BO73" s="11">
        <v>0</v>
      </c>
      <c r="BP73" s="11">
        <f t="shared" si="8"/>
        <v>0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/>
      <c r="CB73" s="11">
        <f>SUM(CC73+CT73)</f>
        <v>167498</v>
      </c>
      <c r="CC73" s="11">
        <f>SUM(CD73+CG73+CL73)</f>
        <v>167498</v>
      </c>
      <c r="CD73" s="11">
        <f t="shared" si="9"/>
        <v>167498</v>
      </c>
      <c r="CE73" s="11">
        <v>0</v>
      </c>
      <c r="CF73" s="11">
        <v>167498</v>
      </c>
      <c r="CG73" s="11">
        <f>SUM(CH73:CK73)</f>
        <v>0</v>
      </c>
      <c r="CH73" s="11">
        <v>0</v>
      </c>
      <c r="CI73" s="11">
        <v>0</v>
      </c>
      <c r="CJ73" s="11">
        <v>0</v>
      </c>
      <c r="CK73" s="11">
        <v>0</v>
      </c>
      <c r="CL73" s="11">
        <f>SUM(CM73:CQ73)</f>
        <v>0</v>
      </c>
      <c r="CM73" s="11">
        <v>0</v>
      </c>
      <c r="CN73" s="11">
        <v>0</v>
      </c>
      <c r="CO73" s="11">
        <v>0</v>
      </c>
      <c r="CP73" s="11"/>
      <c r="CQ73" s="11">
        <v>0</v>
      </c>
      <c r="CR73" s="11">
        <v>0</v>
      </c>
      <c r="CS73" s="11">
        <v>0</v>
      </c>
      <c r="CT73" s="11">
        <v>0</v>
      </c>
      <c r="CU73" s="11">
        <f t="shared" si="10"/>
        <v>0</v>
      </c>
      <c r="CV73" s="11">
        <f t="shared" si="11"/>
        <v>0</v>
      </c>
      <c r="CW73" s="11">
        <v>0</v>
      </c>
      <c r="CX73" s="12">
        <v>0</v>
      </c>
    </row>
    <row r="74" spans="1:102" ht="47.25" x14ac:dyDescent="0.25">
      <c r="A74" s="18" t="s">
        <v>181</v>
      </c>
      <c r="B74" s="19" t="s">
        <v>1</v>
      </c>
      <c r="C74" s="19" t="s">
        <v>1</v>
      </c>
      <c r="D74" s="20" t="s">
        <v>182</v>
      </c>
      <c r="E74" s="21">
        <f>SUM(E75+E77+E80+E82+E84+E86+E90+E88)</f>
        <v>641448051</v>
      </c>
      <c r="F74" s="22">
        <f t="shared" ref="F74:BQ74" si="65">SUM(F75+F77+F80+F82+F84+F86+F90+F88)</f>
        <v>626871103</v>
      </c>
      <c r="G74" s="22">
        <f t="shared" si="65"/>
        <v>624677905</v>
      </c>
      <c r="H74" s="22">
        <f t="shared" si="65"/>
        <v>438362585</v>
      </c>
      <c r="I74" s="22">
        <f t="shared" si="65"/>
        <v>19020807</v>
      </c>
      <c r="J74" s="22">
        <f t="shared" si="65"/>
        <v>71190921</v>
      </c>
      <c r="K74" s="22">
        <f t="shared" si="65"/>
        <v>975781</v>
      </c>
      <c r="L74" s="22">
        <f t="shared" si="65"/>
        <v>26001511</v>
      </c>
      <c r="M74" s="22">
        <f t="shared" si="65"/>
        <v>16886654</v>
      </c>
      <c r="N74" s="22">
        <f t="shared" si="65"/>
        <v>717212</v>
      </c>
      <c r="O74" s="22">
        <f t="shared" si="65"/>
        <v>19708020</v>
      </c>
      <c r="P74" s="22">
        <f t="shared" si="65"/>
        <v>6901743</v>
      </c>
      <c r="Q74" s="22">
        <f t="shared" si="65"/>
        <v>5965381</v>
      </c>
      <c r="R74" s="22">
        <f t="shared" si="65"/>
        <v>377791</v>
      </c>
      <c r="S74" s="22">
        <f t="shared" si="65"/>
        <v>5587590</v>
      </c>
      <c r="T74" s="22">
        <f t="shared" si="65"/>
        <v>17722</v>
      </c>
      <c r="U74" s="22">
        <f t="shared" si="65"/>
        <v>6664529</v>
      </c>
      <c r="V74" s="22">
        <f t="shared" si="65"/>
        <v>19587723</v>
      </c>
      <c r="W74" s="22">
        <f t="shared" si="65"/>
        <v>1670059</v>
      </c>
      <c r="X74" s="22">
        <f t="shared" si="65"/>
        <v>3726568</v>
      </c>
      <c r="Y74" s="22">
        <f t="shared" si="65"/>
        <v>8588539</v>
      </c>
      <c r="Z74" s="22">
        <f t="shared" si="65"/>
        <v>4132405</v>
      </c>
      <c r="AA74" s="22">
        <f t="shared" si="65"/>
        <v>520277</v>
      </c>
      <c r="AB74" s="22">
        <f t="shared" si="65"/>
        <v>256402</v>
      </c>
      <c r="AC74" s="22">
        <f t="shared" si="65"/>
        <v>0</v>
      </c>
      <c r="AD74" s="22">
        <f t="shared" si="65"/>
        <v>693473</v>
      </c>
      <c r="AE74" s="22">
        <f t="shared" si="65"/>
        <v>0</v>
      </c>
      <c r="AF74" s="22">
        <f t="shared" si="65"/>
        <v>63868237</v>
      </c>
      <c r="AG74" s="22">
        <f t="shared" si="65"/>
        <v>0</v>
      </c>
      <c r="AH74" s="22">
        <f t="shared" si="65"/>
        <v>0</v>
      </c>
      <c r="AI74" s="22">
        <f t="shared" si="65"/>
        <v>425766</v>
      </c>
      <c r="AJ74" s="22">
        <f t="shared" si="65"/>
        <v>1320787</v>
      </c>
      <c r="AK74" s="22">
        <f t="shared" si="65"/>
        <v>0</v>
      </c>
      <c r="AL74" s="22">
        <f t="shared" si="65"/>
        <v>93072</v>
      </c>
      <c r="AM74" s="22">
        <f t="shared" si="65"/>
        <v>187705</v>
      </c>
      <c r="AN74" s="22">
        <f t="shared" si="65"/>
        <v>51908</v>
      </c>
      <c r="AO74" s="22">
        <f t="shared" si="65"/>
        <v>1760336</v>
      </c>
      <c r="AP74" s="22">
        <f t="shared" si="65"/>
        <v>163455</v>
      </c>
      <c r="AQ74" s="22">
        <f t="shared" si="65"/>
        <v>10942</v>
      </c>
      <c r="AR74" s="22">
        <f t="shared" si="65"/>
        <v>0</v>
      </c>
      <c r="AS74" s="22">
        <f t="shared" si="65"/>
        <v>2067578</v>
      </c>
      <c r="AT74" s="22">
        <f t="shared" si="65"/>
        <v>2069986</v>
      </c>
      <c r="AU74" s="22">
        <f t="shared" si="65"/>
        <v>37200</v>
      </c>
      <c r="AV74" s="22"/>
      <c r="AW74" s="22"/>
      <c r="AX74" s="22">
        <f t="shared" si="65"/>
        <v>0</v>
      </c>
      <c r="AY74" s="22">
        <f t="shared" si="65"/>
        <v>48716853</v>
      </c>
      <c r="AZ74" s="22">
        <f t="shared" si="65"/>
        <v>1034</v>
      </c>
      <c r="BA74" s="22">
        <f t="shared" si="65"/>
        <v>1149993</v>
      </c>
      <c r="BB74" s="22">
        <f t="shared" si="65"/>
        <v>5811622</v>
      </c>
      <c r="BC74" s="22">
        <f t="shared" si="65"/>
        <v>2193198</v>
      </c>
      <c r="BD74" s="22">
        <f t="shared" si="65"/>
        <v>0</v>
      </c>
      <c r="BE74" s="22">
        <f t="shared" si="65"/>
        <v>0</v>
      </c>
      <c r="BF74" s="22">
        <f t="shared" si="65"/>
        <v>0</v>
      </c>
      <c r="BG74" s="22">
        <f t="shared" si="65"/>
        <v>0</v>
      </c>
      <c r="BH74" s="22">
        <f t="shared" si="65"/>
        <v>0</v>
      </c>
      <c r="BI74" s="22">
        <f t="shared" si="65"/>
        <v>0</v>
      </c>
      <c r="BJ74" s="22">
        <f t="shared" si="65"/>
        <v>0</v>
      </c>
      <c r="BK74" s="22">
        <f t="shared" si="65"/>
        <v>0</v>
      </c>
      <c r="BL74" s="22">
        <f t="shared" si="65"/>
        <v>0</v>
      </c>
      <c r="BM74" s="22">
        <f t="shared" si="65"/>
        <v>0</v>
      </c>
      <c r="BN74" s="22">
        <f t="shared" si="65"/>
        <v>459294</v>
      </c>
      <c r="BO74" s="22">
        <f t="shared" si="65"/>
        <v>459294</v>
      </c>
      <c r="BP74" s="22">
        <f t="shared" si="65"/>
        <v>1733904</v>
      </c>
      <c r="BQ74" s="22">
        <f t="shared" si="65"/>
        <v>0</v>
      </c>
      <c r="BR74" s="22">
        <f t="shared" ref="BR74:CX74" si="66">SUM(BR75+BR77+BR80+BR82+BR84+BR86+BR90+BR88)</f>
        <v>0</v>
      </c>
      <c r="BS74" s="22">
        <f t="shared" si="66"/>
        <v>70771</v>
      </c>
      <c r="BT74" s="22">
        <f t="shared" si="66"/>
        <v>0</v>
      </c>
      <c r="BU74" s="22">
        <f t="shared" si="66"/>
        <v>0</v>
      </c>
      <c r="BV74" s="22">
        <f t="shared" si="66"/>
        <v>0</v>
      </c>
      <c r="BW74" s="22">
        <f t="shared" si="66"/>
        <v>0</v>
      </c>
      <c r="BX74" s="22">
        <f t="shared" si="66"/>
        <v>0</v>
      </c>
      <c r="BY74" s="22">
        <f t="shared" si="66"/>
        <v>0</v>
      </c>
      <c r="BZ74" s="22">
        <f t="shared" si="66"/>
        <v>1604138</v>
      </c>
      <c r="CA74" s="22">
        <f t="shared" si="66"/>
        <v>58995</v>
      </c>
      <c r="CB74" s="22">
        <f t="shared" si="66"/>
        <v>14576948</v>
      </c>
      <c r="CC74" s="22">
        <f t="shared" si="66"/>
        <v>14576948</v>
      </c>
      <c r="CD74" s="22">
        <f t="shared" si="66"/>
        <v>6994510</v>
      </c>
      <c r="CE74" s="22">
        <f t="shared" si="66"/>
        <v>0</v>
      </c>
      <c r="CF74" s="22">
        <f t="shared" si="66"/>
        <v>6994510</v>
      </c>
      <c r="CG74" s="22">
        <f t="shared" si="66"/>
        <v>276337</v>
      </c>
      <c r="CH74" s="22">
        <f t="shared" si="66"/>
        <v>0</v>
      </c>
      <c r="CI74" s="22">
        <f t="shared" si="66"/>
        <v>0</v>
      </c>
      <c r="CJ74" s="22">
        <f t="shared" si="66"/>
        <v>276337</v>
      </c>
      <c r="CK74" s="22">
        <f t="shared" si="66"/>
        <v>0</v>
      </c>
      <c r="CL74" s="22">
        <f t="shared" si="66"/>
        <v>7306101</v>
      </c>
      <c r="CM74" s="22">
        <f t="shared" si="66"/>
        <v>0</v>
      </c>
      <c r="CN74" s="22">
        <f t="shared" si="66"/>
        <v>0</v>
      </c>
      <c r="CO74" s="22">
        <f t="shared" si="66"/>
        <v>7306101</v>
      </c>
      <c r="CP74" s="22"/>
      <c r="CQ74" s="22">
        <f t="shared" si="66"/>
        <v>0</v>
      </c>
      <c r="CR74" s="22">
        <f t="shared" si="66"/>
        <v>0</v>
      </c>
      <c r="CS74" s="22">
        <f t="shared" si="66"/>
        <v>0</v>
      </c>
      <c r="CT74" s="22">
        <f t="shared" si="66"/>
        <v>0</v>
      </c>
      <c r="CU74" s="22">
        <f t="shared" si="66"/>
        <v>0</v>
      </c>
      <c r="CV74" s="22">
        <f t="shared" si="66"/>
        <v>0</v>
      </c>
      <c r="CW74" s="22">
        <f t="shared" si="66"/>
        <v>0</v>
      </c>
      <c r="CX74" s="23">
        <f t="shared" si="66"/>
        <v>0</v>
      </c>
    </row>
    <row r="75" spans="1:102" ht="15.75" x14ac:dyDescent="0.25">
      <c r="A75" s="7"/>
      <c r="B75" s="8" t="s">
        <v>183</v>
      </c>
      <c r="C75" s="8" t="s">
        <v>1</v>
      </c>
      <c r="D75" s="9" t="s">
        <v>184</v>
      </c>
      <c r="E75" s="10">
        <f t="shared" ref="E75:BS75" si="67">SUM(E76)</f>
        <v>284658116</v>
      </c>
      <c r="F75" s="11">
        <f t="shared" si="67"/>
        <v>276518440</v>
      </c>
      <c r="G75" s="11">
        <f t="shared" si="67"/>
        <v>275610153</v>
      </c>
      <c r="H75" s="11">
        <f t="shared" si="67"/>
        <v>198674177</v>
      </c>
      <c r="I75" s="11">
        <f t="shared" si="67"/>
        <v>9585948</v>
      </c>
      <c r="J75" s="11">
        <f t="shared" si="67"/>
        <v>29943394</v>
      </c>
      <c r="K75" s="11">
        <f t="shared" si="67"/>
        <v>284897</v>
      </c>
      <c r="L75" s="11">
        <f t="shared" si="67"/>
        <v>14434213</v>
      </c>
      <c r="M75" s="11">
        <f t="shared" si="67"/>
        <v>3792141</v>
      </c>
      <c r="N75" s="11">
        <f t="shared" si="67"/>
        <v>0</v>
      </c>
      <c r="O75" s="11">
        <f t="shared" si="67"/>
        <v>8075064</v>
      </c>
      <c r="P75" s="11">
        <f t="shared" si="67"/>
        <v>3357079</v>
      </c>
      <c r="Q75" s="11">
        <f t="shared" si="67"/>
        <v>327489</v>
      </c>
      <c r="R75" s="11">
        <f t="shared" si="67"/>
        <v>55141</v>
      </c>
      <c r="S75" s="11">
        <f t="shared" si="67"/>
        <v>272348</v>
      </c>
      <c r="T75" s="11">
        <f t="shared" si="67"/>
        <v>0</v>
      </c>
      <c r="U75" s="11">
        <f t="shared" si="67"/>
        <v>3800000</v>
      </c>
      <c r="V75" s="11">
        <f t="shared" si="67"/>
        <v>6922212</v>
      </c>
      <c r="W75" s="11">
        <f t="shared" si="67"/>
        <v>170583</v>
      </c>
      <c r="X75" s="11">
        <f t="shared" si="67"/>
        <v>2690649</v>
      </c>
      <c r="Y75" s="11">
        <f t="shared" si="67"/>
        <v>2663325</v>
      </c>
      <c r="Z75" s="11">
        <f t="shared" si="67"/>
        <v>987053</v>
      </c>
      <c r="AA75" s="11">
        <f t="shared" si="67"/>
        <v>203766</v>
      </c>
      <c r="AB75" s="11">
        <f t="shared" si="67"/>
        <v>67872</v>
      </c>
      <c r="AC75" s="11">
        <f t="shared" si="67"/>
        <v>0</v>
      </c>
      <c r="AD75" s="11">
        <f t="shared" si="67"/>
        <v>138964</v>
      </c>
      <c r="AE75" s="11">
        <f t="shared" si="67"/>
        <v>0</v>
      </c>
      <c r="AF75" s="11">
        <f t="shared" si="67"/>
        <v>26356933</v>
      </c>
      <c r="AG75" s="11">
        <f t="shared" si="67"/>
        <v>0</v>
      </c>
      <c r="AH75" s="11">
        <f t="shared" si="67"/>
        <v>0</v>
      </c>
      <c r="AI75" s="11">
        <f t="shared" si="67"/>
        <v>131214</v>
      </c>
      <c r="AJ75" s="11">
        <f t="shared" si="67"/>
        <v>189893</v>
      </c>
      <c r="AK75" s="11">
        <f t="shared" si="67"/>
        <v>0</v>
      </c>
      <c r="AL75" s="11">
        <f t="shared" si="67"/>
        <v>54491</v>
      </c>
      <c r="AM75" s="11">
        <f t="shared" si="67"/>
        <v>70735</v>
      </c>
      <c r="AN75" s="11">
        <f t="shared" si="67"/>
        <v>32011</v>
      </c>
      <c r="AO75" s="11">
        <f t="shared" si="67"/>
        <v>1482461</v>
      </c>
      <c r="AP75" s="11">
        <f t="shared" si="67"/>
        <v>18042</v>
      </c>
      <c r="AQ75" s="11">
        <f t="shared" si="67"/>
        <v>4476</v>
      </c>
      <c r="AR75" s="11">
        <f t="shared" si="67"/>
        <v>0</v>
      </c>
      <c r="AS75" s="11">
        <f t="shared" si="67"/>
        <v>831096</v>
      </c>
      <c r="AT75" s="11">
        <f t="shared" si="67"/>
        <v>1241321</v>
      </c>
      <c r="AU75" s="11">
        <f t="shared" si="67"/>
        <v>0</v>
      </c>
      <c r="AV75" s="11"/>
      <c r="AW75" s="11"/>
      <c r="AX75" s="11">
        <f t="shared" si="67"/>
        <v>0</v>
      </c>
      <c r="AY75" s="11">
        <f t="shared" si="67"/>
        <v>17569978</v>
      </c>
      <c r="AZ75" s="11">
        <f t="shared" si="67"/>
        <v>0</v>
      </c>
      <c r="BA75" s="11">
        <f t="shared" si="67"/>
        <v>197076</v>
      </c>
      <c r="BB75" s="11">
        <f t="shared" si="67"/>
        <v>4534139</v>
      </c>
      <c r="BC75" s="11">
        <f t="shared" si="67"/>
        <v>908287</v>
      </c>
      <c r="BD75" s="11">
        <f t="shared" si="67"/>
        <v>0</v>
      </c>
      <c r="BE75" s="11">
        <f t="shared" si="67"/>
        <v>0</v>
      </c>
      <c r="BF75" s="11">
        <f t="shared" si="67"/>
        <v>0</v>
      </c>
      <c r="BG75" s="11">
        <f t="shared" si="67"/>
        <v>0</v>
      </c>
      <c r="BH75" s="11">
        <f t="shared" si="67"/>
        <v>0</v>
      </c>
      <c r="BI75" s="11">
        <f t="shared" si="67"/>
        <v>0</v>
      </c>
      <c r="BJ75" s="11">
        <f t="shared" si="67"/>
        <v>0</v>
      </c>
      <c r="BK75" s="11">
        <f t="shared" si="67"/>
        <v>0</v>
      </c>
      <c r="BL75" s="11">
        <f t="shared" si="67"/>
        <v>0</v>
      </c>
      <c r="BM75" s="11">
        <f t="shared" si="67"/>
        <v>0</v>
      </c>
      <c r="BN75" s="11">
        <f t="shared" si="67"/>
        <v>304566</v>
      </c>
      <c r="BO75" s="11">
        <f t="shared" si="67"/>
        <v>304566</v>
      </c>
      <c r="BP75" s="11">
        <f t="shared" si="67"/>
        <v>603721</v>
      </c>
      <c r="BQ75" s="11">
        <f t="shared" si="67"/>
        <v>0</v>
      </c>
      <c r="BR75" s="11">
        <f t="shared" si="67"/>
        <v>0</v>
      </c>
      <c r="BS75" s="11">
        <f t="shared" si="67"/>
        <v>70771</v>
      </c>
      <c r="BT75" s="11">
        <f t="shared" ref="BT75:CX75" si="68">SUM(BT76)</f>
        <v>0</v>
      </c>
      <c r="BU75" s="11">
        <f t="shared" si="68"/>
        <v>0</v>
      </c>
      <c r="BV75" s="11">
        <f t="shared" si="68"/>
        <v>0</v>
      </c>
      <c r="BW75" s="11">
        <f t="shared" si="68"/>
        <v>0</v>
      </c>
      <c r="BX75" s="11">
        <f t="shared" si="68"/>
        <v>0</v>
      </c>
      <c r="BY75" s="11">
        <f t="shared" si="68"/>
        <v>0</v>
      </c>
      <c r="BZ75" s="11">
        <f t="shared" si="68"/>
        <v>473955</v>
      </c>
      <c r="CA75" s="11">
        <f t="shared" si="68"/>
        <v>58995</v>
      </c>
      <c r="CB75" s="11">
        <f t="shared" si="68"/>
        <v>8139676</v>
      </c>
      <c r="CC75" s="11">
        <f t="shared" si="68"/>
        <v>8139676</v>
      </c>
      <c r="CD75" s="11">
        <f t="shared" si="68"/>
        <v>4024750</v>
      </c>
      <c r="CE75" s="11">
        <f t="shared" si="68"/>
        <v>0</v>
      </c>
      <c r="CF75" s="11">
        <f t="shared" si="68"/>
        <v>4024750</v>
      </c>
      <c r="CG75" s="11">
        <f t="shared" si="68"/>
        <v>0</v>
      </c>
      <c r="CH75" s="11">
        <f t="shared" si="68"/>
        <v>0</v>
      </c>
      <c r="CI75" s="11">
        <f t="shared" si="68"/>
        <v>0</v>
      </c>
      <c r="CJ75" s="11">
        <f t="shared" si="68"/>
        <v>0</v>
      </c>
      <c r="CK75" s="11">
        <f t="shared" si="68"/>
        <v>0</v>
      </c>
      <c r="CL75" s="11">
        <f t="shared" si="68"/>
        <v>4114926</v>
      </c>
      <c r="CM75" s="11">
        <f t="shared" si="68"/>
        <v>0</v>
      </c>
      <c r="CN75" s="11">
        <f t="shared" si="68"/>
        <v>0</v>
      </c>
      <c r="CO75" s="11">
        <f t="shared" si="68"/>
        <v>4114926</v>
      </c>
      <c r="CP75" s="11"/>
      <c r="CQ75" s="11">
        <f t="shared" si="68"/>
        <v>0</v>
      </c>
      <c r="CR75" s="11">
        <f t="shared" si="68"/>
        <v>0</v>
      </c>
      <c r="CS75" s="11">
        <f t="shared" si="68"/>
        <v>0</v>
      </c>
      <c r="CT75" s="11">
        <f t="shared" si="68"/>
        <v>0</v>
      </c>
      <c r="CU75" s="11">
        <f t="shared" si="68"/>
        <v>0</v>
      </c>
      <c r="CV75" s="11">
        <f t="shared" si="68"/>
        <v>0</v>
      </c>
      <c r="CW75" s="11">
        <f t="shared" si="68"/>
        <v>0</v>
      </c>
      <c r="CX75" s="12">
        <f t="shared" si="68"/>
        <v>0</v>
      </c>
    </row>
    <row r="76" spans="1:102" ht="15.75" x14ac:dyDescent="0.25">
      <c r="A76" s="13"/>
      <c r="B76" s="14" t="s">
        <v>1</v>
      </c>
      <c r="C76" s="14" t="s">
        <v>185</v>
      </c>
      <c r="D76" s="15" t="s">
        <v>186</v>
      </c>
      <c r="E76" s="10">
        <f>SUM(F76+CB76+CU76)</f>
        <v>284658116</v>
      </c>
      <c r="F76" s="11">
        <f>SUM(G76+BC76)</f>
        <v>276518440</v>
      </c>
      <c r="G76" s="11">
        <f>SUM(H76+I76+J76+Q76+T76+U76+V76+AF76+AE76)</f>
        <v>275610153</v>
      </c>
      <c r="H76" s="16">
        <f>193513809+5160368</f>
        <v>198674177</v>
      </c>
      <c r="I76" s="16">
        <f>8295856+1290092</f>
        <v>9585948</v>
      </c>
      <c r="J76" s="11">
        <f t="shared" si="4"/>
        <v>29943394</v>
      </c>
      <c r="K76" s="16">
        <v>284897</v>
      </c>
      <c r="L76" s="16">
        <f>14112463+321750</f>
        <v>14434213</v>
      </c>
      <c r="M76" s="16">
        <v>3792141</v>
      </c>
      <c r="N76" s="16"/>
      <c r="O76" s="16">
        <v>8075064</v>
      </c>
      <c r="P76" s="16">
        <v>3357079</v>
      </c>
      <c r="Q76" s="11">
        <f t="shared" si="5"/>
        <v>327489</v>
      </c>
      <c r="R76" s="16">
        <v>55141</v>
      </c>
      <c r="S76" s="16">
        <v>272348</v>
      </c>
      <c r="T76" s="11">
        <v>0</v>
      </c>
      <c r="U76" s="11">
        <v>3800000</v>
      </c>
      <c r="V76" s="11">
        <f>SUM(W76:AD76)</f>
        <v>6922212</v>
      </c>
      <c r="W76" s="16">
        <v>170583</v>
      </c>
      <c r="X76" s="16">
        <v>2690649</v>
      </c>
      <c r="Y76" s="16">
        <v>2663325</v>
      </c>
      <c r="Z76" s="16">
        <v>987053</v>
      </c>
      <c r="AA76" s="16">
        <v>203766</v>
      </c>
      <c r="AB76" s="16">
        <f>47123+20749</f>
        <v>67872</v>
      </c>
      <c r="AC76" s="16"/>
      <c r="AD76" s="16">
        <v>138964</v>
      </c>
      <c r="AE76" s="11"/>
      <c r="AF76" s="11">
        <f>SUM(AG76:BB76)</f>
        <v>26356933</v>
      </c>
      <c r="AG76" s="11">
        <v>0</v>
      </c>
      <c r="AH76" s="11"/>
      <c r="AI76" s="16">
        <v>131214</v>
      </c>
      <c r="AJ76" s="16">
        <v>189893</v>
      </c>
      <c r="AK76" s="16"/>
      <c r="AL76" s="16">
        <v>54491</v>
      </c>
      <c r="AM76" s="16">
        <v>70735</v>
      </c>
      <c r="AN76" s="16">
        <v>32011</v>
      </c>
      <c r="AO76" s="16">
        <v>1482461</v>
      </c>
      <c r="AP76" s="16">
        <v>18042</v>
      </c>
      <c r="AQ76" s="16">
        <v>4476</v>
      </c>
      <c r="AR76" s="16"/>
      <c r="AS76" s="16">
        <f>168950+662146</f>
        <v>831096</v>
      </c>
      <c r="AT76" s="16">
        <v>1241321</v>
      </c>
      <c r="AU76" s="16"/>
      <c r="AV76" s="16"/>
      <c r="AW76" s="11"/>
      <c r="AX76" s="11">
        <v>0</v>
      </c>
      <c r="AY76" s="16">
        <v>17569978</v>
      </c>
      <c r="AZ76" s="16"/>
      <c r="BA76" s="16">
        <v>197076</v>
      </c>
      <c r="BB76" s="16">
        <v>4534139</v>
      </c>
      <c r="BC76" s="11">
        <f>SUM(BD76+BH76+BL76+BN76+BP76)</f>
        <v>908287</v>
      </c>
      <c r="BD76" s="11">
        <f>SUM(BE76:BG76)</f>
        <v>0</v>
      </c>
      <c r="BE76" s="11">
        <v>0</v>
      </c>
      <c r="BF76" s="11">
        <v>0</v>
      </c>
      <c r="BG76" s="11">
        <v>0</v>
      </c>
      <c r="BH76" s="11">
        <f t="shared" si="6"/>
        <v>0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f t="shared" si="7"/>
        <v>304566</v>
      </c>
      <c r="BO76" s="11">
        <v>304566</v>
      </c>
      <c r="BP76" s="11">
        <f t="shared" si="8"/>
        <v>603721</v>
      </c>
      <c r="BQ76" s="11">
        <v>0</v>
      </c>
      <c r="BR76" s="11">
        <v>0</v>
      </c>
      <c r="BS76" s="11">
        <v>70771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473955</v>
      </c>
      <c r="CA76" s="11">
        <v>58995</v>
      </c>
      <c r="CB76" s="11">
        <f>SUM(CC76+CT76)</f>
        <v>8139676</v>
      </c>
      <c r="CC76" s="11">
        <f>SUM(CD76+CG76+CL76)</f>
        <v>8139676</v>
      </c>
      <c r="CD76" s="11">
        <f t="shared" si="9"/>
        <v>4024750</v>
      </c>
      <c r="CE76" s="11">
        <v>0</v>
      </c>
      <c r="CF76" s="11">
        <v>4024750</v>
      </c>
      <c r="CG76" s="11">
        <f>SUM(CH76:CK76)</f>
        <v>0</v>
      </c>
      <c r="CH76" s="11">
        <v>0</v>
      </c>
      <c r="CI76" s="11">
        <v>0</v>
      </c>
      <c r="CJ76" s="11"/>
      <c r="CK76" s="11"/>
      <c r="CL76" s="11">
        <f>SUM(CM76:CQ76)</f>
        <v>4114926</v>
      </c>
      <c r="CM76" s="11">
        <v>0</v>
      </c>
      <c r="CN76" s="11"/>
      <c r="CO76" s="11">
        <v>4114926</v>
      </c>
      <c r="CP76" s="11"/>
      <c r="CQ76" s="11">
        <v>0</v>
      </c>
      <c r="CR76" s="11"/>
      <c r="CS76" s="11"/>
      <c r="CT76" s="11">
        <v>0</v>
      </c>
      <c r="CU76" s="11">
        <f t="shared" si="10"/>
        <v>0</v>
      </c>
      <c r="CV76" s="11">
        <f t="shared" si="11"/>
        <v>0</v>
      </c>
      <c r="CW76" s="11">
        <v>0</v>
      </c>
      <c r="CX76" s="12">
        <v>0</v>
      </c>
    </row>
    <row r="77" spans="1:102" ht="31.5" x14ac:dyDescent="0.25">
      <c r="A77" s="7"/>
      <c r="B77" s="8" t="s">
        <v>187</v>
      </c>
      <c r="C77" s="8" t="s">
        <v>1</v>
      </c>
      <c r="D77" s="9" t="s">
        <v>462</v>
      </c>
      <c r="E77" s="10">
        <f>SUM(E78:E79)</f>
        <v>98179966</v>
      </c>
      <c r="F77" s="11">
        <f t="shared" ref="F77:BV77" si="69">SUM(F78:F79)</f>
        <v>97703474</v>
      </c>
      <c r="G77" s="11">
        <f t="shared" si="69"/>
        <v>97688474</v>
      </c>
      <c r="H77" s="11">
        <f t="shared" si="69"/>
        <v>61446894</v>
      </c>
      <c r="I77" s="11">
        <f t="shared" si="69"/>
        <v>2740586</v>
      </c>
      <c r="J77" s="11">
        <f t="shared" si="69"/>
        <v>19899883</v>
      </c>
      <c r="K77" s="11">
        <f t="shared" si="69"/>
        <v>401973</v>
      </c>
      <c r="L77" s="11">
        <f t="shared" si="69"/>
        <v>4119306</v>
      </c>
      <c r="M77" s="11">
        <f t="shared" si="69"/>
        <v>12419816</v>
      </c>
      <c r="N77" s="11">
        <f t="shared" si="69"/>
        <v>0</v>
      </c>
      <c r="O77" s="11">
        <f t="shared" si="69"/>
        <v>2095092</v>
      </c>
      <c r="P77" s="11">
        <f t="shared" si="69"/>
        <v>863696</v>
      </c>
      <c r="Q77" s="11">
        <f t="shared" si="69"/>
        <v>26692</v>
      </c>
      <c r="R77" s="11">
        <f t="shared" si="69"/>
        <v>23026</v>
      </c>
      <c r="S77" s="11">
        <f t="shared" si="69"/>
        <v>3666</v>
      </c>
      <c r="T77" s="11">
        <f t="shared" si="69"/>
        <v>0</v>
      </c>
      <c r="U77" s="11">
        <f t="shared" si="69"/>
        <v>711169</v>
      </c>
      <c r="V77" s="11">
        <f t="shared" si="69"/>
        <v>7528333</v>
      </c>
      <c r="W77" s="11">
        <f t="shared" si="69"/>
        <v>172697</v>
      </c>
      <c r="X77" s="11">
        <f t="shared" si="69"/>
        <v>66719</v>
      </c>
      <c r="Y77" s="11">
        <f t="shared" si="69"/>
        <v>3775863</v>
      </c>
      <c r="Z77" s="11">
        <f t="shared" si="69"/>
        <v>2924402</v>
      </c>
      <c r="AA77" s="11">
        <f t="shared" si="69"/>
        <v>151997</v>
      </c>
      <c r="AB77" s="11">
        <f t="shared" si="69"/>
        <v>0</v>
      </c>
      <c r="AC77" s="11">
        <f t="shared" si="69"/>
        <v>0</v>
      </c>
      <c r="AD77" s="11">
        <f t="shared" si="69"/>
        <v>436655</v>
      </c>
      <c r="AE77" s="11">
        <f t="shared" si="69"/>
        <v>0</v>
      </c>
      <c r="AF77" s="11">
        <f t="shared" si="69"/>
        <v>5334917</v>
      </c>
      <c r="AG77" s="11">
        <f t="shared" si="69"/>
        <v>0</v>
      </c>
      <c r="AH77" s="11">
        <f t="shared" si="69"/>
        <v>0</v>
      </c>
      <c r="AI77" s="11">
        <f t="shared" si="69"/>
        <v>41071</v>
      </c>
      <c r="AJ77" s="11">
        <f t="shared" si="69"/>
        <v>138716</v>
      </c>
      <c r="AK77" s="11">
        <f t="shared" si="69"/>
        <v>0</v>
      </c>
      <c r="AL77" s="11">
        <f t="shared" si="69"/>
        <v>0</v>
      </c>
      <c r="AM77" s="11">
        <f t="shared" si="69"/>
        <v>34250</v>
      </c>
      <c r="AN77" s="11">
        <f t="shared" si="69"/>
        <v>3697</v>
      </c>
      <c r="AO77" s="11">
        <f t="shared" si="69"/>
        <v>88065</v>
      </c>
      <c r="AP77" s="11">
        <f t="shared" si="69"/>
        <v>13386</v>
      </c>
      <c r="AQ77" s="11">
        <f t="shared" si="69"/>
        <v>0</v>
      </c>
      <c r="AR77" s="11">
        <f>SUM(AR78:AR79)</f>
        <v>0</v>
      </c>
      <c r="AS77" s="11">
        <f t="shared" si="69"/>
        <v>47500</v>
      </c>
      <c r="AT77" s="11">
        <f t="shared" si="69"/>
        <v>0</v>
      </c>
      <c r="AU77" s="11">
        <f t="shared" si="69"/>
        <v>0</v>
      </c>
      <c r="AV77" s="11"/>
      <c r="AW77" s="11"/>
      <c r="AX77" s="11">
        <f t="shared" si="69"/>
        <v>0</v>
      </c>
      <c r="AY77" s="11">
        <f t="shared" si="69"/>
        <v>4350829</v>
      </c>
      <c r="AZ77" s="11">
        <f t="shared" si="69"/>
        <v>0</v>
      </c>
      <c r="BA77" s="11">
        <f t="shared" si="69"/>
        <v>491025</v>
      </c>
      <c r="BB77" s="11">
        <f t="shared" si="69"/>
        <v>126378</v>
      </c>
      <c r="BC77" s="11">
        <f t="shared" si="69"/>
        <v>15000</v>
      </c>
      <c r="BD77" s="11">
        <f t="shared" si="69"/>
        <v>0</v>
      </c>
      <c r="BE77" s="11">
        <f t="shared" si="69"/>
        <v>0</v>
      </c>
      <c r="BF77" s="11">
        <f t="shared" si="69"/>
        <v>0</v>
      </c>
      <c r="BG77" s="11">
        <f t="shared" si="69"/>
        <v>0</v>
      </c>
      <c r="BH77" s="11">
        <f t="shared" si="69"/>
        <v>0</v>
      </c>
      <c r="BI77" s="11">
        <f t="shared" si="69"/>
        <v>0</v>
      </c>
      <c r="BJ77" s="11">
        <f t="shared" si="69"/>
        <v>0</v>
      </c>
      <c r="BK77" s="11">
        <f t="shared" si="69"/>
        <v>0</v>
      </c>
      <c r="BL77" s="11">
        <f t="shared" si="69"/>
        <v>0</v>
      </c>
      <c r="BM77" s="11">
        <f t="shared" si="69"/>
        <v>0</v>
      </c>
      <c r="BN77" s="11">
        <f t="shared" si="69"/>
        <v>15000</v>
      </c>
      <c r="BO77" s="11">
        <f t="shared" si="69"/>
        <v>15000</v>
      </c>
      <c r="BP77" s="11">
        <f t="shared" si="69"/>
        <v>0</v>
      </c>
      <c r="BQ77" s="11">
        <f t="shared" si="69"/>
        <v>0</v>
      </c>
      <c r="BR77" s="11">
        <f t="shared" si="69"/>
        <v>0</v>
      </c>
      <c r="BS77" s="11">
        <f t="shared" si="69"/>
        <v>0</v>
      </c>
      <c r="BT77" s="11">
        <f t="shared" si="69"/>
        <v>0</v>
      </c>
      <c r="BU77" s="11">
        <f t="shared" si="69"/>
        <v>0</v>
      </c>
      <c r="BV77" s="11">
        <f t="shared" si="69"/>
        <v>0</v>
      </c>
      <c r="BW77" s="11">
        <f t="shared" ref="BW77:CX77" si="70">SUM(BW78:BW79)</f>
        <v>0</v>
      </c>
      <c r="BX77" s="11">
        <f t="shared" si="70"/>
        <v>0</v>
      </c>
      <c r="BY77" s="11">
        <f t="shared" si="70"/>
        <v>0</v>
      </c>
      <c r="BZ77" s="11">
        <f t="shared" si="70"/>
        <v>0</v>
      </c>
      <c r="CA77" s="11">
        <f t="shared" si="70"/>
        <v>0</v>
      </c>
      <c r="CB77" s="11">
        <f t="shared" si="70"/>
        <v>476492</v>
      </c>
      <c r="CC77" s="11">
        <f t="shared" si="70"/>
        <v>476492</v>
      </c>
      <c r="CD77" s="11">
        <f t="shared" si="70"/>
        <v>476492</v>
      </c>
      <c r="CE77" s="11">
        <f t="shared" si="70"/>
        <v>0</v>
      </c>
      <c r="CF77" s="11">
        <f t="shared" si="70"/>
        <v>476492</v>
      </c>
      <c r="CG77" s="11">
        <f t="shared" si="70"/>
        <v>0</v>
      </c>
      <c r="CH77" s="11">
        <f t="shared" si="70"/>
        <v>0</v>
      </c>
      <c r="CI77" s="11">
        <f t="shared" si="70"/>
        <v>0</v>
      </c>
      <c r="CJ77" s="11">
        <f t="shared" si="70"/>
        <v>0</v>
      </c>
      <c r="CK77" s="11">
        <f t="shared" si="70"/>
        <v>0</v>
      </c>
      <c r="CL77" s="11">
        <f t="shared" si="70"/>
        <v>0</v>
      </c>
      <c r="CM77" s="11">
        <f t="shared" si="70"/>
        <v>0</v>
      </c>
      <c r="CN77" s="11">
        <f t="shared" si="70"/>
        <v>0</v>
      </c>
      <c r="CO77" s="11">
        <f t="shared" si="70"/>
        <v>0</v>
      </c>
      <c r="CP77" s="11"/>
      <c r="CQ77" s="11">
        <f t="shared" si="70"/>
        <v>0</v>
      </c>
      <c r="CR77" s="11">
        <f t="shared" si="70"/>
        <v>0</v>
      </c>
      <c r="CS77" s="11">
        <f t="shared" si="70"/>
        <v>0</v>
      </c>
      <c r="CT77" s="11">
        <f t="shared" si="70"/>
        <v>0</v>
      </c>
      <c r="CU77" s="11">
        <f t="shared" si="70"/>
        <v>0</v>
      </c>
      <c r="CV77" s="11">
        <f t="shared" si="70"/>
        <v>0</v>
      </c>
      <c r="CW77" s="11">
        <f t="shared" si="70"/>
        <v>0</v>
      </c>
      <c r="CX77" s="12">
        <f t="shared" si="70"/>
        <v>0</v>
      </c>
    </row>
    <row r="78" spans="1:102" ht="15.75" x14ac:dyDescent="0.25">
      <c r="A78" s="13"/>
      <c r="B78" s="14" t="s">
        <v>1</v>
      </c>
      <c r="C78" s="14" t="s">
        <v>188</v>
      </c>
      <c r="D78" s="15" t="s">
        <v>189</v>
      </c>
      <c r="E78" s="10">
        <f>SUM(F78+CB78+CU78)</f>
        <v>5718020</v>
      </c>
      <c r="F78" s="11">
        <f>SUM(G78+BC78)</f>
        <v>5718020</v>
      </c>
      <c r="G78" s="11">
        <f>SUM(H78+I78+J78+Q78+T78+U78+V78+AF78+AE78)</f>
        <v>5718020</v>
      </c>
      <c r="H78" s="16">
        <f>4281945+228370</f>
        <v>4510315</v>
      </c>
      <c r="I78" s="16">
        <f>107049+57093</f>
        <v>164142</v>
      </c>
      <c r="J78" s="11">
        <f t="shared" si="4"/>
        <v>343263</v>
      </c>
      <c r="K78" s="16"/>
      <c r="L78" s="16">
        <v>119300</v>
      </c>
      <c r="M78" s="16"/>
      <c r="N78" s="16"/>
      <c r="O78" s="16">
        <v>192630</v>
      </c>
      <c r="P78" s="16">
        <v>31333</v>
      </c>
      <c r="Q78" s="11">
        <f t="shared" si="5"/>
        <v>10077</v>
      </c>
      <c r="R78" s="16">
        <v>10077</v>
      </c>
      <c r="S78" s="16"/>
      <c r="T78" s="11">
        <v>0</v>
      </c>
      <c r="U78" s="11">
        <v>235008</v>
      </c>
      <c r="V78" s="11">
        <f t="shared" ref="V78:V79" si="71">SUM(W78:AD78)</f>
        <v>104705</v>
      </c>
      <c r="W78" s="16"/>
      <c r="X78" s="16">
        <v>59697</v>
      </c>
      <c r="Y78" s="16">
        <v>36385</v>
      </c>
      <c r="Z78" s="16">
        <v>3985</v>
      </c>
      <c r="AA78" s="16">
        <v>3231</v>
      </c>
      <c r="AB78" s="16"/>
      <c r="AC78" s="16"/>
      <c r="AD78" s="16">
        <v>1407</v>
      </c>
      <c r="AE78" s="11"/>
      <c r="AF78" s="11">
        <f>SUM(AG78:BB78)</f>
        <v>350510</v>
      </c>
      <c r="AG78" s="11">
        <v>0</v>
      </c>
      <c r="AH78" s="11">
        <v>0</v>
      </c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1"/>
      <c r="AX78" s="11">
        <v>0</v>
      </c>
      <c r="AY78" s="16">
        <v>350510</v>
      </c>
      <c r="AZ78" s="16"/>
      <c r="BA78" s="16"/>
      <c r="BB78" s="16"/>
      <c r="BC78" s="11">
        <f>SUM(BD78+BH78+BL78+BN78+BP78)</f>
        <v>0</v>
      </c>
      <c r="BD78" s="11">
        <f>SUM(BE78:BG78)</f>
        <v>0</v>
      </c>
      <c r="BE78" s="11">
        <v>0</v>
      </c>
      <c r="BF78" s="11">
        <v>0</v>
      </c>
      <c r="BG78" s="11">
        <v>0</v>
      </c>
      <c r="BH78" s="11">
        <f t="shared" si="6"/>
        <v>0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f t="shared" si="7"/>
        <v>0</v>
      </c>
      <c r="BO78" s="11">
        <v>0</v>
      </c>
      <c r="BP78" s="11">
        <f t="shared" si="8"/>
        <v>0</v>
      </c>
      <c r="BQ78" s="11">
        <v>0</v>
      </c>
      <c r="BR78" s="11">
        <v>0</v>
      </c>
      <c r="BS78" s="11">
        <v>0</v>
      </c>
      <c r="BT78" s="11">
        <v>0</v>
      </c>
      <c r="BU78" s="11">
        <v>0</v>
      </c>
      <c r="BV78" s="11">
        <v>0</v>
      </c>
      <c r="BW78" s="11">
        <v>0</v>
      </c>
      <c r="BX78" s="11">
        <v>0</v>
      </c>
      <c r="BY78" s="11">
        <v>0</v>
      </c>
      <c r="BZ78" s="11">
        <v>0</v>
      </c>
      <c r="CA78" s="11">
        <v>0</v>
      </c>
      <c r="CB78" s="11">
        <f>SUM(CC78+CT78)</f>
        <v>0</v>
      </c>
      <c r="CC78" s="11">
        <f>SUM(CD78+CG78+CL78)</f>
        <v>0</v>
      </c>
      <c r="CD78" s="11">
        <f t="shared" si="9"/>
        <v>0</v>
      </c>
      <c r="CE78" s="11">
        <v>0</v>
      </c>
      <c r="CF78" s="11"/>
      <c r="CG78" s="11">
        <f>SUM(CH78:CK78)</f>
        <v>0</v>
      </c>
      <c r="CH78" s="11">
        <v>0</v>
      </c>
      <c r="CI78" s="11">
        <v>0</v>
      </c>
      <c r="CJ78" s="11">
        <v>0</v>
      </c>
      <c r="CK78" s="11">
        <v>0</v>
      </c>
      <c r="CL78" s="11">
        <f>SUM(CM78:CQ78)</f>
        <v>0</v>
      </c>
      <c r="CM78" s="11">
        <v>0</v>
      </c>
      <c r="CN78" s="11">
        <v>0</v>
      </c>
      <c r="CO78" s="11">
        <v>0</v>
      </c>
      <c r="CP78" s="11"/>
      <c r="CQ78" s="11">
        <v>0</v>
      </c>
      <c r="CR78" s="11">
        <v>0</v>
      </c>
      <c r="CS78" s="11">
        <v>0</v>
      </c>
      <c r="CT78" s="11">
        <v>0</v>
      </c>
      <c r="CU78" s="11">
        <f t="shared" si="10"/>
        <v>0</v>
      </c>
      <c r="CV78" s="11">
        <f t="shared" si="11"/>
        <v>0</v>
      </c>
      <c r="CW78" s="11">
        <v>0</v>
      </c>
      <c r="CX78" s="12">
        <v>0</v>
      </c>
    </row>
    <row r="79" spans="1:102" ht="15.75" x14ac:dyDescent="0.25">
      <c r="A79" s="13"/>
      <c r="B79" s="14" t="s">
        <v>1</v>
      </c>
      <c r="C79" s="14" t="s">
        <v>190</v>
      </c>
      <c r="D79" s="15" t="s">
        <v>191</v>
      </c>
      <c r="E79" s="10">
        <f>SUM(F79+CB79+CU79)</f>
        <v>92461946</v>
      </c>
      <c r="F79" s="11">
        <f>SUM(G79+BC79)</f>
        <v>91985454</v>
      </c>
      <c r="G79" s="11">
        <f>SUM(H79+I79+J79+Q79+T79+U79+V79+AF79+AE79)</f>
        <v>91970454</v>
      </c>
      <c r="H79" s="16">
        <f>52102135+4834444</f>
        <v>56936579</v>
      </c>
      <c r="I79" s="16">
        <f>1708075+868369</f>
        <v>2576444</v>
      </c>
      <c r="J79" s="11">
        <f t="shared" si="4"/>
        <v>19556620</v>
      </c>
      <c r="K79" s="16">
        <v>401973</v>
      </c>
      <c r="L79" s="16">
        <v>4000006</v>
      </c>
      <c r="M79" s="16">
        <v>12419816</v>
      </c>
      <c r="N79" s="16"/>
      <c r="O79" s="16">
        <v>1902462</v>
      </c>
      <c r="P79" s="16">
        <v>832363</v>
      </c>
      <c r="Q79" s="11">
        <f t="shared" si="5"/>
        <v>16615</v>
      </c>
      <c r="R79" s="16">
        <v>12949</v>
      </c>
      <c r="S79" s="16">
        <v>3666</v>
      </c>
      <c r="T79" s="11">
        <v>0</v>
      </c>
      <c r="U79" s="11">
        <v>476161</v>
      </c>
      <c r="V79" s="11">
        <f t="shared" si="71"/>
        <v>7423628</v>
      </c>
      <c r="W79" s="16">
        <v>172697</v>
      </c>
      <c r="X79" s="16">
        <v>7022</v>
      </c>
      <c r="Y79" s="16">
        <v>3739478</v>
      </c>
      <c r="Z79" s="16">
        <v>2920417</v>
      </c>
      <c r="AA79" s="16">
        <v>148766</v>
      </c>
      <c r="AB79" s="16"/>
      <c r="AC79" s="16"/>
      <c r="AD79" s="16">
        <v>435248</v>
      </c>
      <c r="AE79" s="11"/>
      <c r="AF79" s="11">
        <f>SUM(AG79:BB79)</f>
        <v>4984407</v>
      </c>
      <c r="AG79" s="11">
        <v>0</v>
      </c>
      <c r="AH79" s="11">
        <v>0</v>
      </c>
      <c r="AI79" s="16">
        <v>41071</v>
      </c>
      <c r="AJ79" s="16">
        <v>138716</v>
      </c>
      <c r="AK79" s="16"/>
      <c r="AL79" s="16"/>
      <c r="AM79" s="16">
        <v>34250</v>
      </c>
      <c r="AN79" s="16">
        <v>3697</v>
      </c>
      <c r="AO79" s="16">
        <v>88065</v>
      </c>
      <c r="AP79" s="16">
        <v>13386</v>
      </c>
      <c r="AQ79" s="16"/>
      <c r="AR79" s="16"/>
      <c r="AS79" s="16">
        <v>47500</v>
      </c>
      <c r="AT79" s="16"/>
      <c r="AU79" s="16"/>
      <c r="AV79" s="16"/>
      <c r="AW79" s="11"/>
      <c r="AX79" s="11">
        <v>0</v>
      </c>
      <c r="AY79" s="16">
        <v>4000319</v>
      </c>
      <c r="AZ79" s="16"/>
      <c r="BA79" s="16">
        <v>491025</v>
      </c>
      <c r="BB79" s="16">
        <v>126378</v>
      </c>
      <c r="BC79" s="11">
        <f>SUM(BD79+BH79+BL79+BN79+BP79)</f>
        <v>15000</v>
      </c>
      <c r="BD79" s="11">
        <f>SUM(BE79:BG79)</f>
        <v>0</v>
      </c>
      <c r="BE79" s="11">
        <v>0</v>
      </c>
      <c r="BF79" s="11">
        <v>0</v>
      </c>
      <c r="BG79" s="11">
        <v>0</v>
      </c>
      <c r="BH79" s="11">
        <f t="shared" si="6"/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f t="shared" si="7"/>
        <v>15000</v>
      </c>
      <c r="BO79" s="11">
        <v>15000</v>
      </c>
      <c r="BP79" s="11">
        <f t="shared" si="8"/>
        <v>0</v>
      </c>
      <c r="BQ79" s="11">
        <v>0</v>
      </c>
      <c r="BR79" s="11">
        <v>0</v>
      </c>
      <c r="BS79" s="11">
        <v>0</v>
      </c>
      <c r="BT79" s="11">
        <v>0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f>SUM(CC79+CT79)</f>
        <v>476492</v>
      </c>
      <c r="CC79" s="11">
        <f>SUM(CD79+CG79+CL79)</f>
        <v>476492</v>
      </c>
      <c r="CD79" s="11">
        <f t="shared" si="9"/>
        <v>476492</v>
      </c>
      <c r="CE79" s="11">
        <v>0</v>
      </c>
      <c r="CF79" s="11">
        <v>476492</v>
      </c>
      <c r="CG79" s="11">
        <f>SUM(CH79:CK79)</f>
        <v>0</v>
      </c>
      <c r="CH79" s="11">
        <v>0</v>
      </c>
      <c r="CI79" s="11">
        <v>0</v>
      </c>
      <c r="CJ79" s="11">
        <v>0</v>
      </c>
      <c r="CK79" s="11">
        <v>0</v>
      </c>
      <c r="CL79" s="11">
        <f>SUM(CM79:CQ79)</f>
        <v>0</v>
      </c>
      <c r="CM79" s="11">
        <v>0</v>
      </c>
      <c r="CN79" s="11">
        <v>0</v>
      </c>
      <c r="CO79" s="11">
        <v>0</v>
      </c>
      <c r="CP79" s="11"/>
      <c r="CQ79" s="11">
        <v>0</v>
      </c>
      <c r="CR79" s="11">
        <v>0</v>
      </c>
      <c r="CS79" s="11">
        <v>0</v>
      </c>
      <c r="CT79" s="11">
        <v>0</v>
      </c>
      <c r="CU79" s="11">
        <f t="shared" si="10"/>
        <v>0</v>
      </c>
      <c r="CV79" s="11">
        <f t="shared" si="11"/>
        <v>0</v>
      </c>
      <c r="CW79" s="11">
        <v>0</v>
      </c>
      <c r="CX79" s="12">
        <v>0</v>
      </c>
    </row>
    <row r="80" spans="1:102" ht="15.75" x14ac:dyDescent="0.25">
      <c r="A80" s="7"/>
      <c r="B80" s="8" t="s">
        <v>192</v>
      </c>
      <c r="C80" s="8" t="s">
        <v>1</v>
      </c>
      <c r="D80" s="9" t="s">
        <v>193</v>
      </c>
      <c r="E80" s="10">
        <f t="shared" ref="E80:AL80" si="72">SUM(E81)</f>
        <v>104709918</v>
      </c>
      <c r="F80" s="11">
        <f t="shared" si="72"/>
        <v>104062732</v>
      </c>
      <c r="G80" s="11">
        <f t="shared" si="72"/>
        <v>103929332</v>
      </c>
      <c r="H80" s="11">
        <f t="shared" si="72"/>
        <v>77575709</v>
      </c>
      <c r="I80" s="11">
        <f t="shared" si="72"/>
        <v>1988289</v>
      </c>
      <c r="J80" s="11">
        <f t="shared" si="72"/>
        <v>8300546</v>
      </c>
      <c r="K80" s="11">
        <f t="shared" si="72"/>
        <v>184304</v>
      </c>
      <c r="L80" s="11">
        <f t="shared" si="72"/>
        <v>2989525</v>
      </c>
      <c r="M80" s="11">
        <f t="shared" si="72"/>
        <v>663579</v>
      </c>
      <c r="N80" s="11">
        <f t="shared" si="72"/>
        <v>643399</v>
      </c>
      <c r="O80" s="11">
        <f t="shared" si="72"/>
        <v>3400000</v>
      </c>
      <c r="P80" s="11">
        <f t="shared" si="72"/>
        <v>419739</v>
      </c>
      <c r="Q80" s="11">
        <f t="shared" si="72"/>
        <v>4796272</v>
      </c>
      <c r="R80" s="11">
        <f t="shared" si="72"/>
        <v>196272</v>
      </c>
      <c r="S80" s="11">
        <f t="shared" si="72"/>
        <v>4600000</v>
      </c>
      <c r="T80" s="11">
        <f t="shared" si="72"/>
        <v>0</v>
      </c>
      <c r="U80" s="11">
        <f t="shared" si="72"/>
        <v>982522</v>
      </c>
      <c r="V80" s="11">
        <f t="shared" si="72"/>
        <v>1773286</v>
      </c>
      <c r="W80" s="11">
        <f t="shared" si="72"/>
        <v>86904</v>
      </c>
      <c r="X80" s="11">
        <f t="shared" si="72"/>
        <v>550147</v>
      </c>
      <c r="Y80" s="11">
        <f t="shared" si="72"/>
        <v>978797</v>
      </c>
      <c r="Z80" s="11">
        <f t="shared" si="72"/>
        <v>101998</v>
      </c>
      <c r="AA80" s="11">
        <f t="shared" si="72"/>
        <v>30557</v>
      </c>
      <c r="AB80" s="11">
        <f t="shared" si="72"/>
        <v>0</v>
      </c>
      <c r="AC80" s="11">
        <f t="shared" si="72"/>
        <v>0</v>
      </c>
      <c r="AD80" s="11">
        <f t="shared" si="72"/>
        <v>24883</v>
      </c>
      <c r="AE80" s="11">
        <f t="shared" si="72"/>
        <v>0</v>
      </c>
      <c r="AF80" s="11">
        <f t="shared" si="72"/>
        <v>8512708</v>
      </c>
      <c r="AG80" s="11">
        <f t="shared" si="72"/>
        <v>0</v>
      </c>
      <c r="AH80" s="11">
        <f t="shared" si="72"/>
        <v>0</v>
      </c>
      <c r="AI80" s="11">
        <f t="shared" si="72"/>
        <v>117968</v>
      </c>
      <c r="AJ80" s="11">
        <f t="shared" si="72"/>
        <v>315863</v>
      </c>
      <c r="AK80" s="11">
        <f t="shared" si="72"/>
        <v>0</v>
      </c>
      <c r="AL80" s="11">
        <f t="shared" si="72"/>
        <v>24252</v>
      </c>
      <c r="AM80" s="11">
        <f t="shared" ref="AM80:CX80" si="73">SUM(AM81)</f>
        <v>75220</v>
      </c>
      <c r="AN80" s="11">
        <f t="shared" si="73"/>
        <v>11896</v>
      </c>
      <c r="AO80" s="11">
        <f t="shared" si="73"/>
        <v>90951</v>
      </c>
      <c r="AP80" s="11">
        <f t="shared" si="73"/>
        <v>18042</v>
      </c>
      <c r="AQ80" s="11">
        <f t="shared" si="73"/>
        <v>3802</v>
      </c>
      <c r="AR80" s="11">
        <f t="shared" si="73"/>
        <v>0</v>
      </c>
      <c r="AS80" s="11">
        <f t="shared" si="73"/>
        <v>999999</v>
      </c>
      <c r="AT80" s="11">
        <f t="shared" si="73"/>
        <v>0</v>
      </c>
      <c r="AU80" s="11">
        <f t="shared" si="73"/>
        <v>0</v>
      </c>
      <c r="AV80" s="11"/>
      <c r="AW80" s="11"/>
      <c r="AX80" s="11">
        <f t="shared" si="73"/>
        <v>0</v>
      </c>
      <c r="AY80" s="11">
        <f t="shared" si="73"/>
        <v>6300000</v>
      </c>
      <c r="AZ80" s="11">
        <f t="shared" si="73"/>
        <v>0</v>
      </c>
      <c r="BA80" s="11">
        <f t="shared" si="73"/>
        <v>0</v>
      </c>
      <c r="BB80" s="11">
        <f t="shared" si="73"/>
        <v>554715</v>
      </c>
      <c r="BC80" s="11">
        <f t="shared" si="73"/>
        <v>133400</v>
      </c>
      <c r="BD80" s="11">
        <f t="shared" si="73"/>
        <v>0</v>
      </c>
      <c r="BE80" s="11">
        <f t="shared" si="73"/>
        <v>0</v>
      </c>
      <c r="BF80" s="11">
        <f t="shared" si="73"/>
        <v>0</v>
      </c>
      <c r="BG80" s="11">
        <f t="shared" si="73"/>
        <v>0</v>
      </c>
      <c r="BH80" s="11">
        <f t="shared" si="73"/>
        <v>0</v>
      </c>
      <c r="BI80" s="11">
        <f t="shared" si="73"/>
        <v>0</v>
      </c>
      <c r="BJ80" s="11">
        <f t="shared" si="73"/>
        <v>0</v>
      </c>
      <c r="BK80" s="11">
        <f t="shared" si="73"/>
        <v>0</v>
      </c>
      <c r="BL80" s="11">
        <f t="shared" si="73"/>
        <v>0</v>
      </c>
      <c r="BM80" s="11">
        <f t="shared" si="73"/>
        <v>0</v>
      </c>
      <c r="BN80" s="11">
        <f t="shared" si="73"/>
        <v>133400</v>
      </c>
      <c r="BO80" s="11">
        <f t="shared" si="73"/>
        <v>133400</v>
      </c>
      <c r="BP80" s="11">
        <f t="shared" si="73"/>
        <v>0</v>
      </c>
      <c r="BQ80" s="11">
        <f t="shared" si="73"/>
        <v>0</v>
      </c>
      <c r="BR80" s="11">
        <f t="shared" si="73"/>
        <v>0</v>
      </c>
      <c r="BS80" s="11">
        <f t="shared" si="73"/>
        <v>0</v>
      </c>
      <c r="BT80" s="11">
        <f t="shared" si="73"/>
        <v>0</v>
      </c>
      <c r="BU80" s="11">
        <f t="shared" si="73"/>
        <v>0</v>
      </c>
      <c r="BV80" s="11">
        <f t="shared" si="73"/>
        <v>0</v>
      </c>
      <c r="BW80" s="11">
        <f t="shared" si="73"/>
        <v>0</v>
      </c>
      <c r="BX80" s="11">
        <f t="shared" si="73"/>
        <v>0</v>
      </c>
      <c r="BY80" s="11">
        <f t="shared" si="73"/>
        <v>0</v>
      </c>
      <c r="BZ80" s="11">
        <f t="shared" si="73"/>
        <v>0</v>
      </c>
      <c r="CA80" s="11">
        <f t="shared" si="73"/>
        <v>0</v>
      </c>
      <c r="CB80" s="11">
        <f t="shared" si="73"/>
        <v>647186</v>
      </c>
      <c r="CC80" s="11">
        <f t="shared" si="73"/>
        <v>647186</v>
      </c>
      <c r="CD80" s="11">
        <f t="shared" si="73"/>
        <v>513845</v>
      </c>
      <c r="CE80" s="11">
        <f t="shared" si="73"/>
        <v>0</v>
      </c>
      <c r="CF80" s="11">
        <f t="shared" si="73"/>
        <v>513845</v>
      </c>
      <c r="CG80" s="11">
        <f t="shared" si="73"/>
        <v>0</v>
      </c>
      <c r="CH80" s="11">
        <f t="shared" si="73"/>
        <v>0</v>
      </c>
      <c r="CI80" s="11">
        <f t="shared" si="73"/>
        <v>0</v>
      </c>
      <c r="CJ80" s="11">
        <f t="shared" si="73"/>
        <v>0</v>
      </c>
      <c r="CK80" s="11">
        <f t="shared" si="73"/>
        <v>0</v>
      </c>
      <c r="CL80" s="11">
        <f t="shared" si="73"/>
        <v>133341</v>
      </c>
      <c r="CM80" s="11">
        <f t="shared" si="73"/>
        <v>0</v>
      </c>
      <c r="CN80" s="11">
        <f t="shared" si="73"/>
        <v>0</v>
      </c>
      <c r="CO80" s="11">
        <f t="shared" si="73"/>
        <v>133341</v>
      </c>
      <c r="CP80" s="11"/>
      <c r="CQ80" s="11">
        <f t="shared" si="73"/>
        <v>0</v>
      </c>
      <c r="CR80" s="11">
        <f t="shared" si="73"/>
        <v>0</v>
      </c>
      <c r="CS80" s="11">
        <f t="shared" si="73"/>
        <v>0</v>
      </c>
      <c r="CT80" s="11">
        <f t="shared" si="73"/>
        <v>0</v>
      </c>
      <c r="CU80" s="11">
        <f t="shared" si="73"/>
        <v>0</v>
      </c>
      <c r="CV80" s="11">
        <f t="shared" si="73"/>
        <v>0</v>
      </c>
      <c r="CW80" s="11">
        <f t="shared" si="73"/>
        <v>0</v>
      </c>
      <c r="CX80" s="12">
        <f t="shared" si="73"/>
        <v>0</v>
      </c>
    </row>
    <row r="81" spans="1:102" ht="31.5" x14ac:dyDescent="0.25">
      <c r="A81" s="13"/>
      <c r="B81" s="14" t="s">
        <v>1</v>
      </c>
      <c r="C81" s="14" t="s">
        <v>194</v>
      </c>
      <c r="D81" s="15" t="s">
        <v>195</v>
      </c>
      <c r="E81" s="10">
        <f>SUM(F81+CB81+CU81)</f>
        <v>104709918</v>
      </c>
      <c r="F81" s="11">
        <f>SUM(G81+BC81)</f>
        <v>104062732</v>
      </c>
      <c r="G81" s="11">
        <f>SUM(H81+I81+J81+Q81+T81+U81+V81+AF81+AE81)</f>
        <v>103929332</v>
      </c>
      <c r="H81" s="16">
        <f>73647825+3927884</f>
        <v>77575709</v>
      </c>
      <c r="I81" s="16">
        <f>1006318+981971</f>
        <v>1988289</v>
      </c>
      <c r="J81" s="11">
        <f t="shared" si="4"/>
        <v>8300546</v>
      </c>
      <c r="K81" s="16">
        <v>184304</v>
      </c>
      <c r="L81" s="16">
        <v>2989525</v>
      </c>
      <c r="M81" s="16">
        <v>663579</v>
      </c>
      <c r="N81" s="16">
        <v>643399</v>
      </c>
      <c r="O81" s="16">
        <v>3400000</v>
      </c>
      <c r="P81" s="16">
        <v>419739</v>
      </c>
      <c r="Q81" s="11">
        <f t="shared" si="5"/>
        <v>4796272</v>
      </c>
      <c r="R81" s="16">
        <v>196272</v>
      </c>
      <c r="S81" s="16">
        <v>4600000</v>
      </c>
      <c r="T81" s="11">
        <v>0</v>
      </c>
      <c r="U81" s="16">
        <v>982522</v>
      </c>
      <c r="V81" s="11">
        <f>SUM(W81:AD81)</f>
        <v>1773286</v>
      </c>
      <c r="W81" s="16">
        <v>86904</v>
      </c>
      <c r="X81" s="16">
        <v>550147</v>
      </c>
      <c r="Y81" s="16">
        <v>978797</v>
      </c>
      <c r="Z81" s="16">
        <v>101998</v>
      </c>
      <c r="AA81" s="16">
        <v>30557</v>
      </c>
      <c r="AB81" s="16"/>
      <c r="AC81" s="16"/>
      <c r="AD81" s="16">
        <v>24883</v>
      </c>
      <c r="AE81" s="11"/>
      <c r="AF81" s="11">
        <f>SUM(AG81:BB81)</f>
        <v>8512708</v>
      </c>
      <c r="AG81" s="11">
        <v>0</v>
      </c>
      <c r="AH81" s="11"/>
      <c r="AI81" s="16">
        <v>117968</v>
      </c>
      <c r="AJ81" s="16">
        <v>315863</v>
      </c>
      <c r="AK81" s="16"/>
      <c r="AL81" s="16">
        <v>24252</v>
      </c>
      <c r="AM81" s="16">
        <v>75220</v>
      </c>
      <c r="AN81" s="16">
        <v>11896</v>
      </c>
      <c r="AO81" s="16">
        <v>90951</v>
      </c>
      <c r="AP81" s="16">
        <v>18042</v>
      </c>
      <c r="AQ81" s="16">
        <v>3802</v>
      </c>
      <c r="AR81" s="16"/>
      <c r="AS81" s="16">
        <v>999999</v>
      </c>
      <c r="AT81" s="16"/>
      <c r="AU81" s="16"/>
      <c r="AV81" s="11"/>
      <c r="AW81" s="11"/>
      <c r="AX81" s="11">
        <v>0</v>
      </c>
      <c r="AY81" s="11">
        <v>6300000</v>
      </c>
      <c r="AZ81" s="11"/>
      <c r="BA81" s="11">
        <v>0</v>
      </c>
      <c r="BB81" s="16">
        <v>554715</v>
      </c>
      <c r="BC81" s="11">
        <f>SUM(BD81+BH81+BL81+BN81+BP81)</f>
        <v>133400</v>
      </c>
      <c r="BD81" s="11">
        <f>SUM(BE81:BG81)</f>
        <v>0</v>
      </c>
      <c r="BE81" s="11">
        <v>0</v>
      </c>
      <c r="BF81" s="11">
        <v>0</v>
      </c>
      <c r="BG81" s="11">
        <v>0</v>
      </c>
      <c r="BH81" s="11">
        <f t="shared" si="6"/>
        <v>0</v>
      </c>
      <c r="BI81" s="11">
        <v>0</v>
      </c>
      <c r="BJ81" s="11">
        <v>0</v>
      </c>
      <c r="BK81" s="11">
        <v>0</v>
      </c>
      <c r="BL81" s="11">
        <v>0</v>
      </c>
      <c r="BM81" s="11">
        <v>0</v>
      </c>
      <c r="BN81" s="11">
        <f t="shared" si="7"/>
        <v>133400</v>
      </c>
      <c r="BO81" s="11">
        <v>133400</v>
      </c>
      <c r="BP81" s="11">
        <f t="shared" si="8"/>
        <v>0</v>
      </c>
      <c r="BQ81" s="11">
        <v>0</v>
      </c>
      <c r="BR81" s="11">
        <v>0</v>
      </c>
      <c r="BS81" s="11">
        <v>0</v>
      </c>
      <c r="BT81" s="11">
        <v>0</v>
      </c>
      <c r="BU81" s="11">
        <v>0</v>
      </c>
      <c r="BV81" s="11">
        <v>0</v>
      </c>
      <c r="BW81" s="11">
        <v>0</v>
      </c>
      <c r="BX81" s="11">
        <v>0</v>
      </c>
      <c r="BY81" s="11">
        <v>0</v>
      </c>
      <c r="BZ81" s="11">
        <v>0</v>
      </c>
      <c r="CA81" s="11"/>
      <c r="CB81" s="11">
        <f>SUM(CC81+CT81)</f>
        <v>647186</v>
      </c>
      <c r="CC81" s="11">
        <f>SUM(CD81+CG81+CL81)</f>
        <v>647186</v>
      </c>
      <c r="CD81" s="11">
        <f t="shared" si="9"/>
        <v>513845</v>
      </c>
      <c r="CE81" s="11">
        <v>0</v>
      </c>
      <c r="CF81" s="16">
        <v>513845</v>
      </c>
      <c r="CG81" s="11">
        <f>SUM(CH81:CK81)</f>
        <v>0</v>
      </c>
      <c r="CH81" s="11">
        <v>0</v>
      </c>
      <c r="CI81" s="11">
        <v>0</v>
      </c>
      <c r="CJ81" s="11">
        <v>0</v>
      </c>
      <c r="CK81" s="11">
        <v>0</v>
      </c>
      <c r="CL81" s="11">
        <f>SUM(CM81:CQ81)</f>
        <v>133341</v>
      </c>
      <c r="CM81" s="11">
        <v>0</v>
      </c>
      <c r="CN81" s="11"/>
      <c r="CO81" s="11">
        <v>133341</v>
      </c>
      <c r="CP81" s="11"/>
      <c r="CQ81" s="11">
        <v>0</v>
      </c>
      <c r="CR81" s="11">
        <v>0</v>
      </c>
      <c r="CS81" s="11">
        <v>0</v>
      </c>
      <c r="CT81" s="11">
        <v>0</v>
      </c>
      <c r="CU81" s="11">
        <f t="shared" si="10"/>
        <v>0</v>
      </c>
      <c r="CV81" s="11">
        <f t="shared" si="11"/>
        <v>0</v>
      </c>
      <c r="CW81" s="11">
        <v>0</v>
      </c>
      <c r="CX81" s="12">
        <v>0</v>
      </c>
    </row>
    <row r="82" spans="1:102" ht="15.75" x14ac:dyDescent="0.25">
      <c r="A82" s="7"/>
      <c r="B82" s="8" t="s">
        <v>196</v>
      </c>
      <c r="C82" s="8" t="s">
        <v>1</v>
      </c>
      <c r="D82" s="9" t="s">
        <v>197</v>
      </c>
      <c r="E82" s="10">
        <f t="shared" ref="E82:AL82" si="74">SUM(E83)</f>
        <v>20507960</v>
      </c>
      <c r="F82" s="11">
        <f t="shared" si="74"/>
        <v>19649713</v>
      </c>
      <c r="G82" s="11">
        <f t="shared" si="74"/>
        <v>19642428</v>
      </c>
      <c r="H82" s="11">
        <f t="shared" si="74"/>
        <v>16113565</v>
      </c>
      <c r="I82" s="11">
        <f t="shared" si="74"/>
        <v>790674</v>
      </c>
      <c r="J82" s="11">
        <f t="shared" si="74"/>
        <v>1467880</v>
      </c>
      <c r="K82" s="11">
        <f t="shared" si="74"/>
        <v>0</v>
      </c>
      <c r="L82" s="11">
        <f t="shared" si="74"/>
        <v>636354</v>
      </c>
      <c r="M82" s="11">
        <f t="shared" si="74"/>
        <v>0</v>
      </c>
      <c r="N82" s="11">
        <f t="shared" si="74"/>
        <v>0</v>
      </c>
      <c r="O82" s="11">
        <f t="shared" si="74"/>
        <v>438270</v>
      </c>
      <c r="P82" s="11">
        <f t="shared" si="74"/>
        <v>393256</v>
      </c>
      <c r="Q82" s="11">
        <f t="shared" si="74"/>
        <v>20698</v>
      </c>
      <c r="R82" s="11">
        <f t="shared" si="74"/>
        <v>0</v>
      </c>
      <c r="S82" s="11">
        <f t="shared" si="74"/>
        <v>20698</v>
      </c>
      <c r="T82" s="11">
        <f t="shared" si="74"/>
        <v>0</v>
      </c>
      <c r="U82" s="11">
        <f t="shared" si="74"/>
        <v>258851</v>
      </c>
      <c r="V82" s="11">
        <f t="shared" si="74"/>
        <v>484302</v>
      </c>
      <c r="W82" s="11">
        <f t="shared" si="74"/>
        <v>50452</v>
      </c>
      <c r="X82" s="11">
        <f t="shared" si="74"/>
        <v>274806</v>
      </c>
      <c r="Y82" s="11">
        <f t="shared" si="74"/>
        <v>116890</v>
      </c>
      <c r="Z82" s="11">
        <f t="shared" si="74"/>
        <v>21435</v>
      </c>
      <c r="AA82" s="11">
        <f t="shared" si="74"/>
        <v>20719</v>
      </c>
      <c r="AB82" s="11">
        <f t="shared" si="74"/>
        <v>0</v>
      </c>
      <c r="AC82" s="11">
        <f t="shared" si="74"/>
        <v>0</v>
      </c>
      <c r="AD82" s="11">
        <f t="shared" si="74"/>
        <v>0</v>
      </c>
      <c r="AE82" s="11">
        <f t="shared" si="74"/>
        <v>0</v>
      </c>
      <c r="AF82" s="11">
        <f t="shared" si="74"/>
        <v>506458</v>
      </c>
      <c r="AG82" s="11">
        <f t="shared" si="74"/>
        <v>0</v>
      </c>
      <c r="AH82" s="11">
        <f t="shared" si="74"/>
        <v>0</v>
      </c>
      <c r="AI82" s="11">
        <f t="shared" si="74"/>
        <v>2691</v>
      </c>
      <c r="AJ82" s="11">
        <f t="shared" si="74"/>
        <v>4308</v>
      </c>
      <c r="AK82" s="11">
        <f t="shared" si="74"/>
        <v>0</v>
      </c>
      <c r="AL82" s="11">
        <f t="shared" si="74"/>
        <v>0</v>
      </c>
      <c r="AM82" s="11">
        <f t="shared" ref="AM82:CX82" si="75">SUM(AM83)</f>
        <v>0</v>
      </c>
      <c r="AN82" s="11">
        <f t="shared" si="75"/>
        <v>185</v>
      </c>
      <c r="AO82" s="11">
        <f t="shared" si="75"/>
        <v>0</v>
      </c>
      <c r="AP82" s="11">
        <f t="shared" si="75"/>
        <v>14550</v>
      </c>
      <c r="AQ82" s="11">
        <f t="shared" si="75"/>
        <v>524</v>
      </c>
      <c r="AR82" s="11">
        <f t="shared" si="75"/>
        <v>0</v>
      </c>
      <c r="AS82" s="11">
        <f t="shared" si="75"/>
        <v>0</v>
      </c>
      <c r="AT82" s="11">
        <f t="shared" si="75"/>
        <v>364388</v>
      </c>
      <c r="AU82" s="11">
        <f t="shared" si="75"/>
        <v>18000</v>
      </c>
      <c r="AV82" s="11"/>
      <c r="AW82" s="11"/>
      <c r="AX82" s="11">
        <f t="shared" si="75"/>
        <v>0</v>
      </c>
      <c r="AY82" s="11">
        <f t="shared" si="75"/>
        <v>38982</v>
      </c>
      <c r="AZ82" s="11">
        <f t="shared" si="75"/>
        <v>1034</v>
      </c>
      <c r="BA82" s="11">
        <f t="shared" si="75"/>
        <v>40260</v>
      </c>
      <c r="BB82" s="11">
        <f t="shared" si="75"/>
        <v>21536</v>
      </c>
      <c r="BC82" s="11">
        <f t="shared" si="75"/>
        <v>7285</v>
      </c>
      <c r="BD82" s="11">
        <f t="shared" si="75"/>
        <v>0</v>
      </c>
      <c r="BE82" s="11">
        <f t="shared" si="75"/>
        <v>0</v>
      </c>
      <c r="BF82" s="11">
        <f t="shared" si="75"/>
        <v>0</v>
      </c>
      <c r="BG82" s="11">
        <f t="shared" si="75"/>
        <v>0</v>
      </c>
      <c r="BH82" s="11">
        <f t="shared" si="75"/>
        <v>0</v>
      </c>
      <c r="BI82" s="11">
        <f t="shared" si="75"/>
        <v>0</v>
      </c>
      <c r="BJ82" s="11">
        <f t="shared" si="75"/>
        <v>0</v>
      </c>
      <c r="BK82" s="11">
        <f t="shared" si="75"/>
        <v>0</v>
      </c>
      <c r="BL82" s="11">
        <f t="shared" si="75"/>
        <v>0</v>
      </c>
      <c r="BM82" s="11">
        <f t="shared" si="75"/>
        <v>0</v>
      </c>
      <c r="BN82" s="11">
        <f t="shared" si="75"/>
        <v>0</v>
      </c>
      <c r="BO82" s="11">
        <f t="shared" si="75"/>
        <v>0</v>
      </c>
      <c r="BP82" s="11">
        <f t="shared" si="75"/>
        <v>7285</v>
      </c>
      <c r="BQ82" s="11">
        <f t="shared" si="75"/>
        <v>0</v>
      </c>
      <c r="BR82" s="11">
        <f t="shared" si="75"/>
        <v>0</v>
      </c>
      <c r="BS82" s="11">
        <f t="shared" si="75"/>
        <v>0</v>
      </c>
      <c r="BT82" s="11">
        <f t="shared" si="75"/>
        <v>0</v>
      </c>
      <c r="BU82" s="11">
        <f t="shared" si="75"/>
        <v>0</v>
      </c>
      <c r="BV82" s="11">
        <f t="shared" si="75"/>
        <v>0</v>
      </c>
      <c r="BW82" s="11">
        <f t="shared" si="75"/>
        <v>0</v>
      </c>
      <c r="BX82" s="11">
        <f t="shared" si="75"/>
        <v>0</v>
      </c>
      <c r="BY82" s="11">
        <f t="shared" si="75"/>
        <v>0</v>
      </c>
      <c r="BZ82" s="11">
        <f t="shared" si="75"/>
        <v>7285</v>
      </c>
      <c r="CA82" s="11">
        <f t="shared" si="75"/>
        <v>0</v>
      </c>
      <c r="CB82" s="11">
        <f t="shared" si="75"/>
        <v>858247</v>
      </c>
      <c r="CC82" s="11">
        <f t="shared" si="75"/>
        <v>858247</v>
      </c>
      <c r="CD82" s="11">
        <f t="shared" si="75"/>
        <v>158672</v>
      </c>
      <c r="CE82" s="11">
        <f t="shared" si="75"/>
        <v>0</v>
      </c>
      <c r="CF82" s="11">
        <f t="shared" si="75"/>
        <v>158672</v>
      </c>
      <c r="CG82" s="11">
        <f t="shared" si="75"/>
        <v>0</v>
      </c>
      <c r="CH82" s="11">
        <f t="shared" si="75"/>
        <v>0</v>
      </c>
      <c r="CI82" s="11">
        <f t="shared" si="75"/>
        <v>0</v>
      </c>
      <c r="CJ82" s="11">
        <f t="shared" si="75"/>
        <v>0</v>
      </c>
      <c r="CK82" s="11">
        <f t="shared" si="75"/>
        <v>0</v>
      </c>
      <c r="CL82" s="11">
        <f t="shared" si="75"/>
        <v>699575</v>
      </c>
      <c r="CM82" s="11">
        <f t="shared" si="75"/>
        <v>0</v>
      </c>
      <c r="CN82" s="11">
        <f t="shared" si="75"/>
        <v>0</v>
      </c>
      <c r="CO82" s="11">
        <f t="shared" si="75"/>
        <v>699575</v>
      </c>
      <c r="CP82" s="11"/>
      <c r="CQ82" s="11">
        <f t="shared" si="75"/>
        <v>0</v>
      </c>
      <c r="CR82" s="11">
        <f t="shared" si="75"/>
        <v>0</v>
      </c>
      <c r="CS82" s="11">
        <f t="shared" si="75"/>
        <v>0</v>
      </c>
      <c r="CT82" s="11">
        <f t="shared" si="75"/>
        <v>0</v>
      </c>
      <c r="CU82" s="11">
        <f t="shared" si="75"/>
        <v>0</v>
      </c>
      <c r="CV82" s="11">
        <f t="shared" si="75"/>
        <v>0</v>
      </c>
      <c r="CW82" s="11">
        <f t="shared" si="75"/>
        <v>0</v>
      </c>
      <c r="CX82" s="12">
        <f t="shared" si="75"/>
        <v>0</v>
      </c>
    </row>
    <row r="83" spans="1:102" ht="15.75" x14ac:dyDescent="0.25">
      <c r="A83" s="13"/>
      <c r="B83" s="14" t="s">
        <v>1</v>
      </c>
      <c r="C83" s="14" t="s">
        <v>198</v>
      </c>
      <c r="D83" s="15" t="s">
        <v>199</v>
      </c>
      <c r="E83" s="10">
        <f>SUM(F83+CB83+CU83)</f>
        <v>20507960</v>
      </c>
      <c r="F83" s="11">
        <f>SUM(G83+BC83)</f>
        <v>19649713</v>
      </c>
      <c r="G83" s="11">
        <f>SUM(H83+I83+J83+Q83+T83+U83+V83+AF83+AE83)</f>
        <v>19642428</v>
      </c>
      <c r="H83" s="16">
        <f>15297688+815877</f>
        <v>16113565</v>
      </c>
      <c r="I83" s="16">
        <f>586705+203969</f>
        <v>790674</v>
      </c>
      <c r="J83" s="11">
        <f t="shared" ref="J83:J152" si="76">SUM(K83:P83)</f>
        <v>1467880</v>
      </c>
      <c r="K83" s="11">
        <v>0</v>
      </c>
      <c r="L83" s="16">
        <v>636354</v>
      </c>
      <c r="M83" s="16"/>
      <c r="N83" s="16"/>
      <c r="O83" s="16">
        <v>438270</v>
      </c>
      <c r="P83" s="16">
        <v>393256</v>
      </c>
      <c r="Q83" s="11">
        <f t="shared" ref="Q83:Q152" si="77">SUM(R83:S83)</f>
        <v>20698</v>
      </c>
      <c r="R83" s="16"/>
      <c r="S83" s="16">
        <v>20698</v>
      </c>
      <c r="T83" s="16"/>
      <c r="U83" s="16">
        <v>258851</v>
      </c>
      <c r="V83" s="11">
        <f>SUM(W83:AD83)</f>
        <v>484302</v>
      </c>
      <c r="W83" s="16">
        <v>50452</v>
      </c>
      <c r="X83" s="16">
        <v>274806</v>
      </c>
      <c r="Y83" s="16">
        <v>116890</v>
      </c>
      <c r="Z83" s="16">
        <v>21435</v>
      </c>
      <c r="AA83" s="16">
        <v>20719</v>
      </c>
      <c r="AB83" s="16"/>
      <c r="AC83" s="16"/>
      <c r="AD83" s="16"/>
      <c r="AE83" s="11">
        <v>0</v>
      </c>
      <c r="AF83" s="11">
        <f>SUM(AG83:BB83)</f>
        <v>506458</v>
      </c>
      <c r="AG83" s="11">
        <v>0</v>
      </c>
      <c r="AH83" s="11"/>
      <c r="AI83" s="16">
        <v>2691</v>
      </c>
      <c r="AJ83" s="16">
        <v>4308</v>
      </c>
      <c r="AK83" s="16"/>
      <c r="AL83" s="16"/>
      <c r="AM83" s="16"/>
      <c r="AN83" s="16">
        <v>185</v>
      </c>
      <c r="AO83" s="16"/>
      <c r="AP83" s="16">
        <v>14550</v>
      </c>
      <c r="AQ83" s="16">
        <v>524</v>
      </c>
      <c r="AR83" s="16"/>
      <c r="AS83" s="16">
        <v>0</v>
      </c>
      <c r="AT83" s="16">
        <v>364388</v>
      </c>
      <c r="AU83" s="16">
        <v>18000</v>
      </c>
      <c r="AV83" s="16"/>
      <c r="AW83" s="16"/>
      <c r="AX83" s="16"/>
      <c r="AY83" s="16">
        <v>38982</v>
      </c>
      <c r="AZ83" s="16">
        <v>1034</v>
      </c>
      <c r="BA83" s="16">
        <v>40260</v>
      </c>
      <c r="BB83" s="16">
        <v>21536</v>
      </c>
      <c r="BC83" s="11">
        <f>SUM(BD83+BH83+BL83+BN83+BP83)</f>
        <v>7285</v>
      </c>
      <c r="BD83" s="11">
        <f>SUM(BE83:BG83)</f>
        <v>0</v>
      </c>
      <c r="BE83" s="11">
        <v>0</v>
      </c>
      <c r="BF83" s="11">
        <v>0</v>
      </c>
      <c r="BG83" s="11">
        <v>0</v>
      </c>
      <c r="BH83" s="11">
        <f t="shared" ref="BH83:BH152" si="78">SUM(BJ83:BK83)</f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f t="shared" ref="BN83:BN152" si="79">SUM(BO83)</f>
        <v>0</v>
      </c>
      <c r="BO83" s="11">
        <v>0</v>
      </c>
      <c r="BP83" s="11">
        <f t="shared" ref="BP83:BP152" si="80">SUM(BQ83:CA83)</f>
        <v>7285</v>
      </c>
      <c r="BQ83" s="11">
        <v>0</v>
      </c>
      <c r="BR83" s="11">
        <v>0</v>
      </c>
      <c r="BS83" s="11">
        <v>0</v>
      </c>
      <c r="BT83" s="11">
        <v>0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7285</v>
      </c>
      <c r="CA83" s="11">
        <v>0</v>
      </c>
      <c r="CB83" s="11">
        <f>SUM(CC83+CT83)</f>
        <v>858247</v>
      </c>
      <c r="CC83" s="11">
        <f>SUM(CD83+CG83+CL83)</f>
        <v>858247</v>
      </c>
      <c r="CD83" s="11">
        <f t="shared" ref="CD83:CD152" si="81">SUM(CE83:CF83)</f>
        <v>158672</v>
      </c>
      <c r="CE83" s="11">
        <v>0</v>
      </c>
      <c r="CF83" s="16">
        <v>158672</v>
      </c>
      <c r="CG83" s="11">
        <f>SUM(CH83:CK83)</f>
        <v>0</v>
      </c>
      <c r="CH83" s="11">
        <v>0</v>
      </c>
      <c r="CI83" s="11">
        <v>0</v>
      </c>
      <c r="CJ83" s="11">
        <v>0</v>
      </c>
      <c r="CK83" s="11">
        <v>0</v>
      </c>
      <c r="CL83" s="11">
        <f>SUM(CM83:CQ83)</f>
        <v>699575</v>
      </c>
      <c r="CM83" s="11">
        <v>0</v>
      </c>
      <c r="CN83" s="16"/>
      <c r="CO83" s="11">
        <v>699575</v>
      </c>
      <c r="CP83" s="11"/>
      <c r="CQ83" s="11">
        <v>0</v>
      </c>
      <c r="CR83" s="11"/>
      <c r="CS83" s="11"/>
      <c r="CT83" s="11">
        <v>0</v>
      </c>
      <c r="CU83" s="11">
        <f t="shared" ref="CU83:CU152" si="82">SUM(CV83)</f>
        <v>0</v>
      </c>
      <c r="CV83" s="11">
        <f t="shared" ref="CV83:CV152" si="83">SUM(CW83:CX83)</f>
        <v>0</v>
      </c>
      <c r="CW83" s="11">
        <v>0</v>
      </c>
      <c r="CX83" s="12">
        <v>0</v>
      </c>
    </row>
    <row r="84" spans="1:102" ht="31.5" x14ac:dyDescent="0.25">
      <c r="A84" s="7"/>
      <c r="B84" s="8" t="s">
        <v>196</v>
      </c>
      <c r="C84" s="8" t="s">
        <v>1</v>
      </c>
      <c r="D84" s="9" t="s">
        <v>200</v>
      </c>
      <c r="E84" s="10">
        <f t="shared" ref="E84:AL84" si="84">SUM(E85)</f>
        <v>28419234</v>
      </c>
      <c r="F84" s="11">
        <f t="shared" si="84"/>
        <v>27156346</v>
      </c>
      <c r="G84" s="11">
        <f t="shared" si="84"/>
        <v>27146587</v>
      </c>
      <c r="H84" s="11">
        <f t="shared" si="84"/>
        <v>22076432</v>
      </c>
      <c r="I84" s="11">
        <f t="shared" si="84"/>
        <v>1419913</v>
      </c>
      <c r="J84" s="11">
        <f t="shared" si="84"/>
        <v>1872274</v>
      </c>
      <c r="K84" s="11">
        <f t="shared" si="84"/>
        <v>0</v>
      </c>
      <c r="L84" s="11">
        <f t="shared" si="84"/>
        <v>608859</v>
      </c>
      <c r="M84" s="11">
        <f t="shared" si="84"/>
        <v>0</v>
      </c>
      <c r="N84" s="11">
        <f t="shared" si="84"/>
        <v>0</v>
      </c>
      <c r="O84" s="11">
        <f t="shared" si="84"/>
        <v>686423</v>
      </c>
      <c r="P84" s="11">
        <f t="shared" si="84"/>
        <v>576992</v>
      </c>
      <c r="Q84" s="11">
        <f t="shared" si="84"/>
        <v>1722</v>
      </c>
      <c r="R84" s="11">
        <f t="shared" si="84"/>
        <v>1722</v>
      </c>
      <c r="S84" s="11">
        <f t="shared" si="84"/>
        <v>0</v>
      </c>
      <c r="T84" s="11">
        <f t="shared" si="84"/>
        <v>0</v>
      </c>
      <c r="U84" s="11">
        <f t="shared" si="84"/>
        <v>200924</v>
      </c>
      <c r="V84" s="11">
        <f t="shared" si="84"/>
        <v>511205</v>
      </c>
      <c r="W84" s="11">
        <f t="shared" si="84"/>
        <v>141328</v>
      </c>
      <c r="X84" s="11">
        <f t="shared" si="84"/>
        <v>44867</v>
      </c>
      <c r="Y84" s="11">
        <f t="shared" si="84"/>
        <v>90962</v>
      </c>
      <c r="Z84" s="11">
        <f t="shared" si="84"/>
        <v>13743</v>
      </c>
      <c r="AA84" s="11">
        <f t="shared" si="84"/>
        <v>22873</v>
      </c>
      <c r="AB84" s="11">
        <f t="shared" si="84"/>
        <v>176530</v>
      </c>
      <c r="AC84" s="11">
        <f t="shared" si="84"/>
        <v>0</v>
      </c>
      <c r="AD84" s="11">
        <f t="shared" si="84"/>
        <v>20902</v>
      </c>
      <c r="AE84" s="11">
        <f t="shared" si="84"/>
        <v>0</v>
      </c>
      <c r="AF84" s="11">
        <f t="shared" si="84"/>
        <v>1064117</v>
      </c>
      <c r="AG84" s="11">
        <f t="shared" si="84"/>
        <v>0</v>
      </c>
      <c r="AH84" s="11">
        <f t="shared" si="84"/>
        <v>0</v>
      </c>
      <c r="AI84" s="11">
        <f t="shared" si="84"/>
        <v>27058</v>
      </c>
      <c r="AJ84" s="11">
        <f t="shared" si="84"/>
        <v>452500</v>
      </c>
      <c r="AK84" s="11">
        <f t="shared" si="84"/>
        <v>0</v>
      </c>
      <c r="AL84" s="11">
        <f t="shared" si="84"/>
        <v>0</v>
      </c>
      <c r="AM84" s="11">
        <f t="shared" ref="AM84:CX84" si="85">SUM(AM85)</f>
        <v>0</v>
      </c>
      <c r="AN84" s="11">
        <f t="shared" si="85"/>
        <v>349</v>
      </c>
      <c r="AO84" s="11">
        <f t="shared" si="85"/>
        <v>42450</v>
      </c>
      <c r="AP84" s="11">
        <f t="shared" si="85"/>
        <v>18042</v>
      </c>
      <c r="AQ84" s="11">
        <f t="shared" si="85"/>
        <v>2140</v>
      </c>
      <c r="AR84" s="11">
        <f t="shared" si="85"/>
        <v>0</v>
      </c>
      <c r="AS84" s="11">
        <f t="shared" si="85"/>
        <v>0</v>
      </c>
      <c r="AT84" s="11">
        <f t="shared" si="85"/>
        <v>448837</v>
      </c>
      <c r="AU84" s="11">
        <f t="shared" si="85"/>
        <v>0</v>
      </c>
      <c r="AV84" s="11"/>
      <c r="AW84" s="11"/>
      <c r="AX84" s="11">
        <f t="shared" si="85"/>
        <v>0</v>
      </c>
      <c r="AY84" s="11">
        <f t="shared" si="85"/>
        <v>0</v>
      </c>
      <c r="AZ84" s="11">
        <f t="shared" si="85"/>
        <v>0</v>
      </c>
      <c r="BA84" s="11">
        <f t="shared" si="85"/>
        <v>0</v>
      </c>
      <c r="BB84" s="11">
        <f t="shared" si="85"/>
        <v>72741</v>
      </c>
      <c r="BC84" s="11">
        <f t="shared" si="85"/>
        <v>9759</v>
      </c>
      <c r="BD84" s="11">
        <f t="shared" si="85"/>
        <v>0</v>
      </c>
      <c r="BE84" s="11">
        <f t="shared" si="85"/>
        <v>0</v>
      </c>
      <c r="BF84" s="11">
        <f t="shared" si="85"/>
        <v>0</v>
      </c>
      <c r="BG84" s="11">
        <f t="shared" si="85"/>
        <v>0</v>
      </c>
      <c r="BH84" s="11">
        <f t="shared" si="85"/>
        <v>0</v>
      </c>
      <c r="BI84" s="11">
        <f t="shared" si="85"/>
        <v>0</v>
      </c>
      <c r="BJ84" s="11">
        <f t="shared" si="85"/>
        <v>0</v>
      </c>
      <c r="BK84" s="11">
        <f t="shared" si="85"/>
        <v>0</v>
      </c>
      <c r="BL84" s="11">
        <f t="shared" si="85"/>
        <v>0</v>
      </c>
      <c r="BM84" s="11">
        <f t="shared" si="85"/>
        <v>0</v>
      </c>
      <c r="BN84" s="11">
        <f t="shared" si="85"/>
        <v>0</v>
      </c>
      <c r="BO84" s="11">
        <f t="shared" si="85"/>
        <v>0</v>
      </c>
      <c r="BP84" s="11">
        <f t="shared" si="85"/>
        <v>9759</v>
      </c>
      <c r="BQ84" s="11">
        <f t="shared" si="85"/>
        <v>0</v>
      </c>
      <c r="BR84" s="11">
        <f t="shared" si="85"/>
        <v>0</v>
      </c>
      <c r="BS84" s="11">
        <f t="shared" si="85"/>
        <v>0</v>
      </c>
      <c r="BT84" s="11">
        <f t="shared" si="85"/>
        <v>0</v>
      </c>
      <c r="BU84" s="11">
        <f t="shared" si="85"/>
        <v>0</v>
      </c>
      <c r="BV84" s="11">
        <f t="shared" si="85"/>
        <v>0</v>
      </c>
      <c r="BW84" s="11">
        <f t="shared" si="85"/>
        <v>0</v>
      </c>
      <c r="BX84" s="11">
        <f t="shared" si="85"/>
        <v>0</v>
      </c>
      <c r="BY84" s="11">
        <f t="shared" si="85"/>
        <v>0</v>
      </c>
      <c r="BZ84" s="11">
        <f t="shared" si="85"/>
        <v>9759</v>
      </c>
      <c r="CA84" s="11">
        <f t="shared" si="85"/>
        <v>0</v>
      </c>
      <c r="CB84" s="11">
        <f t="shared" si="85"/>
        <v>1262888</v>
      </c>
      <c r="CC84" s="11">
        <f t="shared" si="85"/>
        <v>1262888</v>
      </c>
      <c r="CD84" s="11">
        <f t="shared" si="85"/>
        <v>790531</v>
      </c>
      <c r="CE84" s="11">
        <f t="shared" si="85"/>
        <v>0</v>
      </c>
      <c r="CF84" s="11">
        <f t="shared" si="85"/>
        <v>790531</v>
      </c>
      <c r="CG84" s="11">
        <f t="shared" si="85"/>
        <v>276337</v>
      </c>
      <c r="CH84" s="11">
        <f t="shared" si="85"/>
        <v>0</v>
      </c>
      <c r="CI84" s="11">
        <f t="shared" si="85"/>
        <v>0</v>
      </c>
      <c r="CJ84" s="11">
        <f t="shared" si="85"/>
        <v>276337</v>
      </c>
      <c r="CK84" s="11">
        <f t="shared" si="85"/>
        <v>0</v>
      </c>
      <c r="CL84" s="11">
        <f t="shared" si="85"/>
        <v>196020</v>
      </c>
      <c r="CM84" s="11">
        <f t="shared" si="85"/>
        <v>0</v>
      </c>
      <c r="CN84" s="11">
        <f t="shared" si="85"/>
        <v>0</v>
      </c>
      <c r="CO84" s="11">
        <f t="shared" si="85"/>
        <v>196020</v>
      </c>
      <c r="CP84" s="11"/>
      <c r="CQ84" s="11">
        <f t="shared" si="85"/>
        <v>0</v>
      </c>
      <c r="CR84" s="11">
        <f>SUM(CR85)</f>
        <v>0</v>
      </c>
      <c r="CS84" s="11">
        <f>SUM(CS85)</f>
        <v>0</v>
      </c>
      <c r="CT84" s="11">
        <f t="shared" si="85"/>
        <v>0</v>
      </c>
      <c r="CU84" s="11">
        <f t="shared" si="85"/>
        <v>0</v>
      </c>
      <c r="CV84" s="11">
        <f t="shared" si="85"/>
        <v>0</v>
      </c>
      <c r="CW84" s="11">
        <f t="shared" si="85"/>
        <v>0</v>
      </c>
      <c r="CX84" s="12">
        <f t="shared" si="85"/>
        <v>0</v>
      </c>
    </row>
    <row r="85" spans="1:102" ht="15.75" x14ac:dyDescent="0.25">
      <c r="A85" s="13"/>
      <c r="B85" s="14" t="s">
        <v>1</v>
      </c>
      <c r="C85" s="14" t="s">
        <v>201</v>
      </c>
      <c r="D85" s="15" t="s">
        <v>202</v>
      </c>
      <c r="E85" s="10">
        <f>SUM(F85+CB85+CU85)</f>
        <v>28419234</v>
      </c>
      <c r="F85" s="11">
        <f>SUM(G85+BC85)</f>
        <v>27156346</v>
      </c>
      <c r="G85" s="11">
        <f>SUM(H85+I85+J85+Q85+T85+U85+V85+AF85+AE85)</f>
        <v>27146587</v>
      </c>
      <c r="H85" s="16">
        <f>21000000+1076432</f>
        <v>22076432</v>
      </c>
      <c r="I85" s="16">
        <f>1150805+269108</f>
        <v>1419913</v>
      </c>
      <c r="J85" s="11">
        <f t="shared" si="76"/>
        <v>1872274</v>
      </c>
      <c r="K85" s="11">
        <v>0</v>
      </c>
      <c r="L85" s="16">
        <v>608859</v>
      </c>
      <c r="M85" s="16"/>
      <c r="N85" s="16"/>
      <c r="O85" s="16">
        <v>686423</v>
      </c>
      <c r="P85" s="16">
        <v>576992</v>
      </c>
      <c r="Q85" s="11">
        <f t="shared" si="77"/>
        <v>1722</v>
      </c>
      <c r="R85" s="16">
        <v>1722</v>
      </c>
      <c r="S85" s="11">
        <v>0</v>
      </c>
      <c r="T85" s="11">
        <v>0</v>
      </c>
      <c r="U85" s="11">
        <v>200924</v>
      </c>
      <c r="V85" s="11">
        <f>SUM(W85:AD85)</f>
        <v>511205</v>
      </c>
      <c r="W85" s="16">
        <v>141328</v>
      </c>
      <c r="X85" s="16">
        <v>44867</v>
      </c>
      <c r="Y85" s="16">
        <v>90962</v>
      </c>
      <c r="Z85" s="16">
        <v>13743</v>
      </c>
      <c r="AA85" s="16">
        <v>22873</v>
      </c>
      <c r="AB85" s="16">
        <v>176530</v>
      </c>
      <c r="AC85" s="16"/>
      <c r="AD85" s="16">
        <v>20902</v>
      </c>
      <c r="AE85" s="11"/>
      <c r="AF85" s="11">
        <f>SUM(AG85:BB85)</f>
        <v>1064117</v>
      </c>
      <c r="AG85" s="11">
        <v>0</v>
      </c>
      <c r="AH85" s="11"/>
      <c r="AI85" s="16">
        <v>27058</v>
      </c>
      <c r="AJ85" s="16">
        <v>452500</v>
      </c>
      <c r="AK85" s="16"/>
      <c r="AL85" s="16"/>
      <c r="AM85" s="16"/>
      <c r="AN85" s="16">
        <v>349</v>
      </c>
      <c r="AO85" s="16">
        <v>42450</v>
      </c>
      <c r="AP85" s="16">
        <v>18042</v>
      </c>
      <c r="AQ85" s="16">
        <v>2140</v>
      </c>
      <c r="AR85" s="16"/>
      <c r="AS85" s="16">
        <v>0</v>
      </c>
      <c r="AT85" s="16">
        <v>448837</v>
      </c>
      <c r="AU85" s="16"/>
      <c r="AV85" s="16"/>
      <c r="AW85" s="16"/>
      <c r="AX85" s="11">
        <v>0</v>
      </c>
      <c r="AY85" s="11">
        <v>0</v>
      </c>
      <c r="AZ85" s="11">
        <v>0</v>
      </c>
      <c r="BA85" s="11"/>
      <c r="BB85" s="11">
        <v>72741</v>
      </c>
      <c r="BC85" s="11">
        <f>SUM(BD85+BH85+BL85+BN85+BP85)</f>
        <v>9759</v>
      </c>
      <c r="BD85" s="11">
        <f>SUM(BE85:BG85)</f>
        <v>0</v>
      </c>
      <c r="BE85" s="11">
        <v>0</v>
      </c>
      <c r="BF85" s="11">
        <v>0</v>
      </c>
      <c r="BG85" s="11">
        <v>0</v>
      </c>
      <c r="BH85" s="11">
        <f t="shared" si="78"/>
        <v>0</v>
      </c>
      <c r="BI85" s="11">
        <v>0</v>
      </c>
      <c r="BJ85" s="11">
        <v>0</v>
      </c>
      <c r="BK85" s="11">
        <v>0</v>
      </c>
      <c r="BL85" s="11">
        <v>0</v>
      </c>
      <c r="BM85" s="11">
        <v>0</v>
      </c>
      <c r="BN85" s="11">
        <f t="shared" si="79"/>
        <v>0</v>
      </c>
      <c r="BO85" s="11">
        <v>0</v>
      </c>
      <c r="BP85" s="11">
        <f t="shared" si="80"/>
        <v>9759</v>
      </c>
      <c r="BQ85" s="11">
        <v>0</v>
      </c>
      <c r="BR85" s="11">
        <v>0</v>
      </c>
      <c r="BS85" s="11">
        <v>0</v>
      </c>
      <c r="BT85" s="11">
        <v>0</v>
      </c>
      <c r="BU85" s="11">
        <v>0</v>
      </c>
      <c r="BV85" s="11">
        <v>0</v>
      </c>
      <c r="BW85" s="11">
        <v>0</v>
      </c>
      <c r="BX85" s="11">
        <v>0</v>
      </c>
      <c r="BY85" s="11">
        <v>0</v>
      </c>
      <c r="BZ85" s="11">
        <v>9759</v>
      </c>
      <c r="CA85" s="11">
        <v>0</v>
      </c>
      <c r="CB85" s="11">
        <f>SUM(CC85+CT85)</f>
        <v>1262888</v>
      </c>
      <c r="CC85" s="11">
        <f>SUM(CD85+CG85+CL85)</f>
        <v>1262888</v>
      </c>
      <c r="CD85" s="11">
        <f t="shared" si="81"/>
        <v>790531</v>
      </c>
      <c r="CE85" s="11">
        <v>0</v>
      </c>
      <c r="CF85" s="11">
        <f>1390531-600000</f>
        <v>790531</v>
      </c>
      <c r="CG85" s="11">
        <f>SUM(CH85:CK85)</f>
        <v>276337</v>
      </c>
      <c r="CH85" s="11">
        <v>0</v>
      </c>
      <c r="CI85" s="11">
        <v>0</v>
      </c>
      <c r="CJ85" s="11">
        <v>276337</v>
      </c>
      <c r="CK85" s="11"/>
      <c r="CL85" s="11">
        <f>SUM(CM85:CQ85)</f>
        <v>196020</v>
      </c>
      <c r="CM85" s="11">
        <v>0</v>
      </c>
      <c r="CN85" s="11"/>
      <c r="CO85" s="11">
        <v>196020</v>
      </c>
      <c r="CP85" s="11"/>
      <c r="CQ85" s="11">
        <v>0</v>
      </c>
      <c r="CR85" s="11"/>
      <c r="CS85" s="11"/>
      <c r="CT85" s="11">
        <v>0</v>
      </c>
      <c r="CU85" s="11">
        <f t="shared" si="82"/>
        <v>0</v>
      </c>
      <c r="CV85" s="11">
        <f t="shared" si="83"/>
        <v>0</v>
      </c>
      <c r="CW85" s="11">
        <v>0</v>
      </c>
      <c r="CX85" s="12">
        <v>0</v>
      </c>
    </row>
    <row r="86" spans="1:102" ht="15.75" x14ac:dyDescent="0.25">
      <c r="A86" s="7"/>
      <c r="B86" s="8" t="s">
        <v>203</v>
      </c>
      <c r="C86" s="8" t="s">
        <v>1</v>
      </c>
      <c r="D86" s="9" t="s">
        <v>204</v>
      </c>
      <c r="E86" s="10">
        <f t="shared" ref="E86:AL88" si="86">SUM(E87)</f>
        <v>7037498</v>
      </c>
      <c r="F86" s="11">
        <f t="shared" si="86"/>
        <v>6899896</v>
      </c>
      <c r="G86" s="11">
        <f t="shared" si="86"/>
        <v>6893378</v>
      </c>
      <c r="H86" s="11">
        <f t="shared" si="86"/>
        <v>5048429</v>
      </c>
      <c r="I86" s="11">
        <f t="shared" si="86"/>
        <v>1024536</v>
      </c>
      <c r="J86" s="11">
        <f t="shared" si="86"/>
        <v>337616</v>
      </c>
      <c r="K86" s="11">
        <f t="shared" si="86"/>
        <v>0</v>
      </c>
      <c r="L86" s="11">
        <f t="shared" si="86"/>
        <v>0</v>
      </c>
      <c r="M86" s="11">
        <f t="shared" si="86"/>
        <v>0</v>
      </c>
      <c r="N86" s="11">
        <f t="shared" si="86"/>
        <v>0</v>
      </c>
      <c r="O86" s="11">
        <f t="shared" si="86"/>
        <v>263184</v>
      </c>
      <c r="P86" s="11">
        <f t="shared" si="86"/>
        <v>74432</v>
      </c>
      <c r="Q86" s="11">
        <f t="shared" si="86"/>
        <v>0</v>
      </c>
      <c r="R86" s="11">
        <f t="shared" si="86"/>
        <v>0</v>
      </c>
      <c r="S86" s="11">
        <f t="shared" si="86"/>
        <v>0</v>
      </c>
      <c r="T86" s="11">
        <f t="shared" si="86"/>
        <v>0</v>
      </c>
      <c r="U86" s="11">
        <f t="shared" si="86"/>
        <v>196277</v>
      </c>
      <c r="V86" s="11">
        <f t="shared" si="86"/>
        <v>156244</v>
      </c>
      <c r="W86" s="11">
        <f t="shared" si="86"/>
        <v>582</v>
      </c>
      <c r="X86" s="11">
        <f t="shared" si="86"/>
        <v>95743</v>
      </c>
      <c r="Y86" s="11">
        <f t="shared" si="86"/>
        <v>46344</v>
      </c>
      <c r="Z86" s="11">
        <f t="shared" si="86"/>
        <v>6755</v>
      </c>
      <c r="AA86" s="11">
        <f t="shared" si="86"/>
        <v>5898</v>
      </c>
      <c r="AB86" s="11">
        <f t="shared" si="86"/>
        <v>0</v>
      </c>
      <c r="AC86" s="11">
        <f t="shared" si="86"/>
        <v>0</v>
      </c>
      <c r="AD86" s="11">
        <f t="shared" si="86"/>
        <v>922</v>
      </c>
      <c r="AE86" s="11">
        <f t="shared" si="86"/>
        <v>0</v>
      </c>
      <c r="AF86" s="11">
        <f t="shared" si="86"/>
        <v>130276</v>
      </c>
      <c r="AG86" s="11">
        <f t="shared" si="86"/>
        <v>0</v>
      </c>
      <c r="AH86" s="11">
        <f t="shared" si="86"/>
        <v>0</v>
      </c>
      <c r="AI86" s="11">
        <f t="shared" si="86"/>
        <v>16933</v>
      </c>
      <c r="AJ86" s="11">
        <f t="shared" si="86"/>
        <v>82096</v>
      </c>
      <c r="AK86" s="11">
        <f t="shared" si="86"/>
        <v>0</v>
      </c>
      <c r="AL86" s="11">
        <f t="shared" si="86"/>
        <v>0</v>
      </c>
      <c r="AM86" s="11">
        <f t="shared" ref="AM86:CW88" si="87">SUM(AM87)</f>
        <v>0</v>
      </c>
      <c r="AN86" s="11">
        <f t="shared" si="87"/>
        <v>0</v>
      </c>
      <c r="AO86" s="11">
        <f t="shared" si="87"/>
        <v>180</v>
      </c>
      <c r="AP86" s="11">
        <f t="shared" si="87"/>
        <v>15627</v>
      </c>
      <c r="AQ86" s="11">
        <f t="shared" si="87"/>
        <v>0</v>
      </c>
      <c r="AR86" s="11">
        <f t="shared" si="87"/>
        <v>0</v>
      </c>
      <c r="AS86" s="11">
        <f t="shared" si="87"/>
        <v>0</v>
      </c>
      <c r="AT86" s="11">
        <f t="shared" si="87"/>
        <v>15440</v>
      </c>
      <c r="AU86" s="11">
        <f t="shared" si="87"/>
        <v>0</v>
      </c>
      <c r="AV86" s="11"/>
      <c r="AW86" s="11"/>
      <c r="AX86" s="11">
        <f t="shared" si="87"/>
        <v>0</v>
      </c>
      <c r="AY86" s="11">
        <f t="shared" si="87"/>
        <v>0</v>
      </c>
      <c r="AZ86" s="11">
        <f t="shared" si="87"/>
        <v>0</v>
      </c>
      <c r="BA86" s="11">
        <f t="shared" si="87"/>
        <v>0</v>
      </c>
      <c r="BB86" s="11">
        <f t="shared" si="87"/>
        <v>0</v>
      </c>
      <c r="BC86" s="11">
        <f t="shared" si="87"/>
        <v>6518</v>
      </c>
      <c r="BD86" s="11">
        <f t="shared" si="87"/>
        <v>0</v>
      </c>
      <c r="BE86" s="11">
        <f t="shared" si="87"/>
        <v>0</v>
      </c>
      <c r="BF86" s="11">
        <f t="shared" si="87"/>
        <v>0</v>
      </c>
      <c r="BG86" s="11">
        <f t="shared" si="87"/>
        <v>0</v>
      </c>
      <c r="BH86" s="11">
        <f t="shared" si="87"/>
        <v>0</v>
      </c>
      <c r="BI86" s="11">
        <f t="shared" si="87"/>
        <v>0</v>
      </c>
      <c r="BJ86" s="11">
        <f t="shared" si="87"/>
        <v>0</v>
      </c>
      <c r="BK86" s="11">
        <f t="shared" si="87"/>
        <v>0</v>
      </c>
      <c r="BL86" s="11">
        <f t="shared" si="87"/>
        <v>0</v>
      </c>
      <c r="BM86" s="11">
        <f t="shared" si="87"/>
        <v>0</v>
      </c>
      <c r="BN86" s="11">
        <f t="shared" si="87"/>
        <v>0</v>
      </c>
      <c r="BO86" s="11">
        <f t="shared" si="87"/>
        <v>0</v>
      </c>
      <c r="BP86" s="11">
        <f t="shared" si="87"/>
        <v>6518</v>
      </c>
      <c r="BQ86" s="11">
        <f t="shared" si="87"/>
        <v>0</v>
      </c>
      <c r="BR86" s="11">
        <f t="shared" si="87"/>
        <v>0</v>
      </c>
      <c r="BS86" s="11">
        <f t="shared" si="87"/>
        <v>0</v>
      </c>
      <c r="BT86" s="11">
        <f t="shared" si="87"/>
        <v>0</v>
      </c>
      <c r="BU86" s="11">
        <f t="shared" si="87"/>
        <v>0</v>
      </c>
      <c r="BV86" s="11">
        <f t="shared" si="87"/>
        <v>0</v>
      </c>
      <c r="BW86" s="11">
        <f t="shared" si="87"/>
        <v>0</v>
      </c>
      <c r="BX86" s="11">
        <f t="shared" si="87"/>
        <v>0</v>
      </c>
      <c r="BY86" s="11">
        <f t="shared" si="87"/>
        <v>0</v>
      </c>
      <c r="BZ86" s="11">
        <f t="shared" si="87"/>
        <v>6518</v>
      </c>
      <c r="CA86" s="11">
        <f t="shared" si="87"/>
        <v>0</v>
      </c>
      <c r="CB86" s="11">
        <f t="shared" si="87"/>
        <v>137602</v>
      </c>
      <c r="CC86" s="11">
        <f t="shared" si="87"/>
        <v>137602</v>
      </c>
      <c r="CD86" s="11">
        <f t="shared" si="87"/>
        <v>137602</v>
      </c>
      <c r="CE86" s="11">
        <f t="shared" si="87"/>
        <v>0</v>
      </c>
      <c r="CF86" s="11">
        <f t="shared" si="87"/>
        <v>137602</v>
      </c>
      <c r="CG86" s="11">
        <f t="shared" si="87"/>
        <v>0</v>
      </c>
      <c r="CH86" s="11">
        <f t="shared" si="87"/>
        <v>0</v>
      </c>
      <c r="CI86" s="11">
        <f t="shared" si="87"/>
        <v>0</v>
      </c>
      <c r="CJ86" s="11">
        <f t="shared" si="87"/>
        <v>0</v>
      </c>
      <c r="CK86" s="11">
        <f t="shared" si="87"/>
        <v>0</v>
      </c>
      <c r="CL86" s="11">
        <f t="shared" si="87"/>
        <v>0</v>
      </c>
      <c r="CM86" s="11">
        <f t="shared" si="87"/>
        <v>0</v>
      </c>
      <c r="CN86" s="11">
        <f t="shared" si="87"/>
        <v>0</v>
      </c>
      <c r="CO86" s="11">
        <f t="shared" si="87"/>
        <v>0</v>
      </c>
      <c r="CP86" s="11"/>
      <c r="CQ86" s="11">
        <f t="shared" si="87"/>
        <v>0</v>
      </c>
      <c r="CR86" s="11">
        <f t="shared" si="87"/>
        <v>0</v>
      </c>
      <c r="CS86" s="11">
        <f t="shared" si="87"/>
        <v>0</v>
      </c>
      <c r="CT86" s="11">
        <f t="shared" si="87"/>
        <v>0</v>
      </c>
      <c r="CU86" s="11">
        <f t="shared" si="87"/>
        <v>0</v>
      </c>
      <c r="CV86" s="11">
        <f t="shared" si="87"/>
        <v>0</v>
      </c>
      <c r="CW86" s="11">
        <f t="shared" si="87"/>
        <v>0</v>
      </c>
      <c r="CX86" s="12">
        <f t="shared" ref="CX86:CX88" si="88">SUM(CX87)</f>
        <v>0</v>
      </c>
    </row>
    <row r="87" spans="1:102" ht="31.5" x14ac:dyDescent="0.25">
      <c r="A87" s="13" t="s">
        <v>1</v>
      </c>
      <c r="B87" s="14" t="s">
        <v>1</v>
      </c>
      <c r="C87" s="14" t="s">
        <v>205</v>
      </c>
      <c r="D87" s="15" t="s">
        <v>206</v>
      </c>
      <c r="E87" s="10">
        <f>SUM(F87+CB87+CU87)</f>
        <v>7037498</v>
      </c>
      <c r="F87" s="11">
        <f>SUM(G87+BC87)</f>
        <v>6899896</v>
      </c>
      <c r="G87" s="11">
        <f>SUM(H87+I87+J87+Q87+T87+U87+V87+AF87+AE87)</f>
        <v>6893378</v>
      </c>
      <c r="H87" s="16">
        <f>4917301+131128</f>
        <v>5048429</v>
      </c>
      <c r="I87" s="16">
        <f>991754+32782</f>
        <v>1024536</v>
      </c>
      <c r="J87" s="11">
        <f t="shared" si="76"/>
        <v>337616</v>
      </c>
      <c r="K87" s="11">
        <v>0</v>
      </c>
      <c r="L87" s="11">
        <f>60905-60905</f>
        <v>0</v>
      </c>
      <c r="M87" s="11">
        <v>0</v>
      </c>
      <c r="N87" s="11">
        <v>0</v>
      </c>
      <c r="O87" s="16">
        <v>263184</v>
      </c>
      <c r="P87" s="16">
        <v>74432</v>
      </c>
      <c r="Q87" s="11">
        <f t="shared" si="77"/>
        <v>0</v>
      </c>
      <c r="R87" s="11"/>
      <c r="S87" s="11">
        <v>0</v>
      </c>
      <c r="T87" s="11">
        <v>0</v>
      </c>
      <c r="U87" s="16">
        <v>196277</v>
      </c>
      <c r="V87" s="11">
        <f>SUM(W87:AD87)</f>
        <v>156244</v>
      </c>
      <c r="W87" s="16">
        <v>582</v>
      </c>
      <c r="X87" s="16">
        <v>95743</v>
      </c>
      <c r="Y87" s="16">
        <v>46344</v>
      </c>
      <c r="Z87" s="16">
        <v>6755</v>
      </c>
      <c r="AA87" s="16">
        <v>5898</v>
      </c>
      <c r="AB87" s="16"/>
      <c r="AC87" s="16"/>
      <c r="AD87" s="16">
        <v>922</v>
      </c>
      <c r="AE87" s="11"/>
      <c r="AF87" s="11">
        <f>SUM(AG87:BB87)</f>
        <v>130276</v>
      </c>
      <c r="AG87" s="11">
        <v>0</v>
      </c>
      <c r="AH87" s="11"/>
      <c r="AI87" s="16">
        <v>16933</v>
      </c>
      <c r="AJ87" s="16">
        <v>82096</v>
      </c>
      <c r="AK87" s="16"/>
      <c r="AL87" s="16"/>
      <c r="AM87" s="16"/>
      <c r="AN87" s="16"/>
      <c r="AO87" s="16">
        <v>180</v>
      </c>
      <c r="AP87" s="16">
        <v>15627</v>
      </c>
      <c r="AQ87" s="16"/>
      <c r="AR87" s="16"/>
      <c r="AS87" s="16"/>
      <c r="AT87" s="16">
        <v>15440</v>
      </c>
      <c r="AU87" s="16"/>
      <c r="AV87" s="16"/>
      <c r="AW87" s="11"/>
      <c r="AX87" s="11">
        <v>0</v>
      </c>
      <c r="AY87" s="11">
        <v>0</v>
      </c>
      <c r="AZ87" s="11">
        <v>0</v>
      </c>
      <c r="BA87" s="11"/>
      <c r="BB87" s="11">
        <v>0</v>
      </c>
      <c r="BC87" s="11">
        <f>SUM(BD87+BH87+BL87+BN87+BP87)</f>
        <v>6518</v>
      </c>
      <c r="BD87" s="11">
        <f>SUM(BE87:BG87)</f>
        <v>0</v>
      </c>
      <c r="BE87" s="11">
        <v>0</v>
      </c>
      <c r="BF87" s="11">
        <v>0</v>
      </c>
      <c r="BG87" s="11">
        <v>0</v>
      </c>
      <c r="BH87" s="11">
        <f t="shared" si="78"/>
        <v>0</v>
      </c>
      <c r="BI87" s="11">
        <v>0</v>
      </c>
      <c r="BJ87" s="11">
        <v>0</v>
      </c>
      <c r="BK87" s="11">
        <v>0</v>
      </c>
      <c r="BL87" s="11">
        <v>0</v>
      </c>
      <c r="BM87" s="11">
        <v>0</v>
      </c>
      <c r="BN87" s="11">
        <f t="shared" si="79"/>
        <v>0</v>
      </c>
      <c r="BO87" s="11">
        <v>0</v>
      </c>
      <c r="BP87" s="11">
        <f t="shared" si="80"/>
        <v>6518</v>
      </c>
      <c r="BQ87" s="11">
        <v>0</v>
      </c>
      <c r="BR87" s="11">
        <v>0</v>
      </c>
      <c r="BS87" s="11">
        <v>0</v>
      </c>
      <c r="BT87" s="11">
        <v>0</v>
      </c>
      <c r="BU87" s="11">
        <v>0</v>
      </c>
      <c r="BV87" s="11">
        <v>0</v>
      </c>
      <c r="BW87" s="11">
        <v>0</v>
      </c>
      <c r="BX87" s="11">
        <v>0</v>
      </c>
      <c r="BY87" s="11">
        <v>0</v>
      </c>
      <c r="BZ87" s="11">
        <v>6518</v>
      </c>
      <c r="CA87" s="11">
        <v>0</v>
      </c>
      <c r="CB87" s="11">
        <f>SUM(CC87+CT87)</f>
        <v>137602</v>
      </c>
      <c r="CC87" s="11">
        <f>SUM(CD87+CG87+CL87)</f>
        <v>137602</v>
      </c>
      <c r="CD87" s="11">
        <f t="shared" si="81"/>
        <v>137602</v>
      </c>
      <c r="CE87" s="11">
        <v>0</v>
      </c>
      <c r="CF87" s="11">
        <v>137602</v>
      </c>
      <c r="CG87" s="11">
        <f>SUM(CH87:CK87)</f>
        <v>0</v>
      </c>
      <c r="CH87" s="11">
        <v>0</v>
      </c>
      <c r="CI87" s="11">
        <v>0</v>
      </c>
      <c r="CJ87" s="11">
        <v>0</v>
      </c>
      <c r="CK87" s="11">
        <v>0</v>
      </c>
      <c r="CL87" s="11">
        <f>SUM(CM87:CQ87)</f>
        <v>0</v>
      </c>
      <c r="CM87" s="11">
        <v>0</v>
      </c>
      <c r="CN87" s="11">
        <v>0</v>
      </c>
      <c r="CO87" s="11">
        <v>0</v>
      </c>
      <c r="CP87" s="11"/>
      <c r="CQ87" s="11">
        <v>0</v>
      </c>
      <c r="CR87" s="11"/>
      <c r="CS87" s="11"/>
      <c r="CT87" s="11">
        <v>0</v>
      </c>
      <c r="CU87" s="11">
        <f t="shared" si="82"/>
        <v>0</v>
      </c>
      <c r="CV87" s="11">
        <f t="shared" si="83"/>
        <v>0</v>
      </c>
      <c r="CW87" s="11">
        <v>0</v>
      </c>
      <c r="CX87" s="12">
        <v>0</v>
      </c>
    </row>
    <row r="88" spans="1:102" ht="15.75" x14ac:dyDescent="0.25">
      <c r="A88" s="7"/>
      <c r="B88" s="8" t="s">
        <v>207</v>
      </c>
      <c r="C88" s="8" t="s">
        <v>1</v>
      </c>
      <c r="D88" s="24" t="s">
        <v>463</v>
      </c>
      <c r="E88" s="10">
        <f t="shared" si="86"/>
        <v>70266817</v>
      </c>
      <c r="F88" s="11">
        <f t="shared" si="86"/>
        <v>67521058</v>
      </c>
      <c r="G88" s="11">
        <f t="shared" si="86"/>
        <v>66414437</v>
      </c>
      <c r="H88" s="11">
        <f t="shared" si="86"/>
        <v>34866760</v>
      </c>
      <c r="I88" s="11">
        <f t="shared" si="86"/>
        <v>1167843</v>
      </c>
      <c r="J88" s="11">
        <f t="shared" si="86"/>
        <v>6844533</v>
      </c>
      <c r="K88" s="11">
        <f t="shared" si="86"/>
        <v>86706</v>
      </c>
      <c r="L88" s="11">
        <f t="shared" si="86"/>
        <v>2663930</v>
      </c>
      <c r="M88" s="11">
        <f t="shared" si="86"/>
        <v>0</v>
      </c>
      <c r="N88" s="11">
        <f t="shared" si="86"/>
        <v>73813</v>
      </c>
      <c r="O88" s="11">
        <f t="shared" si="86"/>
        <v>2943364</v>
      </c>
      <c r="P88" s="11">
        <f t="shared" si="86"/>
        <v>1076720</v>
      </c>
      <c r="Q88" s="11">
        <f t="shared" si="86"/>
        <v>277274</v>
      </c>
      <c r="R88" s="11">
        <f t="shared" si="86"/>
        <v>77212</v>
      </c>
      <c r="S88" s="11">
        <f t="shared" si="86"/>
        <v>200062</v>
      </c>
      <c r="T88" s="11">
        <f t="shared" si="86"/>
        <v>17722</v>
      </c>
      <c r="U88" s="11">
        <f t="shared" si="86"/>
        <v>409438</v>
      </c>
      <c r="V88" s="11">
        <f t="shared" si="86"/>
        <v>2070593</v>
      </c>
      <c r="W88" s="11">
        <f t="shared" si="86"/>
        <v>1035255</v>
      </c>
      <c r="X88" s="11">
        <f t="shared" si="86"/>
        <v>3637</v>
      </c>
      <c r="Y88" s="11">
        <f t="shared" si="86"/>
        <v>824920</v>
      </c>
      <c r="Z88" s="11">
        <f t="shared" si="86"/>
        <v>54432</v>
      </c>
      <c r="AA88" s="11">
        <f t="shared" si="86"/>
        <v>80400</v>
      </c>
      <c r="AB88" s="11">
        <f t="shared" si="86"/>
        <v>12000</v>
      </c>
      <c r="AC88" s="11">
        <f t="shared" si="86"/>
        <v>0</v>
      </c>
      <c r="AD88" s="11">
        <f t="shared" si="86"/>
        <v>59949</v>
      </c>
      <c r="AE88" s="11">
        <f t="shared" si="86"/>
        <v>0</v>
      </c>
      <c r="AF88" s="11">
        <f t="shared" si="86"/>
        <v>20760274</v>
      </c>
      <c r="AG88" s="11">
        <f t="shared" si="86"/>
        <v>0</v>
      </c>
      <c r="AH88" s="11">
        <f t="shared" si="86"/>
        <v>0</v>
      </c>
      <c r="AI88" s="11">
        <f t="shared" si="86"/>
        <v>88831</v>
      </c>
      <c r="AJ88" s="11">
        <f t="shared" si="86"/>
        <v>137411</v>
      </c>
      <c r="AK88" s="11">
        <f t="shared" si="86"/>
        <v>0</v>
      </c>
      <c r="AL88" s="11">
        <f t="shared" si="86"/>
        <v>2089</v>
      </c>
      <c r="AM88" s="11">
        <f t="shared" si="87"/>
        <v>0</v>
      </c>
      <c r="AN88" s="11">
        <f t="shared" si="87"/>
        <v>3770</v>
      </c>
      <c r="AO88" s="11">
        <f t="shared" si="87"/>
        <v>56229</v>
      </c>
      <c r="AP88" s="11">
        <f t="shared" si="87"/>
        <v>13386</v>
      </c>
      <c r="AQ88" s="11">
        <f t="shared" si="87"/>
        <v>0</v>
      </c>
      <c r="AR88" s="11">
        <f t="shared" si="87"/>
        <v>0</v>
      </c>
      <c r="AS88" s="11">
        <f t="shared" si="87"/>
        <v>67500</v>
      </c>
      <c r="AT88" s="11">
        <f t="shared" si="87"/>
        <v>0</v>
      </c>
      <c r="AU88" s="11">
        <f t="shared" si="87"/>
        <v>0</v>
      </c>
      <c r="AV88" s="11"/>
      <c r="AW88" s="11"/>
      <c r="AX88" s="11">
        <f t="shared" si="87"/>
        <v>0</v>
      </c>
      <c r="AY88" s="11">
        <f t="shared" si="87"/>
        <v>19502313</v>
      </c>
      <c r="AZ88" s="11">
        <f t="shared" si="87"/>
        <v>0</v>
      </c>
      <c r="BA88" s="11">
        <f t="shared" si="87"/>
        <v>421632</v>
      </c>
      <c r="BB88" s="11">
        <f t="shared" si="87"/>
        <v>467113</v>
      </c>
      <c r="BC88" s="11">
        <f t="shared" si="87"/>
        <v>1106621</v>
      </c>
      <c r="BD88" s="11">
        <f t="shared" si="87"/>
        <v>0</v>
      </c>
      <c r="BE88" s="11">
        <f t="shared" si="87"/>
        <v>0</v>
      </c>
      <c r="BF88" s="11">
        <f t="shared" si="87"/>
        <v>0</v>
      </c>
      <c r="BG88" s="11">
        <f t="shared" si="87"/>
        <v>0</v>
      </c>
      <c r="BH88" s="11">
        <f t="shared" si="87"/>
        <v>0</v>
      </c>
      <c r="BI88" s="11">
        <f t="shared" si="87"/>
        <v>0</v>
      </c>
      <c r="BJ88" s="11">
        <f t="shared" si="87"/>
        <v>0</v>
      </c>
      <c r="BK88" s="11">
        <f t="shared" si="87"/>
        <v>0</v>
      </c>
      <c r="BL88" s="11">
        <f t="shared" si="87"/>
        <v>0</v>
      </c>
      <c r="BM88" s="11">
        <f t="shared" si="87"/>
        <v>0</v>
      </c>
      <c r="BN88" s="11">
        <f t="shared" si="87"/>
        <v>0</v>
      </c>
      <c r="BO88" s="11">
        <f t="shared" si="87"/>
        <v>0</v>
      </c>
      <c r="BP88" s="11">
        <f t="shared" si="87"/>
        <v>1106621</v>
      </c>
      <c r="BQ88" s="11">
        <f t="shared" si="87"/>
        <v>0</v>
      </c>
      <c r="BR88" s="11">
        <f t="shared" si="87"/>
        <v>0</v>
      </c>
      <c r="BS88" s="11">
        <f t="shared" si="87"/>
        <v>0</v>
      </c>
      <c r="BT88" s="11">
        <f t="shared" si="87"/>
        <v>0</v>
      </c>
      <c r="BU88" s="11">
        <f t="shared" si="87"/>
        <v>0</v>
      </c>
      <c r="BV88" s="11">
        <f t="shared" si="87"/>
        <v>0</v>
      </c>
      <c r="BW88" s="11">
        <f t="shared" si="87"/>
        <v>0</v>
      </c>
      <c r="BX88" s="11">
        <f t="shared" si="87"/>
        <v>0</v>
      </c>
      <c r="BY88" s="11">
        <f t="shared" si="87"/>
        <v>0</v>
      </c>
      <c r="BZ88" s="11">
        <f t="shared" si="87"/>
        <v>1106621</v>
      </c>
      <c r="CA88" s="11">
        <f t="shared" si="87"/>
        <v>0</v>
      </c>
      <c r="CB88" s="11">
        <f t="shared" si="87"/>
        <v>2745759</v>
      </c>
      <c r="CC88" s="11">
        <f t="shared" si="87"/>
        <v>2745759</v>
      </c>
      <c r="CD88" s="11">
        <f t="shared" si="87"/>
        <v>618000</v>
      </c>
      <c r="CE88" s="11">
        <f t="shared" si="87"/>
        <v>0</v>
      </c>
      <c r="CF88" s="11">
        <f t="shared" si="87"/>
        <v>618000</v>
      </c>
      <c r="CG88" s="11">
        <f t="shared" si="87"/>
        <v>0</v>
      </c>
      <c r="CH88" s="11">
        <f t="shared" si="87"/>
        <v>0</v>
      </c>
      <c r="CI88" s="11">
        <f t="shared" si="87"/>
        <v>0</v>
      </c>
      <c r="CJ88" s="11">
        <f t="shared" si="87"/>
        <v>0</v>
      </c>
      <c r="CK88" s="11">
        <f t="shared" si="87"/>
        <v>0</v>
      </c>
      <c r="CL88" s="11">
        <f t="shared" si="87"/>
        <v>2127759</v>
      </c>
      <c r="CM88" s="11">
        <f t="shared" si="87"/>
        <v>0</v>
      </c>
      <c r="CN88" s="11">
        <f t="shared" si="87"/>
        <v>0</v>
      </c>
      <c r="CO88" s="11">
        <f t="shared" si="87"/>
        <v>2127759</v>
      </c>
      <c r="CP88" s="11"/>
      <c r="CQ88" s="11">
        <f t="shared" si="87"/>
        <v>0</v>
      </c>
      <c r="CR88" s="11">
        <f t="shared" si="87"/>
        <v>0</v>
      </c>
      <c r="CS88" s="11">
        <f t="shared" si="87"/>
        <v>0</v>
      </c>
      <c r="CT88" s="11">
        <f t="shared" si="87"/>
        <v>0</v>
      </c>
      <c r="CU88" s="11">
        <f t="shared" si="87"/>
        <v>0</v>
      </c>
      <c r="CV88" s="11">
        <f t="shared" si="87"/>
        <v>0</v>
      </c>
      <c r="CW88" s="11">
        <f t="shared" si="87"/>
        <v>0</v>
      </c>
      <c r="CX88" s="12">
        <f t="shared" si="88"/>
        <v>0</v>
      </c>
    </row>
    <row r="89" spans="1:102" ht="31.5" x14ac:dyDescent="0.25">
      <c r="A89" s="13"/>
      <c r="B89" s="14" t="s">
        <v>1</v>
      </c>
      <c r="C89" s="14" t="s">
        <v>208</v>
      </c>
      <c r="D89" s="25" t="s">
        <v>209</v>
      </c>
      <c r="E89" s="10">
        <f>SUM(F89+CB89+CU89)</f>
        <v>70266817</v>
      </c>
      <c r="F89" s="11">
        <f>SUM(G89+BC89)</f>
        <v>67521058</v>
      </c>
      <c r="G89" s="11">
        <f>SUM(H89+I89+J89+Q89+T89+U89+V89+AF89+AE89)</f>
        <v>66414437</v>
      </c>
      <c r="H89" s="16">
        <f>33101354+1765406</f>
        <v>34866760</v>
      </c>
      <c r="I89" s="16">
        <f>726492+441351</f>
        <v>1167843</v>
      </c>
      <c r="J89" s="11">
        <f t="shared" ref="J89" si="89">SUM(K89:P89)</f>
        <v>6844533</v>
      </c>
      <c r="K89" s="16">
        <v>86706</v>
      </c>
      <c r="L89" s="16">
        <v>2663930</v>
      </c>
      <c r="M89" s="16"/>
      <c r="N89" s="16">
        <v>73813</v>
      </c>
      <c r="O89" s="16">
        <v>2943364</v>
      </c>
      <c r="P89" s="16">
        <v>1076720</v>
      </c>
      <c r="Q89" s="11">
        <f t="shared" ref="Q89" si="90">SUM(R89:S89)</f>
        <v>277274</v>
      </c>
      <c r="R89" s="16">
        <v>77212</v>
      </c>
      <c r="S89" s="16">
        <v>200062</v>
      </c>
      <c r="T89" s="16">
        <v>17722</v>
      </c>
      <c r="U89" s="16">
        <v>409438</v>
      </c>
      <c r="V89" s="11">
        <f>SUM(W89:AD89)</f>
        <v>2070593</v>
      </c>
      <c r="W89" s="16">
        <v>1035255</v>
      </c>
      <c r="X89" s="16">
        <v>3637</v>
      </c>
      <c r="Y89" s="16">
        <v>824920</v>
      </c>
      <c r="Z89" s="16">
        <v>54432</v>
      </c>
      <c r="AA89" s="16">
        <v>80400</v>
      </c>
      <c r="AB89" s="16">
        <v>12000</v>
      </c>
      <c r="AC89" s="16"/>
      <c r="AD89" s="16">
        <v>59949</v>
      </c>
      <c r="AE89" s="11"/>
      <c r="AF89" s="11">
        <f>SUM(AG89:BB89)</f>
        <v>20760274</v>
      </c>
      <c r="AG89" s="11">
        <v>0</v>
      </c>
      <c r="AH89" s="11"/>
      <c r="AI89" s="16">
        <v>88831</v>
      </c>
      <c r="AJ89" s="16">
        <v>137411</v>
      </c>
      <c r="AK89" s="16"/>
      <c r="AL89" s="16">
        <v>2089</v>
      </c>
      <c r="AM89" s="16"/>
      <c r="AN89" s="16">
        <v>3770</v>
      </c>
      <c r="AO89" s="16">
        <v>56229</v>
      </c>
      <c r="AP89" s="16">
        <v>13386</v>
      </c>
      <c r="AQ89" s="16"/>
      <c r="AR89" s="16"/>
      <c r="AS89" s="16">
        <v>67500</v>
      </c>
      <c r="AT89" s="16"/>
      <c r="AU89" s="16"/>
      <c r="AV89" s="16"/>
      <c r="AW89" s="16"/>
      <c r="AX89" s="11">
        <v>0</v>
      </c>
      <c r="AY89" s="16">
        <v>19502313</v>
      </c>
      <c r="AZ89" s="16"/>
      <c r="BA89" s="16">
        <v>421632</v>
      </c>
      <c r="BB89" s="16">
        <v>467113</v>
      </c>
      <c r="BC89" s="11">
        <f>SUM(BD89+BH89+BL89+BN89+BP89)</f>
        <v>1106621</v>
      </c>
      <c r="BD89" s="11">
        <f>SUM(BE89:BG89)</f>
        <v>0</v>
      </c>
      <c r="BE89" s="11">
        <v>0</v>
      </c>
      <c r="BF89" s="11">
        <v>0</v>
      </c>
      <c r="BG89" s="11">
        <v>0</v>
      </c>
      <c r="BH89" s="11">
        <f t="shared" ref="BH89" si="91">SUM(BJ89:BK89)</f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f t="shared" ref="BN89" si="92">SUM(BO89)</f>
        <v>0</v>
      </c>
      <c r="BO89" s="11">
        <v>0</v>
      </c>
      <c r="BP89" s="11">
        <f t="shared" ref="BP89" si="93">SUM(BQ89:CA89)</f>
        <v>1106621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6">
        <v>1106621</v>
      </c>
      <c r="CA89" s="11">
        <v>0</v>
      </c>
      <c r="CB89" s="11">
        <f>SUM(CC89+CT89)</f>
        <v>2745759</v>
      </c>
      <c r="CC89" s="11">
        <f>SUM(CD89+CG89+CL89)</f>
        <v>2745759</v>
      </c>
      <c r="CD89" s="11">
        <f t="shared" ref="CD89" si="94">SUM(CE89:CF89)</f>
        <v>618000</v>
      </c>
      <c r="CE89" s="11">
        <v>0</v>
      </c>
      <c r="CF89" s="16">
        <v>618000</v>
      </c>
      <c r="CG89" s="11">
        <f>SUM(CH89:CK89)</f>
        <v>0</v>
      </c>
      <c r="CH89" s="11">
        <v>0</v>
      </c>
      <c r="CI89" s="11">
        <v>0</v>
      </c>
      <c r="CJ89" s="11">
        <v>0</v>
      </c>
      <c r="CK89" s="11">
        <v>0</v>
      </c>
      <c r="CL89" s="11">
        <f>SUM(CM89:CQ89)</f>
        <v>2127759</v>
      </c>
      <c r="CM89" s="11">
        <v>0</v>
      </c>
      <c r="CN89" s="16"/>
      <c r="CO89" s="11">
        <v>2127759</v>
      </c>
      <c r="CP89" s="11"/>
      <c r="CQ89" s="11">
        <v>0</v>
      </c>
      <c r="CR89" s="11"/>
      <c r="CS89" s="11"/>
      <c r="CT89" s="11">
        <v>0</v>
      </c>
      <c r="CU89" s="11">
        <f t="shared" ref="CU89" si="95">SUM(CV89)</f>
        <v>0</v>
      </c>
      <c r="CV89" s="11">
        <f t="shared" ref="CV89" si="96">SUM(CW89:CX89)</f>
        <v>0</v>
      </c>
      <c r="CW89" s="11">
        <v>0</v>
      </c>
      <c r="CX89" s="12">
        <v>0</v>
      </c>
    </row>
    <row r="90" spans="1:102" ht="15.75" x14ac:dyDescent="0.25">
      <c r="A90" s="7"/>
      <c r="B90" s="8" t="s">
        <v>210</v>
      </c>
      <c r="C90" s="8" t="s">
        <v>1</v>
      </c>
      <c r="D90" s="9" t="s">
        <v>211</v>
      </c>
      <c r="E90" s="10">
        <f t="shared" ref="E90:AL90" si="97">SUM(E91)</f>
        <v>27668542</v>
      </c>
      <c r="F90" s="11">
        <f t="shared" si="97"/>
        <v>27359444</v>
      </c>
      <c r="G90" s="11">
        <f t="shared" si="97"/>
        <v>27353116</v>
      </c>
      <c r="H90" s="11">
        <f t="shared" si="97"/>
        <v>22560619</v>
      </c>
      <c r="I90" s="11">
        <f t="shared" si="97"/>
        <v>303018</v>
      </c>
      <c r="J90" s="11">
        <f t="shared" si="97"/>
        <v>2524795</v>
      </c>
      <c r="K90" s="11">
        <f t="shared" si="97"/>
        <v>17901</v>
      </c>
      <c r="L90" s="11">
        <f t="shared" si="97"/>
        <v>549324</v>
      </c>
      <c r="M90" s="11">
        <f t="shared" si="97"/>
        <v>11118</v>
      </c>
      <c r="N90" s="11">
        <f t="shared" si="97"/>
        <v>0</v>
      </c>
      <c r="O90" s="11">
        <f t="shared" si="97"/>
        <v>1806623</v>
      </c>
      <c r="P90" s="11">
        <f t="shared" si="97"/>
        <v>139829</v>
      </c>
      <c r="Q90" s="11">
        <f t="shared" si="97"/>
        <v>515234</v>
      </c>
      <c r="R90" s="11">
        <f t="shared" si="97"/>
        <v>24418</v>
      </c>
      <c r="S90" s="11">
        <f t="shared" si="97"/>
        <v>490816</v>
      </c>
      <c r="T90" s="11">
        <f t="shared" si="97"/>
        <v>0</v>
      </c>
      <c r="U90" s="11">
        <f t="shared" si="97"/>
        <v>105348</v>
      </c>
      <c r="V90" s="11">
        <f t="shared" si="97"/>
        <v>141548</v>
      </c>
      <c r="W90" s="11">
        <f t="shared" si="97"/>
        <v>12258</v>
      </c>
      <c r="X90" s="11">
        <f t="shared" si="97"/>
        <v>0</v>
      </c>
      <c r="Y90" s="11">
        <f t="shared" si="97"/>
        <v>91438</v>
      </c>
      <c r="Z90" s="11">
        <f t="shared" si="97"/>
        <v>22587</v>
      </c>
      <c r="AA90" s="11">
        <f t="shared" si="97"/>
        <v>4067</v>
      </c>
      <c r="AB90" s="11">
        <f t="shared" si="97"/>
        <v>0</v>
      </c>
      <c r="AC90" s="11">
        <f t="shared" si="97"/>
        <v>0</v>
      </c>
      <c r="AD90" s="11">
        <f t="shared" si="97"/>
        <v>11198</v>
      </c>
      <c r="AE90" s="11">
        <f t="shared" si="97"/>
        <v>0</v>
      </c>
      <c r="AF90" s="11">
        <f t="shared" si="97"/>
        <v>1202554</v>
      </c>
      <c r="AG90" s="11">
        <f t="shared" si="97"/>
        <v>0</v>
      </c>
      <c r="AH90" s="11">
        <f t="shared" si="97"/>
        <v>0</v>
      </c>
      <c r="AI90" s="11">
        <f t="shared" si="97"/>
        <v>0</v>
      </c>
      <c r="AJ90" s="11">
        <f t="shared" si="97"/>
        <v>0</v>
      </c>
      <c r="AK90" s="11">
        <f t="shared" si="97"/>
        <v>0</v>
      </c>
      <c r="AL90" s="11">
        <f t="shared" si="97"/>
        <v>12240</v>
      </c>
      <c r="AM90" s="11">
        <f t="shared" ref="AM90:CX90" si="98">SUM(AM91)</f>
        <v>7500</v>
      </c>
      <c r="AN90" s="11">
        <f t="shared" si="98"/>
        <v>0</v>
      </c>
      <c r="AO90" s="11">
        <f t="shared" si="98"/>
        <v>0</v>
      </c>
      <c r="AP90" s="11">
        <f t="shared" si="98"/>
        <v>52380</v>
      </c>
      <c r="AQ90" s="11">
        <f t="shared" si="98"/>
        <v>0</v>
      </c>
      <c r="AR90" s="11">
        <f t="shared" si="98"/>
        <v>0</v>
      </c>
      <c r="AS90" s="11">
        <f t="shared" si="98"/>
        <v>121483</v>
      </c>
      <c r="AT90" s="11">
        <f t="shared" si="98"/>
        <v>0</v>
      </c>
      <c r="AU90" s="11">
        <f t="shared" si="98"/>
        <v>19200</v>
      </c>
      <c r="AV90" s="11"/>
      <c r="AW90" s="11"/>
      <c r="AX90" s="11">
        <f t="shared" si="98"/>
        <v>0</v>
      </c>
      <c r="AY90" s="11">
        <f t="shared" si="98"/>
        <v>954751</v>
      </c>
      <c r="AZ90" s="11">
        <f t="shared" si="98"/>
        <v>0</v>
      </c>
      <c r="BA90" s="11">
        <f t="shared" si="98"/>
        <v>0</v>
      </c>
      <c r="BB90" s="11">
        <f t="shared" si="98"/>
        <v>35000</v>
      </c>
      <c r="BC90" s="11">
        <f t="shared" si="98"/>
        <v>6328</v>
      </c>
      <c r="BD90" s="11">
        <f t="shared" si="98"/>
        <v>0</v>
      </c>
      <c r="BE90" s="11">
        <f t="shared" si="98"/>
        <v>0</v>
      </c>
      <c r="BF90" s="11">
        <f t="shared" si="98"/>
        <v>0</v>
      </c>
      <c r="BG90" s="11">
        <f t="shared" si="98"/>
        <v>0</v>
      </c>
      <c r="BH90" s="11">
        <f t="shared" si="98"/>
        <v>0</v>
      </c>
      <c r="BI90" s="11">
        <f t="shared" si="98"/>
        <v>0</v>
      </c>
      <c r="BJ90" s="11">
        <f t="shared" si="98"/>
        <v>0</v>
      </c>
      <c r="BK90" s="11">
        <f t="shared" si="98"/>
        <v>0</v>
      </c>
      <c r="BL90" s="11">
        <f t="shared" si="98"/>
        <v>0</v>
      </c>
      <c r="BM90" s="11">
        <f t="shared" si="98"/>
        <v>0</v>
      </c>
      <c r="BN90" s="11">
        <f t="shared" si="98"/>
        <v>6328</v>
      </c>
      <c r="BO90" s="11">
        <f t="shared" si="98"/>
        <v>6328</v>
      </c>
      <c r="BP90" s="11">
        <f t="shared" si="98"/>
        <v>0</v>
      </c>
      <c r="BQ90" s="11">
        <f t="shared" si="98"/>
        <v>0</v>
      </c>
      <c r="BR90" s="11">
        <f t="shared" si="98"/>
        <v>0</v>
      </c>
      <c r="BS90" s="11">
        <f t="shared" si="98"/>
        <v>0</v>
      </c>
      <c r="BT90" s="11">
        <f t="shared" si="98"/>
        <v>0</v>
      </c>
      <c r="BU90" s="11">
        <f t="shared" si="98"/>
        <v>0</v>
      </c>
      <c r="BV90" s="11">
        <f t="shared" si="98"/>
        <v>0</v>
      </c>
      <c r="BW90" s="11">
        <f t="shared" si="98"/>
        <v>0</v>
      </c>
      <c r="BX90" s="11">
        <f t="shared" si="98"/>
        <v>0</v>
      </c>
      <c r="BY90" s="11">
        <f t="shared" si="98"/>
        <v>0</v>
      </c>
      <c r="BZ90" s="11">
        <f t="shared" si="98"/>
        <v>0</v>
      </c>
      <c r="CA90" s="11">
        <f t="shared" si="98"/>
        <v>0</v>
      </c>
      <c r="CB90" s="11">
        <f t="shared" si="98"/>
        <v>309098</v>
      </c>
      <c r="CC90" s="11">
        <f t="shared" si="98"/>
        <v>309098</v>
      </c>
      <c r="CD90" s="11">
        <f t="shared" si="98"/>
        <v>274618</v>
      </c>
      <c r="CE90" s="11">
        <f t="shared" si="98"/>
        <v>0</v>
      </c>
      <c r="CF90" s="11">
        <f t="shared" si="98"/>
        <v>274618</v>
      </c>
      <c r="CG90" s="11">
        <f t="shared" si="98"/>
        <v>0</v>
      </c>
      <c r="CH90" s="11">
        <f t="shared" si="98"/>
        <v>0</v>
      </c>
      <c r="CI90" s="11">
        <f t="shared" si="98"/>
        <v>0</v>
      </c>
      <c r="CJ90" s="11">
        <f t="shared" si="98"/>
        <v>0</v>
      </c>
      <c r="CK90" s="11">
        <f t="shared" si="98"/>
        <v>0</v>
      </c>
      <c r="CL90" s="11">
        <f t="shared" si="98"/>
        <v>34480</v>
      </c>
      <c r="CM90" s="11">
        <f t="shared" si="98"/>
        <v>0</v>
      </c>
      <c r="CN90" s="11">
        <f t="shared" si="98"/>
        <v>0</v>
      </c>
      <c r="CO90" s="11">
        <f t="shared" si="98"/>
        <v>34480</v>
      </c>
      <c r="CP90" s="11"/>
      <c r="CQ90" s="11">
        <f t="shared" si="98"/>
        <v>0</v>
      </c>
      <c r="CR90" s="11">
        <f t="shared" si="98"/>
        <v>0</v>
      </c>
      <c r="CS90" s="11">
        <f t="shared" si="98"/>
        <v>0</v>
      </c>
      <c r="CT90" s="11">
        <f t="shared" si="98"/>
        <v>0</v>
      </c>
      <c r="CU90" s="11">
        <f t="shared" si="98"/>
        <v>0</v>
      </c>
      <c r="CV90" s="11">
        <f t="shared" si="98"/>
        <v>0</v>
      </c>
      <c r="CW90" s="11">
        <f t="shared" si="98"/>
        <v>0</v>
      </c>
      <c r="CX90" s="12">
        <f t="shared" si="98"/>
        <v>0</v>
      </c>
    </row>
    <row r="91" spans="1:102" ht="15.75" x14ac:dyDescent="0.25">
      <c r="A91" s="13" t="s">
        <v>1</v>
      </c>
      <c r="B91" s="14" t="s">
        <v>1</v>
      </c>
      <c r="C91" s="14" t="s">
        <v>212</v>
      </c>
      <c r="D91" s="15" t="s">
        <v>213</v>
      </c>
      <c r="E91" s="10">
        <f>SUM(F91+CB91+CU91)</f>
        <v>27668542</v>
      </c>
      <c r="F91" s="11">
        <f>SUM(G91+BC91)</f>
        <v>27359444</v>
      </c>
      <c r="G91" s="11">
        <f>SUM(H91+I91+J91+Q91+T91+U91+V91+AF91+AE91)</f>
        <v>27353116</v>
      </c>
      <c r="H91" s="16">
        <f>21418309+1142310</f>
        <v>22560619</v>
      </c>
      <c r="I91" s="16">
        <f>17441+285577</f>
        <v>303018</v>
      </c>
      <c r="J91" s="11">
        <f t="shared" si="76"/>
        <v>2524795</v>
      </c>
      <c r="K91" s="16">
        <v>17901</v>
      </c>
      <c r="L91" s="16">
        <v>549324</v>
      </c>
      <c r="M91" s="16">
        <v>11118</v>
      </c>
      <c r="N91" s="16"/>
      <c r="O91" s="16">
        <v>1806623</v>
      </c>
      <c r="P91" s="16">
        <v>139829</v>
      </c>
      <c r="Q91" s="11">
        <f t="shared" si="77"/>
        <v>515234</v>
      </c>
      <c r="R91" s="16">
        <v>24418</v>
      </c>
      <c r="S91" s="16">
        <v>490816</v>
      </c>
      <c r="T91" s="16"/>
      <c r="U91" s="16">
        <v>105348</v>
      </c>
      <c r="V91" s="11">
        <f>SUM(W91:AD91)</f>
        <v>141548</v>
      </c>
      <c r="W91" s="16">
        <v>12258</v>
      </c>
      <c r="X91" s="16"/>
      <c r="Y91" s="16">
        <v>91438</v>
      </c>
      <c r="Z91" s="16">
        <v>22587</v>
      </c>
      <c r="AA91" s="16">
        <v>4067</v>
      </c>
      <c r="AB91" s="16"/>
      <c r="AC91" s="16"/>
      <c r="AD91" s="16">
        <v>11198</v>
      </c>
      <c r="AE91" s="11"/>
      <c r="AF91" s="11">
        <f>SUM(AG91:BB91)</f>
        <v>1202554</v>
      </c>
      <c r="AG91" s="11">
        <v>0</v>
      </c>
      <c r="AH91" s="11">
        <v>0</v>
      </c>
      <c r="AI91" s="11">
        <v>0</v>
      </c>
      <c r="AJ91" s="11"/>
      <c r="AK91" s="11">
        <v>0</v>
      </c>
      <c r="AL91" s="11">
        <v>12240</v>
      </c>
      <c r="AM91" s="11">
        <v>7500</v>
      </c>
      <c r="AN91" s="11"/>
      <c r="AO91" s="11"/>
      <c r="AP91" s="11">
        <v>52380</v>
      </c>
      <c r="AQ91" s="11">
        <v>0</v>
      </c>
      <c r="AR91" s="11">
        <v>0</v>
      </c>
      <c r="AS91" s="11">
        <v>121483</v>
      </c>
      <c r="AT91" s="11">
        <v>0</v>
      </c>
      <c r="AU91" s="11">
        <v>19200</v>
      </c>
      <c r="AV91" s="11"/>
      <c r="AW91" s="11"/>
      <c r="AX91" s="11">
        <v>0</v>
      </c>
      <c r="AY91" s="11">
        <v>954751</v>
      </c>
      <c r="AZ91" s="11">
        <v>0</v>
      </c>
      <c r="BA91" s="11">
        <v>0</v>
      </c>
      <c r="BB91" s="11">
        <v>35000</v>
      </c>
      <c r="BC91" s="11">
        <f>SUM(BD91+BH91+BL91+BN91+BP91)</f>
        <v>6328</v>
      </c>
      <c r="BD91" s="11">
        <f>SUM(BE91:BG91)</f>
        <v>0</v>
      </c>
      <c r="BE91" s="11">
        <v>0</v>
      </c>
      <c r="BF91" s="11">
        <v>0</v>
      </c>
      <c r="BG91" s="11">
        <v>0</v>
      </c>
      <c r="BH91" s="11">
        <f t="shared" si="78"/>
        <v>0</v>
      </c>
      <c r="BI91" s="11">
        <v>0</v>
      </c>
      <c r="BJ91" s="11">
        <v>0</v>
      </c>
      <c r="BK91" s="11">
        <v>0</v>
      </c>
      <c r="BL91" s="11">
        <v>0</v>
      </c>
      <c r="BM91" s="11">
        <v>0</v>
      </c>
      <c r="BN91" s="11">
        <f t="shared" si="79"/>
        <v>6328</v>
      </c>
      <c r="BO91" s="11">
        <v>6328</v>
      </c>
      <c r="BP91" s="11">
        <f t="shared" si="80"/>
        <v>0</v>
      </c>
      <c r="BQ91" s="11">
        <v>0</v>
      </c>
      <c r="BR91" s="11">
        <v>0</v>
      </c>
      <c r="BS91" s="11">
        <v>0</v>
      </c>
      <c r="BT91" s="11">
        <v>0</v>
      </c>
      <c r="BU91" s="11">
        <v>0</v>
      </c>
      <c r="BV91" s="11">
        <v>0</v>
      </c>
      <c r="BW91" s="11">
        <v>0</v>
      </c>
      <c r="BX91" s="11">
        <v>0</v>
      </c>
      <c r="BY91" s="11">
        <v>0</v>
      </c>
      <c r="BZ91" s="11">
        <v>0</v>
      </c>
      <c r="CA91" s="11"/>
      <c r="CB91" s="11">
        <f>SUM(CC91+CT91)</f>
        <v>309098</v>
      </c>
      <c r="CC91" s="11">
        <f>SUM(CD91+CG91+CL91)</f>
        <v>309098</v>
      </c>
      <c r="CD91" s="11">
        <f t="shared" si="81"/>
        <v>274618</v>
      </c>
      <c r="CE91" s="11">
        <v>0</v>
      </c>
      <c r="CF91" s="11">
        <v>274618</v>
      </c>
      <c r="CG91" s="11">
        <f>SUM(CH91:CK91)</f>
        <v>0</v>
      </c>
      <c r="CH91" s="11">
        <v>0</v>
      </c>
      <c r="CI91" s="11">
        <v>0</v>
      </c>
      <c r="CJ91" s="11">
        <v>0</v>
      </c>
      <c r="CK91" s="11">
        <v>0</v>
      </c>
      <c r="CL91" s="11">
        <f>SUM(CM91:CQ91)</f>
        <v>34480</v>
      </c>
      <c r="CM91" s="11">
        <v>0</v>
      </c>
      <c r="CN91" s="11"/>
      <c r="CO91" s="11">
        <v>34480</v>
      </c>
      <c r="CP91" s="11"/>
      <c r="CQ91" s="11">
        <v>0</v>
      </c>
      <c r="CR91" s="11">
        <v>0</v>
      </c>
      <c r="CS91" s="11">
        <v>0</v>
      </c>
      <c r="CT91" s="11">
        <v>0</v>
      </c>
      <c r="CU91" s="11">
        <f t="shared" si="82"/>
        <v>0</v>
      </c>
      <c r="CV91" s="11">
        <f t="shared" si="83"/>
        <v>0</v>
      </c>
      <c r="CW91" s="11">
        <v>0</v>
      </c>
      <c r="CX91" s="12">
        <v>0</v>
      </c>
    </row>
    <row r="92" spans="1:102" ht="47.25" x14ac:dyDescent="0.25">
      <c r="A92" s="18" t="s">
        <v>214</v>
      </c>
      <c r="B92" s="19" t="s">
        <v>1</v>
      </c>
      <c r="C92" s="19" t="s">
        <v>1</v>
      </c>
      <c r="D92" s="20" t="s">
        <v>215</v>
      </c>
      <c r="E92" s="21">
        <f>SUM(E93+E96)</f>
        <v>18650594</v>
      </c>
      <c r="F92" s="22">
        <f t="shared" ref="F92:BV92" si="99">SUM(F93+F96)</f>
        <v>18650594</v>
      </c>
      <c r="G92" s="22">
        <f t="shared" si="99"/>
        <v>18633153</v>
      </c>
      <c r="H92" s="22">
        <f t="shared" si="99"/>
        <v>8000341</v>
      </c>
      <c r="I92" s="22">
        <f t="shared" si="99"/>
        <v>1932686</v>
      </c>
      <c r="J92" s="22">
        <f t="shared" si="99"/>
        <v>35497</v>
      </c>
      <c r="K92" s="22">
        <f t="shared" si="99"/>
        <v>0</v>
      </c>
      <c r="L92" s="22">
        <f t="shared" si="99"/>
        <v>0</v>
      </c>
      <c r="M92" s="22">
        <f t="shared" si="99"/>
        <v>0</v>
      </c>
      <c r="N92" s="22">
        <f t="shared" si="99"/>
        <v>0</v>
      </c>
      <c r="O92" s="22">
        <f t="shared" si="99"/>
        <v>35497</v>
      </c>
      <c r="P92" s="22">
        <f t="shared" si="99"/>
        <v>0</v>
      </c>
      <c r="Q92" s="22">
        <f t="shared" si="99"/>
        <v>85</v>
      </c>
      <c r="R92" s="22">
        <f t="shared" si="99"/>
        <v>85</v>
      </c>
      <c r="S92" s="22">
        <f t="shared" si="99"/>
        <v>0</v>
      </c>
      <c r="T92" s="22">
        <f t="shared" si="99"/>
        <v>0</v>
      </c>
      <c r="U92" s="22">
        <f t="shared" si="99"/>
        <v>69185</v>
      </c>
      <c r="V92" s="22">
        <f t="shared" si="99"/>
        <v>664629</v>
      </c>
      <c r="W92" s="22">
        <f t="shared" si="99"/>
        <v>0</v>
      </c>
      <c r="X92" s="22">
        <f t="shared" si="99"/>
        <v>398957</v>
      </c>
      <c r="Y92" s="22">
        <f t="shared" si="99"/>
        <v>164779</v>
      </c>
      <c r="Z92" s="22">
        <f t="shared" si="99"/>
        <v>98978</v>
      </c>
      <c r="AA92" s="22">
        <f t="shared" si="99"/>
        <v>1824</v>
      </c>
      <c r="AB92" s="22">
        <f t="shared" si="99"/>
        <v>0</v>
      </c>
      <c r="AC92" s="22">
        <f t="shared" si="99"/>
        <v>0</v>
      </c>
      <c r="AD92" s="22">
        <f t="shared" si="99"/>
        <v>91</v>
      </c>
      <c r="AE92" s="22">
        <f t="shared" si="99"/>
        <v>0</v>
      </c>
      <c r="AF92" s="22">
        <f t="shared" si="99"/>
        <v>7930730</v>
      </c>
      <c r="AG92" s="22">
        <f t="shared" si="99"/>
        <v>0</v>
      </c>
      <c r="AH92" s="22">
        <f t="shared" si="99"/>
        <v>7500000</v>
      </c>
      <c r="AI92" s="22">
        <f t="shared" si="99"/>
        <v>0</v>
      </c>
      <c r="AJ92" s="22">
        <f t="shared" si="99"/>
        <v>0</v>
      </c>
      <c r="AK92" s="22">
        <f t="shared" si="99"/>
        <v>0</v>
      </c>
      <c r="AL92" s="22">
        <f t="shared" si="99"/>
        <v>2345</v>
      </c>
      <c r="AM92" s="22">
        <f t="shared" si="99"/>
        <v>0</v>
      </c>
      <c r="AN92" s="22">
        <f t="shared" si="99"/>
        <v>0</v>
      </c>
      <c r="AO92" s="22">
        <f t="shared" si="99"/>
        <v>0</v>
      </c>
      <c r="AP92" s="22">
        <f t="shared" si="99"/>
        <v>0</v>
      </c>
      <c r="AQ92" s="22">
        <f t="shared" si="99"/>
        <v>0</v>
      </c>
      <c r="AR92" s="22">
        <f>SUM(AR93+AR96)</f>
        <v>0</v>
      </c>
      <c r="AS92" s="22">
        <f t="shared" si="99"/>
        <v>0</v>
      </c>
      <c r="AT92" s="22">
        <f t="shared" si="99"/>
        <v>0</v>
      </c>
      <c r="AU92" s="22">
        <f t="shared" si="99"/>
        <v>0</v>
      </c>
      <c r="AV92" s="22"/>
      <c r="AW92" s="22"/>
      <c r="AX92" s="22">
        <f t="shared" si="99"/>
        <v>0</v>
      </c>
      <c r="AY92" s="22">
        <f t="shared" si="99"/>
        <v>0</v>
      </c>
      <c r="AZ92" s="22">
        <f t="shared" si="99"/>
        <v>0</v>
      </c>
      <c r="BA92" s="22">
        <f t="shared" si="99"/>
        <v>428385</v>
      </c>
      <c r="BB92" s="22">
        <f t="shared" si="99"/>
        <v>0</v>
      </c>
      <c r="BC92" s="22">
        <f t="shared" si="99"/>
        <v>17441</v>
      </c>
      <c r="BD92" s="22">
        <f t="shared" si="99"/>
        <v>0</v>
      </c>
      <c r="BE92" s="22">
        <f t="shared" si="99"/>
        <v>0</v>
      </c>
      <c r="BF92" s="22">
        <f t="shared" si="99"/>
        <v>0</v>
      </c>
      <c r="BG92" s="22">
        <f t="shared" si="99"/>
        <v>0</v>
      </c>
      <c r="BH92" s="22">
        <f t="shared" si="99"/>
        <v>0</v>
      </c>
      <c r="BI92" s="22">
        <f t="shared" si="99"/>
        <v>0</v>
      </c>
      <c r="BJ92" s="22">
        <f t="shared" si="99"/>
        <v>0</v>
      </c>
      <c r="BK92" s="22">
        <f t="shared" si="99"/>
        <v>0</v>
      </c>
      <c r="BL92" s="22">
        <f t="shared" si="99"/>
        <v>0</v>
      </c>
      <c r="BM92" s="22">
        <f t="shared" si="99"/>
        <v>0</v>
      </c>
      <c r="BN92" s="22">
        <f t="shared" si="99"/>
        <v>0</v>
      </c>
      <c r="BO92" s="22">
        <f t="shared" si="99"/>
        <v>0</v>
      </c>
      <c r="BP92" s="22">
        <f t="shared" si="99"/>
        <v>17441</v>
      </c>
      <c r="BQ92" s="22">
        <f t="shared" si="99"/>
        <v>0</v>
      </c>
      <c r="BR92" s="22">
        <f t="shared" si="99"/>
        <v>0</v>
      </c>
      <c r="BS92" s="22">
        <f t="shared" si="99"/>
        <v>17441</v>
      </c>
      <c r="BT92" s="22">
        <f t="shared" si="99"/>
        <v>0</v>
      </c>
      <c r="BU92" s="22">
        <f t="shared" si="99"/>
        <v>0</v>
      </c>
      <c r="BV92" s="22">
        <f t="shared" si="99"/>
        <v>0</v>
      </c>
      <c r="BW92" s="22">
        <f t="shared" ref="BW92:CX92" si="100">SUM(BW93+BW96)</f>
        <v>0</v>
      </c>
      <c r="BX92" s="22">
        <f t="shared" si="100"/>
        <v>0</v>
      </c>
      <c r="BY92" s="22">
        <f t="shared" si="100"/>
        <v>0</v>
      </c>
      <c r="BZ92" s="22">
        <f t="shared" si="100"/>
        <v>0</v>
      </c>
      <c r="CA92" s="22">
        <f t="shared" si="100"/>
        <v>0</v>
      </c>
      <c r="CB92" s="22">
        <f t="shared" si="100"/>
        <v>0</v>
      </c>
      <c r="CC92" s="22">
        <f t="shared" si="100"/>
        <v>0</v>
      </c>
      <c r="CD92" s="22">
        <f t="shared" si="100"/>
        <v>0</v>
      </c>
      <c r="CE92" s="22">
        <f t="shared" si="100"/>
        <v>0</v>
      </c>
      <c r="CF92" s="22">
        <f t="shared" si="100"/>
        <v>0</v>
      </c>
      <c r="CG92" s="22">
        <f t="shared" si="100"/>
        <v>0</v>
      </c>
      <c r="CH92" s="22">
        <f t="shared" si="100"/>
        <v>0</v>
      </c>
      <c r="CI92" s="22">
        <f t="shared" si="100"/>
        <v>0</v>
      </c>
      <c r="CJ92" s="22">
        <f t="shared" si="100"/>
        <v>0</v>
      </c>
      <c r="CK92" s="22">
        <f t="shared" si="100"/>
        <v>0</v>
      </c>
      <c r="CL92" s="22">
        <f t="shared" si="100"/>
        <v>0</v>
      </c>
      <c r="CM92" s="22">
        <f t="shared" si="100"/>
        <v>0</v>
      </c>
      <c r="CN92" s="22">
        <f t="shared" si="100"/>
        <v>0</v>
      </c>
      <c r="CO92" s="22">
        <f t="shared" si="100"/>
        <v>0</v>
      </c>
      <c r="CP92" s="22"/>
      <c r="CQ92" s="22">
        <f t="shared" si="100"/>
        <v>0</v>
      </c>
      <c r="CR92" s="22">
        <f t="shared" si="100"/>
        <v>0</v>
      </c>
      <c r="CS92" s="22">
        <f t="shared" si="100"/>
        <v>0</v>
      </c>
      <c r="CT92" s="22">
        <f t="shared" si="100"/>
        <v>0</v>
      </c>
      <c r="CU92" s="22">
        <f t="shared" si="100"/>
        <v>0</v>
      </c>
      <c r="CV92" s="22">
        <f t="shared" si="100"/>
        <v>0</v>
      </c>
      <c r="CW92" s="22">
        <f t="shared" si="100"/>
        <v>0</v>
      </c>
      <c r="CX92" s="23">
        <f t="shared" si="100"/>
        <v>0</v>
      </c>
    </row>
    <row r="93" spans="1:102" ht="15.75" x14ac:dyDescent="0.25">
      <c r="A93" s="7"/>
      <c r="B93" s="8" t="s">
        <v>216</v>
      </c>
      <c r="C93" s="8" t="s">
        <v>1</v>
      </c>
      <c r="D93" s="9" t="s">
        <v>217</v>
      </c>
      <c r="E93" s="10">
        <f t="shared" ref="E93:AL93" si="101">SUM(E94:E95)</f>
        <v>10794289</v>
      </c>
      <c r="F93" s="11">
        <f t="shared" si="101"/>
        <v>10794289</v>
      </c>
      <c r="G93" s="11">
        <f t="shared" si="101"/>
        <v>10776848</v>
      </c>
      <c r="H93" s="11">
        <f t="shared" si="101"/>
        <v>7711237</v>
      </c>
      <c r="I93" s="11">
        <f t="shared" si="101"/>
        <v>1865485</v>
      </c>
      <c r="J93" s="11">
        <f t="shared" si="101"/>
        <v>35497</v>
      </c>
      <c r="K93" s="11">
        <f t="shared" si="101"/>
        <v>0</v>
      </c>
      <c r="L93" s="11">
        <f t="shared" si="101"/>
        <v>0</v>
      </c>
      <c r="M93" s="11">
        <f t="shared" si="101"/>
        <v>0</v>
      </c>
      <c r="N93" s="11">
        <f t="shared" si="101"/>
        <v>0</v>
      </c>
      <c r="O93" s="11">
        <f t="shared" si="101"/>
        <v>35497</v>
      </c>
      <c r="P93" s="11">
        <f t="shared" si="101"/>
        <v>0</v>
      </c>
      <c r="Q93" s="11">
        <f t="shared" si="101"/>
        <v>85</v>
      </c>
      <c r="R93" s="11">
        <f t="shared" si="101"/>
        <v>85</v>
      </c>
      <c r="S93" s="11">
        <f t="shared" si="101"/>
        <v>0</v>
      </c>
      <c r="T93" s="11">
        <f t="shared" si="101"/>
        <v>0</v>
      </c>
      <c r="U93" s="11">
        <f t="shared" si="101"/>
        <v>69185</v>
      </c>
      <c r="V93" s="11">
        <f t="shared" si="101"/>
        <v>664629</v>
      </c>
      <c r="W93" s="11">
        <f t="shared" si="101"/>
        <v>0</v>
      </c>
      <c r="X93" s="11">
        <f t="shared" si="101"/>
        <v>398957</v>
      </c>
      <c r="Y93" s="11">
        <f t="shared" si="101"/>
        <v>164779</v>
      </c>
      <c r="Z93" s="11">
        <f t="shared" si="101"/>
        <v>98978</v>
      </c>
      <c r="AA93" s="11">
        <f t="shared" si="101"/>
        <v>1824</v>
      </c>
      <c r="AB93" s="11">
        <f t="shared" si="101"/>
        <v>0</v>
      </c>
      <c r="AC93" s="11">
        <f t="shared" si="101"/>
        <v>0</v>
      </c>
      <c r="AD93" s="11">
        <f t="shared" ref="AD93:AE93" si="102">SUM(AD94:AD95)</f>
        <v>91</v>
      </c>
      <c r="AE93" s="11">
        <f t="shared" si="102"/>
        <v>0</v>
      </c>
      <c r="AF93" s="11">
        <f t="shared" si="101"/>
        <v>430730</v>
      </c>
      <c r="AG93" s="11">
        <f t="shared" si="101"/>
        <v>0</v>
      </c>
      <c r="AH93" s="11">
        <f t="shared" ref="AH93" si="103">SUM(AH94:AH95)</f>
        <v>0</v>
      </c>
      <c r="AI93" s="11">
        <f t="shared" si="101"/>
        <v>0</v>
      </c>
      <c r="AJ93" s="11">
        <f t="shared" si="101"/>
        <v>0</v>
      </c>
      <c r="AK93" s="11">
        <f t="shared" si="101"/>
        <v>0</v>
      </c>
      <c r="AL93" s="11">
        <f t="shared" si="101"/>
        <v>2345</v>
      </c>
      <c r="AM93" s="11">
        <f t="shared" ref="AM93:CX93" si="104">SUM(AM94:AM95)</f>
        <v>0</v>
      </c>
      <c r="AN93" s="11">
        <f t="shared" si="104"/>
        <v>0</v>
      </c>
      <c r="AO93" s="11">
        <f t="shared" si="104"/>
        <v>0</v>
      </c>
      <c r="AP93" s="11">
        <f t="shared" si="104"/>
        <v>0</v>
      </c>
      <c r="AQ93" s="11">
        <f t="shared" si="104"/>
        <v>0</v>
      </c>
      <c r="AR93" s="11">
        <f>SUM(AR94:AR95)</f>
        <v>0</v>
      </c>
      <c r="AS93" s="11">
        <f t="shared" si="104"/>
        <v>0</v>
      </c>
      <c r="AT93" s="11">
        <f t="shared" si="104"/>
        <v>0</v>
      </c>
      <c r="AU93" s="11">
        <f t="shared" si="104"/>
        <v>0</v>
      </c>
      <c r="AV93" s="11"/>
      <c r="AW93" s="11"/>
      <c r="AX93" s="11">
        <f t="shared" si="104"/>
        <v>0</v>
      </c>
      <c r="AY93" s="11">
        <f t="shared" si="104"/>
        <v>0</v>
      </c>
      <c r="AZ93" s="11">
        <f t="shared" si="104"/>
        <v>0</v>
      </c>
      <c r="BA93" s="11">
        <f t="shared" si="104"/>
        <v>428385</v>
      </c>
      <c r="BB93" s="11">
        <f t="shared" si="104"/>
        <v>0</v>
      </c>
      <c r="BC93" s="11">
        <f t="shared" si="104"/>
        <v>17441</v>
      </c>
      <c r="BD93" s="11">
        <f t="shared" si="104"/>
        <v>0</v>
      </c>
      <c r="BE93" s="11">
        <f t="shared" si="104"/>
        <v>0</v>
      </c>
      <c r="BF93" s="11">
        <f t="shared" si="104"/>
        <v>0</v>
      </c>
      <c r="BG93" s="11">
        <f t="shared" si="104"/>
        <v>0</v>
      </c>
      <c r="BH93" s="11">
        <f t="shared" si="104"/>
        <v>0</v>
      </c>
      <c r="BI93" s="11">
        <f t="shared" si="104"/>
        <v>0</v>
      </c>
      <c r="BJ93" s="11">
        <f t="shared" si="104"/>
        <v>0</v>
      </c>
      <c r="BK93" s="11">
        <f t="shared" si="104"/>
        <v>0</v>
      </c>
      <c r="BL93" s="11">
        <f t="shared" si="104"/>
        <v>0</v>
      </c>
      <c r="BM93" s="11">
        <f t="shared" si="104"/>
        <v>0</v>
      </c>
      <c r="BN93" s="11">
        <f t="shared" si="104"/>
        <v>0</v>
      </c>
      <c r="BO93" s="11">
        <f t="shared" si="104"/>
        <v>0</v>
      </c>
      <c r="BP93" s="11">
        <f t="shared" si="104"/>
        <v>17441</v>
      </c>
      <c r="BQ93" s="11">
        <f t="shared" si="104"/>
        <v>0</v>
      </c>
      <c r="BR93" s="11">
        <f t="shared" si="104"/>
        <v>0</v>
      </c>
      <c r="BS93" s="11">
        <f t="shared" si="104"/>
        <v>17441</v>
      </c>
      <c r="BT93" s="11">
        <f t="shared" si="104"/>
        <v>0</v>
      </c>
      <c r="BU93" s="11">
        <f t="shared" si="104"/>
        <v>0</v>
      </c>
      <c r="BV93" s="11">
        <f t="shared" si="104"/>
        <v>0</v>
      </c>
      <c r="BW93" s="11">
        <f t="shared" si="104"/>
        <v>0</v>
      </c>
      <c r="BX93" s="11">
        <f t="shared" si="104"/>
        <v>0</v>
      </c>
      <c r="BY93" s="11">
        <f t="shared" si="104"/>
        <v>0</v>
      </c>
      <c r="BZ93" s="11">
        <f t="shared" si="104"/>
        <v>0</v>
      </c>
      <c r="CA93" s="11">
        <f t="shared" si="104"/>
        <v>0</v>
      </c>
      <c r="CB93" s="11">
        <f t="shared" si="104"/>
        <v>0</v>
      </c>
      <c r="CC93" s="11">
        <f t="shared" si="104"/>
        <v>0</v>
      </c>
      <c r="CD93" s="11">
        <f t="shared" si="104"/>
        <v>0</v>
      </c>
      <c r="CE93" s="11">
        <f t="shared" si="104"/>
        <v>0</v>
      </c>
      <c r="CF93" s="11">
        <f t="shared" si="104"/>
        <v>0</v>
      </c>
      <c r="CG93" s="11">
        <f t="shared" si="104"/>
        <v>0</v>
      </c>
      <c r="CH93" s="11">
        <f t="shared" si="104"/>
        <v>0</v>
      </c>
      <c r="CI93" s="11">
        <f t="shared" si="104"/>
        <v>0</v>
      </c>
      <c r="CJ93" s="11">
        <f t="shared" si="104"/>
        <v>0</v>
      </c>
      <c r="CK93" s="11">
        <f t="shared" si="104"/>
        <v>0</v>
      </c>
      <c r="CL93" s="11">
        <f t="shared" si="104"/>
        <v>0</v>
      </c>
      <c r="CM93" s="11">
        <f t="shared" si="104"/>
        <v>0</v>
      </c>
      <c r="CN93" s="11">
        <f t="shared" si="104"/>
        <v>0</v>
      </c>
      <c r="CO93" s="11">
        <f t="shared" si="104"/>
        <v>0</v>
      </c>
      <c r="CP93" s="11"/>
      <c r="CQ93" s="11">
        <f t="shared" si="104"/>
        <v>0</v>
      </c>
      <c r="CR93" s="11">
        <f t="shared" si="104"/>
        <v>0</v>
      </c>
      <c r="CS93" s="11">
        <f t="shared" si="104"/>
        <v>0</v>
      </c>
      <c r="CT93" s="11">
        <f t="shared" si="104"/>
        <v>0</v>
      </c>
      <c r="CU93" s="11">
        <f t="shared" si="104"/>
        <v>0</v>
      </c>
      <c r="CV93" s="11">
        <f t="shared" si="104"/>
        <v>0</v>
      </c>
      <c r="CW93" s="11">
        <f t="shared" si="104"/>
        <v>0</v>
      </c>
      <c r="CX93" s="12">
        <f t="shared" si="104"/>
        <v>0</v>
      </c>
    </row>
    <row r="94" spans="1:102" ht="31.5" x14ac:dyDescent="0.25">
      <c r="A94" s="13"/>
      <c r="B94" s="14" t="s">
        <v>1</v>
      </c>
      <c r="C94" s="14" t="s">
        <v>109</v>
      </c>
      <c r="D94" s="15" t="s">
        <v>218</v>
      </c>
      <c r="E94" s="10">
        <f>SUM(F94+CB94+CU94)</f>
        <v>8725045</v>
      </c>
      <c r="F94" s="11">
        <f>SUM(G94+BC94)</f>
        <v>8725045</v>
      </c>
      <c r="G94" s="11">
        <f>SUM(H94+I94+J94+Q94+T94+U94+V94+AF94+AE94)</f>
        <v>8707604</v>
      </c>
      <c r="H94" s="16">
        <f>5955229+158806</f>
        <v>6114035</v>
      </c>
      <c r="I94" s="16">
        <f>1459814+39702</f>
        <v>1499516</v>
      </c>
      <c r="J94" s="11">
        <f t="shared" si="76"/>
        <v>0</v>
      </c>
      <c r="K94" s="11">
        <v>0</v>
      </c>
      <c r="L94" s="11">
        <v>0</v>
      </c>
      <c r="M94" s="11">
        <v>0</v>
      </c>
      <c r="N94" s="11">
        <v>0</v>
      </c>
      <c r="O94" s="11"/>
      <c r="P94" s="11"/>
      <c r="Q94" s="11">
        <f t="shared" si="77"/>
        <v>0</v>
      </c>
      <c r="R94" s="11">
        <v>0</v>
      </c>
      <c r="S94" s="11">
        <v>0</v>
      </c>
      <c r="T94" s="11">
        <v>0</v>
      </c>
      <c r="U94" s="16">
        <v>38273</v>
      </c>
      <c r="V94" s="11">
        <f t="shared" ref="V94:V95" si="105">SUM(W94:AD94)</f>
        <v>656675</v>
      </c>
      <c r="W94" s="16"/>
      <c r="X94" s="16">
        <v>398957</v>
      </c>
      <c r="Y94" s="16">
        <v>156916</v>
      </c>
      <c r="Z94" s="16">
        <v>98978</v>
      </c>
      <c r="AA94" s="16">
        <v>1824</v>
      </c>
      <c r="AB94" s="16"/>
      <c r="AC94" s="16"/>
      <c r="AD94" s="16"/>
      <c r="AE94" s="11">
        <v>0</v>
      </c>
      <c r="AF94" s="11">
        <f>SUM(AG94:BB94)</f>
        <v>399105</v>
      </c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1">
        <v>0</v>
      </c>
      <c r="AV94" s="11"/>
      <c r="AW94" s="11"/>
      <c r="AX94" s="11">
        <v>0</v>
      </c>
      <c r="AY94" s="11">
        <v>0</v>
      </c>
      <c r="AZ94" s="11">
        <v>0</v>
      </c>
      <c r="BA94" s="16">
        <v>399105</v>
      </c>
      <c r="BB94" s="11">
        <v>0</v>
      </c>
      <c r="BC94" s="11">
        <f>SUM(BD94+BH94+BL94+BN94+BP94)</f>
        <v>17441</v>
      </c>
      <c r="BD94" s="11">
        <f>SUM(BE94:BG94)</f>
        <v>0</v>
      </c>
      <c r="BE94" s="11">
        <v>0</v>
      </c>
      <c r="BF94" s="11">
        <v>0</v>
      </c>
      <c r="BG94" s="11">
        <v>0</v>
      </c>
      <c r="BH94" s="11">
        <f t="shared" si="78"/>
        <v>0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f t="shared" si="79"/>
        <v>0</v>
      </c>
      <c r="BO94" s="11">
        <v>0</v>
      </c>
      <c r="BP94" s="11">
        <f t="shared" si="80"/>
        <v>17441</v>
      </c>
      <c r="BQ94" s="11">
        <v>0</v>
      </c>
      <c r="BR94" s="11">
        <v>0</v>
      </c>
      <c r="BS94" s="11">
        <v>17441</v>
      </c>
      <c r="BT94" s="11">
        <v>0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f>SUM(CC94+CT94)</f>
        <v>0</v>
      </c>
      <c r="CC94" s="11">
        <f>SUM(CD94+CG94+CL94)</f>
        <v>0</v>
      </c>
      <c r="CD94" s="11">
        <f t="shared" si="81"/>
        <v>0</v>
      </c>
      <c r="CE94" s="11">
        <v>0</v>
      </c>
      <c r="CF94" s="11">
        <v>0</v>
      </c>
      <c r="CG94" s="11">
        <f>SUM(CH94:CK94)</f>
        <v>0</v>
      </c>
      <c r="CH94" s="11">
        <v>0</v>
      </c>
      <c r="CI94" s="11">
        <v>0</v>
      </c>
      <c r="CJ94" s="11">
        <v>0</v>
      </c>
      <c r="CK94" s="11">
        <v>0</v>
      </c>
      <c r="CL94" s="11">
        <f>SUM(CM94:CQ94)</f>
        <v>0</v>
      </c>
      <c r="CM94" s="11">
        <v>0</v>
      </c>
      <c r="CN94" s="11">
        <v>0</v>
      </c>
      <c r="CO94" s="11">
        <v>0</v>
      </c>
      <c r="CP94" s="11"/>
      <c r="CQ94" s="11">
        <v>0</v>
      </c>
      <c r="CR94" s="11">
        <v>0</v>
      </c>
      <c r="CS94" s="11">
        <v>0</v>
      </c>
      <c r="CT94" s="11">
        <v>0</v>
      </c>
      <c r="CU94" s="11">
        <f t="shared" si="82"/>
        <v>0</v>
      </c>
      <c r="CV94" s="11">
        <f t="shared" si="83"/>
        <v>0</v>
      </c>
      <c r="CW94" s="11">
        <v>0</v>
      </c>
      <c r="CX94" s="12">
        <v>0</v>
      </c>
    </row>
    <row r="95" spans="1:102" ht="31.5" x14ac:dyDescent="0.25">
      <c r="A95" s="13"/>
      <c r="B95" s="14" t="s">
        <v>1</v>
      </c>
      <c r="C95" s="14" t="s">
        <v>121</v>
      </c>
      <c r="D95" s="15" t="s">
        <v>219</v>
      </c>
      <c r="E95" s="10">
        <f>SUM(F95+CB95+CU95)</f>
        <v>2069244</v>
      </c>
      <c r="F95" s="11">
        <f>SUM(G95+BC95)</f>
        <v>2069244</v>
      </c>
      <c r="G95" s="11">
        <f>SUM(H95+I95+J95+Q95+T95+U95+V95+AF95+AE95)</f>
        <v>2069244</v>
      </c>
      <c r="H95" s="16">
        <f>1516331+80871</f>
        <v>1597202</v>
      </c>
      <c r="I95" s="16">
        <f>345751+20218</f>
        <v>365969</v>
      </c>
      <c r="J95" s="11">
        <f t="shared" si="76"/>
        <v>35497</v>
      </c>
      <c r="K95" s="11">
        <v>0</v>
      </c>
      <c r="L95" s="11">
        <v>0</v>
      </c>
      <c r="M95" s="11">
        <v>0</v>
      </c>
      <c r="N95" s="11">
        <v>0</v>
      </c>
      <c r="O95" s="11">
        <v>35497</v>
      </c>
      <c r="P95" s="11"/>
      <c r="Q95" s="11">
        <f t="shared" si="77"/>
        <v>85</v>
      </c>
      <c r="R95" s="11">
        <v>85</v>
      </c>
      <c r="S95" s="11">
        <v>0</v>
      </c>
      <c r="T95" s="11">
        <v>0</v>
      </c>
      <c r="U95" s="16">
        <v>30912</v>
      </c>
      <c r="V95" s="11">
        <f t="shared" si="105"/>
        <v>7954</v>
      </c>
      <c r="W95" s="16"/>
      <c r="X95" s="16"/>
      <c r="Y95" s="16">
        <v>7863</v>
      </c>
      <c r="Z95" s="16"/>
      <c r="AA95" s="16"/>
      <c r="AB95" s="16"/>
      <c r="AC95" s="16"/>
      <c r="AD95" s="16">
        <v>91</v>
      </c>
      <c r="AE95" s="11"/>
      <c r="AF95" s="11">
        <f>SUM(AG95:BB95)</f>
        <v>31625</v>
      </c>
      <c r="AG95" s="16"/>
      <c r="AH95" s="16"/>
      <c r="AI95" s="16"/>
      <c r="AJ95" s="16"/>
      <c r="AK95" s="16"/>
      <c r="AL95" s="16">
        <v>2345</v>
      </c>
      <c r="AM95" s="16"/>
      <c r="AN95" s="16"/>
      <c r="AO95" s="16"/>
      <c r="AP95" s="16"/>
      <c r="AQ95" s="16"/>
      <c r="AR95" s="16"/>
      <c r="AS95" s="16"/>
      <c r="AT95" s="16"/>
      <c r="AU95" s="11">
        <v>0</v>
      </c>
      <c r="AV95" s="11"/>
      <c r="AW95" s="11"/>
      <c r="AX95" s="11">
        <v>0</v>
      </c>
      <c r="AY95" s="11">
        <v>0</v>
      </c>
      <c r="AZ95" s="11">
        <v>0</v>
      </c>
      <c r="BA95" s="16">
        <v>29280</v>
      </c>
      <c r="BB95" s="11">
        <v>0</v>
      </c>
      <c r="BC95" s="11">
        <f>SUM(BD95+BH95+BL95+BN95+BP95)</f>
        <v>0</v>
      </c>
      <c r="BD95" s="11">
        <f>SUM(BE95:BG95)</f>
        <v>0</v>
      </c>
      <c r="BE95" s="11">
        <v>0</v>
      </c>
      <c r="BF95" s="11">
        <v>0</v>
      </c>
      <c r="BG95" s="11">
        <v>0</v>
      </c>
      <c r="BH95" s="11">
        <f t="shared" si="78"/>
        <v>0</v>
      </c>
      <c r="BI95" s="11">
        <v>0</v>
      </c>
      <c r="BJ95" s="11">
        <v>0</v>
      </c>
      <c r="BK95" s="11">
        <v>0</v>
      </c>
      <c r="BL95" s="11">
        <v>0</v>
      </c>
      <c r="BM95" s="11">
        <v>0</v>
      </c>
      <c r="BN95" s="11">
        <f t="shared" si="79"/>
        <v>0</v>
      </c>
      <c r="BO95" s="11">
        <v>0</v>
      </c>
      <c r="BP95" s="11">
        <f t="shared" si="80"/>
        <v>0</v>
      </c>
      <c r="BQ95" s="11">
        <v>0</v>
      </c>
      <c r="BR95" s="11">
        <v>0</v>
      </c>
      <c r="BS95" s="11">
        <v>0</v>
      </c>
      <c r="BT95" s="11">
        <v>0</v>
      </c>
      <c r="BU95" s="11">
        <v>0</v>
      </c>
      <c r="BV95" s="11">
        <v>0</v>
      </c>
      <c r="BW95" s="11">
        <v>0</v>
      </c>
      <c r="BX95" s="11">
        <v>0</v>
      </c>
      <c r="BY95" s="11">
        <v>0</v>
      </c>
      <c r="BZ95" s="11">
        <v>0</v>
      </c>
      <c r="CA95" s="11">
        <v>0</v>
      </c>
      <c r="CB95" s="11">
        <f>SUM(CC95+CT95)</f>
        <v>0</v>
      </c>
      <c r="CC95" s="11">
        <f>SUM(CD95+CG95+CL95)</f>
        <v>0</v>
      </c>
      <c r="CD95" s="11">
        <f t="shared" si="81"/>
        <v>0</v>
      </c>
      <c r="CE95" s="11">
        <v>0</v>
      </c>
      <c r="CF95" s="11"/>
      <c r="CG95" s="11">
        <f>SUM(CH95:CK95)</f>
        <v>0</v>
      </c>
      <c r="CH95" s="11">
        <v>0</v>
      </c>
      <c r="CI95" s="11">
        <v>0</v>
      </c>
      <c r="CJ95" s="11">
        <v>0</v>
      </c>
      <c r="CK95" s="11">
        <v>0</v>
      </c>
      <c r="CL95" s="11">
        <f>SUM(CM95:CQ95)</f>
        <v>0</v>
      </c>
      <c r="CM95" s="11">
        <v>0</v>
      </c>
      <c r="CN95" s="11">
        <v>0</v>
      </c>
      <c r="CO95" s="11">
        <v>0</v>
      </c>
      <c r="CP95" s="11"/>
      <c r="CQ95" s="11">
        <v>0</v>
      </c>
      <c r="CR95" s="11">
        <v>0</v>
      </c>
      <c r="CS95" s="11">
        <v>0</v>
      </c>
      <c r="CT95" s="11">
        <v>0</v>
      </c>
      <c r="CU95" s="11">
        <f t="shared" si="82"/>
        <v>0</v>
      </c>
      <c r="CV95" s="11">
        <f t="shared" si="83"/>
        <v>0</v>
      </c>
      <c r="CW95" s="11">
        <v>0</v>
      </c>
      <c r="CX95" s="12">
        <v>0</v>
      </c>
    </row>
    <row r="96" spans="1:102" ht="31.5" x14ac:dyDescent="0.25">
      <c r="A96" s="7"/>
      <c r="B96" s="8" t="s">
        <v>220</v>
      </c>
      <c r="C96" s="8" t="s">
        <v>1</v>
      </c>
      <c r="D96" s="9" t="s">
        <v>221</v>
      </c>
      <c r="E96" s="10">
        <f t="shared" ref="E96:BP96" si="106">SUM(E97:E103)</f>
        <v>7856305</v>
      </c>
      <c r="F96" s="11">
        <f t="shared" si="106"/>
        <v>7856305</v>
      </c>
      <c r="G96" s="11">
        <f t="shared" si="106"/>
        <v>7856305</v>
      </c>
      <c r="H96" s="11">
        <f t="shared" si="106"/>
        <v>289104</v>
      </c>
      <c r="I96" s="11">
        <f t="shared" si="106"/>
        <v>67201</v>
      </c>
      <c r="J96" s="11">
        <f t="shared" si="106"/>
        <v>0</v>
      </c>
      <c r="K96" s="11">
        <f t="shared" si="106"/>
        <v>0</v>
      </c>
      <c r="L96" s="11">
        <f t="shared" si="106"/>
        <v>0</v>
      </c>
      <c r="M96" s="11">
        <f t="shared" si="106"/>
        <v>0</v>
      </c>
      <c r="N96" s="11">
        <f t="shared" si="106"/>
        <v>0</v>
      </c>
      <c r="O96" s="11">
        <f t="shared" si="106"/>
        <v>0</v>
      </c>
      <c r="P96" s="11">
        <f t="shared" si="106"/>
        <v>0</v>
      </c>
      <c r="Q96" s="11">
        <f t="shared" si="106"/>
        <v>0</v>
      </c>
      <c r="R96" s="11">
        <f t="shared" si="106"/>
        <v>0</v>
      </c>
      <c r="S96" s="11">
        <f t="shared" si="106"/>
        <v>0</v>
      </c>
      <c r="T96" s="11">
        <f t="shared" si="106"/>
        <v>0</v>
      </c>
      <c r="U96" s="11">
        <f t="shared" si="106"/>
        <v>0</v>
      </c>
      <c r="V96" s="11">
        <f t="shared" si="106"/>
        <v>0</v>
      </c>
      <c r="W96" s="11">
        <f t="shared" si="106"/>
        <v>0</v>
      </c>
      <c r="X96" s="11">
        <f t="shared" si="106"/>
        <v>0</v>
      </c>
      <c r="Y96" s="11">
        <f t="shared" si="106"/>
        <v>0</v>
      </c>
      <c r="Z96" s="11">
        <f t="shared" si="106"/>
        <v>0</v>
      </c>
      <c r="AA96" s="11">
        <f t="shared" si="106"/>
        <v>0</v>
      </c>
      <c r="AB96" s="11">
        <f t="shared" si="106"/>
        <v>0</v>
      </c>
      <c r="AC96" s="11">
        <f t="shared" si="106"/>
        <v>0</v>
      </c>
      <c r="AD96" s="11">
        <f t="shared" si="106"/>
        <v>0</v>
      </c>
      <c r="AE96" s="11">
        <f t="shared" si="106"/>
        <v>0</v>
      </c>
      <c r="AF96" s="11">
        <f t="shared" si="106"/>
        <v>7500000</v>
      </c>
      <c r="AG96" s="11">
        <f t="shared" si="106"/>
        <v>0</v>
      </c>
      <c r="AH96" s="11">
        <f t="shared" si="106"/>
        <v>7500000</v>
      </c>
      <c r="AI96" s="11">
        <f t="shared" si="106"/>
        <v>0</v>
      </c>
      <c r="AJ96" s="11">
        <f t="shared" si="106"/>
        <v>0</v>
      </c>
      <c r="AK96" s="11">
        <f t="shared" si="106"/>
        <v>0</v>
      </c>
      <c r="AL96" s="11">
        <f t="shared" si="106"/>
        <v>0</v>
      </c>
      <c r="AM96" s="11">
        <f t="shared" si="106"/>
        <v>0</v>
      </c>
      <c r="AN96" s="11">
        <f t="shared" si="106"/>
        <v>0</v>
      </c>
      <c r="AO96" s="11">
        <f t="shared" si="106"/>
        <v>0</v>
      </c>
      <c r="AP96" s="11">
        <f t="shared" si="106"/>
        <v>0</v>
      </c>
      <c r="AQ96" s="11">
        <f t="shared" si="106"/>
        <v>0</v>
      </c>
      <c r="AR96" s="11">
        <f t="shared" si="106"/>
        <v>0</v>
      </c>
      <c r="AS96" s="11">
        <f t="shared" si="106"/>
        <v>0</v>
      </c>
      <c r="AT96" s="11">
        <f t="shared" si="106"/>
        <v>0</v>
      </c>
      <c r="AU96" s="11">
        <f t="shared" si="106"/>
        <v>0</v>
      </c>
      <c r="AV96" s="11"/>
      <c r="AW96" s="11"/>
      <c r="AX96" s="11">
        <f t="shared" si="106"/>
        <v>0</v>
      </c>
      <c r="AY96" s="11">
        <f t="shared" si="106"/>
        <v>0</v>
      </c>
      <c r="AZ96" s="11">
        <f t="shared" si="106"/>
        <v>0</v>
      </c>
      <c r="BA96" s="11">
        <f t="shared" si="106"/>
        <v>0</v>
      </c>
      <c r="BB96" s="11">
        <f t="shared" si="106"/>
        <v>0</v>
      </c>
      <c r="BC96" s="11">
        <f t="shared" si="106"/>
        <v>0</v>
      </c>
      <c r="BD96" s="11">
        <f t="shared" si="106"/>
        <v>0</v>
      </c>
      <c r="BE96" s="11">
        <f t="shared" si="106"/>
        <v>0</v>
      </c>
      <c r="BF96" s="11">
        <f t="shared" si="106"/>
        <v>0</v>
      </c>
      <c r="BG96" s="11">
        <f t="shared" si="106"/>
        <v>0</v>
      </c>
      <c r="BH96" s="11">
        <f t="shared" si="106"/>
        <v>0</v>
      </c>
      <c r="BI96" s="11">
        <f t="shared" si="106"/>
        <v>0</v>
      </c>
      <c r="BJ96" s="11">
        <f t="shared" si="106"/>
        <v>0</v>
      </c>
      <c r="BK96" s="11">
        <f t="shared" si="106"/>
        <v>0</v>
      </c>
      <c r="BL96" s="11">
        <f t="shared" si="106"/>
        <v>0</v>
      </c>
      <c r="BM96" s="11">
        <f t="shared" si="106"/>
        <v>0</v>
      </c>
      <c r="BN96" s="11">
        <f t="shared" si="106"/>
        <v>0</v>
      </c>
      <c r="BO96" s="11">
        <f t="shared" si="106"/>
        <v>0</v>
      </c>
      <c r="BP96" s="11">
        <f t="shared" si="106"/>
        <v>0</v>
      </c>
      <c r="BQ96" s="11">
        <f t="shared" ref="BQ96:CX96" si="107">SUM(BQ97:BQ103)</f>
        <v>0</v>
      </c>
      <c r="BR96" s="11">
        <f t="shared" si="107"/>
        <v>0</v>
      </c>
      <c r="BS96" s="11">
        <f t="shared" si="107"/>
        <v>0</v>
      </c>
      <c r="BT96" s="11">
        <f t="shared" si="107"/>
        <v>0</v>
      </c>
      <c r="BU96" s="11">
        <f t="shared" si="107"/>
        <v>0</v>
      </c>
      <c r="BV96" s="11">
        <f t="shared" si="107"/>
        <v>0</v>
      </c>
      <c r="BW96" s="11">
        <f t="shared" si="107"/>
        <v>0</v>
      </c>
      <c r="BX96" s="11">
        <f t="shared" si="107"/>
        <v>0</v>
      </c>
      <c r="BY96" s="11">
        <f t="shared" si="107"/>
        <v>0</v>
      </c>
      <c r="BZ96" s="11">
        <f t="shared" si="107"/>
        <v>0</v>
      </c>
      <c r="CA96" s="11">
        <f t="shared" si="107"/>
        <v>0</v>
      </c>
      <c r="CB96" s="11">
        <f t="shared" si="107"/>
        <v>0</v>
      </c>
      <c r="CC96" s="11">
        <f t="shared" si="107"/>
        <v>0</v>
      </c>
      <c r="CD96" s="11">
        <f t="shared" si="107"/>
        <v>0</v>
      </c>
      <c r="CE96" s="11">
        <f t="shared" si="107"/>
        <v>0</v>
      </c>
      <c r="CF96" s="11">
        <f t="shared" si="107"/>
        <v>0</v>
      </c>
      <c r="CG96" s="11">
        <f t="shared" si="107"/>
        <v>0</v>
      </c>
      <c r="CH96" s="11">
        <f t="shared" si="107"/>
        <v>0</v>
      </c>
      <c r="CI96" s="11">
        <f t="shared" si="107"/>
        <v>0</v>
      </c>
      <c r="CJ96" s="11">
        <f t="shared" si="107"/>
        <v>0</v>
      </c>
      <c r="CK96" s="11">
        <f t="shared" si="107"/>
        <v>0</v>
      </c>
      <c r="CL96" s="11">
        <f t="shared" si="107"/>
        <v>0</v>
      </c>
      <c r="CM96" s="11">
        <f t="shared" si="107"/>
        <v>0</v>
      </c>
      <c r="CN96" s="11">
        <f t="shared" si="107"/>
        <v>0</v>
      </c>
      <c r="CO96" s="11">
        <f t="shared" si="107"/>
        <v>0</v>
      </c>
      <c r="CP96" s="11"/>
      <c r="CQ96" s="11">
        <f t="shared" si="107"/>
        <v>0</v>
      </c>
      <c r="CR96" s="11">
        <f t="shared" si="107"/>
        <v>0</v>
      </c>
      <c r="CS96" s="11">
        <f t="shared" si="107"/>
        <v>0</v>
      </c>
      <c r="CT96" s="11">
        <f t="shared" si="107"/>
        <v>0</v>
      </c>
      <c r="CU96" s="11">
        <f t="shared" si="107"/>
        <v>0</v>
      </c>
      <c r="CV96" s="11">
        <f t="shared" si="107"/>
        <v>0</v>
      </c>
      <c r="CW96" s="11">
        <f t="shared" si="107"/>
        <v>0</v>
      </c>
      <c r="CX96" s="12">
        <f t="shared" si="107"/>
        <v>0</v>
      </c>
    </row>
    <row r="97" spans="1:102" ht="15.75" x14ac:dyDescent="0.25">
      <c r="A97" s="13" t="s">
        <v>1</v>
      </c>
      <c r="B97" s="14" t="s">
        <v>1</v>
      </c>
      <c r="C97" s="14" t="s">
        <v>101</v>
      </c>
      <c r="D97" s="15" t="s">
        <v>464</v>
      </c>
      <c r="E97" s="10">
        <f t="shared" ref="E97:E103" si="108">SUM(F97+CB97+CU97)</f>
        <v>888235</v>
      </c>
      <c r="F97" s="11">
        <f t="shared" ref="F97:F103" si="109">SUM(G97+BC97)</f>
        <v>888235</v>
      </c>
      <c r="G97" s="11">
        <f t="shared" ref="G97:G103" si="110">SUM(H97+I97+J97+Q97+T97+U97+V97+AF97+AE97)</f>
        <v>888235</v>
      </c>
      <c r="H97" s="11">
        <v>0</v>
      </c>
      <c r="I97" s="11">
        <v>0</v>
      </c>
      <c r="J97" s="11">
        <f>SUM(K97:P97)</f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f>SUM(R97:S97)</f>
        <v>0</v>
      </c>
      <c r="R97" s="11">
        <v>0</v>
      </c>
      <c r="S97" s="11">
        <v>0</v>
      </c>
      <c r="T97" s="11">
        <v>0</v>
      </c>
      <c r="U97" s="11">
        <v>0</v>
      </c>
      <c r="V97" s="11">
        <f t="shared" ref="V97:V103" si="111">SUM(W97:AD97)</f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f t="shared" ref="AF97:AF103" si="112">SUM(AG97:BB97)</f>
        <v>888235</v>
      </c>
      <c r="AG97" s="16"/>
      <c r="AH97" s="16">
        <v>888235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/>
      <c r="AW97" s="11"/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f t="shared" ref="BC97:BC103" si="113">SUM(BD97+BH97+BL97+BN97+BP97)</f>
        <v>0</v>
      </c>
      <c r="BD97" s="11">
        <f t="shared" ref="BD97:BD103" si="114">SUM(BE97:BG97)</f>
        <v>0</v>
      </c>
      <c r="BE97" s="11">
        <v>0</v>
      </c>
      <c r="BF97" s="11">
        <v>0</v>
      </c>
      <c r="BG97" s="11">
        <v>0</v>
      </c>
      <c r="BH97" s="11">
        <f>SUM(BJ97:BK97)</f>
        <v>0</v>
      </c>
      <c r="BI97" s="11">
        <v>0</v>
      </c>
      <c r="BJ97" s="11">
        <v>0</v>
      </c>
      <c r="BK97" s="11">
        <v>0</v>
      </c>
      <c r="BL97" s="11">
        <v>0</v>
      </c>
      <c r="BM97" s="11">
        <v>0</v>
      </c>
      <c r="BN97" s="11">
        <f>SUM(BO97)</f>
        <v>0</v>
      </c>
      <c r="BO97" s="11">
        <v>0</v>
      </c>
      <c r="BP97" s="11">
        <f>SUM(BQ97:CA97)</f>
        <v>0</v>
      </c>
      <c r="BQ97" s="11">
        <v>0</v>
      </c>
      <c r="BR97" s="11">
        <v>0</v>
      </c>
      <c r="BS97" s="11">
        <v>0</v>
      </c>
      <c r="BT97" s="11">
        <v>0</v>
      </c>
      <c r="BU97" s="11">
        <v>0</v>
      </c>
      <c r="BV97" s="11">
        <v>0</v>
      </c>
      <c r="BW97" s="11">
        <v>0</v>
      </c>
      <c r="BX97" s="11">
        <v>0</v>
      </c>
      <c r="BY97" s="11">
        <v>0</v>
      </c>
      <c r="BZ97" s="11">
        <v>0</v>
      </c>
      <c r="CA97" s="11">
        <v>0</v>
      </c>
      <c r="CB97" s="11">
        <f t="shared" ref="CB97:CB103" si="115">SUM(CC97+CT97)</f>
        <v>0</v>
      </c>
      <c r="CC97" s="11">
        <f t="shared" ref="CC97:CC103" si="116">SUM(CD97+CG97+CL97)</f>
        <v>0</v>
      </c>
      <c r="CD97" s="11">
        <f>SUM(CE97:CF97)</f>
        <v>0</v>
      </c>
      <c r="CE97" s="11">
        <v>0</v>
      </c>
      <c r="CF97" s="11">
        <v>0</v>
      </c>
      <c r="CG97" s="11">
        <f t="shared" ref="CG97:CG103" si="117">SUM(CH97:CK97)</f>
        <v>0</v>
      </c>
      <c r="CH97" s="11">
        <v>0</v>
      </c>
      <c r="CI97" s="11">
        <v>0</v>
      </c>
      <c r="CJ97" s="11">
        <v>0</v>
      </c>
      <c r="CK97" s="11">
        <v>0</v>
      </c>
      <c r="CL97" s="11">
        <f t="shared" ref="CL97:CL103" si="118">SUM(CM97:CQ97)</f>
        <v>0</v>
      </c>
      <c r="CM97" s="11">
        <v>0</v>
      </c>
      <c r="CN97" s="11">
        <v>0</v>
      </c>
      <c r="CO97" s="11">
        <v>0</v>
      </c>
      <c r="CP97" s="11"/>
      <c r="CQ97" s="11">
        <v>0</v>
      </c>
      <c r="CR97" s="11">
        <v>0</v>
      </c>
      <c r="CS97" s="11">
        <v>0</v>
      </c>
      <c r="CT97" s="11">
        <v>0</v>
      </c>
      <c r="CU97" s="11">
        <f>SUM(CV97)</f>
        <v>0</v>
      </c>
      <c r="CV97" s="11">
        <f>SUM(CW97:CX97)</f>
        <v>0</v>
      </c>
      <c r="CW97" s="11">
        <v>0</v>
      </c>
      <c r="CX97" s="12">
        <v>0</v>
      </c>
    </row>
    <row r="98" spans="1:102" ht="15.75" x14ac:dyDescent="0.25">
      <c r="A98" s="13" t="s">
        <v>1</v>
      </c>
      <c r="B98" s="14" t="s">
        <v>1</v>
      </c>
      <c r="C98" s="14" t="s">
        <v>103</v>
      </c>
      <c r="D98" s="15" t="s">
        <v>222</v>
      </c>
      <c r="E98" s="10">
        <f t="shared" si="108"/>
        <v>4339170</v>
      </c>
      <c r="F98" s="11">
        <f t="shared" si="109"/>
        <v>4339170</v>
      </c>
      <c r="G98" s="11">
        <f t="shared" si="110"/>
        <v>4339170</v>
      </c>
      <c r="H98" s="11">
        <v>0</v>
      </c>
      <c r="I98" s="11">
        <v>0</v>
      </c>
      <c r="J98" s="11">
        <f>SUM(K98:P98)</f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f>SUM(R98:S98)</f>
        <v>0</v>
      </c>
      <c r="R98" s="11">
        <v>0</v>
      </c>
      <c r="S98" s="11">
        <v>0</v>
      </c>
      <c r="T98" s="11">
        <v>0</v>
      </c>
      <c r="U98" s="11">
        <v>0</v>
      </c>
      <c r="V98" s="11">
        <f t="shared" si="111"/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f t="shared" si="112"/>
        <v>4339170</v>
      </c>
      <c r="AG98" s="16"/>
      <c r="AH98" s="16">
        <v>4339170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/>
      <c r="AW98" s="11"/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f t="shared" si="113"/>
        <v>0</v>
      </c>
      <c r="BD98" s="11">
        <f t="shared" si="114"/>
        <v>0</v>
      </c>
      <c r="BE98" s="11">
        <v>0</v>
      </c>
      <c r="BF98" s="11">
        <v>0</v>
      </c>
      <c r="BG98" s="11">
        <v>0</v>
      </c>
      <c r="BH98" s="11">
        <f>SUM(BJ98:BK98)</f>
        <v>0</v>
      </c>
      <c r="BI98" s="11">
        <v>0</v>
      </c>
      <c r="BJ98" s="11">
        <v>0</v>
      </c>
      <c r="BK98" s="11">
        <v>0</v>
      </c>
      <c r="BL98" s="11">
        <v>0</v>
      </c>
      <c r="BM98" s="11">
        <v>0</v>
      </c>
      <c r="BN98" s="11">
        <f>SUM(BO98)</f>
        <v>0</v>
      </c>
      <c r="BO98" s="11">
        <v>0</v>
      </c>
      <c r="BP98" s="11">
        <f>SUM(BQ98:CA98)</f>
        <v>0</v>
      </c>
      <c r="BQ98" s="11">
        <v>0</v>
      </c>
      <c r="BR98" s="11">
        <v>0</v>
      </c>
      <c r="BS98" s="11">
        <v>0</v>
      </c>
      <c r="BT98" s="11">
        <v>0</v>
      </c>
      <c r="BU98" s="11">
        <v>0</v>
      </c>
      <c r="BV98" s="11">
        <v>0</v>
      </c>
      <c r="BW98" s="11">
        <v>0</v>
      </c>
      <c r="BX98" s="11">
        <v>0</v>
      </c>
      <c r="BY98" s="11">
        <v>0</v>
      </c>
      <c r="BZ98" s="11">
        <v>0</v>
      </c>
      <c r="CA98" s="11">
        <v>0</v>
      </c>
      <c r="CB98" s="11">
        <f t="shared" si="115"/>
        <v>0</v>
      </c>
      <c r="CC98" s="11">
        <f t="shared" si="116"/>
        <v>0</v>
      </c>
      <c r="CD98" s="11">
        <f>SUM(CE98:CF98)</f>
        <v>0</v>
      </c>
      <c r="CE98" s="11">
        <v>0</v>
      </c>
      <c r="CF98" s="11">
        <v>0</v>
      </c>
      <c r="CG98" s="11">
        <f t="shared" si="117"/>
        <v>0</v>
      </c>
      <c r="CH98" s="11">
        <v>0</v>
      </c>
      <c r="CI98" s="11">
        <v>0</v>
      </c>
      <c r="CJ98" s="11">
        <v>0</v>
      </c>
      <c r="CK98" s="11">
        <v>0</v>
      </c>
      <c r="CL98" s="11">
        <f t="shared" si="118"/>
        <v>0</v>
      </c>
      <c r="CM98" s="11">
        <v>0</v>
      </c>
      <c r="CN98" s="11">
        <v>0</v>
      </c>
      <c r="CO98" s="11">
        <v>0</v>
      </c>
      <c r="CP98" s="11"/>
      <c r="CQ98" s="11">
        <v>0</v>
      </c>
      <c r="CR98" s="11">
        <v>0</v>
      </c>
      <c r="CS98" s="11">
        <v>0</v>
      </c>
      <c r="CT98" s="11">
        <v>0</v>
      </c>
      <c r="CU98" s="11">
        <f>SUM(CV98)</f>
        <v>0</v>
      </c>
      <c r="CV98" s="11">
        <f>SUM(CW98:CX98)</f>
        <v>0</v>
      </c>
      <c r="CW98" s="11">
        <v>0</v>
      </c>
      <c r="CX98" s="12">
        <v>0</v>
      </c>
    </row>
    <row r="99" spans="1:102" ht="15.75" x14ac:dyDescent="0.25">
      <c r="A99" s="13" t="s">
        <v>1</v>
      </c>
      <c r="B99" s="14" t="s">
        <v>1</v>
      </c>
      <c r="C99" s="14" t="s">
        <v>105</v>
      </c>
      <c r="D99" s="15" t="s">
        <v>223</v>
      </c>
      <c r="E99" s="10">
        <f t="shared" si="108"/>
        <v>178080</v>
      </c>
      <c r="F99" s="11">
        <f t="shared" si="109"/>
        <v>178080</v>
      </c>
      <c r="G99" s="11">
        <f t="shared" si="110"/>
        <v>178080</v>
      </c>
      <c r="H99" s="11">
        <v>0</v>
      </c>
      <c r="I99" s="11">
        <v>0</v>
      </c>
      <c r="J99" s="11">
        <f t="shared" si="76"/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f t="shared" si="77"/>
        <v>0</v>
      </c>
      <c r="R99" s="11">
        <v>0</v>
      </c>
      <c r="S99" s="11">
        <v>0</v>
      </c>
      <c r="T99" s="11">
        <v>0</v>
      </c>
      <c r="U99" s="11">
        <v>0</v>
      </c>
      <c r="V99" s="11">
        <f t="shared" si="111"/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f t="shared" si="112"/>
        <v>178080</v>
      </c>
      <c r="AG99" s="16"/>
      <c r="AH99" s="16">
        <v>178080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/>
      <c r="AW99" s="11"/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f t="shared" si="113"/>
        <v>0</v>
      </c>
      <c r="BD99" s="11">
        <f t="shared" si="114"/>
        <v>0</v>
      </c>
      <c r="BE99" s="11">
        <v>0</v>
      </c>
      <c r="BF99" s="11">
        <v>0</v>
      </c>
      <c r="BG99" s="11">
        <v>0</v>
      </c>
      <c r="BH99" s="11">
        <f t="shared" si="78"/>
        <v>0</v>
      </c>
      <c r="BI99" s="11">
        <v>0</v>
      </c>
      <c r="BJ99" s="11">
        <v>0</v>
      </c>
      <c r="BK99" s="11">
        <v>0</v>
      </c>
      <c r="BL99" s="11">
        <v>0</v>
      </c>
      <c r="BM99" s="11">
        <v>0</v>
      </c>
      <c r="BN99" s="11">
        <f t="shared" si="79"/>
        <v>0</v>
      </c>
      <c r="BO99" s="11">
        <v>0</v>
      </c>
      <c r="BP99" s="11">
        <f t="shared" si="80"/>
        <v>0</v>
      </c>
      <c r="BQ99" s="11">
        <v>0</v>
      </c>
      <c r="BR99" s="11">
        <v>0</v>
      </c>
      <c r="BS99" s="11">
        <v>0</v>
      </c>
      <c r="BT99" s="11">
        <v>0</v>
      </c>
      <c r="BU99" s="11">
        <v>0</v>
      </c>
      <c r="BV99" s="11">
        <v>0</v>
      </c>
      <c r="BW99" s="11">
        <v>0</v>
      </c>
      <c r="BX99" s="11">
        <v>0</v>
      </c>
      <c r="BY99" s="11">
        <v>0</v>
      </c>
      <c r="BZ99" s="11">
        <v>0</v>
      </c>
      <c r="CA99" s="11">
        <v>0</v>
      </c>
      <c r="CB99" s="11">
        <f t="shared" si="115"/>
        <v>0</v>
      </c>
      <c r="CC99" s="11">
        <f t="shared" si="116"/>
        <v>0</v>
      </c>
      <c r="CD99" s="11">
        <f t="shared" si="81"/>
        <v>0</v>
      </c>
      <c r="CE99" s="11">
        <v>0</v>
      </c>
      <c r="CF99" s="11">
        <v>0</v>
      </c>
      <c r="CG99" s="11">
        <f t="shared" si="117"/>
        <v>0</v>
      </c>
      <c r="CH99" s="11">
        <v>0</v>
      </c>
      <c r="CI99" s="11">
        <v>0</v>
      </c>
      <c r="CJ99" s="11">
        <v>0</v>
      </c>
      <c r="CK99" s="11">
        <v>0</v>
      </c>
      <c r="CL99" s="11">
        <f t="shared" si="118"/>
        <v>0</v>
      </c>
      <c r="CM99" s="11">
        <v>0</v>
      </c>
      <c r="CN99" s="11">
        <v>0</v>
      </c>
      <c r="CO99" s="11">
        <v>0</v>
      </c>
      <c r="CP99" s="11"/>
      <c r="CQ99" s="11">
        <v>0</v>
      </c>
      <c r="CR99" s="11">
        <v>0</v>
      </c>
      <c r="CS99" s="11">
        <v>0</v>
      </c>
      <c r="CT99" s="11">
        <v>0</v>
      </c>
      <c r="CU99" s="11">
        <f t="shared" si="82"/>
        <v>0</v>
      </c>
      <c r="CV99" s="11">
        <f t="shared" si="83"/>
        <v>0</v>
      </c>
      <c r="CW99" s="11">
        <v>0</v>
      </c>
      <c r="CX99" s="12">
        <v>0</v>
      </c>
    </row>
    <row r="100" spans="1:102" ht="31.5" x14ac:dyDescent="0.25">
      <c r="A100" s="13" t="s">
        <v>1</v>
      </c>
      <c r="B100" s="14" t="s">
        <v>1</v>
      </c>
      <c r="C100" s="14" t="s">
        <v>194</v>
      </c>
      <c r="D100" s="15" t="s">
        <v>195</v>
      </c>
      <c r="E100" s="10">
        <f t="shared" si="108"/>
        <v>705501</v>
      </c>
      <c r="F100" s="11">
        <f t="shared" si="109"/>
        <v>705501</v>
      </c>
      <c r="G100" s="11">
        <f t="shared" si="110"/>
        <v>705501</v>
      </c>
      <c r="H100" s="11">
        <v>0</v>
      </c>
      <c r="I100" s="11">
        <v>0</v>
      </c>
      <c r="J100" s="11">
        <f t="shared" si="76"/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f t="shared" si="77"/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f t="shared" si="111"/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f t="shared" si="112"/>
        <v>705501</v>
      </c>
      <c r="AG100" s="16"/>
      <c r="AH100" s="16">
        <v>705501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/>
      <c r="AW100" s="11"/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f t="shared" si="113"/>
        <v>0</v>
      </c>
      <c r="BD100" s="11">
        <f t="shared" si="114"/>
        <v>0</v>
      </c>
      <c r="BE100" s="11">
        <v>0</v>
      </c>
      <c r="BF100" s="11">
        <v>0</v>
      </c>
      <c r="BG100" s="11">
        <v>0</v>
      </c>
      <c r="BH100" s="11">
        <f t="shared" si="78"/>
        <v>0</v>
      </c>
      <c r="BI100" s="11">
        <v>0</v>
      </c>
      <c r="BJ100" s="11">
        <v>0</v>
      </c>
      <c r="BK100" s="11">
        <v>0</v>
      </c>
      <c r="BL100" s="11">
        <v>0</v>
      </c>
      <c r="BM100" s="11">
        <v>0</v>
      </c>
      <c r="BN100" s="11">
        <f t="shared" si="79"/>
        <v>0</v>
      </c>
      <c r="BO100" s="11">
        <v>0</v>
      </c>
      <c r="BP100" s="11">
        <f t="shared" si="80"/>
        <v>0</v>
      </c>
      <c r="BQ100" s="11">
        <v>0</v>
      </c>
      <c r="BR100" s="11">
        <v>0</v>
      </c>
      <c r="BS100" s="11">
        <v>0</v>
      </c>
      <c r="BT100" s="11">
        <v>0</v>
      </c>
      <c r="BU100" s="11">
        <v>0</v>
      </c>
      <c r="BV100" s="11">
        <v>0</v>
      </c>
      <c r="BW100" s="11">
        <v>0</v>
      </c>
      <c r="BX100" s="11">
        <v>0</v>
      </c>
      <c r="BY100" s="11">
        <v>0</v>
      </c>
      <c r="BZ100" s="11">
        <v>0</v>
      </c>
      <c r="CA100" s="11">
        <v>0</v>
      </c>
      <c r="CB100" s="11">
        <f t="shared" si="115"/>
        <v>0</v>
      </c>
      <c r="CC100" s="11">
        <f t="shared" si="116"/>
        <v>0</v>
      </c>
      <c r="CD100" s="11">
        <f t="shared" si="81"/>
        <v>0</v>
      </c>
      <c r="CE100" s="11">
        <v>0</v>
      </c>
      <c r="CF100" s="11">
        <v>0</v>
      </c>
      <c r="CG100" s="11">
        <f t="shared" si="117"/>
        <v>0</v>
      </c>
      <c r="CH100" s="11">
        <v>0</v>
      </c>
      <c r="CI100" s="11">
        <v>0</v>
      </c>
      <c r="CJ100" s="11">
        <v>0</v>
      </c>
      <c r="CK100" s="11">
        <v>0</v>
      </c>
      <c r="CL100" s="11">
        <f t="shared" si="118"/>
        <v>0</v>
      </c>
      <c r="CM100" s="11">
        <v>0</v>
      </c>
      <c r="CN100" s="11">
        <v>0</v>
      </c>
      <c r="CO100" s="11">
        <v>0</v>
      </c>
      <c r="CP100" s="11"/>
      <c r="CQ100" s="11">
        <v>0</v>
      </c>
      <c r="CR100" s="11">
        <v>0</v>
      </c>
      <c r="CS100" s="11">
        <v>0</v>
      </c>
      <c r="CT100" s="11">
        <v>0</v>
      </c>
      <c r="CU100" s="11">
        <f t="shared" si="82"/>
        <v>0</v>
      </c>
      <c r="CV100" s="11">
        <f t="shared" si="83"/>
        <v>0</v>
      </c>
      <c r="CW100" s="11">
        <v>0</v>
      </c>
      <c r="CX100" s="12">
        <v>0</v>
      </c>
    </row>
    <row r="101" spans="1:102" ht="15.75" x14ac:dyDescent="0.25">
      <c r="A101" s="13" t="s">
        <v>1</v>
      </c>
      <c r="B101" s="14" t="s">
        <v>1</v>
      </c>
      <c r="C101" s="14" t="s">
        <v>109</v>
      </c>
      <c r="D101" s="15" t="s">
        <v>465</v>
      </c>
      <c r="E101" s="10">
        <f t="shared" si="108"/>
        <v>1246123</v>
      </c>
      <c r="F101" s="11">
        <f t="shared" si="109"/>
        <v>1246123</v>
      </c>
      <c r="G101" s="11">
        <f t="shared" si="110"/>
        <v>1246123</v>
      </c>
      <c r="H101" s="11">
        <v>0</v>
      </c>
      <c r="I101" s="11">
        <v>0</v>
      </c>
      <c r="J101" s="11">
        <f t="shared" si="76"/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f t="shared" si="77"/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f t="shared" si="111"/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f t="shared" si="112"/>
        <v>1246123</v>
      </c>
      <c r="AG101" s="16"/>
      <c r="AH101" s="16">
        <v>1246123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/>
      <c r="AW101" s="11"/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f t="shared" si="113"/>
        <v>0</v>
      </c>
      <c r="BD101" s="11">
        <f t="shared" si="114"/>
        <v>0</v>
      </c>
      <c r="BE101" s="11">
        <v>0</v>
      </c>
      <c r="BF101" s="11">
        <v>0</v>
      </c>
      <c r="BG101" s="11">
        <v>0</v>
      </c>
      <c r="BH101" s="11">
        <f t="shared" si="78"/>
        <v>0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f t="shared" si="79"/>
        <v>0</v>
      </c>
      <c r="BO101" s="11">
        <v>0</v>
      </c>
      <c r="BP101" s="11">
        <f t="shared" si="80"/>
        <v>0</v>
      </c>
      <c r="BQ101" s="11">
        <v>0</v>
      </c>
      <c r="BR101" s="11">
        <v>0</v>
      </c>
      <c r="BS101" s="11">
        <v>0</v>
      </c>
      <c r="BT101" s="11">
        <v>0</v>
      </c>
      <c r="BU101" s="11">
        <v>0</v>
      </c>
      <c r="BV101" s="11">
        <v>0</v>
      </c>
      <c r="BW101" s="11">
        <v>0</v>
      </c>
      <c r="BX101" s="11">
        <v>0</v>
      </c>
      <c r="BY101" s="11">
        <v>0</v>
      </c>
      <c r="BZ101" s="11">
        <v>0</v>
      </c>
      <c r="CA101" s="11">
        <v>0</v>
      </c>
      <c r="CB101" s="11">
        <f t="shared" si="115"/>
        <v>0</v>
      </c>
      <c r="CC101" s="11">
        <f t="shared" si="116"/>
        <v>0</v>
      </c>
      <c r="CD101" s="11">
        <f t="shared" si="81"/>
        <v>0</v>
      </c>
      <c r="CE101" s="11">
        <v>0</v>
      </c>
      <c r="CF101" s="11">
        <v>0</v>
      </c>
      <c r="CG101" s="11">
        <f t="shared" si="117"/>
        <v>0</v>
      </c>
      <c r="CH101" s="11">
        <v>0</v>
      </c>
      <c r="CI101" s="11">
        <v>0</v>
      </c>
      <c r="CJ101" s="11">
        <v>0</v>
      </c>
      <c r="CK101" s="11">
        <v>0</v>
      </c>
      <c r="CL101" s="11">
        <f t="shared" si="118"/>
        <v>0</v>
      </c>
      <c r="CM101" s="11">
        <v>0</v>
      </c>
      <c r="CN101" s="11">
        <v>0</v>
      </c>
      <c r="CO101" s="11">
        <v>0</v>
      </c>
      <c r="CP101" s="11"/>
      <c r="CQ101" s="11">
        <v>0</v>
      </c>
      <c r="CR101" s="11">
        <v>0</v>
      </c>
      <c r="CS101" s="11">
        <v>0</v>
      </c>
      <c r="CT101" s="11">
        <v>0</v>
      </c>
      <c r="CU101" s="11">
        <f t="shared" si="82"/>
        <v>0</v>
      </c>
      <c r="CV101" s="11">
        <f t="shared" si="83"/>
        <v>0</v>
      </c>
      <c r="CW101" s="11">
        <v>0</v>
      </c>
      <c r="CX101" s="12">
        <v>0</v>
      </c>
    </row>
    <row r="102" spans="1:102" ht="31.5" x14ac:dyDescent="0.25">
      <c r="A102" s="13" t="s">
        <v>1</v>
      </c>
      <c r="B102" s="14" t="s">
        <v>1</v>
      </c>
      <c r="C102" s="14" t="s">
        <v>224</v>
      </c>
      <c r="D102" s="15" t="s">
        <v>466</v>
      </c>
      <c r="E102" s="10">
        <f t="shared" si="108"/>
        <v>356305</v>
      </c>
      <c r="F102" s="11">
        <f t="shared" si="109"/>
        <v>356305</v>
      </c>
      <c r="G102" s="11">
        <f t="shared" si="110"/>
        <v>356305</v>
      </c>
      <c r="H102" s="16">
        <f>274466+14638</f>
        <v>289104</v>
      </c>
      <c r="I102" s="16">
        <f>63541+3660</f>
        <v>67201</v>
      </c>
      <c r="J102" s="11">
        <f t="shared" si="76"/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/>
      <c r="Q102" s="11">
        <f t="shared" si="77"/>
        <v>0</v>
      </c>
      <c r="R102" s="11">
        <v>0</v>
      </c>
      <c r="S102" s="11"/>
      <c r="T102" s="11">
        <v>0</v>
      </c>
      <c r="U102" s="11">
        <v>0</v>
      </c>
      <c r="V102" s="11">
        <f t="shared" si="111"/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f t="shared" si="112"/>
        <v>0</v>
      </c>
      <c r="AG102" s="16"/>
      <c r="AH102" s="16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/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/>
      <c r="AW102" s="11"/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f t="shared" si="113"/>
        <v>0</v>
      </c>
      <c r="BD102" s="11">
        <f t="shared" si="114"/>
        <v>0</v>
      </c>
      <c r="BE102" s="11">
        <v>0</v>
      </c>
      <c r="BF102" s="11">
        <v>0</v>
      </c>
      <c r="BG102" s="11">
        <v>0</v>
      </c>
      <c r="BH102" s="11">
        <f t="shared" si="78"/>
        <v>0</v>
      </c>
      <c r="BI102" s="11">
        <v>0</v>
      </c>
      <c r="BJ102" s="11">
        <v>0</v>
      </c>
      <c r="BK102" s="11">
        <v>0</v>
      </c>
      <c r="BL102" s="11">
        <v>0</v>
      </c>
      <c r="BM102" s="11">
        <v>0</v>
      </c>
      <c r="BN102" s="11">
        <f t="shared" si="79"/>
        <v>0</v>
      </c>
      <c r="BO102" s="11">
        <v>0</v>
      </c>
      <c r="BP102" s="11">
        <f t="shared" si="80"/>
        <v>0</v>
      </c>
      <c r="BQ102" s="11">
        <v>0</v>
      </c>
      <c r="BR102" s="11">
        <v>0</v>
      </c>
      <c r="BS102" s="11">
        <v>0</v>
      </c>
      <c r="BT102" s="11">
        <v>0</v>
      </c>
      <c r="BU102" s="11">
        <v>0</v>
      </c>
      <c r="BV102" s="11">
        <v>0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f t="shared" si="115"/>
        <v>0</v>
      </c>
      <c r="CC102" s="11">
        <f t="shared" si="116"/>
        <v>0</v>
      </c>
      <c r="CD102" s="11">
        <f t="shared" si="81"/>
        <v>0</v>
      </c>
      <c r="CE102" s="11">
        <v>0</v>
      </c>
      <c r="CF102" s="11"/>
      <c r="CG102" s="11">
        <f t="shared" si="117"/>
        <v>0</v>
      </c>
      <c r="CH102" s="11">
        <v>0</v>
      </c>
      <c r="CI102" s="11">
        <v>0</v>
      </c>
      <c r="CJ102" s="11">
        <v>0</v>
      </c>
      <c r="CK102" s="11">
        <v>0</v>
      </c>
      <c r="CL102" s="11">
        <f t="shared" si="118"/>
        <v>0</v>
      </c>
      <c r="CM102" s="11">
        <v>0</v>
      </c>
      <c r="CN102" s="11">
        <v>0</v>
      </c>
      <c r="CO102" s="11">
        <v>0</v>
      </c>
      <c r="CP102" s="11"/>
      <c r="CQ102" s="11">
        <v>0</v>
      </c>
      <c r="CR102" s="11">
        <v>0</v>
      </c>
      <c r="CS102" s="11">
        <v>0</v>
      </c>
      <c r="CT102" s="11">
        <v>0</v>
      </c>
      <c r="CU102" s="11">
        <f t="shared" si="82"/>
        <v>0</v>
      </c>
      <c r="CV102" s="11">
        <f t="shared" si="83"/>
        <v>0</v>
      </c>
      <c r="CW102" s="11">
        <v>0</v>
      </c>
      <c r="CX102" s="12">
        <v>0</v>
      </c>
    </row>
    <row r="103" spans="1:102" ht="15.75" x14ac:dyDescent="0.25">
      <c r="A103" s="13" t="s">
        <v>1</v>
      </c>
      <c r="B103" s="14" t="s">
        <v>1</v>
      </c>
      <c r="C103" s="14" t="s">
        <v>212</v>
      </c>
      <c r="D103" s="15" t="s">
        <v>225</v>
      </c>
      <c r="E103" s="10">
        <f t="shared" si="108"/>
        <v>142891</v>
      </c>
      <c r="F103" s="11">
        <f t="shared" si="109"/>
        <v>142891</v>
      </c>
      <c r="G103" s="11">
        <f t="shared" si="110"/>
        <v>142891</v>
      </c>
      <c r="H103" s="11">
        <v>0</v>
      </c>
      <c r="I103" s="11">
        <v>0</v>
      </c>
      <c r="J103" s="11">
        <f>SUM(K103:P103)</f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f>SUM(R103:S103)</f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f t="shared" si="111"/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f t="shared" si="112"/>
        <v>142891</v>
      </c>
      <c r="AG103" s="16"/>
      <c r="AH103" s="16">
        <v>142891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/>
      <c r="AW103" s="11"/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f t="shared" si="113"/>
        <v>0</v>
      </c>
      <c r="BD103" s="11">
        <f t="shared" si="114"/>
        <v>0</v>
      </c>
      <c r="BE103" s="11">
        <v>0</v>
      </c>
      <c r="BF103" s="11">
        <v>0</v>
      </c>
      <c r="BG103" s="11">
        <v>0</v>
      </c>
      <c r="BH103" s="11">
        <f>SUM(BJ103:BK103)</f>
        <v>0</v>
      </c>
      <c r="BI103" s="11">
        <v>0</v>
      </c>
      <c r="BJ103" s="11">
        <v>0</v>
      </c>
      <c r="BK103" s="11">
        <v>0</v>
      </c>
      <c r="BL103" s="11">
        <v>0</v>
      </c>
      <c r="BM103" s="11">
        <v>0</v>
      </c>
      <c r="BN103" s="11">
        <f>SUM(BO103)</f>
        <v>0</v>
      </c>
      <c r="BO103" s="11">
        <v>0</v>
      </c>
      <c r="BP103" s="11">
        <f>SUM(BQ103:CA103)</f>
        <v>0</v>
      </c>
      <c r="BQ103" s="11">
        <v>0</v>
      </c>
      <c r="BR103" s="11">
        <v>0</v>
      </c>
      <c r="BS103" s="11">
        <v>0</v>
      </c>
      <c r="BT103" s="11">
        <v>0</v>
      </c>
      <c r="BU103" s="11">
        <v>0</v>
      </c>
      <c r="BV103" s="11">
        <v>0</v>
      </c>
      <c r="BW103" s="11">
        <v>0</v>
      </c>
      <c r="BX103" s="11">
        <v>0</v>
      </c>
      <c r="BY103" s="11">
        <v>0</v>
      </c>
      <c r="BZ103" s="11">
        <v>0</v>
      </c>
      <c r="CA103" s="11">
        <v>0</v>
      </c>
      <c r="CB103" s="11">
        <f t="shared" si="115"/>
        <v>0</v>
      </c>
      <c r="CC103" s="11">
        <f t="shared" si="116"/>
        <v>0</v>
      </c>
      <c r="CD103" s="11">
        <f>SUM(CE103:CF103)</f>
        <v>0</v>
      </c>
      <c r="CE103" s="11">
        <v>0</v>
      </c>
      <c r="CF103" s="11">
        <v>0</v>
      </c>
      <c r="CG103" s="11">
        <f t="shared" si="117"/>
        <v>0</v>
      </c>
      <c r="CH103" s="11">
        <v>0</v>
      </c>
      <c r="CI103" s="11">
        <v>0</v>
      </c>
      <c r="CJ103" s="11">
        <v>0</v>
      </c>
      <c r="CK103" s="11">
        <v>0</v>
      </c>
      <c r="CL103" s="11">
        <f t="shared" si="118"/>
        <v>0</v>
      </c>
      <c r="CM103" s="11">
        <v>0</v>
      </c>
      <c r="CN103" s="11">
        <v>0</v>
      </c>
      <c r="CO103" s="11">
        <v>0</v>
      </c>
      <c r="CP103" s="11"/>
      <c r="CQ103" s="11">
        <v>0</v>
      </c>
      <c r="CR103" s="11">
        <v>0</v>
      </c>
      <c r="CS103" s="11">
        <v>0</v>
      </c>
      <c r="CT103" s="11">
        <v>0</v>
      </c>
      <c r="CU103" s="11">
        <f>SUM(CV103)</f>
        <v>0</v>
      </c>
      <c r="CV103" s="11">
        <f>SUM(CW103:CX103)</f>
        <v>0</v>
      </c>
      <c r="CW103" s="11">
        <v>0</v>
      </c>
      <c r="CX103" s="12">
        <v>0</v>
      </c>
    </row>
    <row r="104" spans="1:102" ht="31.5" x14ac:dyDescent="0.25">
      <c r="A104" s="18" t="s">
        <v>226</v>
      </c>
      <c r="B104" s="19" t="s">
        <v>1</v>
      </c>
      <c r="C104" s="19" t="s">
        <v>1</v>
      </c>
      <c r="D104" s="20" t="s">
        <v>227</v>
      </c>
      <c r="E104" s="21">
        <f>SUM(E105)</f>
        <v>191860863</v>
      </c>
      <c r="F104" s="22">
        <f t="shared" ref="F104:BV105" si="119">SUM(F105)</f>
        <v>191860863</v>
      </c>
      <c r="G104" s="22">
        <f t="shared" si="119"/>
        <v>0</v>
      </c>
      <c r="H104" s="22">
        <f t="shared" si="119"/>
        <v>0</v>
      </c>
      <c r="I104" s="22">
        <f t="shared" si="119"/>
        <v>0</v>
      </c>
      <c r="J104" s="22">
        <f t="shared" si="119"/>
        <v>0</v>
      </c>
      <c r="K104" s="22">
        <f t="shared" si="119"/>
        <v>0</v>
      </c>
      <c r="L104" s="22">
        <f t="shared" si="119"/>
        <v>0</v>
      </c>
      <c r="M104" s="22">
        <f t="shared" si="119"/>
        <v>0</v>
      </c>
      <c r="N104" s="22">
        <f t="shared" si="119"/>
        <v>0</v>
      </c>
      <c r="O104" s="22">
        <f t="shared" si="119"/>
        <v>0</v>
      </c>
      <c r="P104" s="22">
        <f t="shared" si="119"/>
        <v>0</v>
      </c>
      <c r="Q104" s="22">
        <f t="shared" si="119"/>
        <v>0</v>
      </c>
      <c r="R104" s="22">
        <f t="shared" si="119"/>
        <v>0</v>
      </c>
      <c r="S104" s="22">
        <f t="shared" si="119"/>
        <v>0</v>
      </c>
      <c r="T104" s="22">
        <f t="shared" si="119"/>
        <v>0</v>
      </c>
      <c r="U104" s="22">
        <f t="shared" si="119"/>
        <v>0</v>
      </c>
      <c r="V104" s="22">
        <f t="shared" si="119"/>
        <v>0</v>
      </c>
      <c r="W104" s="22">
        <f t="shared" si="119"/>
        <v>0</v>
      </c>
      <c r="X104" s="22">
        <f t="shared" si="119"/>
        <v>0</v>
      </c>
      <c r="Y104" s="22">
        <f t="shared" si="119"/>
        <v>0</v>
      </c>
      <c r="Z104" s="22">
        <f t="shared" si="119"/>
        <v>0</v>
      </c>
      <c r="AA104" s="22">
        <f t="shared" si="119"/>
        <v>0</v>
      </c>
      <c r="AB104" s="22">
        <f t="shared" si="119"/>
        <v>0</v>
      </c>
      <c r="AC104" s="22">
        <f t="shared" si="119"/>
        <v>0</v>
      </c>
      <c r="AD104" s="22">
        <f t="shared" si="119"/>
        <v>0</v>
      </c>
      <c r="AE104" s="22">
        <f t="shared" si="119"/>
        <v>0</v>
      </c>
      <c r="AF104" s="22">
        <f t="shared" si="119"/>
        <v>0</v>
      </c>
      <c r="AG104" s="22">
        <f t="shared" si="119"/>
        <v>0</v>
      </c>
      <c r="AH104" s="22">
        <f t="shared" si="119"/>
        <v>0</v>
      </c>
      <c r="AI104" s="22">
        <f t="shared" si="119"/>
        <v>0</v>
      </c>
      <c r="AJ104" s="22">
        <f t="shared" si="119"/>
        <v>0</v>
      </c>
      <c r="AK104" s="22">
        <f t="shared" si="119"/>
        <v>0</v>
      </c>
      <c r="AL104" s="22">
        <f t="shared" si="119"/>
        <v>0</v>
      </c>
      <c r="AM104" s="22">
        <f t="shared" si="119"/>
        <v>0</v>
      </c>
      <c r="AN104" s="22">
        <f t="shared" si="119"/>
        <v>0</v>
      </c>
      <c r="AO104" s="22">
        <f t="shared" si="119"/>
        <v>0</v>
      </c>
      <c r="AP104" s="22">
        <f t="shared" si="119"/>
        <v>0</v>
      </c>
      <c r="AQ104" s="22">
        <f t="shared" si="119"/>
        <v>0</v>
      </c>
      <c r="AR104" s="22">
        <f t="shared" si="119"/>
        <v>0</v>
      </c>
      <c r="AS104" s="22">
        <f t="shared" si="119"/>
        <v>0</v>
      </c>
      <c r="AT104" s="22">
        <f t="shared" si="119"/>
        <v>0</v>
      </c>
      <c r="AU104" s="22">
        <f t="shared" si="119"/>
        <v>0</v>
      </c>
      <c r="AV104" s="22"/>
      <c r="AW104" s="22"/>
      <c r="AX104" s="22">
        <f t="shared" si="119"/>
        <v>0</v>
      </c>
      <c r="AY104" s="22">
        <f t="shared" si="119"/>
        <v>0</v>
      </c>
      <c r="AZ104" s="22">
        <f t="shared" si="119"/>
        <v>0</v>
      </c>
      <c r="BA104" s="22">
        <f t="shared" si="119"/>
        <v>0</v>
      </c>
      <c r="BB104" s="22">
        <f t="shared" si="119"/>
        <v>0</v>
      </c>
      <c r="BC104" s="22">
        <f t="shared" si="119"/>
        <v>191860863</v>
      </c>
      <c r="BD104" s="22">
        <f t="shared" si="119"/>
        <v>191860863</v>
      </c>
      <c r="BE104" s="22">
        <f t="shared" si="119"/>
        <v>191860863</v>
      </c>
      <c r="BF104" s="22">
        <f t="shared" si="119"/>
        <v>0</v>
      </c>
      <c r="BG104" s="22">
        <f t="shared" si="119"/>
        <v>0</v>
      </c>
      <c r="BH104" s="22">
        <f t="shared" si="119"/>
        <v>0</v>
      </c>
      <c r="BI104" s="22">
        <f t="shared" si="119"/>
        <v>0</v>
      </c>
      <c r="BJ104" s="22">
        <f t="shared" si="119"/>
        <v>0</v>
      </c>
      <c r="BK104" s="22">
        <f t="shared" si="119"/>
        <v>0</v>
      </c>
      <c r="BL104" s="22">
        <f t="shared" si="119"/>
        <v>0</v>
      </c>
      <c r="BM104" s="22">
        <f t="shared" si="119"/>
        <v>0</v>
      </c>
      <c r="BN104" s="22">
        <f t="shared" si="119"/>
        <v>0</v>
      </c>
      <c r="BO104" s="22">
        <f t="shared" si="119"/>
        <v>0</v>
      </c>
      <c r="BP104" s="22">
        <f t="shared" si="119"/>
        <v>0</v>
      </c>
      <c r="BQ104" s="22">
        <f t="shared" si="119"/>
        <v>0</v>
      </c>
      <c r="BR104" s="22">
        <f t="shared" si="119"/>
        <v>0</v>
      </c>
      <c r="BS104" s="22">
        <f t="shared" si="119"/>
        <v>0</v>
      </c>
      <c r="BT104" s="22">
        <f t="shared" si="119"/>
        <v>0</v>
      </c>
      <c r="BU104" s="22">
        <f t="shared" si="119"/>
        <v>0</v>
      </c>
      <c r="BV104" s="22">
        <f t="shared" si="119"/>
        <v>0</v>
      </c>
      <c r="BW104" s="22">
        <f t="shared" ref="BW104:CX105" si="120">SUM(BW105)</f>
        <v>0</v>
      </c>
      <c r="BX104" s="22">
        <f t="shared" si="120"/>
        <v>0</v>
      </c>
      <c r="BY104" s="22">
        <f t="shared" si="120"/>
        <v>0</v>
      </c>
      <c r="BZ104" s="22">
        <f t="shared" si="120"/>
        <v>0</v>
      </c>
      <c r="CA104" s="22">
        <f t="shared" si="120"/>
        <v>0</v>
      </c>
      <c r="CB104" s="22">
        <f t="shared" si="120"/>
        <v>0</v>
      </c>
      <c r="CC104" s="22">
        <f t="shared" si="120"/>
        <v>0</v>
      </c>
      <c r="CD104" s="22">
        <f t="shared" si="120"/>
        <v>0</v>
      </c>
      <c r="CE104" s="22">
        <f t="shared" si="120"/>
        <v>0</v>
      </c>
      <c r="CF104" s="22">
        <f t="shared" si="120"/>
        <v>0</v>
      </c>
      <c r="CG104" s="22">
        <f t="shared" si="120"/>
        <v>0</v>
      </c>
      <c r="CH104" s="22">
        <f t="shared" si="120"/>
        <v>0</v>
      </c>
      <c r="CI104" s="22">
        <f t="shared" si="120"/>
        <v>0</v>
      </c>
      <c r="CJ104" s="22">
        <f t="shared" si="120"/>
        <v>0</v>
      </c>
      <c r="CK104" s="22">
        <f t="shared" si="120"/>
        <v>0</v>
      </c>
      <c r="CL104" s="22">
        <f t="shared" si="120"/>
        <v>0</v>
      </c>
      <c r="CM104" s="22">
        <f t="shared" si="120"/>
        <v>0</v>
      </c>
      <c r="CN104" s="22">
        <f t="shared" si="120"/>
        <v>0</v>
      </c>
      <c r="CO104" s="22">
        <f t="shared" si="120"/>
        <v>0</v>
      </c>
      <c r="CP104" s="22"/>
      <c r="CQ104" s="22">
        <f t="shared" si="120"/>
        <v>0</v>
      </c>
      <c r="CR104" s="22">
        <f t="shared" si="120"/>
        <v>0</v>
      </c>
      <c r="CS104" s="22">
        <f t="shared" si="120"/>
        <v>0</v>
      </c>
      <c r="CT104" s="22">
        <f t="shared" si="120"/>
        <v>0</v>
      </c>
      <c r="CU104" s="22">
        <f t="shared" si="120"/>
        <v>0</v>
      </c>
      <c r="CV104" s="22">
        <f t="shared" si="120"/>
        <v>0</v>
      </c>
      <c r="CW104" s="22">
        <f t="shared" si="120"/>
        <v>0</v>
      </c>
      <c r="CX104" s="23">
        <f t="shared" si="120"/>
        <v>0</v>
      </c>
    </row>
    <row r="105" spans="1:102" ht="31.5" x14ac:dyDescent="0.25">
      <c r="A105" s="7"/>
      <c r="B105" s="8" t="s">
        <v>228</v>
      </c>
      <c r="C105" s="8" t="s">
        <v>1</v>
      </c>
      <c r="D105" s="9" t="s">
        <v>229</v>
      </c>
      <c r="E105" s="10">
        <f>SUM(E106)</f>
        <v>191860863</v>
      </c>
      <c r="F105" s="11">
        <f t="shared" si="119"/>
        <v>191860863</v>
      </c>
      <c r="G105" s="11">
        <f t="shared" si="119"/>
        <v>0</v>
      </c>
      <c r="H105" s="11">
        <f t="shared" si="119"/>
        <v>0</v>
      </c>
      <c r="I105" s="11">
        <f t="shared" si="119"/>
        <v>0</v>
      </c>
      <c r="J105" s="11">
        <f t="shared" si="119"/>
        <v>0</v>
      </c>
      <c r="K105" s="11">
        <f t="shared" si="119"/>
        <v>0</v>
      </c>
      <c r="L105" s="11">
        <f t="shared" si="119"/>
        <v>0</v>
      </c>
      <c r="M105" s="11">
        <f t="shared" si="119"/>
        <v>0</v>
      </c>
      <c r="N105" s="11">
        <f t="shared" si="119"/>
        <v>0</v>
      </c>
      <c r="O105" s="11">
        <f t="shared" si="119"/>
        <v>0</v>
      </c>
      <c r="P105" s="11">
        <f t="shared" si="119"/>
        <v>0</v>
      </c>
      <c r="Q105" s="11">
        <f t="shared" si="119"/>
        <v>0</v>
      </c>
      <c r="R105" s="11">
        <f t="shared" si="119"/>
        <v>0</v>
      </c>
      <c r="S105" s="11">
        <f t="shared" si="119"/>
        <v>0</v>
      </c>
      <c r="T105" s="11">
        <f t="shared" si="119"/>
        <v>0</v>
      </c>
      <c r="U105" s="11">
        <f t="shared" si="119"/>
        <v>0</v>
      </c>
      <c r="V105" s="11">
        <f t="shared" si="119"/>
        <v>0</v>
      </c>
      <c r="W105" s="11">
        <f t="shared" si="119"/>
        <v>0</v>
      </c>
      <c r="X105" s="11">
        <f t="shared" si="119"/>
        <v>0</v>
      </c>
      <c r="Y105" s="11">
        <f t="shared" si="119"/>
        <v>0</v>
      </c>
      <c r="Z105" s="11">
        <f t="shared" si="119"/>
        <v>0</v>
      </c>
      <c r="AA105" s="11">
        <f t="shared" si="119"/>
        <v>0</v>
      </c>
      <c r="AB105" s="11">
        <f t="shared" si="119"/>
        <v>0</v>
      </c>
      <c r="AC105" s="11">
        <f t="shared" si="119"/>
        <v>0</v>
      </c>
      <c r="AD105" s="11">
        <f t="shared" si="119"/>
        <v>0</v>
      </c>
      <c r="AE105" s="11">
        <f t="shared" si="119"/>
        <v>0</v>
      </c>
      <c r="AF105" s="11">
        <f t="shared" si="119"/>
        <v>0</v>
      </c>
      <c r="AG105" s="11">
        <f t="shared" si="119"/>
        <v>0</v>
      </c>
      <c r="AH105" s="11">
        <f t="shared" si="119"/>
        <v>0</v>
      </c>
      <c r="AI105" s="11">
        <f t="shared" si="119"/>
        <v>0</v>
      </c>
      <c r="AJ105" s="11">
        <f t="shared" si="119"/>
        <v>0</v>
      </c>
      <c r="AK105" s="11">
        <f t="shared" si="119"/>
        <v>0</v>
      </c>
      <c r="AL105" s="11">
        <f t="shared" si="119"/>
        <v>0</v>
      </c>
      <c r="AM105" s="11">
        <f t="shared" si="119"/>
        <v>0</v>
      </c>
      <c r="AN105" s="11">
        <f t="shared" si="119"/>
        <v>0</v>
      </c>
      <c r="AO105" s="11">
        <f t="shared" si="119"/>
        <v>0</v>
      </c>
      <c r="AP105" s="11">
        <f t="shared" si="119"/>
        <v>0</v>
      </c>
      <c r="AQ105" s="11">
        <f t="shared" si="119"/>
        <v>0</v>
      </c>
      <c r="AR105" s="11">
        <f t="shared" si="119"/>
        <v>0</v>
      </c>
      <c r="AS105" s="11">
        <f t="shared" si="119"/>
        <v>0</v>
      </c>
      <c r="AT105" s="11">
        <f t="shared" si="119"/>
        <v>0</v>
      </c>
      <c r="AU105" s="11">
        <f t="shared" si="119"/>
        <v>0</v>
      </c>
      <c r="AV105" s="11"/>
      <c r="AW105" s="11"/>
      <c r="AX105" s="11">
        <f t="shared" si="119"/>
        <v>0</v>
      </c>
      <c r="AY105" s="11">
        <f t="shared" si="119"/>
        <v>0</v>
      </c>
      <c r="AZ105" s="11">
        <f t="shared" si="119"/>
        <v>0</v>
      </c>
      <c r="BA105" s="11">
        <f t="shared" si="119"/>
        <v>0</v>
      </c>
      <c r="BB105" s="11">
        <f t="shared" si="119"/>
        <v>0</v>
      </c>
      <c r="BC105" s="11">
        <f t="shared" si="119"/>
        <v>191860863</v>
      </c>
      <c r="BD105" s="11">
        <f t="shared" si="119"/>
        <v>191860863</v>
      </c>
      <c r="BE105" s="11">
        <f t="shared" si="119"/>
        <v>191860863</v>
      </c>
      <c r="BF105" s="11">
        <f t="shared" si="119"/>
        <v>0</v>
      </c>
      <c r="BG105" s="11">
        <f t="shared" si="119"/>
        <v>0</v>
      </c>
      <c r="BH105" s="11">
        <f t="shared" si="119"/>
        <v>0</v>
      </c>
      <c r="BI105" s="11">
        <f t="shared" si="119"/>
        <v>0</v>
      </c>
      <c r="BJ105" s="11">
        <f t="shared" si="119"/>
        <v>0</v>
      </c>
      <c r="BK105" s="11">
        <f t="shared" si="119"/>
        <v>0</v>
      </c>
      <c r="BL105" s="11">
        <f t="shared" si="119"/>
        <v>0</v>
      </c>
      <c r="BM105" s="11">
        <f t="shared" si="119"/>
        <v>0</v>
      </c>
      <c r="BN105" s="11">
        <f t="shared" si="119"/>
        <v>0</v>
      </c>
      <c r="BO105" s="11">
        <f t="shared" si="119"/>
        <v>0</v>
      </c>
      <c r="BP105" s="11">
        <f t="shared" si="119"/>
        <v>0</v>
      </c>
      <c r="BQ105" s="11">
        <f t="shared" si="119"/>
        <v>0</v>
      </c>
      <c r="BR105" s="11">
        <f t="shared" si="119"/>
        <v>0</v>
      </c>
      <c r="BS105" s="11">
        <f t="shared" si="119"/>
        <v>0</v>
      </c>
      <c r="BT105" s="11">
        <f t="shared" si="119"/>
        <v>0</v>
      </c>
      <c r="BU105" s="11">
        <f t="shared" si="119"/>
        <v>0</v>
      </c>
      <c r="BV105" s="11">
        <f t="shared" si="119"/>
        <v>0</v>
      </c>
      <c r="BW105" s="11">
        <f t="shared" si="120"/>
        <v>0</v>
      </c>
      <c r="BX105" s="11">
        <f t="shared" si="120"/>
        <v>0</v>
      </c>
      <c r="BY105" s="11">
        <f t="shared" si="120"/>
        <v>0</v>
      </c>
      <c r="BZ105" s="11">
        <f t="shared" si="120"/>
        <v>0</v>
      </c>
      <c r="CA105" s="11">
        <f t="shared" si="120"/>
        <v>0</v>
      </c>
      <c r="CB105" s="11">
        <f t="shared" si="120"/>
        <v>0</v>
      </c>
      <c r="CC105" s="11">
        <f t="shared" si="120"/>
        <v>0</v>
      </c>
      <c r="CD105" s="11">
        <f t="shared" si="120"/>
        <v>0</v>
      </c>
      <c r="CE105" s="11">
        <f t="shared" si="120"/>
        <v>0</v>
      </c>
      <c r="CF105" s="11">
        <f t="shared" si="120"/>
        <v>0</v>
      </c>
      <c r="CG105" s="11">
        <f t="shared" si="120"/>
        <v>0</v>
      </c>
      <c r="CH105" s="11">
        <f t="shared" si="120"/>
        <v>0</v>
      </c>
      <c r="CI105" s="11">
        <f t="shared" si="120"/>
        <v>0</v>
      </c>
      <c r="CJ105" s="11">
        <f t="shared" si="120"/>
        <v>0</v>
      </c>
      <c r="CK105" s="11">
        <f t="shared" si="120"/>
        <v>0</v>
      </c>
      <c r="CL105" s="11">
        <f t="shared" si="120"/>
        <v>0</v>
      </c>
      <c r="CM105" s="11">
        <f t="shared" si="120"/>
        <v>0</v>
      </c>
      <c r="CN105" s="11">
        <f t="shared" si="120"/>
        <v>0</v>
      </c>
      <c r="CO105" s="11">
        <f t="shared" si="120"/>
        <v>0</v>
      </c>
      <c r="CP105" s="11"/>
      <c r="CQ105" s="11">
        <f t="shared" si="120"/>
        <v>0</v>
      </c>
      <c r="CR105" s="11">
        <f t="shared" si="120"/>
        <v>0</v>
      </c>
      <c r="CS105" s="11">
        <f t="shared" si="120"/>
        <v>0</v>
      </c>
      <c r="CT105" s="11">
        <f t="shared" si="120"/>
        <v>0</v>
      </c>
      <c r="CU105" s="11">
        <f t="shared" si="120"/>
        <v>0</v>
      </c>
      <c r="CV105" s="11">
        <f t="shared" si="120"/>
        <v>0</v>
      </c>
      <c r="CW105" s="11">
        <f t="shared" si="120"/>
        <v>0</v>
      </c>
      <c r="CX105" s="12">
        <f t="shared" si="120"/>
        <v>0</v>
      </c>
    </row>
    <row r="106" spans="1:102" ht="15.75" x14ac:dyDescent="0.25">
      <c r="A106" s="13" t="s">
        <v>1</v>
      </c>
      <c r="B106" s="14" t="s">
        <v>1</v>
      </c>
      <c r="C106" s="14" t="s">
        <v>97</v>
      </c>
      <c r="D106" s="15" t="s">
        <v>230</v>
      </c>
      <c r="E106" s="10">
        <f>SUM(F106+CB106+CU106)</f>
        <v>191860863</v>
      </c>
      <c r="F106" s="11">
        <f>SUM(G106+BC106)</f>
        <v>191860863</v>
      </c>
      <c r="G106" s="11">
        <f>SUM(H106+I106+J106+Q106+T106+U106+V106+AF106+AE106)</f>
        <v>0</v>
      </c>
      <c r="H106" s="11">
        <v>0</v>
      </c>
      <c r="I106" s="11">
        <v>0</v>
      </c>
      <c r="J106" s="11">
        <f t="shared" si="76"/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f t="shared" si="77"/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f>SUM(W106:AD106)</f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f>SUM(AG106:BB106)</f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/>
      <c r="AW106" s="11"/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f>SUM(BD106+BH106+BL106+BN106+BP106)</f>
        <v>191860863</v>
      </c>
      <c r="BD106" s="11">
        <f>SUM(BE106:BG106)</f>
        <v>191860863</v>
      </c>
      <c r="BE106" s="11">
        <v>191860863</v>
      </c>
      <c r="BF106" s="11">
        <v>0</v>
      </c>
      <c r="BG106" s="11">
        <v>0</v>
      </c>
      <c r="BH106" s="11">
        <f t="shared" si="78"/>
        <v>0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f t="shared" si="79"/>
        <v>0</v>
      </c>
      <c r="BO106" s="11">
        <v>0</v>
      </c>
      <c r="BP106" s="11">
        <f t="shared" si="80"/>
        <v>0</v>
      </c>
      <c r="BQ106" s="11">
        <v>0</v>
      </c>
      <c r="BR106" s="11">
        <v>0</v>
      </c>
      <c r="BS106" s="11">
        <v>0</v>
      </c>
      <c r="BT106" s="11">
        <v>0</v>
      </c>
      <c r="BU106" s="11">
        <v>0</v>
      </c>
      <c r="BV106" s="11">
        <v>0</v>
      </c>
      <c r="BW106" s="11">
        <v>0</v>
      </c>
      <c r="BX106" s="11">
        <v>0</v>
      </c>
      <c r="BY106" s="11">
        <v>0</v>
      </c>
      <c r="BZ106" s="11">
        <v>0</v>
      </c>
      <c r="CA106" s="11">
        <v>0</v>
      </c>
      <c r="CB106" s="11">
        <f>SUM(CC106+CT106)</f>
        <v>0</v>
      </c>
      <c r="CC106" s="11">
        <f>SUM(CD106+CG106+CL106)</f>
        <v>0</v>
      </c>
      <c r="CD106" s="11">
        <f t="shared" si="81"/>
        <v>0</v>
      </c>
      <c r="CE106" s="11">
        <v>0</v>
      </c>
      <c r="CF106" s="11">
        <v>0</v>
      </c>
      <c r="CG106" s="11">
        <f>SUM(CH106:CK106)</f>
        <v>0</v>
      </c>
      <c r="CH106" s="11">
        <v>0</v>
      </c>
      <c r="CI106" s="11">
        <v>0</v>
      </c>
      <c r="CJ106" s="11">
        <v>0</v>
      </c>
      <c r="CK106" s="11">
        <v>0</v>
      </c>
      <c r="CL106" s="11">
        <f>SUM(CM106:CQ106)</f>
        <v>0</v>
      </c>
      <c r="CM106" s="11">
        <v>0</v>
      </c>
      <c r="CN106" s="11">
        <v>0</v>
      </c>
      <c r="CO106" s="11">
        <v>0</v>
      </c>
      <c r="CP106" s="11"/>
      <c r="CQ106" s="11">
        <v>0</v>
      </c>
      <c r="CR106" s="11">
        <v>0</v>
      </c>
      <c r="CS106" s="11">
        <v>0</v>
      </c>
      <c r="CT106" s="11">
        <v>0</v>
      </c>
      <c r="CU106" s="11">
        <f t="shared" si="82"/>
        <v>0</v>
      </c>
      <c r="CV106" s="11">
        <f t="shared" si="83"/>
        <v>0</v>
      </c>
      <c r="CW106" s="11">
        <v>0</v>
      </c>
      <c r="CX106" s="12">
        <v>0</v>
      </c>
    </row>
    <row r="107" spans="1:102" ht="15.75" x14ac:dyDescent="0.25">
      <c r="A107" s="18" t="s">
        <v>231</v>
      </c>
      <c r="B107" s="19" t="s">
        <v>1</v>
      </c>
      <c r="C107" s="19" t="s">
        <v>1</v>
      </c>
      <c r="D107" s="20" t="s">
        <v>232</v>
      </c>
      <c r="E107" s="21">
        <f t="shared" ref="E107:AL107" si="121">SUM(E108)</f>
        <v>6416033</v>
      </c>
      <c r="F107" s="22">
        <f t="shared" si="121"/>
        <v>6416033</v>
      </c>
      <c r="G107" s="22">
        <f t="shared" si="121"/>
        <v>6416033</v>
      </c>
      <c r="H107" s="22">
        <f t="shared" si="121"/>
        <v>5187047</v>
      </c>
      <c r="I107" s="22">
        <f t="shared" si="121"/>
        <v>1228986</v>
      </c>
      <c r="J107" s="22">
        <f t="shared" si="121"/>
        <v>0</v>
      </c>
      <c r="K107" s="22">
        <f t="shared" si="121"/>
        <v>0</v>
      </c>
      <c r="L107" s="22">
        <f t="shared" si="121"/>
        <v>0</v>
      </c>
      <c r="M107" s="22">
        <f t="shared" si="121"/>
        <v>0</v>
      </c>
      <c r="N107" s="22">
        <f t="shared" si="121"/>
        <v>0</v>
      </c>
      <c r="O107" s="22">
        <f t="shared" si="121"/>
        <v>0</v>
      </c>
      <c r="P107" s="22">
        <f t="shared" si="121"/>
        <v>0</v>
      </c>
      <c r="Q107" s="22">
        <f t="shared" si="121"/>
        <v>0</v>
      </c>
      <c r="R107" s="22">
        <f t="shared" si="121"/>
        <v>0</v>
      </c>
      <c r="S107" s="22">
        <f t="shared" si="121"/>
        <v>0</v>
      </c>
      <c r="T107" s="22">
        <f t="shared" si="121"/>
        <v>0</v>
      </c>
      <c r="U107" s="22">
        <f t="shared" si="121"/>
        <v>0</v>
      </c>
      <c r="V107" s="22">
        <f t="shared" si="121"/>
        <v>0</v>
      </c>
      <c r="W107" s="22">
        <f t="shared" si="121"/>
        <v>0</v>
      </c>
      <c r="X107" s="22">
        <f t="shared" si="121"/>
        <v>0</v>
      </c>
      <c r="Y107" s="22">
        <f t="shared" si="121"/>
        <v>0</v>
      </c>
      <c r="Z107" s="22">
        <f t="shared" si="121"/>
        <v>0</v>
      </c>
      <c r="AA107" s="22">
        <f t="shared" si="121"/>
        <v>0</v>
      </c>
      <c r="AB107" s="22">
        <f t="shared" si="121"/>
        <v>0</v>
      </c>
      <c r="AC107" s="22">
        <f t="shared" si="121"/>
        <v>0</v>
      </c>
      <c r="AD107" s="22">
        <f t="shared" si="121"/>
        <v>0</v>
      </c>
      <c r="AE107" s="22">
        <f t="shared" si="121"/>
        <v>0</v>
      </c>
      <c r="AF107" s="22">
        <f t="shared" si="121"/>
        <v>0</v>
      </c>
      <c r="AG107" s="22">
        <f t="shared" si="121"/>
        <v>0</v>
      </c>
      <c r="AH107" s="22">
        <f t="shared" si="121"/>
        <v>0</v>
      </c>
      <c r="AI107" s="22">
        <f t="shared" si="121"/>
        <v>0</v>
      </c>
      <c r="AJ107" s="22">
        <f t="shared" si="121"/>
        <v>0</v>
      </c>
      <c r="AK107" s="22">
        <f t="shared" si="121"/>
        <v>0</v>
      </c>
      <c r="AL107" s="22">
        <f t="shared" si="121"/>
        <v>0</v>
      </c>
      <c r="AM107" s="22">
        <f t="shared" ref="AM107:CX107" si="122">SUM(AM108)</f>
        <v>0</v>
      </c>
      <c r="AN107" s="22">
        <f t="shared" si="122"/>
        <v>0</v>
      </c>
      <c r="AO107" s="22">
        <f t="shared" si="122"/>
        <v>0</v>
      </c>
      <c r="AP107" s="22">
        <f t="shared" si="122"/>
        <v>0</v>
      </c>
      <c r="AQ107" s="22">
        <f t="shared" si="122"/>
        <v>0</v>
      </c>
      <c r="AR107" s="22">
        <f t="shared" si="122"/>
        <v>0</v>
      </c>
      <c r="AS107" s="22">
        <f t="shared" si="122"/>
        <v>0</v>
      </c>
      <c r="AT107" s="22">
        <f t="shared" si="122"/>
        <v>0</v>
      </c>
      <c r="AU107" s="22">
        <f t="shared" si="122"/>
        <v>0</v>
      </c>
      <c r="AV107" s="22"/>
      <c r="AW107" s="22"/>
      <c r="AX107" s="22">
        <f t="shared" si="122"/>
        <v>0</v>
      </c>
      <c r="AY107" s="22">
        <f t="shared" si="122"/>
        <v>0</v>
      </c>
      <c r="AZ107" s="22">
        <f t="shared" si="122"/>
        <v>0</v>
      </c>
      <c r="BA107" s="22">
        <f t="shared" si="122"/>
        <v>0</v>
      </c>
      <c r="BB107" s="22">
        <f t="shared" si="122"/>
        <v>0</v>
      </c>
      <c r="BC107" s="22">
        <f t="shared" si="122"/>
        <v>0</v>
      </c>
      <c r="BD107" s="22">
        <f t="shared" si="122"/>
        <v>0</v>
      </c>
      <c r="BE107" s="22">
        <f t="shared" si="122"/>
        <v>0</v>
      </c>
      <c r="BF107" s="22">
        <f t="shared" si="122"/>
        <v>0</v>
      </c>
      <c r="BG107" s="22">
        <f t="shared" si="122"/>
        <v>0</v>
      </c>
      <c r="BH107" s="22">
        <f t="shared" si="122"/>
        <v>0</v>
      </c>
      <c r="BI107" s="22">
        <f t="shared" si="122"/>
        <v>0</v>
      </c>
      <c r="BJ107" s="22">
        <f t="shared" si="122"/>
        <v>0</v>
      </c>
      <c r="BK107" s="22">
        <f t="shared" si="122"/>
        <v>0</v>
      </c>
      <c r="BL107" s="22">
        <f t="shared" si="122"/>
        <v>0</v>
      </c>
      <c r="BM107" s="22">
        <f t="shared" si="122"/>
        <v>0</v>
      </c>
      <c r="BN107" s="22">
        <f t="shared" si="122"/>
        <v>0</v>
      </c>
      <c r="BO107" s="22">
        <f t="shared" si="122"/>
        <v>0</v>
      </c>
      <c r="BP107" s="22">
        <f t="shared" si="122"/>
        <v>0</v>
      </c>
      <c r="BQ107" s="22">
        <f t="shared" si="122"/>
        <v>0</v>
      </c>
      <c r="BR107" s="22">
        <f t="shared" si="122"/>
        <v>0</v>
      </c>
      <c r="BS107" s="22">
        <f t="shared" si="122"/>
        <v>0</v>
      </c>
      <c r="BT107" s="22">
        <f t="shared" si="122"/>
        <v>0</v>
      </c>
      <c r="BU107" s="22">
        <f t="shared" si="122"/>
        <v>0</v>
      </c>
      <c r="BV107" s="22">
        <f t="shared" si="122"/>
        <v>0</v>
      </c>
      <c r="BW107" s="22">
        <f t="shared" si="122"/>
        <v>0</v>
      </c>
      <c r="BX107" s="22">
        <f t="shared" si="122"/>
        <v>0</v>
      </c>
      <c r="BY107" s="22">
        <f t="shared" si="122"/>
        <v>0</v>
      </c>
      <c r="BZ107" s="22">
        <f t="shared" si="122"/>
        <v>0</v>
      </c>
      <c r="CA107" s="22">
        <f t="shared" si="122"/>
        <v>0</v>
      </c>
      <c r="CB107" s="22">
        <f t="shared" si="122"/>
        <v>0</v>
      </c>
      <c r="CC107" s="22">
        <f t="shared" si="122"/>
        <v>0</v>
      </c>
      <c r="CD107" s="22">
        <f t="shared" si="122"/>
        <v>0</v>
      </c>
      <c r="CE107" s="22">
        <f t="shared" si="122"/>
        <v>0</v>
      </c>
      <c r="CF107" s="22">
        <f t="shared" si="122"/>
        <v>0</v>
      </c>
      <c r="CG107" s="22">
        <f t="shared" si="122"/>
        <v>0</v>
      </c>
      <c r="CH107" s="22">
        <f t="shared" si="122"/>
        <v>0</v>
      </c>
      <c r="CI107" s="22">
        <f t="shared" si="122"/>
        <v>0</v>
      </c>
      <c r="CJ107" s="22">
        <f t="shared" si="122"/>
        <v>0</v>
      </c>
      <c r="CK107" s="22">
        <f t="shared" si="122"/>
        <v>0</v>
      </c>
      <c r="CL107" s="22">
        <f t="shared" si="122"/>
        <v>0</v>
      </c>
      <c r="CM107" s="22">
        <f t="shared" si="122"/>
        <v>0</v>
      </c>
      <c r="CN107" s="22">
        <f t="shared" si="122"/>
        <v>0</v>
      </c>
      <c r="CO107" s="22">
        <f t="shared" si="122"/>
        <v>0</v>
      </c>
      <c r="CP107" s="22"/>
      <c r="CQ107" s="22">
        <f t="shared" si="122"/>
        <v>0</v>
      </c>
      <c r="CR107" s="22">
        <f t="shared" si="122"/>
        <v>0</v>
      </c>
      <c r="CS107" s="22">
        <f t="shared" si="122"/>
        <v>0</v>
      </c>
      <c r="CT107" s="22">
        <f t="shared" si="122"/>
        <v>0</v>
      </c>
      <c r="CU107" s="22">
        <f t="shared" si="122"/>
        <v>0</v>
      </c>
      <c r="CV107" s="22">
        <f t="shared" si="122"/>
        <v>0</v>
      </c>
      <c r="CW107" s="22">
        <f t="shared" si="122"/>
        <v>0</v>
      </c>
      <c r="CX107" s="23">
        <f t="shared" si="122"/>
        <v>0</v>
      </c>
    </row>
    <row r="108" spans="1:102" ht="31.5" x14ac:dyDescent="0.25">
      <c r="A108" s="7"/>
      <c r="B108" s="8" t="s">
        <v>233</v>
      </c>
      <c r="C108" s="8" t="s">
        <v>1</v>
      </c>
      <c r="D108" s="9" t="s">
        <v>234</v>
      </c>
      <c r="E108" s="10">
        <f>SUM(E109:E110)</f>
        <v>6416033</v>
      </c>
      <c r="F108" s="11">
        <f t="shared" ref="F108:BV108" si="123">SUM(F109:F110)</f>
        <v>6416033</v>
      </c>
      <c r="G108" s="11">
        <f t="shared" si="123"/>
        <v>6416033</v>
      </c>
      <c r="H108" s="11">
        <f t="shared" si="123"/>
        <v>5187047</v>
      </c>
      <c r="I108" s="11">
        <f t="shared" si="123"/>
        <v>1228986</v>
      </c>
      <c r="J108" s="11">
        <f t="shared" si="123"/>
        <v>0</v>
      </c>
      <c r="K108" s="11">
        <f t="shared" si="123"/>
        <v>0</v>
      </c>
      <c r="L108" s="11">
        <f t="shared" si="123"/>
        <v>0</v>
      </c>
      <c r="M108" s="11">
        <f t="shared" si="123"/>
        <v>0</v>
      </c>
      <c r="N108" s="11">
        <f t="shared" si="123"/>
        <v>0</v>
      </c>
      <c r="O108" s="11">
        <f t="shared" si="123"/>
        <v>0</v>
      </c>
      <c r="P108" s="11">
        <f t="shared" si="123"/>
        <v>0</v>
      </c>
      <c r="Q108" s="11">
        <f t="shared" si="123"/>
        <v>0</v>
      </c>
      <c r="R108" s="11">
        <f t="shared" si="123"/>
        <v>0</v>
      </c>
      <c r="S108" s="11">
        <f t="shared" si="123"/>
        <v>0</v>
      </c>
      <c r="T108" s="11">
        <f t="shared" si="123"/>
        <v>0</v>
      </c>
      <c r="U108" s="11">
        <f t="shared" si="123"/>
        <v>0</v>
      </c>
      <c r="V108" s="11">
        <f t="shared" si="123"/>
        <v>0</v>
      </c>
      <c r="W108" s="11">
        <f t="shared" si="123"/>
        <v>0</v>
      </c>
      <c r="X108" s="11">
        <f t="shared" si="123"/>
        <v>0</v>
      </c>
      <c r="Y108" s="11">
        <f t="shared" si="123"/>
        <v>0</v>
      </c>
      <c r="Z108" s="11">
        <f t="shared" si="123"/>
        <v>0</v>
      </c>
      <c r="AA108" s="11">
        <f t="shared" si="123"/>
        <v>0</v>
      </c>
      <c r="AB108" s="11">
        <f t="shared" si="123"/>
        <v>0</v>
      </c>
      <c r="AC108" s="11">
        <f t="shared" si="123"/>
        <v>0</v>
      </c>
      <c r="AD108" s="11">
        <f t="shared" si="123"/>
        <v>0</v>
      </c>
      <c r="AE108" s="11">
        <f t="shared" si="123"/>
        <v>0</v>
      </c>
      <c r="AF108" s="11">
        <f t="shared" si="123"/>
        <v>0</v>
      </c>
      <c r="AG108" s="11">
        <f t="shared" si="123"/>
        <v>0</v>
      </c>
      <c r="AH108" s="11">
        <f t="shared" si="123"/>
        <v>0</v>
      </c>
      <c r="AI108" s="11">
        <f t="shared" si="123"/>
        <v>0</v>
      </c>
      <c r="AJ108" s="11">
        <f t="shared" si="123"/>
        <v>0</v>
      </c>
      <c r="AK108" s="11">
        <f t="shared" si="123"/>
        <v>0</v>
      </c>
      <c r="AL108" s="11">
        <f t="shared" si="123"/>
        <v>0</v>
      </c>
      <c r="AM108" s="11">
        <f t="shared" si="123"/>
        <v>0</v>
      </c>
      <c r="AN108" s="11">
        <f t="shared" si="123"/>
        <v>0</v>
      </c>
      <c r="AO108" s="11">
        <f t="shared" si="123"/>
        <v>0</v>
      </c>
      <c r="AP108" s="11">
        <f t="shared" si="123"/>
        <v>0</v>
      </c>
      <c r="AQ108" s="11">
        <f t="shared" si="123"/>
        <v>0</v>
      </c>
      <c r="AR108" s="11">
        <f>SUM(AR109:AR110)</f>
        <v>0</v>
      </c>
      <c r="AS108" s="11">
        <f t="shared" si="123"/>
        <v>0</v>
      </c>
      <c r="AT108" s="11">
        <f t="shared" si="123"/>
        <v>0</v>
      </c>
      <c r="AU108" s="11">
        <f t="shared" si="123"/>
        <v>0</v>
      </c>
      <c r="AV108" s="11"/>
      <c r="AW108" s="11"/>
      <c r="AX108" s="11">
        <f t="shared" si="123"/>
        <v>0</v>
      </c>
      <c r="AY108" s="11">
        <f t="shared" si="123"/>
        <v>0</v>
      </c>
      <c r="AZ108" s="11">
        <f t="shared" si="123"/>
        <v>0</v>
      </c>
      <c r="BA108" s="11">
        <f t="shared" si="123"/>
        <v>0</v>
      </c>
      <c r="BB108" s="11">
        <f t="shared" si="123"/>
        <v>0</v>
      </c>
      <c r="BC108" s="11">
        <f t="shared" si="123"/>
        <v>0</v>
      </c>
      <c r="BD108" s="11">
        <f t="shared" si="123"/>
        <v>0</v>
      </c>
      <c r="BE108" s="11">
        <f t="shared" si="123"/>
        <v>0</v>
      </c>
      <c r="BF108" s="11">
        <f t="shared" si="123"/>
        <v>0</v>
      </c>
      <c r="BG108" s="11">
        <f t="shared" si="123"/>
        <v>0</v>
      </c>
      <c r="BH108" s="11">
        <f t="shared" si="123"/>
        <v>0</v>
      </c>
      <c r="BI108" s="11">
        <f t="shared" si="123"/>
        <v>0</v>
      </c>
      <c r="BJ108" s="11">
        <f t="shared" si="123"/>
        <v>0</v>
      </c>
      <c r="BK108" s="11">
        <f t="shared" si="123"/>
        <v>0</v>
      </c>
      <c r="BL108" s="11">
        <f t="shared" si="123"/>
        <v>0</v>
      </c>
      <c r="BM108" s="11">
        <f t="shared" si="123"/>
        <v>0</v>
      </c>
      <c r="BN108" s="11">
        <f t="shared" si="123"/>
        <v>0</v>
      </c>
      <c r="BO108" s="11">
        <f t="shared" si="123"/>
        <v>0</v>
      </c>
      <c r="BP108" s="11">
        <f t="shared" si="123"/>
        <v>0</v>
      </c>
      <c r="BQ108" s="11">
        <f t="shared" si="123"/>
        <v>0</v>
      </c>
      <c r="BR108" s="11">
        <f t="shared" si="123"/>
        <v>0</v>
      </c>
      <c r="BS108" s="11">
        <f t="shared" si="123"/>
        <v>0</v>
      </c>
      <c r="BT108" s="11">
        <f t="shared" si="123"/>
        <v>0</v>
      </c>
      <c r="BU108" s="11">
        <f t="shared" si="123"/>
        <v>0</v>
      </c>
      <c r="BV108" s="11">
        <f t="shared" si="123"/>
        <v>0</v>
      </c>
      <c r="BW108" s="11">
        <f t="shared" ref="BW108:CX108" si="124">SUM(BW109:BW110)</f>
        <v>0</v>
      </c>
      <c r="BX108" s="11">
        <f t="shared" si="124"/>
        <v>0</v>
      </c>
      <c r="BY108" s="11">
        <f t="shared" si="124"/>
        <v>0</v>
      </c>
      <c r="BZ108" s="11">
        <f t="shared" si="124"/>
        <v>0</v>
      </c>
      <c r="CA108" s="11">
        <f t="shared" si="124"/>
        <v>0</v>
      </c>
      <c r="CB108" s="11">
        <f t="shared" si="124"/>
        <v>0</v>
      </c>
      <c r="CC108" s="11">
        <f t="shared" si="124"/>
        <v>0</v>
      </c>
      <c r="CD108" s="11">
        <f t="shared" si="124"/>
        <v>0</v>
      </c>
      <c r="CE108" s="11">
        <f t="shared" si="124"/>
        <v>0</v>
      </c>
      <c r="CF108" s="11">
        <f t="shared" si="124"/>
        <v>0</v>
      </c>
      <c r="CG108" s="11">
        <f t="shared" si="124"/>
        <v>0</v>
      </c>
      <c r="CH108" s="11">
        <f t="shared" si="124"/>
        <v>0</v>
      </c>
      <c r="CI108" s="11">
        <f t="shared" si="124"/>
        <v>0</v>
      </c>
      <c r="CJ108" s="11">
        <f t="shared" si="124"/>
        <v>0</v>
      </c>
      <c r="CK108" s="11">
        <f t="shared" si="124"/>
        <v>0</v>
      </c>
      <c r="CL108" s="11">
        <f t="shared" si="124"/>
        <v>0</v>
      </c>
      <c r="CM108" s="11">
        <f t="shared" si="124"/>
        <v>0</v>
      </c>
      <c r="CN108" s="11">
        <f t="shared" si="124"/>
        <v>0</v>
      </c>
      <c r="CO108" s="11">
        <f t="shared" si="124"/>
        <v>0</v>
      </c>
      <c r="CP108" s="11"/>
      <c r="CQ108" s="11">
        <f t="shared" si="124"/>
        <v>0</v>
      </c>
      <c r="CR108" s="11">
        <f t="shared" si="124"/>
        <v>0</v>
      </c>
      <c r="CS108" s="11">
        <f t="shared" si="124"/>
        <v>0</v>
      </c>
      <c r="CT108" s="11">
        <f t="shared" si="124"/>
        <v>0</v>
      </c>
      <c r="CU108" s="11">
        <f t="shared" si="124"/>
        <v>0</v>
      </c>
      <c r="CV108" s="11">
        <f t="shared" si="124"/>
        <v>0</v>
      </c>
      <c r="CW108" s="11">
        <f t="shared" si="124"/>
        <v>0</v>
      </c>
      <c r="CX108" s="12">
        <f t="shared" si="124"/>
        <v>0</v>
      </c>
    </row>
    <row r="109" spans="1:102" ht="31.5" x14ac:dyDescent="0.25">
      <c r="A109" s="13" t="s">
        <v>1</v>
      </c>
      <c r="B109" s="14" t="s">
        <v>1</v>
      </c>
      <c r="C109" s="14" t="s">
        <v>109</v>
      </c>
      <c r="D109" s="15" t="s">
        <v>467</v>
      </c>
      <c r="E109" s="10">
        <f>SUM(F109+CB109+CU109)</f>
        <v>225759</v>
      </c>
      <c r="F109" s="11">
        <f>SUM(G109+BC109)</f>
        <v>225759</v>
      </c>
      <c r="G109" s="11">
        <f>SUM(H109+I109+J109+Q109+T109+U109+V109+AF109+AE109)</f>
        <v>225759</v>
      </c>
      <c r="H109" s="11">
        <f>171463+9145</f>
        <v>180608</v>
      </c>
      <c r="I109" s="11">
        <f>42865+2286</f>
        <v>45151</v>
      </c>
      <c r="J109" s="11">
        <f t="shared" si="76"/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f t="shared" si="77"/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f t="shared" ref="V109:V110" si="125">SUM(W109:AD109)</f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f>SUM(AG109:BB109)</f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/>
      <c r="AW109" s="11"/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f>SUM(BD109+BH109+BL109+BN109+BP109)</f>
        <v>0</v>
      </c>
      <c r="BD109" s="11">
        <f>SUM(BE109:BG109)</f>
        <v>0</v>
      </c>
      <c r="BE109" s="11">
        <v>0</v>
      </c>
      <c r="BF109" s="11">
        <v>0</v>
      </c>
      <c r="BG109" s="11">
        <v>0</v>
      </c>
      <c r="BH109" s="11">
        <f t="shared" si="78"/>
        <v>0</v>
      </c>
      <c r="BI109" s="11">
        <v>0</v>
      </c>
      <c r="BJ109" s="11">
        <v>0</v>
      </c>
      <c r="BK109" s="11">
        <v>0</v>
      </c>
      <c r="BL109" s="11">
        <v>0</v>
      </c>
      <c r="BM109" s="11">
        <v>0</v>
      </c>
      <c r="BN109" s="11">
        <f t="shared" si="79"/>
        <v>0</v>
      </c>
      <c r="BO109" s="11">
        <v>0</v>
      </c>
      <c r="BP109" s="11">
        <f t="shared" si="80"/>
        <v>0</v>
      </c>
      <c r="BQ109" s="11">
        <v>0</v>
      </c>
      <c r="BR109" s="11">
        <v>0</v>
      </c>
      <c r="BS109" s="11">
        <v>0</v>
      </c>
      <c r="BT109" s="11">
        <v>0</v>
      </c>
      <c r="BU109" s="11">
        <v>0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>
        <v>0</v>
      </c>
      <c r="CB109" s="11">
        <f>SUM(CC109+CT109)</f>
        <v>0</v>
      </c>
      <c r="CC109" s="11">
        <f>SUM(CD109+CG109+CL109)</f>
        <v>0</v>
      </c>
      <c r="CD109" s="11">
        <f t="shared" si="81"/>
        <v>0</v>
      </c>
      <c r="CE109" s="11">
        <v>0</v>
      </c>
      <c r="CF109" s="11">
        <v>0</v>
      </c>
      <c r="CG109" s="11">
        <f>SUM(CH109:CK109)</f>
        <v>0</v>
      </c>
      <c r="CH109" s="11">
        <v>0</v>
      </c>
      <c r="CI109" s="11">
        <v>0</v>
      </c>
      <c r="CJ109" s="11">
        <v>0</v>
      </c>
      <c r="CK109" s="11">
        <v>0</v>
      </c>
      <c r="CL109" s="11">
        <f>SUM(CM109:CQ109)</f>
        <v>0</v>
      </c>
      <c r="CM109" s="11">
        <v>0</v>
      </c>
      <c r="CN109" s="11">
        <v>0</v>
      </c>
      <c r="CO109" s="11">
        <v>0</v>
      </c>
      <c r="CP109" s="11"/>
      <c r="CQ109" s="11">
        <v>0</v>
      </c>
      <c r="CR109" s="11">
        <v>0</v>
      </c>
      <c r="CS109" s="11">
        <v>0</v>
      </c>
      <c r="CT109" s="11">
        <v>0</v>
      </c>
      <c r="CU109" s="11">
        <f t="shared" si="82"/>
        <v>0</v>
      </c>
      <c r="CV109" s="11">
        <f t="shared" si="83"/>
        <v>0</v>
      </c>
      <c r="CW109" s="11">
        <v>0</v>
      </c>
      <c r="CX109" s="12">
        <v>0</v>
      </c>
    </row>
    <row r="110" spans="1:102" ht="15.75" x14ac:dyDescent="0.25">
      <c r="A110" s="13" t="s">
        <v>1</v>
      </c>
      <c r="B110" s="14" t="s">
        <v>1</v>
      </c>
      <c r="C110" s="14" t="s">
        <v>109</v>
      </c>
      <c r="D110" s="15" t="s">
        <v>235</v>
      </c>
      <c r="E110" s="10">
        <f>SUM(F110+CB110+CU110)</f>
        <v>6190274</v>
      </c>
      <c r="F110" s="11">
        <f>SUM(G110+BC110)</f>
        <v>6190274</v>
      </c>
      <c r="G110" s="11">
        <f>SUM(H110+I110+J110+Q110+T110+U110+V110+AF110+AE110)</f>
        <v>6190274</v>
      </c>
      <c r="H110" s="16">
        <f>4752948+253491</f>
        <v>5006439</v>
      </c>
      <c r="I110" s="16">
        <f>1120462+63373</f>
        <v>1183835</v>
      </c>
      <c r="J110" s="11">
        <f t="shared" si="76"/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f t="shared" si="77"/>
        <v>0</v>
      </c>
      <c r="R110" s="11">
        <v>0</v>
      </c>
      <c r="S110" s="11">
        <v>0</v>
      </c>
      <c r="T110" s="11">
        <v>0</v>
      </c>
      <c r="U110" s="11"/>
      <c r="V110" s="11">
        <f t="shared" si="125"/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f>SUM(AG110:BB110)</f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/>
      <c r="AW110" s="11"/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f>SUM(BD110+BH110+BL110+BN110+BP110)</f>
        <v>0</v>
      </c>
      <c r="BD110" s="11">
        <f>SUM(BE110:BG110)</f>
        <v>0</v>
      </c>
      <c r="BE110" s="11">
        <v>0</v>
      </c>
      <c r="BF110" s="11">
        <v>0</v>
      </c>
      <c r="BG110" s="11">
        <v>0</v>
      </c>
      <c r="BH110" s="11">
        <f t="shared" si="78"/>
        <v>0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f t="shared" si="79"/>
        <v>0</v>
      </c>
      <c r="BO110" s="11">
        <v>0</v>
      </c>
      <c r="BP110" s="11">
        <f t="shared" si="80"/>
        <v>0</v>
      </c>
      <c r="BQ110" s="11">
        <v>0</v>
      </c>
      <c r="BR110" s="11">
        <v>0</v>
      </c>
      <c r="BS110" s="11">
        <v>0</v>
      </c>
      <c r="BT110" s="11">
        <v>0</v>
      </c>
      <c r="BU110" s="11">
        <v>0</v>
      </c>
      <c r="BV110" s="11">
        <v>0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f>SUM(CC110+CT110)</f>
        <v>0</v>
      </c>
      <c r="CC110" s="11">
        <f>SUM(CD110+CG110+CL110)</f>
        <v>0</v>
      </c>
      <c r="CD110" s="11">
        <f t="shared" si="81"/>
        <v>0</v>
      </c>
      <c r="CE110" s="11">
        <v>0</v>
      </c>
      <c r="CF110" s="11">
        <v>0</v>
      </c>
      <c r="CG110" s="11">
        <f>SUM(CH110:CK110)</f>
        <v>0</v>
      </c>
      <c r="CH110" s="11">
        <v>0</v>
      </c>
      <c r="CI110" s="11">
        <v>0</v>
      </c>
      <c r="CJ110" s="11">
        <v>0</v>
      </c>
      <c r="CK110" s="11">
        <v>0</v>
      </c>
      <c r="CL110" s="11">
        <f>SUM(CM110:CQ110)</f>
        <v>0</v>
      </c>
      <c r="CM110" s="11">
        <v>0</v>
      </c>
      <c r="CN110" s="11">
        <v>0</v>
      </c>
      <c r="CO110" s="11">
        <v>0</v>
      </c>
      <c r="CP110" s="11"/>
      <c r="CQ110" s="11">
        <v>0</v>
      </c>
      <c r="CR110" s="11">
        <v>0</v>
      </c>
      <c r="CS110" s="11">
        <v>0</v>
      </c>
      <c r="CT110" s="11">
        <v>0</v>
      </c>
      <c r="CU110" s="11">
        <f t="shared" si="82"/>
        <v>0</v>
      </c>
      <c r="CV110" s="11">
        <f t="shared" si="83"/>
        <v>0</v>
      </c>
      <c r="CW110" s="11">
        <v>0</v>
      </c>
      <c r="CX110" s="12">
        <v>0</v>
      </c>
    </row>
    <row r="111" spans="1:102" ht="47.25" x14ac:dyDescent="0.25">
      <c r="A111" s="18" t="s">
        <v>236</v>
      </c>
      <c r="B111" s="19" t="s">
        <v>1</v>
      </c>
      <c r="C111" s="19" t="s">
        <v>1</v>
      </c>
      <c r="D111" s="20" t="s">
        <v>237</v>
      </c>
      <c r="E111" s="21">
        <f>SUM(E112+E114)</f>
        <v>13548184</v>
      </c>
      <c r="F111" s="22">
        <f t="shared" ref="F111:BV111" si="126">SUM(F112+F114)</f>
        <v>13108019</v>
      </c>
      <c r="G111" s="22">
        <f t="shared" si="126"/>
        <v>4465936</v>
      </c>
      <c r="H111" s="22">
        <f t="shared" si="126"/>
        <v>3551189</v>
      </c>
      <c r="I111" s="22">
        <f t="shared" si="126"/>
        <v>825698</v>
      </c>
      <c r="J111" s="22">
        <f t="shared" si="126"/>
        <v>5198</v>
      </c>
      <c r="K111" s="22">
        <f t="shared" si="126"/>
        <v>0</v>
      </c>
      <c r="L111" s="22">
        <f t="shared" si="126"/>
        <v>0</v>
      </c>
      <c r="M111" s="22">
        <f t="shared" si="126"/>
        <v>0</v>
      </c>
      <c r="N111" s="22">
        <f t="shared" si="126"/>
        <v>0</v>
      </c>
      <c r="O111" s="22">
        <f t="shared" si="126"/>
        <v>5198</v>
      </c>
      <c r="P111" s="22">
        <f t="shared" si="126"/>
        <v>0</v>
      </c>
      <c r="Q111" s="22">
        <f t="shared" si="126"/>
        <v>0</v>
      </c>
      <c r="R111" s="22">
        <f t="shared" si="126"/>
        <v>0</v>
      </c>
      <c r="S111" s="22">
        <f t="shared" si="126"/>
        <v>0</v>
      </c>
      <c r="T111" s="22">
        <f t="shared" si="126"/>
        <v>0</v>
      </c>
      <c r="U111" s="22">
        <f t="shared" si="126"/>
        <v>35340</v>
      </c>
      <c r="V111" s="22">
        <f t="shared" si="126"/>
        <v>48511</v>
      </c>
      <c r="W111" s="22">
        <f t="shared" si="126"/>
        <v>0</v>
      </c>
      <c r="X111" s="22">
        <f t="shared" si="126"/>
        <v>11124</v>
      </c>
      <c r="Y111" s="22">
        <f t="shared" si="126"/>
        <v>37003</v>
      </c>
      <c r="Z111" s="22">
        <f t="shared" si="126"/>
        <v>384</v>
      </c>
      <c r="AA111" s="22">
        <f t="shared" si="126"/>
        <v>0</v>
      </c>
      <c r="AB111" s="22">
        <f t="shared" si="126"/>
        <v>0</v>
      </c>
      <c r="AC111" s="22">
        <f t="shared" si="126"/>
        <v>0</v>
      </c>
      <c r="AD111" s="22">
        <f t="shared" si="126"/>
        <v>0</v>
      </c>
      <c r="AE111" s="22">
        <f t="shared" si="126"/>
        <v>0</v>
      </c>
      <c r="AF111" s="22">
        <f t="shared" si="126"/>
        <v>0</v>
      </c>
      <c r="AG111" s="22">
        <f t="shared" si="126"/>
        <v>0</v>
      </c>
      <c r="AH111" s="22">
        <f t="shared" si="126"/>
        <v>0</v>
      </c>
      <c r="AI111" s="22">
        <f t="shared" si="126"/>
        <v>0</v>
      </c>
      <c r="AJ111" s="22">
        <f t="shared" si="126"/>
        <v>0</v>
      </c>
      <c r="AK111" s="22">
        <f t="shared" si="126"/>
        <v>0</v>
      </c>
      <c r="AL111" s="22">
        <f t="shared" si="126"/>
        <v>0</v>
      </c>
      <c r="AM111" s="22">
        <f t="shared" si="126"/>
        <v>0</v>
      </c>
      <c r="AN111" s="22">
        <f t="shared" si="126"/>
        <v>0</v>
      </c>
      <c r="AO111" s="22">
        <f t="shared" si="126"/>
        <v>0</v>
      </c>
      <c r="AP111" s="22">
        <f t="shared" si="126"/>
        <v>0</v>
      </c>
      <c r="AQ111" s="22">
        <f t="shared" si="126"/>
        <v>0</v>
      </c>
      <c r="AR111" s="22">
        <f>SUM(AR112+AR114)</f>
        <v>0</v>
      </c>
      <c r="AS111" s="22">
        <f t="shared" si="126"/>
        <v>0</v>
      </c>
      <c r="AT111" s="22">
        <f t="shared" si="126"/>
        <v>0</v>
      </c>
      <c r="AU111" s="22">
        <f t="shared" si="126"/>
        <v>0</v>
      </c>
      <c r="AV111" s="22"/>
      <c r="AW111" s="22"/>
      <c r="AX111" s="22">
        <f t="shared" si="126"/>
        <v>0</v>
      </c>
      <c r="AY111" s="22">
        <f t="shared" si="126"/>
        <v>0</v>
      </c>
      <c r="AZ111" s="22">
        <f t="shared" si="126"/>
        <v>0</v>
      </c>
      <c r="BA111" s="22">
        <f t="shared" si="126"/>
        <v>0</v>
      </c>
      <c r="BB111" s="22">
        <f t="shared" si="126"/>
        <v>0</v>
      </c>
      <c r="BC111" s="22">
        <f t="shared" si="126"/>
        <v>8642083</v>
      </c>
      <c r="BD111" s="22">
        <f t="shared" si="126"/>
        <v>0</v>
      </c>
      <c r="BE111" s="22">
        <f t="shared" si="126"/>
        <v>0</v>
      </c>
      <c r="BF111" s="22">
        <f t="shared" si="126"/>
        <v>0</v>
      </c>
      <c r="BG111" s="22">
        <f t="shared" si="126"/>
        <v>0</v>
      </c>
      <c r="BH111" s="22">
        <f t="shared" si="126"/>
        <v>8642083</v>
      </c>
      <c r="BI111" s="22">
        <f t="shared" si="126"/>
        <v>0</v>
      </c>
      <c r="BJ111" s="22">
        <f t="shared" si="126"/>
        <v>8642083</v>
      </c>
      <c r="BK111" s="22">
        <f t="shared" si="126"/>
        <v>0</v>
      </c>
      <c r="BL111" s="22">
        <f t="shared" si="126"/>
        <v>0</v>
      </c>
      <c r="BM111" s="22">
        <f t="shared" si="126"/>
        <v>0</v>
      </c>
      <c r="BN111" s="22">
        <f t="shared" si="126"/>
        <v>0</v>
      </c>
      <c r="BO111" s="22">
        <f t="shared" si="126"/>
        <v>0</v>
      </c>
      <c r="BP111" s="22">
        <f t="shared" si="126"/>
        <v>0</v>
      </c>
      <c r="BQ111" s="22">
        <f t="shared" si="126"/>
        <v>0</v>
      </c>
      <c r="BR111" s="22">
        <f t="shared" si="126"/>
        <v>0</v>
      </c>
      <c r="BS111" s="22">
        <f t="shared" si="126"/>
        <v>0</v>
      </c>
      <c r="BT111" s="22">
        <f t="shared" si="126"/>
        <v>0</v>
      </c>
      <c r="BU111" s="22">
        <f t="shared" si="126"/>
        <v>0</v>
      </c>
      <c r="BV111" s="22">
        <f t="shared" si="126"/>
        <v>0</v>
      </c>
      <c r="BW111" s="22">
        <f t="shared" ref="BW111:CX111" si="127">SUM(BW112+BW114)</f>
        <v>0</v>
      </c>
      <c r="BX111" s="22">
        <f t="shared" si="127"/>
        <v>0</v>
      </c>
      <c r="BY111" s="22">
        <f t="shared" si="127"/>
        <v>0</v>
      </c>
      <c r="BZ111" s="22">
        <f t="shared" si="127"/>
        <v>0</v>
      </c>
      <c r="CA111" s="22">
        <f t="shared" si="127"/>
        <v>0</v>
      </c>
      <c r="CB111" s="22">
        <f t="shared" si="127"/>
        <v>440165</v>
      </c>
      <c r="CC111" s="22">
        <f t="shared" si="127"/>
        <v>440165</v>
      </c>
      <c r="CD111" s="22">
        <f t="shared" si="127"/>
        <v>440165</v>
      </c>
      <c r="CE111" s="22">
        <f t="shared" si="127"/>
        <v>0</v>
      </c>
      <c r="CF111" s="22">
        <f t="shared" si="127"/>
        <v>440165</v>
      </c>
      <c r="CG111" s="22">
        <f t="shared" si="127"/>
        <v>0</v>
      </c>
      <c r="CH111" s="22">
        <f t="shared" si="127"/>
        <v>0</v>
      </c>
      <c r="CI111" s="22">
        <f t="shared" si="127"/>
        <v>0</v>
      </c>
      <c r="CJ111" s="22">
        <f t="shared" si="127"/>
        <v>0</v>
      </c>
      <c r="CK111" s="22">
        <f t="shared" si="127"/>
        <v>0</v>
      </c>
      <c r="CL111" s="22">
        <f t="shared" si="127"/>
        <v>0</v>
      </c>
      <c r="CM111" s="22">
        <f t="shared" si="127"/>
        <v>0</v>
      </c>
      <c r="CN111" s="22">
        <f t="shared" si="127"/>
        <v>0</v>
      </c>
      <c r="CO111" s="22">
        <f t="shared" si="127"/>
        <v>0</v>
      </c>
      <c r="CP111" s="22"/>
      <c r="CQ111" s="22">
        <f t="shared" si="127"/>
        <v>0</v>
      </c>
      <c r="CR111" s="22">
        <f t="shared" si="127"/>
        <v>0</v>
      </c>
      <c r="CS111" s="22">
        <f t="shared" si="127"/>
        <v>0</v>
      </c>
      <c r="CT111" s="22">
        <f t="shared" si="127"/>
        <v>0</v>
      </c>
      <c r="CU111" s="22">
        <f t="shared" si="127"/>
        <v>0</v>
      </c>
      <c r="CV111" s="22">
        <f t="shared" si="127"/>
        <v>0</v>
      </c>
      <c r="CW111" s="22">
        <f t="shared" si="127"/>
        <v>0</v>
      </c>
      <c r="CX111" s="23">
        <f t="shared" si="127"/>
        <v>0</v>
      </c>
    </row>
    <row r="112" spans="1:102" ht="15.75" x14ac:dyDescent="0.25">
      <c r="A112" s="7"/>
      <c r="B112" s="8" t="s">
        <v>238</v>
      </c>
      <c r="C112" s="8" t="s">
        <v>1</v>
      </c>
      <c r="D112" s="9" t="s">
        <v>239</v>
      </c>
      <c r="E112" s="10">
        <f>SUM(E113)</f>
        <v>8642083</v>
      </c>
      <c r="F112" s="11">
        <f t="shared" ref="F112:BV112" si="128">SUM(F113)</f>
        <v>8642083</v>
      </c>
      <c r="G112" s="11">
        <f t="shared" si="128"/>
        <v>0</v>
      </c>
      <c r="H112" s="11">
        <f t="shared" si="128"/>
        <v>0</v>
      </c>
      <c r="I112" s="11">
        <f t="shared" si="128"/>
        <v>0</v>
      </c>
      <c r="J112" s="11">
        <f t="shared" si="128"/>
        <v>0</v>
      </c>
      <c r="K112" s="11">
        <f t="shared" si="128"/>
        <v>0</v>
      </c>
      <c r="L112" s="11">
        <f t="shared" si="128"/>
        <v>0</v>
      </c>
      <c r="M112" s="11">
        <f t="shared" si="128"/>
        <v>0</v>
      </c>
      <c r="N112" s="11">
        <f t="shared" si="128"/>
        <v>0</v>
      </c>
      <c r="O112" s="11">
        <f t="shared" si="128"/>
        <v>0</v>
      </c>
      <c r="P112" s="11">
        <f t="shared" si="128"/>
        <v>0</v>
      </c>
      <c r="Q112" s="11">
        <f t="shared" si="128"/>
        <v>0</v>
      </c>
      <c r="R112" s="11">
        <f t="shared" si="128"/>
        <v>0</v>
      </c>
      <c r="S112" s="11">
        <f t="shared" si="128"/>
        <v>0</v>
      </c>
      <c r="T112" s="11">
        <f t="shared" si="128"/>
        <v>0</v>
      </c>
      <c r="U112" s="11">
        <f t="shared" si="128"/>
        <v>0</v>
      </c>
      <c r="V112" s="11">
        <f t="shared" si="128"/>
        <v>0</v>
      </c>
      <c r="W112" s="11">
        <f t="shared" si="128"/>
        <v>0</v>
      </c>
      <c r="X112" s="11">
        <f t="shared" si="128"/>
        <v>0</v>
      </c>
      <c r="Y112" s="11">
        <f t="shared" si="128"/>
        <v>0</v>
      </c>
      <c r="Z112" s="11">
        <f t="shared" si="128"/>
        <v>0</v>
      </c>
      <c r="AA112" s="11">
        <f t="shared" si="128"/>
        <v>0</v>
      </c>
      <c r="AB112" s="11">
        <f t="shared" si="128"/>
        <v>0</v>
      </c>
      <c r="AC112" s="11">
        <f t="shared" si="128"/>
        <v>0</v>
      </c>
      <c r="AD112" s="11">
        <f t="shared" si="128"/>
        <v>0</v>
      </c>
      <c r="AE112" s="11">
        <f t="shared" si="128"/>
        <v>0</v>
      </c>
      <c r="AF112" s="11">
        <f t="shared" si="128"/>
        <v>0</v>
      </c>
      <c r="AG112" s="11">
        <f t="shared" si="128"/>
        <v>0</v>
      </c>
      <c r="AH112" s="11">
        <f t="shared" si="128"/>
        <v>0</v>
      </c>
      <c r="AI112" s="11">
        <f t="shared" si="128"/>
        <v>0</v>
      </c>
      <c r="AJ112" s="11">
        <f t="shared" si="128"/>
        <v>0</v>
      </c>
      <c r="AK112" s="11">
        <f t="shared" si="128"/>
        <v>0</v>
      </c>
      <c r="AL112" s="11">
        <f t="shared" si="128"/>
        <v>0</v>
      </c>
      <c r="AM112" s="11">
        <f t="shared" si="128"/>
        <v>0</v>
      </c>
      <c r="AN112" s="11">
        <f t="shared" si="128"/>
        <v>0</v>
      </c>
      <c r="AO112" s="11">
        <f t="shared" si="128"/>
        <v>0</v>
      </c>
      <c r="AP112" s="11">
        <f t="shared" si="128"/>
        <v>0</v>
      </c>
      <c r="AQ112" s="11">
        <f t="shared" si="128"/>
        <v>0</v>
      </c>
      <c r="AR112" s="11">
        <f t="shared" si="128"/>
        <v>0</v>
      </c>
      <c r="AS112" s="11">
        <f t="shared" si="128"/>
        <v>0</v>
      </c>
      <c r="AT112" s="11">
        <f t="shared" si="128"/>
        <v>0</v>
      </c>
      <c r="AU112" s="11">
        <f t="shared" si="128"/>
        <v>0</v>
      </c>
      <c r="AV112" s="11"/>
      <c r="AW112" s="11"/>
      <c r="AX112" s="11">
        <f t="shared" si="128"/>
        <v>0</v>
      </c>
      <c r="AY112" s="11">
        <f t="shared" si="128"/>
        <v>0</v>
      </c>
      <c r="AZ112" s="11">
        <f t="shared" si="128"/>
        <v>0</v>
      </c>
      <c r="BA112" s="11">
        <f t="shared" si="128"/>
        <v>0</v>
      </c>
      <c r="BB112" s="11">
        <f t="shared" si="128"/>
        <v>0</v>
      </c>
      <c r="BC112" s="11">
        <f t="shared" si="128"/>
        <v>8642083</v>
      </c>
      <c r="BD112" s="11">
        <f t="shared" si="128"/>
        <v>0</v>
      </c>
      <c r="BE112" s="11">
        <f t="shared" si="128"/>
        <v>0</v>
      </c>
      <c r="BF112" s="11">
        <f t="shared" si="128"/>
        <v>0</v>
      </c>
      <c r="BG112" s="11">
        <f t="shared" si="128"/>
        <v>0</v>
      </c>
      <c r="BH112" s="11">
        <f t="shared" si="128"/>
        <v>8642083</v>
      </c>
      <c r="BI112" s="11">
        <f t="shared" si="128"/>
        <v>0</v>
      </c>
      <c r="BJ112" s="11">
        <f t="shared" si="128"/>
        <v>8642083</v>
      </c>
      <c r="BK112" s="11">
        <f t="shared" si="128"/>
        <v>0</v>
      </c>
      <c r="BL112" s="11">
        <f t="shared" si="128"/>
        <v>0</v>
      </c>
      <c r="BM112" s="11">
        <f t="shared" si="128"/>
        <v>0</v>
      </c>
      <c r="BN112" s="11">
        <f t="shared" si="128"/>
        <v>0</v>
      </c>
      <c r="BO112" s="11">
        <f t="shared" si="128"/>
        <v>0</v>
      </c>
      <c r="BP112" s="11">
        <f t="shared" si="128"/>
        <v>0</v>
      </c>
      <c r="BQ112" s="11">
        <f t="shared" si="128"/>
        <v>0</v>
      </c>
      <c r="BR112" s="11">
        <f t="shared" si="128"/>
        <v>0</v>
      </c>
      <c r="BS112" s="11">
        <f t="shared" si="128"/>
        <v>0</v>
      </c>
      <c r="BT112" s="11">
        <f t="shared" si="128"/>
        <v>0</v>
      </c>
      <c r="BU112" s="11">
        <f t="shared" si="128"/>
        <v>0</v>
      </c>
      <c r="BV112" s="11">
        <f t="shared" si="128"/>
        <v>0</v>
      </c>
      <c r="BW112" s="11">
        <f t="shared" ref="BW112:CX112" si="129">SUM(BW113)</f>
        <v>0</v>
      </c>
      <c r="BX112" s="11">
        <f t="shared" si="129"/>
        <v>0</v>
      </c>
      <c r="BY112" s="11">
        <f t="shared" si="129"/>
        <v>0</v>
      </c>
      <c r="BZ112" s="11">
        <f t="shared" si="129"/>
        <v>0</v>
      </c>
      <c r="CA112" s="11">
        <f t="shared" si="129"/>
        <v>0</v>
      </c>
      <c r="CB112" s="11">
        <f t="shared" si="129"/>
        <v>0</v>
      </c>
      <c r="CC112" s="11">
        <f t="shared" si="129"/>
        <v>0</v>
      </c>
      <c r="CD112" s="11">
        <f t="shared" si="129"/>
        <v>0</v>
      </c>
      <c r="CE112" s="11">
        <f t="shared" si="129"/>
        <v>0</v>
      </c>
      <c r="CF112" s="11">
        <f t="shared" si="129"/>
        <v>0</v>
      </c>
      <c r="CG112" s="11">
        <f t="shared" si="129"/>
        <v>0</v>
      </c>
      <c r="CH112" s="11">
        <f t="shared" si="129"/>
        <v>0</v>
      </c>
      <c r="CI112" s="11">
        <f t="shared" si="129"/>
        <v>0</v>
      </c>
      <c r="CJ112" s="11">
        <f t="shared" si="129"/>
        <v>0</v>
      </c>
      <c r="CK112" s="11">
        <f t="shared" si="129"/>
        <v>0</v>
      </c>
      <c r="CL112" s="11">
        <f t="shared" si="129"/>
        <v>0</v>
      </c>
      <c r="CM112" s="11">
        <f t="shared" si="129"/>
        <v>0</v>
      </c>
      <c r="CN112" s="11">
        <f t="shared" si="129"/>
        <v>0</v>
      </c>
      <c r="CO112" s="11">
        <f t="shared" si="129"/>
        <v>0</v>
      </c>
      <c r="CP112" s="11"/>
      <c r="CQ112" s="11">
        <f t="shared" si="129"/>
        <v>0</v>
      </c>
      <c r="CR112" s="11">
        <f t="shared" si="129"/>
        <v>0</v>
      </c>
      <c r="CS112" s="11">
        <f t="shared" si="129"/>
        <v>0</v>
      </c>
      <c r="CT112" s="11">
        <f t="shared" si="129"/>
        <v>0</v>
      </c>
      <c r="CU112" s="11">
        <f t="shared" si="129"/>
        <v>0</v>
      </c>
      <c r="CV112" s="11">
        <f t="shared" si="129"/>
        <v>0</v>
      </c>
      <c r="CW112" s="11">
        <f t="shared" si="129"/>
        <v>0</v>
      </c>
      <c r="CX112" s="12">
        <f t="shared" si="129"/>
        <v>0</v>
      </c>
    </row>
    <row r="113" spans="1:102" ht="31.5" x14ac:dyDescent="0.25">
      <c r="A113" s="13"/>
      <c r="B113" s="14" t="s">
        <v>1</v>
      </c>
      <c r="C113" s="14" t="s">
        <v>109</v>
      </c>
      <c r="D113" s="15" t="s">
        <v>468</v>
      </c>
      <c r="E113" s="10">
        <f>SUM(F113+CB113+CU113)</f>
        <v>8642083</v>
      </c>
      <c r="F113" s="11">
        <f>SUM(G113+BC113)</f>
        <v>8642083</v>
      </c>
      <c r="G113" s="11">
        <f>SUM(H113+I113+J113+Q113+T113+U113+V113+AF113+AE113)</f>
        <v>0</v>
      </c>
      <c r="H113" s="11">
        <v>0</v>
      </c>
      <c r="I113" s="11">
        <v>0</v>
      </c>
      <c r="J113" s="11">
        <f t="shared" si="76"/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f t="shared" si="77"/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f>SUM(W113:AD113)</f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f>SUM(AG113:BB113)</f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/>
      <c r="AW113" s="11"/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f>SUM(BD113+BH113+BL113+BN113+BP113)</f>
        <v>8642083</v>
      </c>
      <c r="BD113" s="11">
        <f>SUM(BE113:BG113)</f>
        <v>0</v>
      </c>
      <c r="BE113" s="11">
        <v>0</v>
      </c>
      <c r="BF113" s="11">
        <v>0</v>
      </c>
      <c r="BG113" s="11">
        <v>0</v>
      </c>
      <c r="BH113" s="11">
        <f t="shared" si="78"/>
        <v>8642083</v>
      </c>
      <c r="BI113" s="11"/>
      <c r="BJ113" s="11">
        <v>8642083</v>
      </c>
      <c r="BK113" s="11">
        <v>0</v>
      </c>
      <c r="BL113" s="11">
        <v>0</v>
      </c>
      <c r="BM113" s="11">
        <v>0</v>
      </c>
      <c r="BN113" s="11">
        <f t="shared" si="79"/>
        <v>0</v>
      </c>
      <c r="BO113" s="11">
        <v>0</v>
      </c>
      <c r="BP113" s="11">
        <f t="shared" si="80"/>
        <v>0</v>
      </c>
      <c r="BQ113" s="11">
        <v>0</v>
      </c>
      <c r="BR113" s="11">
        <v>0</v>
      </c>
      <c r="BS113" s="11">
        <v>0</v>
      </c>
      <c r="BT113" s="11">
        <v>0</v>
      </c>
      <c r="BU113" s="11">
        <v>0</v>
      </c>
      <c r="BV113" s="11">
        <v>0</v>
      </c>
      <c r="BW113" s="11">
        <v>0</v>
      </c>
      <c r="BX113" s="11">
        <v>0</v>
      </c>
      <c r="BY113" s="11">
        <v>0</v>
      </c>
      <c r="BZ113" s="11">
        <v>0</v>
      </c>
      <c r="CA113" s="11">
        <v>0</v>
      </c>
      <c r="CB113" s="11">
        <f>SUM(CC113+CT113)</f>
        <v>0</v>
      </c>
      <c r="CC113" s="11">
        <f>SUM(CD113+CG113+CL113)</f>
        <v>0</v>
      </c>
      <c r="CD113" s="11">
        <f t="shared" si="81"/>
        <v>0</v>
      </c>
      <c r="CE113" s="11">
        <v>0</v>
      </c>
      <c r="CF113" s="11">
        <v>0</v>
      </c>
      <c r="CG113" s="11">
        <f>SUM(CH113:CK113)</f>
        <v>0</v>
      </c>
      <c r="CH113" s="11">
        <v>0</v>
      </c>
      <c r="CI113" s="11">
        <v>0</v>
      </c>
      <c r="CJ113" s="11">
        <v>0</v>
      </c>
      <c r="CK113" s="11">
        <v>0</v>
      </c>
      <c r="CL113" s="11">
        <f>SUM(CM113:CQ113)</f>
        <v>0</v>
      </c>
      <c r="CM113" s="11">
        <v>0</v>
      </c>
      <c r="CN113" s="11">
        <v>0</v>
      </c>
      <c r="CO113" s="11">
        <v>0</v>
      </c>
      <c r="CP113" s="11"/>
      <c r="CQ113" s="11">
        <v>0</v>
      </c>
      <c r="CR113" s="11">
        <v>0</v>
      </c>
      <c r="CS113" s="11">
        <v>0</v>
      </c>
      <c r="CT113" s="11">
        <v>0</v>
      </c>
      <c r="CU113" s="11">
        <f t="shared" si="82"/>
        <v>0</v>
      </c>
      <c r="CV113" s="11">
        <f t="shared" si="83"/>
        <v>0</v>
      </c>
      <c r="CW113" s="11">
        <v>0</v>
      </c>
      <c r="CX113" s="12">
        <v>0</v>
      </c>
    </row>
    <row r="114" spans="1:102" ht="15.75" x14ac:dyDescent="0.25">
      <c r="A114" s="7"/>
      <c r="B114" s="8" t="s">
        <v>240</v>
      </c>
      <c r="C114" s="8" t="s">
        <v>1</v>
      </c>
      <c r="D114" s="9" t="s">
        <v>241</v>
      </c>
      <c r="E114" s="10">
        <f t="shared" ref="E114:AL114" si="130">SUM(E115)</f>
        <v>4906101</v>
      </c>
      <c r="F114" s="11">
        <f t="shared" si="130"/>
        <v>4465936</v>
      </c>
      <c r="G114" s="11">
        <f t="shared" si="130"/>
        <v>4465936</v>
      </c>
      <c r="H114" s="11">
        <f t="shared" si="130"/>
        <v>3551189</v>
      </c>
      <c r="I114" s="11">
        <f t="shared" si="130"/>
        <v>825698</v>
      </c>
      <c r="J114" s="11">
        <f t="shared" si="130"/>
        <v>5198</v>
      </c>
      <c r="K114" s="11">
        <f t="shared" si="130"/>
        <v>0</v>
      </c>
      <c r="L114" s="11">
        <f t="shared" si="130"/>
        <v>0</v>
      </c>
      <c r="M114" s="11">
        <f t="shared" si="130"/>
        <v>0</v>
      </c>
      <c r="N114" s="11">
        <f t="shared" si="130"/>
        <v>0</v>
      </c>
      <c r="O114" s="11">
        <f t="shared" si="130"/>
        <v>5198</v>
      </c>
      <c r="P114" s="11">
        <f t="shared" si="130"/>
        <v>0</v>
      </c>
      <c r="Q114" s="11">
        <f t="shared" si="130"/>
        <v>0</v>
      </c>
      <c r="R114" s="11">
        <f t="shared" si="130"/>
        <v>0</v>
      </c>
      <c r="S114" s="11">
        <f t="shared" si="130"/>
        <v>0</v>
      </c>
      <c r="T114" s="11">
        <f t="shared" si="130"/>
        <v>0</v>
      </c>
      <c r="U114" s="11">
        <f t="shared" si="130"/>
        <v>35340</v>
      </c>
      <c r="V114" s="11">
        <f t="shared" si="130"/>
        <v>48511</v>
      </c>
      <c r="W114" s="11">
        <f t="shared" si="130"/>
        <v>0</v>
      </c>
      <c r="X114" s="11">
        <f t="shared" si="130"/>
        <v>11124</v>
      </c>
      <c r="Y114" s="11">
        <f t="shared" si="130"/>
        <v>37003</v>
      </c>
      <c r="Z114" s="11">
        <f t="shared" si="130"/>
        <v>384</v>
      </c>
      <c r="AA114" s="11">
        <f t="shared" si="130"/>
        <v>0</v>
      </c>
      <c r="AB114" s="11">
        <f t="shared" si="130"/>
        <v>0</v>
      </c>
      <c r="AC114" s="11">
        <f t="shared" si="130"/>
        <v>0</v>
      </c>
      <c r="AD114" s="11">
        <f t="shared" si="130"/>
        <v>0</v>
      </c>
      <c r="AE114" s="11">
        <f t="shared" si="130"/>
        <v>0</v>
      </c>
      <c r="AF114" s="11">
        <f t="shared" si="130"/>
        <v>0</v>
      </c>
      <c r="AG114" s="11">
        <f t="shared" si="130"/>
        <v>0</v>
      </c>
      <c r="AH114" s="11">
        <f t="shared" si="130"/>
        <v>0</v>
      </c>
      <c r="AI114" s="11">
        <f t="shared" si="130"/>
        <v>0</v>
      </c>
      <c r="AJ114" s="11">
        <f t="shared" si="130"/>
        <v>0</v>
      </c>
      <c r="AK114" s="11">
        <f t="shared" si="130"/>
        <v>0</v>
      </c>
      <c r="AL114" s="11">
        <f t="shared" si="130"/>
        <v>0</v>
      </c>
      <c r="AM114" s="11">
        <f t="shared" ref="AM114:CX114" si="131">SUM(AM115)</f>
        <v>0</v>
      </c>
      <c r="AN114" s="11">
        <f t="shared" si="131"/>
        <v>0</v>
      </c>
      <c r="AO114" s="11">
        <f t="shared" si="131"/>
        <v>0</v>
      </c>
      <c r="AP114" s="11">
        <f t="shared" si="131"/>
        <v>0</v>
      </c>
      <c r="AQ114" s="11">
        <f t="shared" si="131"/>
        <v>0</v>
      </c>
      <c r="AR114" s="11">
        <f t="shared" si="131"/>
        <v>0</v>
      </c>
      <c r="AS114" s="11">
        <f t="shared" si="131"/>
        <v>0</v>
      </c>
      <c r="AT114" s="11">
        <f t="shared" si="131"/>
        <v>0</v>
      </c>
      <c r="AU114" s="11">
        <f t="shared" si="131"/>
        <v>0</v>
      </c>
      <c r="AV114" s="11"/>
      <c r="AW114" s="11"/>
      <c r="AX114" s="11">
        <f t="shared" si="131"/>
        <v>0</v>
      </c>
      <c r="AY114" s="11">
        <f t="shared" si="131"/>
        <v>0</v>
      </c>
      <c r="AZ114" s="11">
        <f t="shared" si="131"/>
        <v>0</v>
      </c>
      <c r="BA114" s="11">
        <f t="shared" si="131"/>
        <v>0</v>
      </c>
      <c r="BB114" s="11">
        <f t="shared" si="131"/>
        <v>0</v>
      </c>
      <c r="BC114" s="11">
        <f t="shared" si="131"/>
        <v>0</v>
      </c>
      <c r="BD114" s="11">
        <f t="shared" si="131"/>
        <v>0</v>
      </c>
      <c r="BE114" s="11">
        <f t="shared" si="131"/>
        <v>0</v>
      </c>
      <c r="BF114" s="11">
        <f t="shared" si="131"/>
        <v>0</v>
      </c>
      <c r="BG114" s="11">
        <f t="shared" si="131"/>
        <v>0</v>
      </c>
      <c r="BH114" s="11">
        <f t="shared" si="131"/>
        <v>0</v>
      </c>
      <c r="BI114" s="11">
        <f t="shared" si="131"/>
        <v>0</v>
      </c>
      <c r="BJ114" s="11">
        <f t="shared" si="131"/>
        <v>0</v>
      </c>
      <c r="BK114" s="11">
        <f t="shared" si="131"/>
        <v>0</v>
      </c>
      <c r="BL114" s="11">
        <f t="shared" si="131"/>
        <v>0</v>
      </c>
      <c r="BM114" s="11">
        <f t="shared" si="131"/>
        <v>0</v>
      </c>
      <c r="BN114" s="11">
        <f t="shared" si="131"/>
        <v>0</v>
      </c>
      <c r="BO114" s="11">
        <f t="shared" si="131"/>
        <v>0</v>
      </c>
      <c r="BP114" s="11">
        <f t="shared" si="131"/>
        <v>0</v>
      </c>
      <c r="BQ114" s="11">
        <f t="shared" si="131"/>
        <v>0</v>
      </c>
      <c r="BR114" s="11">
        <f t="shared" si="131"/>
        <v>0</v>
      </c>
      <c r="BS114" s="11">
        <f t="shared" si="131"/>
        <v>0</v>
      </c>
      <c r="BT114" s="11">
        <f t="shared" si="131"/>
        <v>0</v>
      </c>
      <c r="BU114" s="11">
        <f t="shared" si="131"/>
        <v>0</v>
      </c>
      <c r="BV114" s="11">
        <f t="shared" si="131"/>
        <v>0</v>
      </c>
      <c r="BW114" s="11">
        <f t="shared" si="131"/>
        <v>0</v>
      </c>
      <c r="BX114" s="11">
        <f t="shared" si="131"/>
        <v>0</v>
      </c>
      <c r="BY114" s="11">
        <f t="shared" si="131"/>
        <v>0</v>
      </c>
      <c r="BZ114" s="11">
        <f t="shared" si="131"/>
        <v>0</v>
      </c>
      <c r="CA114" s="11">
        <f t="shared" si="131"/>
        <v>0</v>
      </c>
      <c r="CB114" s="11">
        <f t="shared" si="131"/>
        <v>440165</v>
      </c>
      <c r="CC114" s="11">
        <f t="shared" si="131"/>
        <v>440165</v>
      </c>
      <c r="CD114" s="11">
        <f t="shared" si="131"/>
        <v>440165</v>
      </c>
      <c r="CE114" s="11">
        <f t="shared" si="131"/>
        <v>0</v>
      </c>
      <c r="CF114" s="11">
        <f t="shared" si="131"/>
        <v>440165</v>
      </c>
      <c r="CG114" s="11">
        <f t="shared" si="131"/>
        <v>0</v>
      </c>
      <c r="CH114" s="11">
        <f t="shared" si="131"/>
        <v>0</v>
      </c>
      <c r="CI114" s="11">
        <f t="shared" si="131"/>
        <v>0</v>
      </c>
      <c r="CJ114" s="11">
        <f t="shared" si="131"/>
        <v>0</v>
      </c>
      <c r="CK114" s="11">
        <f t="shared" si="131"/>
        <v>0</v>
      </c>
      <c r="CL114" s="11">
        <f t="shared" si="131"/>
        <v>0</v>
      </c>
      <c r="CM114" s="11">
        <f t="shared" si="131"/>
        <v>0</v>
      </c>
      <c r="CN114" s="11">
        <f t="shared" si="131"/>
        <v>0</v>
      </c>
      <c r="CO114" s="11">
        <f t="shared" si="131"/>
        <v>0</v>
      </c>
      <c r="CP114" s="11"/>
      <c r="CQ114" s="11">
        <f t="shared" si="131"/>
        <v>0</v>
      </c>
      <c r="CR114" s="11">
        <f t="shared" si="131"/>
        <v>0</v>
      </c>
      <c r="CS114" s="11">
        <f t="shared" si="131"/>
        <v>0</v>
      </c>
      <c r="CT114" s="11">
        <f t="shared" si="131"/>
        <v>0</v>
      </c>
      <c r="CU114" s="11">
        <f t="shared" si="131"/>
        <v>0</v>
      </c>
      <c r="CV114" s="11">
        <f t="shared" si="131"/>
        <v>0</v>
      </c>
      <c r="CW114" s="11">
        <f t="shared" si="131"/>
        <v>0</v>
      </c>
      <c r="CX114" s="12">
        <f t="shared" si="131"/>
        <v>0</v>
      </c>
    </row>
    <row r="115" spans="1:102" ht="31.5" x14ac:dyDescent="0.25">
      <c r="A115" s="13" t="s">
        <v>1</v>
      </c>
      <c r="B115" s="14" t="s">
        <v>1</v>
      </c>
      <c r="C115" s="14" t="s">
        <v>109</v>
      </c>
      <c r="D115" s="15" t="s">
        <v>242</v>
      </c>
      <c r="E115" s="10">
        <f>SUM(F115+CB115+CU115)</f>
        <v>4906101</v>
      </c>
      <c r="F115" s="11">
        <f>SUM(G115+BC115)</f>
        <v>4465936</v>
      </c>
      <c r="G115" s="11">
        <f>SUM(H115+I115+J115+Q115+T115+U115+V115+AF115+AE115)</f>
        <v>4465936</v>
      </c>
      <c r="H115" s="16">
        <f>3371382+179807</f>
        <v>3551189</v>
      </c>
      <c r="I115" s="16">
        <f>780746+44952</f>
        <v>825698</v>
      </c>
      <c r="J115" s="11">
        <f t="shared" si="76"/>
        <v>5198</v>
      </c>
      <c r="K115" s="11">
        <v>0</v>
      </c>
      <c r="L115" s="11">
        <v>0</v>
      </c>
      <c r="M115" s="11">
        <v>0</v>
      </c>
      <c r="N115" s="11"/>
      <c r="O115" s="11">
        <v>5198</v>
      </c>
      <c r="P115" s="11">
        <v>0</v>
      </c>
      <c r="Q115" s="11">
        <f t="shared" si="77"/>
        <v>0</v>
      </c>
      <c r="R115" s="11">
        <v>0</v>
      </c>
      <c r="S115" s="11">
        <v>0</v>
      </c>
      <c r="T115" s="11">
        <v>0</v>
      </c>
      <c r="U115" s="11">
        <v>35340</v>
      </c>
      <c r="V115" s="11">
        <f>SUM(W115:AD115)</f>
        <v>48511</v>
      </c>
      <c r="W115" s="11">
        <v>0</v>
      </c>
      <c r="X115" s="16">
        <v>11124</v>
      </c>
      <c r="Y115" s="16">
        <v>37003</v>
      </c>
      <c r="Z115" s="16">
        <v>384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f>SUM(AG115:BB115)</f>
        <v>0</v>
      </c>
      <c r="AG115" s="11">
        <v>0</v>
      </c>
      <c r="AH115" s="11">
        <v>0</v>
      </c>
      <c r="AI115" s="11">
        <v>0</v>
      </c>
      <c r="AJ115" s="11"/>
      <c r="AK115" s="11">
        <v>0</v>
      </c>
      <c r="AL115" s="11">
        <v>0</v>
      </c>
      <c r="AM115" s="11">
        <v>0</v>
      </c>
      <c r="AN115" s="11"/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/>
      <c r="AW115" s="11"/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f>SUM(BD115+BH115+BL115+BN115+BP115)</f>
        <v>0</v>
      </c>
      <c r="BD115" s="11">
        <f>SUM(BE115:BG115)</f>
        <v>0</v>
      </c>
      <c r="BE115" s="11">
        <v>0</v>
      </c>
      <c r="BF115" s="11">
        <v>0</v>
      </c>
      <c r="BG115" s="11">
        <v>0</v>
      </c>
      <c r="BH115" s="11">
        <f t="shared" si="78"/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v>0</v>
      </c>
      <c r="BN115" s="11">
        <f t="shared" si="79"/>
        <v>0</v>
      </c>
      <c r="BO115" s="11">
        <v>0</v>
      </c>
      <c r="BP115" s="11">
        <f t="shared" si="80"/>
        <v>0</v>
      </c>
      <c r="BQ115" s="11">
        <v>0</v>
      </c>
      <c r="BR115" s="11">
        <v>0</v>
      </c>
      <c r="BS115" s="11">
        <v>0</v>
      </c>
      <c r="BT115" s="11">
        <v>0</v>
      </c>
      <c r="BU115" s="11">
        <v>0</v>
      </c>
      <c r="BV115" s="11">
        <v>0</v>
      </c>
      <c r="BW115" s="11">
        <v>0</v>
      </c>
      <c r="BX115" s="11">
        <v>0</v>
      </c>
      <c r="BY115" s="11">
        <v>0</v>
      </c>
      <c r="BZ115" s="11">
        <v>0</v>
      </c>
      <c r="CA115" s="11">
        <v>0</v>
      </c>
      <c r="CB115" s="11">
        <f>SUM(CC115+CT115)</f>
        <v>440165</v>
      </c>
      <c r="CC115" s="11">
        <f>SUM(CD115+CG115+CL115)</f>
        <v>440165</v>
      </c>
      <c r="CD115" s="11">
        <f t="shared" si="81"/>
        <v>440165</v>
      </c>
      <c r="CE115" s="11">
        <v>0</v>
      </c>
      <c r="CF115" s="11">
        <v>440165</v>
      </c>
      <c r="CG115" s="11">
        <f>SUM(CH115:CK115)</f>
        <v>0</v>
      </c>
      <c r="CH115" s="11">
        <v>0</v>
      </c>
      <c r="CI115" s="11">
        <v>0</v>
      </c>
      <c r="CJ115" s="11">
        <v>0</v>
      </c>
      <c r="CK115" s="11">
        <v>0</v>
      </c>
      <c r="CL115" s="11">
        <f>SUM(CM115:CQ115)</f>
        <v>0</v>
      </c>
      <c r="CM115" s="11">
        <v>0</v>
      </c>
      <c r="CN115" s="11">
        <v>0</v>
      </c>
      <c r="CO115" s="11">
        <v>0</v>
      </c>
      <c r="CP115" s="11"/>
      <c r="CQ115" s="11">
        <v>0</v>
      </c>
      <c r="CR115" s="11">
        <v>0</v>
      </c>
      <c r="CS115" s="11">
        <v>0</v>
      </c>
      <c r="CT115" s="11">
        <v>0</v>
      </c>
      <c r="CU115" s="11">
        <f t="shared" si="82"/>
        <v>0</v>
      </c>
      <c r="CV115" s="11">
        <f t="shared" si="83"/>
        <v>0</v>
      </c>
      <c r="CW115" s="11">
        <v>0</v>
      </c>
      <c r="CX115" s="12">
        <v>0</v>
      </c>
    </row>
    <row r="116" spans="1:102" ht="47.25" x14ac:dyDescent="0.25">
      <c r="A116" s="18" t="s">
        <v>243</v>
      </c>
      <c r="B116" s="19" t="s">
        <v>1</v>
      </c>
      <c r="C116" s="19" t="s">
        <v>1</v>
      </c>
      <c r="D116" s="20" t="s">
        <v>244</v>
      </c>
      <c r="E116" s="21">
        <f t="shared" ref="E116:AU116" si="132">SUM(E117+E119+E122+E124)</f>
        <v>31104076</v>
      </c>
      <c r="F116" s="22">
        <f t="shared" si="132"/>
        <v>31104076</v>
      </c>
      <c r="G116" s="22">
        <f t="shared" si="132"/>
        <v>6661799</v>
      </c>
      <c r="H116" s="22">
        <f t="shared" si="132"/>
        <v>0</v>
      </c>
      <c r="I116" s="22">
        <f t="shared" si="132"/>
        <v>0</v>
      </c>
      <c r="J116" s="22">
        <f t="shared" si="132"/>
        <v>0</v>
      </c>
      <c r="K116" s="22">
        <f t="shared" si="132"/>
        <v>0</v>
      </c>
      <c r="L116" s="22">
        <f t="shared" si="132"/>
        <v>0</v>
      </c>
      <c r="M116" s="22">
        <f t="shared" si="132"/>
        <v>0</v>
      </c>
      <c r="N116" s="22">
        <f t="shared" si="132"/>
        <v>0</v>
      </c>
      <c r="O116" s="22">
        <f t="shared" si="132"/>
        <v>0</v>
      </c>
      <c r="P116" s="22">
        <f t="shared" si="132"/>
        <v>0</v>
      </c>
      <c r="Q116" s="22">
        <f t="shared" si="132"/>
        <v>0</v>
      </c>
      <c r="R116" s="22">
        <f t="shared" si="132"/>
        <v>0</v>
      </c>
      <c r="S116" s="22">
        <f t="shared" si="132"/>
        <v>0</v>
      </c>
      <c r="T116" s="22">
        <f t="shared" si="132"/>
        <v>0</v>
      </c>
      <c r="U116" s="22">
        <f t="shared" si="132"/>
        <v>0</v>
      </c>
      <c r="V116" s="22">
        <f t="shared" si="132"/>
        <v>0</v>
      </c>
      <c r="W116" s="22">
        <f t="shared" si="132"/>
        <v>0</v>
      </c>
      <c r="X116" s="22">
        <f t="shared" si="132"/>
        <v>0</v>
      </c>
      <c r="Y116" s="22">
        <f t="shared" si="132"/>
        <v>0</v>
      </c>
      <c r="Z116" s="22">
        <f t="shared" si="132"/>
        <v>0</v>
      </c>
      <c r="AA116" s="22">
        <f t="shared" si="132"/>
        <v>0</v>
      </c>
      <c r="AB116" s="22">
        <f t="shared" si="132"/>
        <v>0</v>
      </c>
      <c r="AC116" s="22">
        <f t="shared" si="132"/>
        <v>0</v>
      </c>
      <c r="AD116" s="22">
        <f t="shared" si="132"/>
        <v>0</v>
      </c>
      <c r="AE116" s="22">
        <f t="shared" si="132"/>
        <v>0</v>
      </c>
      <c r="AF116" s="22">
        <f t="shared" si="132"/>
        <v>6661799</v>
      </c>
      <c r="AG116" s="22">
        <f t="shared" si="132"/>
        <v>0</v>
      </c>
      <c r="AH116" s="22">
        <f t="shared" si="132"/>
        <v>0</v>
      </c>
      <c r="AI116" s="22">
        <f t="shared" si="132"/>
        <v>0</v>
      </c>
      <c r="AJ116" s="22">
        <f t="shared" si="132"/>
        <v>0</v>
      </c>
      <c r="AK116" s="22">
        <f t="shared" si="132"/>
        <v>0</v>
      </c>
      <c r="AL116" s="22">
        <f t="shared" si="132"/>
        <v>0</v>
      </c>
      <c r="AM116" s="22">
        <f t="shared" si="132"/>
        <v>0</v>
      </c>
      <c r="AN116" s="22">
        <f t="shared" si="132"/>
        <v>0</v>
      </c>
      <c r="AO116" s="22">
        <f t="shared" si="132"/>
        <v>0</v>
      </c>
      <c r="AP116" s="22">
        <f t="shared" si="132"/>
        <v>0</v>
      </c>
      <c r="AQ116" s="22">
        <f t="shared" si="132"/>
        <v>0</v>
      </c>
      <c r="AR116" s="22">
        <f t="shared" si="132"/>
        <v>0</v>
      </c>
      <c r="AS116" s="22">
        <f t="shared" si="132"/>
        <v>0</v>
      </c>
      <c r="AT116" s="22">
        <f t="shared" si="132"/>
        <v>0</v>
      </c>
      <c r="AU116" s="22">
        <f t="shared" si="132"/>
        <v>0</v>
      </c>
      <c r="AV116" s="22"/>
      <c r="AW116" s="22"/>
      <c r="AX116" s="22">
        <f t="shared" ref="AX116:CO116" si="133">SUM(AX117+AX119+AX122+AX124)</f>
        <v>0</v>
      </c>
      <c r="AY116" s="22">
        <f t="shared" si="133"/>
        <v>0</v>
      </c>
      <c r="AZ116" s="22">
        <f t="shared" si="133"/>
        <v>0</v>
      </c>
      <c r="BA116" s="22">
        <f t="shared" si="133"/>
        <v>0</v>
      </c>
      <c r="BB116" s="22">
        <f t="shared" si="133"/>
        <v>6661799</v>
      </c>
      <c r="BC116" s="22">
        <f t="shared" si="133"/>
        <v>24442277</v>
      </c>
      <c r="BD116" s="22">
        <f t="shared" si="133"/>
        <v>24442277</v>
      </c>
      <c r="BE116" s="22">
        <f t="shared" si="133"/>
        <v>0</v>
      </c>
      <c r="BF116" s="22">
        <f t="shared" si="133"/>
        <v>4213175</v>
      </c>
      <c r="BG116" s="22">
        <f t="shared" si="133"/>
        <v>20229102</v>
      </c>
      <c r="BH116" s="22">
        <f t="shared" si="133"/>
        <v>0</v>
      </c>
      <c r="BI116" s="22">
        <f t="shared" si="133"/>
        <v>0</v>
      </c>
      <c r="BJ116" s="22">
        <f t="shared" si="133"/>
        <v>0</v>
      </c>
      <c r="BK116" s="22">
        <f t="shared" si="133"/>
        <v>0</v>
      </c>
      <c r="BL116" s="22">
        <f t="shared" si="133"/>
        <v>0</v>
      </c>
      <c r="BM116" s="22">
        <f t="shared" si="133"/>
        <v>0</v>
      </c>
      <c r="BN116" s="22">
        <f t="shared" si="133"/>
        <v>0</v>
      </c>
      <c r="BO116" s="22">
        <f t="shared" si="133"/>
        <v>0</v>
      </c>
      <c r="BP116" s="22">
        <f t="shared" si="133"/>
        <v>0</v>
      </c>
      <c r="BQ116" s="22">
        <f t="shared" si="133"/>
        <v>0</v>
      </c>
      <c r="BR116" s="22">
        <f t="shared" si="133"/>
        <v>0</v>
      </c>
      <c r="BS116" s="22">
        <f t="shared" si="133"/>
        <v>0</v>
      </c>
      <c r="BT116" s="22">
        <f t="shared" si="133"/>
        <v>0</v>
      </c>
      <c r="BU116" s="22">
        <f t="shared" si="133"/>
        <v>0</v>
      </c>
      <c r="BV116" s="22">
        <f t="shared" si="133"/>
        <v>0</v>
      </c>
      <c r="BW116" s="22">
        <f t="shared" si="133"/>
        <v>0</v>
      </c>
      <c r="BX116" s="22">
        <f t="shared" si="133"/>
        <v>0</v>
      </c>
      <c r="BY116" s="22">
        <f t="shared" si="133"/>
        <v>0</v>
      </c>
      <c r="BZ116" s="22">
        <f t="shared" si="133"/>
        <v>0</v>
      </c>
      <c r="CA116" s="22">
        <f t="shared" si="133"/>
        <v>0</v>
      </c>
      <c r="CB116" s="22">
        <f t="shared" si="133"/>
        <v>0</v>
      </c>
      <c r="CC116" s="22">
        <f t="shared" si="133"/>
        <v>0</v>
      </c>
      <c r="CD116" s="22">
        <f t="shared" si="133"/>
        <v>0</v>
      </c>
      <c r="CE116" s="22">
        <f t="shared" si="133"/>
        <v>0</v>
      </c>
      <c r="CF116" s="22">
        <f t="shared" si="133"/>
        <v>0</v>
      </c>
      <c r="CG116" s="22">
        <f t="shared" si="133"/>
        <v>0</v>
      </c>
      <c r="CH116" s="22">
        <f t="shared" si="133"/>
        <v>0</v>
      </c>
      <c r="CI116" s="22">
        <f t="shared" si="133"/>
        <v>0</v>
      </c>
      <c r="CJ116" s="22">
        <f t="shared" si="133"/>
        <v>0</v>
      </c>
      <c r="CK116" s="22">
        <f t="shared" si="133"/>
        <v>0</v>
      </c>
      <c r="CL116" s="22">
        <f t="shared" si="133"/>
        <v>0</v>
      </c>
      <c r="CM116" s="22">
        <f t="shared" si="133"/>
        <v>0</v>
      </c>
      <c r="CN116" s="22">
        <f t="shared" si="133"/>
        <v>0</v>
      </c>
      <c r="CO116" s="22">
        <f t="shared" si="133"/>
        <v>0</v>
      </c>
      <c r="CP116" s="22"/>
      <c r="CQ116" s="22">
        <f t="shared" ref="CQ116:CX116" si="134">SUM(CQ117+CQ119+CQ122+CQ124)</f>
        <v>0</v>
      </c>
      <c r="CR116" s="22">
        <f t="shared" si="134"/>
        <v>0</v>
      </c>
      <c r="CS116" s="22">
        <f t="shared" si="134"/>
        <v>0</v>
      </c>
      <c r="CT116" s="22">
        <f t="shared" si="134"/>
        <v>0</v>
      </c>
      <c r="CU116" s="22">
        <f t="shared" si="134"/>
        <v>0</v>
      </c>
      <c r="CV116" s="22">
        <f t="shared" si="134"/>
        <v>0</v>
      </c>
      <c r="CW116" s="22">
        <f t="shared" si="134"/>
        <v>0</v>
      </c>
      <c r="CX116" s="23">
        <f t="shared" si="134"/>
        <v>0</v>
      </c>
    </row>
    <row r="117" spans="1:102" ht="15.75" x14ac:dyDescent="0.25">
      <c r="A117" s="7"/>
      <c r="B117" s="8" t="s">
        <v>245</v>
      </c>
      <c r="C117" s="8" t="s">
        <v>1</v>
      </c>
      <c r="D117" s="9" t="s">
        <v>246</v>
      </c>
      <c r="E117" s="10">
        <f t="shared" ref="E117:BS117" si="135">SUM(E118)</f>
        <v>4213175</v>
      </c>
      <c r="F117" s="11">
        <f t="shared" si="135"/>
        <v>4213175</v>
      </c>
      <c r="G117" s="11">
        <f t="shared" si="135"/>
        <v>0</v>
      </c>
      <c r="H117" s="11">
        <f t="shared" si="135"/>
        <v>0</v>
      </c>
      <c r="I117" s="11">
        <f t="shared" si="135"/>
        <v>0</v>
      </c>
      <c r="J117" s="11">
        <f t="shared" si="135"/>
        <v>0</v>
      </c>
      <c r="K117" s="11">
        <f t="shared" si="135"/>
        <v>0</v>
      </c>
      <c r="L117" s="11">
        <f t="shared" si="135"/>
        <v>0</v>
      </c>
      <c r="M117" s="11">
        <f t="shared" si="135"/>
        <v>0</v>
      </c>
      <c r="N117" s="11">
        <f t="shared" si="135"/>
        <v>0</v>
      </c>
      <c r="O117" s="11">
        <f t="shared" si="135"/>
        <v>0</v>
      </c>
      <c r="P117" s="11">
        <f t="shared" si="135"/>
        <v>0</v>
      </c>
      <c r="Q117" s="11">
        <f t="shared" si="135"/>
        <v>0</v>
      </c>
      <c r="R117" s="11">
        <f t="shared" si="135"/>
        <v>0</v>
      </c>
      <c r="S117" s="11">
        <f t="shared" si="135"/>
        <v>0</v>
      </c>
      <c r="T117" s="11">
        <f t="shared" si="135"/>
        <v>0</v>
      </c>
      <c r="U117" s="11">
        <f t="shared" si="135"/>
        <v>0</v>
      </c>
      <c r="V117" s="11">
        <f t="shared" si="135"/>
        <v>0</v>
      </c>
      <c r="W117" s="11">
        <f t="shared" si="135"/>
        <v>0</v>
      </c>
      <c r="X117" s="11">
        <f t="shared" si="135"/>
        <v>0</v>
      </c>
      <c r="Y117" s="11">
        <f t="shared" si="135"/>
        <v>0</v>
      </c>
      <c r="Z117" s="11">
        <f t="shared" si="135"/>
        <v>0</v>
      </c>
      <c r="AA117" s="11">
        <f t="shared" si="135"/>
        <v>0</v>
      </c>
      <c r="AB117" s="11">
        <f t="shared" si="135"/>
        <v>0</v>
      </c>
      <c r="AC117" s="11">
        <f t="shared" si="135"/>
        <v>0</v>
      </c>
      <c r="AD117" s="11">
        <f t="shared" si="135"/>
        <v>0</v>
      </c>
      <c r="AE117" s="11">
        <f t="shared" si="135"/>
        <v>0</v>
      </c>
      <c r="AF117" s="11">
        <f t="shared" si="135"/>
        <v>0</v>
      </c>
      <c r="AG117" s="11">
        <f t="shared" si="135"/>
        <v>0</v>
      </c>
      <c r="AH117" s="11">
        <f t="shared" si="135"/>
        <v>0</v>
      </c>
      <c r="AI117" s="11">
        <f t="shared" si="135"/>
        <v>0</v>
      </c>
      <c r="AJ117" s="11">
        <f t="shared" si="135"/>
        <v>0</v>
      </c>
      <c r="AK117" s="11">
        <f t="shared" si="135"/>
        <v>0</v>
      </c>
      <c r="AL117" s="11">
        <f t="shared" si="135"/>
        <v>0</v>
      </c>
      <c r="AM117" s="11">
        <f t="shared" si="135"/>
        <v>0</v>
      </c>
      <c r="AN117" s="11">
        <f t="shared" si="135"/>
        <v>0</v>
      </c>
      <c r="AO117" s="11">
        <f t="shared" si="135"/>
        <v>0</v>
      </c>
      <c r="AP117" s="11">
        <f t="shared" si="135"/>
        <v>0</v>
      </c>
      <c r="AQ117" s="11">
        <f t="shared" si="135"/>
        <v>0</v>
      </c>
      <c r="AR117" s="11">
        <f t="shared" si="135"/>
        <v>0</v>
      </c>
      <c r="AS117" s="11">
        <f t="shared" si="135"/>
        <v>0</v>
      </c>
      <c r="AT117" s="11">
        <f t="shared" si="135"/>
        <v>0</v>
      </c>
      <c r="AU117" s="11">
        <f t="shared" si="135"/>
        <v>0</v>
      </c>
      <c r="AV117" s="11"/>
      <c r="AW117" s="11"/>
      <c r="AX117" s="11">
        <f t="shared" si="135"/>
        <v>0</v>
      </c>
      <c r="AY117" s="11">
        <f t="shared" si="135"/>
        <v>0</v>
      </c>
      <c r="AZ117" s="11">
        <f t="shared" si="135"/>
        <v>0</v>
      </c>
      <c r="BA117" s="11">
        <f t="shared" si="135"/>
        <v>0</v>
      </c>
      <c r="BB117" s="11">
        <f t="shared" si="135"/>
        <v>0</v>
      </c>
      <c r="BC117" s="11">
        <f t="shared" si="135"/>
        <v>4213175</v>
      </c>
      <c r="BD117" s="11">
        <f t="shared" si="135"/>
        <v>4213175</v>
      </c>
      <c r="BE117" s="11">
        <f t="shared" si="135"/>
        <v>0</v>
      </c>
      <c r="BF117" s="11">
        <f t="shared" si="135"/>
        <v>4213175</v>
      </c>
      <c r="BG117" s="11">
        <f t="shared" si="135"/>
        <v>0</v>
      </c>
      <c r="BH117" s="11">
        <f t="shared" si="135"/>
        <v>0</v>
      </c>
      <c r="BI117" s="11">
        <f t="shared" si="135"/>
        <v>0</v>
      </c>
      <c r="BJ117" s="11">
        <f t="shared" si="135"/>
        <v>0</v>
      </c>
      <c r="BK117" s="11">
        <f t="shared" si="135"/>
        <v>0</v>
      </c>
      <c r="BL117" s="11">
        <f t="shared" si="135"/>
        <v>0</v>
      </c>
      <c r="BM117" s="11">
        <f t="shared" si="135"/>
        <v>0</v>
      </c>
      <c r="BN117" s="11">
        <f t="shared" si="135"/>
        <v>0</v>
      </c>
      <c r="BO117" s="11">
        <f t="shared" si="135"/>
        <v>0</v>
      </c>
      <c r="BP117" s="11">
        <f t="shared" si="135"/>
        <v>0</v>
      </c>
      <c r="BQ117" s="11">
        <f t="shared" si="135"/>
        <v>0</v>
      </c>
      <c r="BR117" s="11">
        <f t="shared" si="135"/>
        <v>0</v>
      </c>
      <c r="BS117" s="11">
        <f t="shared" si="135"/>
        <v>0</v>
      </c>
      <c r="BT117" s="11">
        <f t="shared" ref="BT117:CX117" si="136">SUM(BT118)</f>
        <v>0</v>
      </c>
      <c r="BU117" s="11">
        <f t="shared" si="136"/>
        <v>0</v>
      </c>
      <c r="BV117" s="11">
        <f t="shared" si="136"/>
        <v>0</v>
      </c>
      <c r="BW117" s="11">
        <f t="shared" si="136"/>
        <v>0</v>
      </c>
      <c r="BX117" s="11">
        <f t="shared" si="136"/>
        <v>0</v>
      </c>
      <c r="BY117" s="11">
        <f t="shared" si="136"/>
        <v>0</v>
      </c>
      <c r="BZ117" s="11">
        <f t="shared" si="136"/>
        <v>0</v>
      </c>
      <c r="CA117" s="11">
        <f t="shared" si="136"/>
        <v>0</v>
      </c>
      <c r="CB117" s="11">
        <f t="shared" si="136"/>
        <v>0</v>
      </c>
      <c r="CC117" s="11">
        <f t="shared" si="136"/>
        <v>0</v>
      </c>
      <c r="CD117" s="11">
        <f t="shared" si="136"/>
        <v>0</v>
      </c>
      <c r="CE117" s="11">
        <f t="shared" si="136"/>
        <v>0</v>
      </c>
      <c r="CF117" s="11">
        <f t="shared" si="136"/>
        <v>0</v>
      </c>
      <c r="CG117" s="11">
        <f t="shared" si="136"/>
        <v>0</v>
      </c>
      <c r="CH117" s="11">
        <f t="shared" si="136"/>
        <v>0</v>
      </c>
      <c r="CI117" s="11">
        <f t="shared" si="136"/>
        <v>0</v>
      </c>
      <c r="CJ117" s="11">
        <f t="shared" si="136"/>
        <v>0</v>
      </c>
      <c r="CK117" s="11">
        <f t="shared" si="136"/>
        <v>0</v>
      </c>
      <c r="CL117" s="11">
        <f t="shared" si="136"/>
        <v>0</v>
      </c>
      <c r="CM117" s="11">
        <f t="shared" si="136"/>
        <v>0</v>
      </c>
      <c r="CN117" s="11">
        <f t="shared" si="136"/>
        <v>0</v>
      </c>
      <c r="CO117" s="11">
        <f t="shared" si="136"/>
        <v>0</v>
      </c>
      <c r="CP117" s="11"/>
      <c r="CQ117" s="11">
        <f t="shared" si="136"/>
        <v>0</v>
      </c>
      <c r="CR117" s="11">
        <f t="shared" si="136"/>
        <v>0</v>
      </c>
      <c r="CS117" s="11">
        <f t="shared" si="136"/>
        <v>0</v>
      </c>
      <c r="CT117" s="11">
        <f t="shared" si="136"/>
        <v>0</v>
      </c>
      <c r="CU117" s="11">
        <f t="shared" si="136"/>
        <v>0</v>
      </c>
      <c r="CV117" s="11">
        <f t="shared" si="136"/>
        <v>0</v>
      </c>
      <c r="CW117" s="11">
        <f t="shared" si="136"/>
        <v>0</v>
      </c>
      <c r="CX117" s="12">
        <f t="shared" si="136"/>
        <v>0</v>
      </c>
    </row>
    <row r="118" spans="1:102" ht="15.75" x14ac:dyDescent="0.25">
      <c r="A118" s="13"/>
      <c r="B118" s="14" t="s">
        <v>1</v>
      </c>
      <c r="C118" s="14" t="s">
        <v>97</v>
      </c>
      <c r="D118" s="15" t="s">
        <v>247</v>
      </c>
      <c r="E118" s="10">
        <f>SUM(F118+CB118+CU118)</f>
        <v>4213175</v>
      </c>
      <c r="F118" s="11">
        <f>SUM(G118+BC118)</f>
        <v>4213175</v>
      </c>
      <c r="G118" s="11">
        <f>SUM(H118+I118+J118+Q118+T118+U118+V118+AF118+AE118)</f>
        <v>0</v>
      </c>
      <c r="H118" s="11">
        <v>0</v>
      </c>
      <c r="I118" s="11">
        <v>0</v>
      </c>
      <c r="J118" s="11">
        <f t="shared" si="76"/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f t="shared" si="77"/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f>SUM(W118:AD118)</f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f>SUM(AG118:BB118)</f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/>
      <c r="AW118" s="11"/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f>SUM(BD118+BH118+BL118+BN118+BP118)</f>
        <v>4213175</v>
      </c>
      <c r="BD118" s="11">
        <f>SUM(BE118:BG118)</f>
        <v>4213175</v>
      </c>
      <c r="BE118" s="11">
        <v>0</v>
      </c>
      <c r="BF118" s="11">
        <v>4213175</v>
      </c>
      <c r="BG118" s="11">
        <v>0</v>
      </c>
      <c r="BH118" s="11">
        <f t="shared" si="78"/>
        <v>0</v>
      </c>
      <c r="BI118" s="11">
        <v>0</v>
      </c>
      <c r="BJ118" s="11">
        <v>0</v>
      </c>
      <c r="BK118" s="11">
        <v>0</v>
      </c>
      <c r="BL118" s="11">
        <v>0</v>
      </c>
      <c r="BM118" s="11">
        <v>0</v>
      </c>
      <c r="BN118" s="11">
        <f t="shared" si="79"/>
        <v>0</v>
      </c>
      <c r="BO118" s="11">
        <v>0</v>
      </c>
      <c r="BP118" s="11">
        <f t="shared" si="80"/>
        <v>0</v>
      </c>
      <c r="BQ118" s="11">
        <v>0</v>
      </c>
      <c r="BR118" s="11">
        <v>0</v>
      </c>
      <c r="BS118" s="11">
        <v>0</v>
      </c>
      <c r="BT118" s="11">
        <v>0</v>
      </c>
      <c r="BU118" s="11">
        <v>0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>
        <v>0</v>
      </c>
      <c r="CB118" s="11">
        <f>SUM(CC118+CT118)</f>
        <v>0</v>
      </c>
      <c r="CC118" s="11">
        <f>SUM(CD118+CG118+CL118)</f>
        <v>0</v>
      </c>
      <c r="CD118" s="11">
        <f t="shared" si="81"/>
        <v>0</v>
      </c>
      <c r="CE118" s="11">
        <v>0</v>
      </c>
      <c r="CF118" s="11">
        <v>0</v>
      </c>
      <c r="CG118" s="11">
        <f>SUM(CH118:CK118)</f>
        <v>0</v>
      </c>
      <c r="CH118" s="11">
        <v>0</v>
      </c>
      <c r="CI118" s="11">
        <v>0</v>
      </c>
      <c r="CJ118" s="11">
        <v>0</v>
      </c>
      <c r="CK118" s="11">
        <v>0</v>
      </c>
      <c r="CL118" s="11">
        <f>SUM(CM118:CQ118)</f>
        <v>0</v>
      </c>
      <c r="CM118" s="11">
        <v>0</v>
      </c>
      <c r="CN118" s="11">
        <v>0</v>
      </c>
      <c r="CO118" s="11">
        <v>0</v>
      </c>
      <c r="CP118" s="11"/>
      <c r="CQ118" s="11">
        <v>0</v>
      </c>
      <c r="CR118" s="11">
        <v>0</v>
      </c>
      <c r="CS118" s="11">
        <v>0</v>
      </c>
      <c r="CT118" s="11">
        <v>0</v>
      </c>
      <c r="CU118" s="11">
        <f t="shared" si="82"/>
        <v>0</v>
      </c>
      <c r="CV118" s="11">
        <f t="shared" si="83"/>
        <v>0</v>
      </c>
      <c r="CW118" s="11">
        <v>0</v>
      </c>
      <c r="CX118" s="12">
        <v>0</v>
      </c>
    </row>
    <row r="119" spans="1:102" ht="15.75" x14ac:dyDescent="0.25">
      <c r="A119" s="7"/>
      <c r="B119" s="8" t="s">
        <v>248</v>
      </c>
      <c r="C119" s="8" t="s">
        <v>1</v>
      </c>
      <c r="D119" s="9" t="s">
        <v>249</v>
      </c>
      <c r="E119" s="10">
        <f>SUM(E120:E121)</f>
        <v>20229102</v>
      </c>
      <c r="F119" s="11">
        <f t="shared" ref="F119:BQ119" si="137">SUM(F120:F121)</f>
        <v>20229102</v>
      </c>
      <c r="G119" s="11">
        <f t="shared" si="137"/>
        <v>0</v>
      </c>
      <c r="H119" s="11">
        <f t="shared" si="137"/>
        <v>0</v>
      </c>
      <c r="I119" s="11">
        <f t="shared" si="137"/>
        <v>0</v>
      </c>
      <c r="J119" s="11">
        <f t="shared" si="137"/>
        <v>0</v>
      </c>
      <c r="K119" s="11">
        <f t="shared" si="137"/>
        <v>0</v>
      </c>
      <c r="L119" s="11">
        <f t="shared" si="137"/>
        <v>0</v>
      </c>
      <c r="M119" s="11">
        <f t="shared" si="137"/>
        <v>0</v>
      </c>
      <c r="N119" s="11">
        <f t="shared" si="137"/>
        <v>0</v>
      </c>
      <c r="O119" s="11">
        <f t="shared" si="137"/>
        <v>0</v>
      </c>
      <c r="P119" s="11">
        <f t="shared" si="137"/>
        <v>0</v>
      </c>
      <c r="Q119" s="11">
        <f t="shared" si="137"/>
        <v>0</v>
      </c>
      <c r="R119" s="11">
        <f t="shared" si="137"/>
        <v>0</v>
      </c>
      <c r="S119" s="11">
        <f t="shared" si="137"/>
        <v>0</v>
      </c>
      <c r="T119" s="11">
        <f t="shared" si="137"/>
        <v>0</v>
      </c>
      <c r="U119" s="11">
        <f t="shared" si="137"/>
        <v>0</v>
      </c>
      <c r="V119" s="11">
        <f t="shared" si="137"/>
        <v>0</v>
      </c>
      <c r="W119" s="11">
        <f t="shared" si="137"/>
        <v>0</v>
      </c>
      <c r="X119" s="11">
        <f t="shared" si="137"/>
        <v>0</v>
      </c>
      <c r="Y119" s="11">
        <f t="shared" si="137"/>
        <v>0</v>
      </c>
      <c r="Z119" s="11">
        <f t="shared" si="137"/>
        <v>0</v>
      </c>
      <c r="AA119" s="11">
        <f t="shared" si="137"/>
        <v>0</v>
      </c>
      <c r="AB119" s="11">
        <f t="shared" si="137"/>
        <v>0</v>
      </c>
      <c r="AC119" s="11">
        <f t="shared" si="137"/>
        <v>0</v>
      </c>
      <c r="AD119" s="11">
        <f t="shared" si="137"/>
        <v>0</v>
      </c>
      <c r="AE119" s="11">
        <f t="shared" si="137"/>
        <v>0</v>
      </c>
      <c r="AF119" s="11">
        <f t="shared" si="137"/>
        <v>0</v>
      </c>
      <c r="AG119" s="11">
        <f t="shared" si="137"/>
        <v>0</v>
      </c>
      <c r="AH119" s="11">
        <f t="shared" si="137"/>
        <v>0</v>
      </c>
      <c r="AI119" s="11">
        <f t="shared" si="137"/>
        <v>0</v>
      </c>
      <c r="AJ119" s="11">
        <f t="shared" si="137"/>
        <v>0</v>
      </c>
      <c r="AK119" s="11">
        <f t="shared" si="137"/>
        <v>0</v>
      </c>
      <c r="AL119" s="11">
        <f t="shared" si="137"/>
        <v>0</v>
      </c>
      <c r="AM119" s="11">
        <f t="shared" si="137"/>
        <v>0</v>
      </c>
      <c r="AN119" s="11">
        <f t="shared" si="137"/>
        <v>0</v>
      </c>
      <c r="AO119" s="11">
        <f t="shared" si="137"/>
        <v>0</v>
      </c>
      <c r="AP119" s="11">
        <f t="shared" si="137"/>
        <v>0</v>
      </c>
      <c r="AQ119" s="11">
        <f t="shared" si="137"/>
        <v>0</v>
      </c>
      <c r="AR119" s="11">
        <f t="shared" si="137"/>
        <v>0</v>
      </c>
      <c r="AS119" s="11">
        <f t="shared" si="137"/>
        <v>0</v>
      </c>
      <c r="AT119" s="11">
        <f t="shared" si="137"/>
        <v>0</v>
      </c>
      <c r="AU119" s="11">
        <f t="shared" si="137"/>
        <v>0</v>
      </c>
      <c r="AV119" s="11">
        <f t="shared" si="137"/>
        <v>0</v>
      </c>
      <c r="AW119" s="11">
        <f t="shared" si="137"/>
        <v>0</v>
      </c>
      <c r="AX119" s="11">
        <f t="shared" si="137"/>
        <v>0</v>
      </c>
      <c r="AY119" s="11">
        <f t="shared" si="137"/>
        <v>0</v>
      </c>
      <c r="AZ119" s="11">
        <f t="shared" si="137"/>
        <v>0</v>
      </c>
      <c r="BA119" s="11">
        <f t="shared" si="137"/>
        <v>0</v>
      </c>
      <c r="BB119" s="11">
        <f t="shared" si="137"/>
        <v>0</v>
      </c>
      <c r="BC119" s="11">
        <f t="shared" si="137"/>
        <v>20229102</v>
      </c>
      <c r="BD119" s="11">
        <f t="shared" si="137"/>
        <v>20229102</v>
      </c>
      <c r="BE119" s="11">
        <f t="shared" si="137"/>
        <v>0</v>
      </c>
      <c r="BF119" s="11">
        <f t="shared" si="137"/>
        <v>0</v>
      </c>
      <c r="BG119" s="11">
        <f t="shared" si="137"/>
        <v>20229102</v>
      </c>
      <c r="BH119" s="11">
        <f t="shared" si="137"/>
        <v>0</v>
      </c>
      <c r="BI119" s="11">
        <f t="shared" si="137"/>
        <v>0</v>
      </c>
      <c r="BJ119" s="11">
        <f t="shared" si="137"/>
        <v>0</v>
      </c>
      <c r="BK119" s="11">
        <f t="shared" si="137"/>
        <v>0</v>
      </c>
      <c r="BL119" s="11">
        <f t="shared" si="137"/>
        <v>0</v>
      </c>
      <c r="BM119" s="11">
        <f t="shared" si="137"/>
        <v>0</v>
      </c>
      <c r="BN119" s="11">
        <f t="shared" si="137"/>
        <v>0</v>
      </c>
      <c r="BO119" s="11">
        <f t="shared" si="137"/>
        <v>0</v>
      </c>
      <c r="BP119" s="11">
        <f t="shared" si="137"/>
        <v>0</v>
      </c>
      <c r="BQ119" s="11">
        <f t="shared" si="137"/>
        <v>0</v>
      </c>
      <c r="BR119" s="11">
        <f t="shared" ref="BR119:CX119" si="138">SUM(BR120:BR121)</f>
        <v>0</v>
      </c>
      <c r="BS119" s="11">
        <f t="shared" si="138"/>
        <v>0</v>
      </c>
      <c r="BT119" s="11">
        <f t="shared" si="138"/>
        <v>0</v>
      </c>
      <c r="BU119" s="11">
        <f t="shared" si="138"/>
        <v>0</v>
      </c>
      <c r="BV119" s="11">
        <f t="shared" si="138"/>
        <v>0</v>
      </c>
      <c r="BW119" s="11">
        <f t="shared" si="138"/>
        <v>0</v>
      </c>
      <c r="BX119" s="11">
        <f t="shared" si="138"/>
        <v>0</v>
      </c>
      <c r="BY119" s="11">
        <f t="shared" si="138"/>
        <v>0</v>
      </c>
      <c r="BZ119" s="11">
        <f t="shared" si="138"/>
        <v>0</v>
      </c>
      <c r="CA119" s="11">
        <f t="shared" si="138"/>
        <v>0</v>
      </c>
      <c r="CB119" s="11">
        <f t="shared" si="138"/>
        <v>0</v>
      </c>
      <c r="CC119" s="11">
        <f t="shared" si="138"/>
        <v>0</v>
      </c>
      <c r="CD119" s="11">
        <f t="shared" si="138"/>
        <v>0</v>
      </c>
      <c r="CE119" s="11">
        <f t="shared" si="138"/>
        <v>0</v>
      </c>
      <c r="CF119" s="11">
        <f t="shared" si="138"/>
        <v>0</v>
      </c>
      <c r="CG119" s="11">
        <f t="shared" si="138"/>
        <v>0</v>
      </c>
      <c r="CH119" s="11">
        <f t="shared" si="138"/>
        <v>0</v>
      </c>
      <c r="CI119" s="11">
        <f t="shared" si="138"/>
        <v>0</v>
      </c>
      <c r="CJ119" s="11">
        <f t="shared" si="138"/>
        <v>0</v>
      </c>
      <c r="CK119" s="11">
        <f t="shared" si="138"/>
        <v>0</v>
      </c>
      <c r="CL119" s="11">
        <f t="shared" si="138"/>
        <v>0</v>
      </c>
      <c r="CM119" s="11">
        <f t="shared" si="138"/>
        <v>0</v>
      </c>
      <c r="CN119" s="11">
        <f t="shared" si="138"/>
        <v>0</v>
      </c>
      <c r="CO119" s="11">
        <f t="shared" si="138"/>
        <v>0</v>
      </c>
      <c r="CP119" s="11">
        <f t="shared" si="138"/>
        <v>0</v>
      </c>
      <c r="CQ119" s="11">
        <f t="shared" si="138"/>
        <v>0</v>
      </c>
      <c r="CR119" s="11">
        <f t="shared" si="138"/>
        <v>0</v>
      </c>
      <c r="CS119" s="11">
        <f t="shared" si="138"/>
        <v>0</v>
      </c>
      <c r="CT119" s="11">
        <f t="shared" si="138"/>
        <v>0</v>
      </c>
      <c r="CU119" s="11">
        <f t="shared" si="138"/>
        <v>0</v>
      </c>
      <c r="CV119" s="11">
        <f t="shared" si="138"/>
        <v>0</v>
      </c>
      <c r="CW119" s="11">
        <f t="shared" si="138"/>
        <v>0</v>
      </c>
      <c r="CX119" s="12">
        <f t="shared" si="138"/>
        <v>0</v>
      </c>
    </row>
    <row r="120" spans="1:102" ht="15.75" x14ac:dyDescent="0.25">
      <c r="A120" s="13"/>
      <c r="B120" s="14" t="s">
        <v>1</v>
      </c>
      <c r="C120" s="14" t="s">
        <v>117</v>
      </c>
      <c r="D120" s="15" t="s">
        <v>250</v>
      </c>
      <c r="E120" s="10">
        <f>SUM(F120+CB120+CU120)</f>
        <v>1652481</v>
      </c>
      <c r="F120" s="11">
        <f>SUM(G120+BC120)</f>
        <v>1652481</v>
      </c>
      <c r="G120" s="11">
        <f>SUM(H120+I120+J120+Q120+T120+U120+V120+AF120+AE120)</f>
        <v>0</v>
      </c>
      <c r="H120" s="11">
        <v>0</v>
      </c>
      <c r="I120" s="11">
        <v>0</v>
      </c>
      <c r="J120" s="11">
        <f t="shared" si="76"/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f t="shared" si="77"/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f>SUM(W120:AD120)</f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f>SUM(AG120:BB120)</f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/>
      <c r="AW120" s="11"/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f>SUM(BD120+BH120+BL120+BN120+BP120)</f>
        <v>1652481</v>
      </c>
      <c r="BD120" s="11">
        <f>SUM(BE120:BG120)</f>
        <v>1652481</v>
      </c>
      <c r="BE120" s="11">
        <v>0</v>
      </c>
      <c r="BF120" s="11">
        <v>0</v>
      </c>
      <c r="BG120" s="11">
        <f>20229102-18576621</f>
        <v>1652481</v>
      </c>
      <c r="BH120" s="11">
        <f t="shared" si="78"/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f t="shared" si="79"/>
        <v>0</v>
      </c>
      <c r="BO120" s="11">
        <v>0</v>
      </c>
      <c r="BP120" s="11">
        <f t="shared" si="80"/>
        <v>0</v>
      </c>
      <c r="BQ120" s="11">
        <v>0</v>
      </c>
      <c r="BR120" s="11">
        <v>0</v>
      </c>
      <c r="BS120" s="11">
        <v>0</v>
      </c>
      <c r="BT120" s="11">
        <v>0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f>SUM(CC120+CT120)</f>
        <v>0</v>
      </c>
      <c r="CC120" s="11">
        <f>SUM(CD120+CG120+CL120)</f>
        <v>0</v>
      </c>
      <c r="CD120" s="11">
        <f t="shared" si="81"/>
        <v>0</v>
      </c>
      <c r="CE120" s="11">
        <v>0</v>
      </c>
      <c r="CF120" s="11">
        <v>0</v>
      </c>
      <c r="CG120" s="11">
        <f>SUM(CH120:CK120)</f>
        <v>0</v>
      </c>
      <c r="CH120" s="11">
        <v>0</v>
      </c>
      <c r="CI120" s="11">
        <v>0</v>
      </c>
      <c r="CJ120" s="11">
        <v>0</v>
      </c>
      <c r="CK120" s="11">
        <v>0</v>
      </c>
      <c r="CL120" s="11">
        <f>SUM(CM120:CQ120)</f>
        <v>0</v>
      </c>
      <c r="CM120" s="11">
        <v>0</v>
      </c>
      <c r="CN120" s="11">
        <v>0</v>
      </c>
      <c r="CO120" s="11">
        <v>0</v>
      </c>
      <c r="CP120" s="11"/>
      <c r="CQ120" s="11">
        <v>0</v>
      </c>
      <c r="CR120" s="11">
        <v>0</v>
      </c>
      <c r="CS120" s="11">
        <v>0</v>
      </c>
      <c r="CT120" s="11">
        <v>0</v>
      </c>
      <c r="CU120" s="11">
        <f t="shared" si="82"/>
        <v>0</v>
      </c>
      <c r="CV120" s="11">
        <f t="shared" si="83"/>
        <v>0</v>
      </c>
      <c r="CW120" s="11">
        <v>0</v>
      </c>
      <c r="CX120" s="12">
        <v>0</v>
      </c>
    </row>
    <row r="121" spans="1:102" ht="31.5" x14ac:dyDescent="0.25">
      <c r="A121" s="13"/>
      <c r="B121" s="14"/>
      <c r="C121" s="14" t="s">
        <v>129</v>
      </c>
      <c r="D121" s="45" t="s">
        <v>251</v>
      </c>
      <c r="E121" s="10">
        <f>SUM(F121+CB121+CU121)</f>
        <v>18576621</v>
      </c>
      <c r="F121" s="11">
        <f>SUM(G121+BC121)</f>
        <v>18576621</v>
      </c>
      <c r="G121" s="11">
        <f>SUM(H121+I121+J121+Q121+T121+U121+V121+AF121+AE121)</f>
        <v>0</v>
      </c>
      <c r="H121" s="11">
        <v>0</v>
      </c>
      <c r="I121" s="11">
        <v>0</v>
      </c>
      <c r="J121" s="11">
        <f t="shared" ref="J121" si="139">SUM(K121:P121)</f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f t="shared" ref="Q121" si="140">SUM(R121:S121)</f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f>SUM(W121:AD121)</f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f>SUM(AG121:BB121)</f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/>
      <c r="AW121" s="11"/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f>SUM(BD121+BH121+BL121+BN121+BP121)</f>
        <v>18576621</v>
      </c>
      <c r="BD121" s="11">
        <f>SUM(BE121:BG121)</f>
        <v>18576621</v>
      </c>
      <c r="BE121" s="11">
        <v>0</v>
      </c>
      <c r="BF121" s="11">
        <v>0</v>
      </c>
      <c r="BG121" s="11">
        <f>0+18576621</f>
        <v>18576621</v>
      </c>
      <c r="BH121" s="11">
        <f t="shared" ref="BH121" si="141">SUM(BJ121:BK121)</f>
        <v>0</v>
      </c>
      <c r="BI121" s="11">
        <v>0</v>
      </c>
      <c r="BJ121" s="11">
        <v>0</v>
      </c>
      <c r="BK121" s="11">
        <v>0</v>
      </c>
      <c r="BL121" s="11">
        <v>0</v>
      </c>
      <c r="BM121" s="11">
        <v>0</v>
      </c>
      <c r="BN121" s="11">
        <f t="shared" ref="BN121" si="142">SUM(BO121)</f>
        <v>0</v>
      </c>
      <c r="BO121" s="11">
        <v>0</v>
      </c>
      <c r="BP121" s="11">
        <f t="shared" ref="BP121" si="143">SUM(BQ121:CA121)</f>
        <v>0</v>
      </c>
      <c r="BQ121" s="11">
        <v>0</v>
      </c>
      <c r="BR121" s="11">
        <v>0</v>
      </c>
      <c r="BS121" s="11">
        <v>0</v>
      </c>
      <c r="BT121" s="11">
        <v>0</v>
      </c>
      <c r="BU121" s="11">
        <v>0</v>
      </c>
      <c r="BV121" s="11">
        <v>0</v>
      </c>
      <c r="BW121" s="11">
        <v>0</v>
      </c>
      <c r="BX121" s="11">
        <v>0</v>
      </c>
      <c r="BY121" s="11">
        <v>0</v>
      </c>
      <c r="BZ121" s="11">
        <v>0</v>
      </c>
      <c r="CA121" s="11">
        <v>0</v>
      </c>
      <c r="CB121" s="11">
        <f>SUM(CC121+CT121)</f>
        <v>0</v>
      </c>
      <c r="CC121" s="11">
        <f>SUM(CD121+CG121+CL121)</f>
        <v>0</v>
      </c>
      <c r="CD121" s="11">
        <f t="shared" ref="CD121" si="144">SUM(CE121:CF121)</f>
        <v>0</v>
      </c>
      <c r="CE121" s="11">
        <v>0</v>
      </c>
      <c r="CF121" s="11">
        <v>0</v>
      </c>
      <c r="CG121" s="11">
        <f>SUM(CH121:CK121)</f>
        <v>0</v>
      </c>
      <c r="CH121" s="11">
        <v>0</v>
      </c>
      <c r="CI121" s="11">
        <v>0</v>
      </c>
      <c r="CJ121" s="11">
        <v>0</v>
      </c>
      <c r="CK121" s="11">
        <v>0</v>
      </c>
      <c r="CL121" s="11">
        <f>SUM(CM121:CQ121)</f>
        <v>0</v>
      </c>
      <c r="CM121" s="11">
        <v>0</v>
      </c>
      <c r="CN121" s="11">
        <v>0</v>
      </c>
      <c r="CO121" s="11">
        <v>0</v>
      </c>
      <c r="CP121" s="11"/>
      <c r="CQ121" s="11">
        <v>0</v>
      </c>
      <c r="CR121" s="11">
        <v>0</v>
      </c>
      <c r="CS121" s="11">
        <v>0</v>
      </c>
      <c r="CT121" s="11">
        <v>0</v>
      </c>
      <c r="CU121" s="11">
        <f t="shared" ref="CU121" si="145">SUM(CV121)</f>
        <v>0</v>
      </c>
      <c r="CV121" s="11">
        <f t="shared" ref="CV121" si="146">SUM(CW121:CX121)</f>
        <v>0</v>
      </c>
      <c r="CW121" s="11">
        <v>0</v>
      </c>
      <c r="CX121" s="12">
        <v>0</v>
      </c>
    </row>
    <row r="122" spans="1:102" ht="15.75" x14ac:dyDescent="0.25">
      <c r="A122" s="7"/>
      <c r="B122" s="8" t="s">
        <v>252</v>
      </c>
      <c r="C122" s="8" t="s">
        <v>1</v>
      </c>
      <c r="D122" s="9" t="s">
        <v>253</v>
      </c>
      <c r="E122" s="10">
        <f t="shared" ref="E122:AL122" si="147">SUM(E123)</f>
        <v>5158056</v>
      </c>
      <c r="F122" s="11">
        <f t="shared" si="147"/>
        <v>5158056</v>
      </c>
      <c r="G122" s="11">
        <f t="shared" si="147"/>
        <v>5158056</v>
      </c>
      <c r="H122" s="11">
        <f t="shared" si="147"/>
        <v>0</v>
      </c>
      <c r="I122" s="11">
        <f t="shared" si="147"/>
        <v>0</v>
      </c>
      <c r="J122" s="11">
        <f t="shared" si="147"/>
        <v>0</v>
      </c>
      <c r="K122" s="11">
        <f t="shared" si="147"/>
        <v>0</v>
      </c>
      <c r="L122" s="11">
        <f t="shared" si="147"/>
        <v>0</v>
      </c>
      <c r="M122" s="11">
        <f t="shared" si="147"/>
        <v>0</v>
      </c>
      <c r="N122" s="11">
        <f t="shared" si="147"/>
        <v>0</v>
      </c>
      <c r="O122" s="11">
        <f t="shared" si="147"/>
        <v>0</v>
      </c>
      <c r="P122" s="11">
        <f t="shared" si="147"/>
        <v>0</v>
      </c>
      <c r="Q122" s="11">
        <f t="shared" si="147"/>
        <v>0</v>
      </c>
      <c r="R122" s="11">
        <f t="shared" si="147"/>
        <v>0</v>
      </c>
      <c r="S122" s="11">
        <f t="shared" si="147"/>
        <v>0</v>
      </c>
      <c r="T122" s="11">
        <f t="shared" si="147"/>
        <v>0</v>
      </c>
      <c r="U122" s="11">
        <f t="shared" si="147"/>
        <v>0</v>
      </c>
      <c r="V122" s="11">
        <f t="shared" si="147"/>
        <v>0</v>
      </c>
      <c r="W122" s="11">
        <f t="shared" si="147"/>
        <v>0</v>
      </c>
      <c r="X122" s="11">
        <f t="shared" si="147"/>
        <v>0</v>
      </c>
      <c r="Y122" s="11">
        <f t="shared" si="147"/>
        <v>0</v>
      </c>
      <c r="Z122" s="11">
        <f t="shared" si="147"/>
        <v>0</v>
      </c>
      <c r="AA122" s="11">
        <f t="shared" si="147"/>
        <v>0</v>
      </c>
      <c r="AB122" s="11">
        <f t="shared" si="147"/>
        <v>0</v>
      </c>
      <c r="AC122" s="11">
        <f t="shared" si="147"/>
        <v>0</v>
      </c>
      <c r="AD122" s="11">
        <f t="shared" si="147"/>
        <v>0</v>
      </c>
      <c r="AE122" s="11">
        <f t="shared" si="147"/>
        <v>0</v>
      </c>
      <c r="AF122" s="11">
        <f t="shared" si="147"/>
        <v>5158056</v>
      </c>
      <c r="AG122" s="11">
        <f t="shared" si="147"/>
        <v>0</v>
      </c>
      <c r="AH122" s="11">
        <f t="shared" si="147"/>
        <v>0</v>
      </c>
      <c r="AI122" s="11">
        <f t="shared" si="147"/>
        <v>0</v>
      </c>
      <c r="AJ122" s="11">
        <f t="shared" si="147"/>
        <v>0</v>
      </c>
      <c r="AK122" s="11">
        <f t="shared" si="147"/>
        <v>0</v>
      </c>
      <c r="AL122" s="11">
        <f t="shared" si="147"/>
        <v>0</v>
      </c>
      <c r="AM122" s="11">
        <f t="shared" ref="AM122:CX122" si="148">SUM(AM123)</f>
        <v>0</v>
      </c>
      <c r="AN122" s="11">
        <f t="shared" si="148"/>
        <v>0</v>
      </c>
      <c r="AO122" s="11">
        <f t="shared" si="148"/>
        <v>0</v>
      </c>
      <c r="AP122" s="11">
        <f t="shared" si="148"/>
        <v>0</v>
      </c>
      <c r="AQ122" s="11">
        <f t="shared" si="148"/>
        <v>0</v>
      </c>
      <c r="AR122" s="11">
        <f t="shared" si="148"/>
        <v>0</v>
      </c>
      <c r="AS122" s="11">
        <f t="shared" si="148"/>
        <v>0</v>
      </c>
      <c r="AT122" s="11">
        <f t="shared" si="148"/>
        <v>0</v>
      </c>
      <c r="AU122" s="11">
        <f t="shared" si="148"/>
        <v>0</v>
      </c>
      <c r="AV122" s="11"/>
      <c r="AW122" s="11"/>
      <c r="AX122" s="11">
        <f t="shared" si="148"/>
        <v>0</v>
      </c>
      <c r="AY122" s="11">
        <f t="shared" si="148"/>
        <v>0</v>
      </c>
      <c r="AZ122" s="11">
        <f t="shared" si="148"/>
        <v>0</v>
      </c>
      <c r="BA122" s="11">
        <f t="shared" si="148"/>
        <v>0</v>
      </c>
      <c r="BB122" s="11">
        <f t="shared" si="148"/>
        <v>5158056</v>
      </c>
      <c r="BC122" s="11">
        <f t="shared" si="148"/>
        <v>0</v>
      </c>
      <c r="BD122" s="11">
        <f t="shared" si="148"/>
        <v>0</v>
      </c>
      <c r="BE122" s="11">
        <f t="shared" si="148"/>
        <v>0</v>
      </c>
      <c r="BF122" s="11">
        <f t="shared" si="148"/>
        <v>0</v>
      </c>
      <c r="BG122" s="11">
        <f t="shared" si="148"/>
        <v>0</v>
      </c>
      <c r="BH122" s="11">
        <f t="shared" si="148"/>
        <v>0</v>
      </c>
      <c r="BI122" s="11">
        <f t="shared" si="148"/>
        <v>0</v>
      </c>
      <c r="BJ122" s="11">
        <f t="shared" si="148"/>
        <v>0</v>
      </c>
      <c r="BK122" s="11">
        <f t="shared" si="148"/>
        <v>0</v>
      </c>
      <c r="BL122" s="11">
        <f t="shared" si="148"/>
        <v>0</v>
      </c>
      <c r="BM122" s="11">
        <f t="shared" si="148"/>
        <v>0</v>
      </c>
      <c r="BN122" s="11">
        <f t="shared" si="148"/>
        <v>0</v>
      </c>
      <c r="BO122" s="11">
        <f t="shared" si="148"/>
        <v>0</v>
      </c>
      <c r="BP122" s="11">
        <f t="shared" si="148"/>
        <v>0</v>
      </c>
      <c r="BQ122" s="11">
        <f t="shared" si="148"/>
        <v>0</v>
      </c>
      <c r="BR122" s="11">
        <f t="shared" si="148"/>
        <v>0</v>
      </c>
      <c r="BS122" s="11">
        <f t="shared" si="148"/>
        <v>0</v>
      </c>
      <c r="BT122" s="11">
        <f t="shared" si="148"/>
        <v>0</v>
      </c>
      <c r="BU122" s="11">
        <f t="shared" si="148"/>
        <v>0</v>
      </c>
      <c r="BV122" s="11">
        <f t="shared" si="148"/>
        <v>0</v>
      </c>
      <c r="BW122" s="11">
        <f t="shared" si="148"/>
        <v>0</v>
      </c>
      <c r="BX122" s="11">
        <f t="shared" si="148"/>
        <v>0</v>
      </c>
      <c r="BY122" s="11">
        <f t="shared" si="148"/>
        <v>0</v>
      </c>
      <c r="BZ122" s="11">
        <f t="shared" si="148"/>
        <v>0</v>
      </c>
      <c r="CA122" s="11">
        <f t="shared" si="148"/>
        <v>0</v>
      </c>
      <c r="CB122" s="11">
        <f t="shared" si="148"/>
        <v>0</v>
      </c>
      <c r="CC122" s="11">
        <f t="shared" si="148"/>
        <v>0</v>
      </c>
      <c r="CD122" s="11">
        <f t="shared" si="148"/>
        <v>0</v>
      </c>
      <c r="CE122" s="11">
        <f t="shared" si="148"/>
        <v>0</v>
      </c>
      <c r="CF122" s="11">
        <f t="shared" si="148"/>
        <v>0</v>
      </c>
      <c r="CG122" s="11">
        <f t="shared" si="148"/>
        <v>0</v>
      </c>
      <c r="CH122" s="11">
        <f t="shared" si="148"/>
        <v>0</v>
      </c>
      <c r="CI122" s="11">
        <f t="shared" si="148"/>
        <v>0</v>
      </c>
      <c r="CJ122" s="11">
        <f t="shared" si="148"/>
        <v>0</v>
      </c>
      <c r="CK122" s="11">
        <f t="shared" si="148"/>
        <v>0</v>
      </c>
      <c r="CL122" s="11">
        <f t="shared" si="148"/>
        <v>0</v>
      </c>
      <c r="CM122" s="11">
        <f t="shared" si="148"/>
        <v>0</v>
      </c>
      <c r="CN122" s="11">
        <f t="shared" si="148"/>
        <v>0</v>
      </c>
      <c r="CO122" s="11">
        <f t="shared" si="148"/>
        <v>0</v>
      </c>
      <c r="CP122" s="11"/>
      <c r="CQ122" s="11">
        <f t="shared" si="148"/>
        <v>0</v>
      </c>
      <c r="CR122" s="11">
        <f t="shared" si="148"/>
        <v>0</v>
      </c>
      <c r="CS122" s="11">
        <f t="shared" si="148"/>
        <v>0</v>
      </c>
      <c r="CT122" s="11">
        <f t="shared" si="148"/>
        <v>0</v>
      </c>
      <c r="CU122" s="11">
        <f t="shared" si="148"/>
        <v>0</v>
      </c>
      <c r="CV122" s="11">
        <f t="shared" si="148"/>
        <v>0</v>
      </c>
      <c r="CW122" s="11">
        <f t="shared" si="148"/>
        <v>0</v>
      </c>
      <c r="CX122" s="12">
        <f t="shared" si="148"/>
        <v>0</v>
      </c>
    </row>
    <row r="123" spans="1:102" ht="15.75" x14ac:dyDescent="0.25">
      <c r="A123" s="13"/>
      <c r="B123" s="14" t="s">
        <v>1</v>
      </c>
      <c r="C123" s="14" t="s">
        <v>143</v>
      </c>
      <c r="D123" s="15" t="s">
        <v>254</v>
      </c>
      <c r="E123" s="10">
        <f>SUM(F123+CB123+CU123)</f>
        <v>5158056</v>
      </c>
      <c r="F123" s="11">
        <f>SUM(G123+BC123)</f>
        <v>5158056</v>
      </c>
      <c r="G123" s="11">
        <f>SUM(H123+I123+J123+Q123+T123+U123+V123+AF123+AE123)</f>
        <v>5158056</v>
      </c>
      <c r="H123" s="11">
        <v>0</v>
      </c>
      <c r="I123" s="11">
        <v>0</v>
      </c>
      <c r="J123" s="11">
        <f t="shared" si="76"/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f t="shared" si="77"/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f>SUM(W123:AD123)</f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f>SUM(AG123:BB123)</f>
        <v>5158056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/>
      <c r="AW123" s="11"/>
      <c r="AX123" s="11">
        <v>0</v>
      </c>
      <c r="AY123" s="11">
        <v>0</v>
      </c>
      <c r="AZ123" s="11">
        <v>0</v>
      </c>
      <c r="BA123" s="11">
        <v>0</v>
      </c>
      <c r="BB123" s="16">
        <v>5158056</v>
      </c>
      <c r="BC123" s="11">
        <f>SUM(BD123+BH123+BL123+BN123+BP123)</f>
        <v>0</v>
      </c>
      <c r="BD123" s="11">
        <f>SUM(BE123:BG123)</f>
        <v>0</v>
      </c>
      <c r="BE123" s="11">
        <v>0</v>
      </c>
      <c r="BF123" s="11">
        <v>0</v>
      </c>
      <c r="BG123" s="11">
        <v>0</v>
      </c>
      <c r="BH123" s="11">
        <f t="shared" si="78"/>
        <v>0</v>
      </c>
      <c r="BI123" s="11">
        <v>0</v>
      </c>
      <c r="BJ123" s="11">
        <v>0</v>
      </c>
      <c r="BK123" s="11">
        <v>0</v>
      </c>
      <c r="BL123" s="11">
        <v>0</v>
      </c>
      <c r="BM123" s="11">
        <v>0</v>
      </c>
      <c r="BN123" s="11">
        <f t="shared" si="79"/>
        <v>0</v>
      </c>
      <c r="BO123" s="11">
        <v>0</v>
      </c>
      <c r="BP123" s="11">
        <f t="shared" si="80"/>
        <v>0</v>
      </c>
      <c r="BQ123" s="11">
        <v>0</v>
      </c>
      <c r="BR123" s="11">
        <v>0</v>
      </c>
      <c r="BS123" s="11">
        <v>0</v>
      </c>
      <c r="BT123" s="11">
        <v>0</v>
      </c>
      <c r="BU123" s="11">
        <v>0</v>
      </c>
      <c r="BV123" s="11">
        <v>0</v>
      </c>
      <c r="BW123" s="11">
        <v>0</v>
      </c>
      <c r="BX123" s="11">
        <v>0</v>
      </c>
      <c r="BY123" s="11">
        <v>0</v>
      </c>
      <c r="BZ123" s="11">
        <v>0</v>
      </c>
      <c r="CA123" s="11">
        <v>0</v>
      </c>
      <c r="CB123" s="11">
        <f>SUM(CC123+CT123)</f>
        <v>0</v>
      </c>
      <c r="CC123" s="11">
        <f>SUM(CD123+CG123+CL123)</f>
        <v>0</v>
      </c>
      <c r="CD123" s="11">
        <f t="shared" si="81"/>
        <v>0</v>
      </c>
      <c r="CE123" s="11">
        <v>0</v>
      </c>
      <c r="CF123" s="11">
        <v>0</v>
      </c>
      <c r="CG123" s="11">
        <f>SUM(CH123:CK123)</f>
        <v>0</v>
      </c>
      <c r="CH123" s="11">
        <v>0</v>
      </c>
      <c r="CI123" s="11">
        <v>0</v>
      </c>
      <c r="CJ123" s="11">
        <v>0</v>
      </c>
      <c r="CK123" s="11">
        <v>0</v>
      </c>
      <c r="CL123" s="11">
        <f>SUM(CM123:CQ123)</f>
        <v>0</v>
      </c>
      <c r="CM123" s="11">
        <v>0</v>
      </c>
      <c r="CN123" s="11">
        <v>0</v>
      </c>
      <c r="CO123" s="11">
        <v>0</v>
      </c>
      <c r="CP123" s="11"/>
      <c r="CQ123" s="11">
        <v>0</v>
      </c>
      <c r="CR123" s="11">
        <v>0</v>
      </c>
      <c r="CS123" s="11">
        <v>0</v>
      </c>
      <c r="CT123" s="11">
        <v>0</v>
      </c>
      <c r="CU123" s="11">
        <f t="shared" si="82"/>
        <v>0</v>
      </c>
      <c r="CV123" s="11">
        <f t="shared" si="83"/>
        <v>0</v>
      </c>
      <c r="CW123" s="11">
        <v>0</v>
      </c>
      <c r="CX123" s="12">
        <v>0</v>
      </c>
    </row>
    <row r="124" spans="1:102" ht="31.5" x14ac:dyDescent="0.25">
      <c r="A124" s="7"/>
      <c r="B124" s="8" t="s">
        <v>255</v>
      </c>
      <c r="C124" s="8" t="s">
        <v>1</v>
      </c>
      <c r="D124" s="9" t="s">
        <v>256</v>
      </c>
      <c r="E124" s="10">
        <f>SUM(E125:E126)</f>
        <v>1503743</v>
      </c>
      <c r="F124" s="11">
        <f t="shared" ref="F124" si="149">SUM(F125:F126)</f>
        <v>1503743</v>
      </c>
      <c r="G124" s="11">
        <f t="shared" ref="G124" si="150">SUM(G125:G126)</f>
        <v>1503743</v>
      </c>
      <c r="H124" s="11">
        <f t="shared" ref="H124" si="151">SUM(H125:H126)</f>
        <v>0</v>
      </c>
      <c r="I124" s="11">
        <f t="shared" ref="I124" si="152">SUM(I125:I126)</f>
        <v>0</v>
      </c>
      <c r="J124" s="11">
        <f t="shared" ref="J124" si="153">SUM(J125:J126)</f>
        <v>0</v>
      </c>
      <c r="K124" s="11">
        <f t="shared" ref="K124" si="154">SUM(K125:K126)</f>
        <v>0</v>
      </c>
      <c r="L124" s="11">
        <f t="shared" ref="L124" si="155">SUM(L125:L126)</f>
        <v>0</v>
      </c>
      <c r="M124" s="11">
        <f t="shared" ref="M124" si="156">SUM(M125:M126)</f>
        <v>0</v>
      </c>
      <c r="N124" s="11">
        <f t="shared" ref="N124" si="157">SUM(N125:N126)</f>
        <v>0</v>
      </c>
      <c r="O124" s="11">
        <f t="shared" ref="O124" si="158">SUM(O125:O126)</f>
        <v>0</v>
      </c>
      <c r="P124" s="11">
        <f t="shared" ref="P124" si="159">SUM(P125:P126)</f>
        <v>0</v>
      </c>
      <c r="Q124" s="11">
        <f t="shared" ref="Q124" si="160">SUM(Q125:Q126)</f>
        <v>0</v>
      </c>
      <c r="R124" s="11">
        <f t="shared" ref="R124" si="161">SUM(R125:R126)</f>
        <v>0</v>
      </c>
      <c r="S124" s="11">
        <f t="shared" ref="S124" si="162">SUM(S125:S126)</f>
        <v>0</v>
      </c>
      <c r="T124" s="11">
        <f t="shared" ref="T124" si="163">SUM(T125:T126)</f>
        <v>0</v>
      </c>
      <c r="U124" s="11">
        <f t="shared" ref="U124" si="164">SUM(U125:U126)</f>
        <v>0</v>
      </c>
      <c r="V124" s="11">
        <f t="shared" ref="V124" si="165">SUM(V125:V126)</f>
        <v>0</v>
      </c>
      <c r="W124" s="11">
        <f t="shared" ref="W124" si="166">SUM(W125:W126)</f>
        <v>0</v>
      </c>
      <c r="X124" s="11">
        <f t="shared" ref="X124" si="167">SUM(X125:X126)</f>
        <v>0</v>
      </c>
      <c r="Y124" s="11">
        <f t="shared" ref="Y124" si="168">SUM(Y125:Y126)</f>
        <v>0</v>
      </c>
      <c r="Z124" s="11">
        <f t="shared" ref="Z124" si="169">SUM(Z125:Z126)</f>
        <v>0</v>
      </c>
      <c r="AA124" s="11">
        <f t="shared" ref="AA124" si="170">SUM(AA125:AA126)</f>
        <v>0</v>
      </c>
      <c r="AB124" s="11">
        <f t="shared" ref="AB124" si="171">SUM(AB125:AB126)</f>
        <v>0</v>
      </c>
      <c r="AC124" s="11">
        <f t="shared" ref="AC124" si="172">SUM(AC125:AC126)</f>
        <v>0</v>
      </c>
      <c r="AD124" s="11">
        <f t="shared" ref="AD124" si="173">SUM(AD125:AD126)</f>
        <v>0</v>
      </c>
      <c r="AE124" s="11">
        <f t="shared" ref="AE124" si="174">SUM(AE125:AE126)</f>
        <v>0</v>
      </c>
      <c r="AF124" s="11">
        <f t="shared" ref="AF124" si="175">SUM(AF125:AF126)</f>
        <v>1503743</v>
      </c>
      <c r="AG124" s="11">
        <f t="shared" ref="AG124" si="176">SUM(AG125:AG126)</f>
        <v>0</v>
      </c>
      <c r="AH124" s="11">
        <f t="shared" ref="AH124" si="177">SUM(AH125:AH126)</f>
        <v>0</v>
      </c>
      <c r="AI124" s="11">
        <f t="shared" ref="AI124" si="178">SUM(AI125:AI126)</f>
        <v>0</v>
      </c>
      <c r="AJ124" s="11">
        <f t="shared" ref="AJ124" si="179">SUM(AJ125:AJ126)</f>
        <v>0</v>
      </c>
      <c r="AK124" s="11">
        <f t="shared" ref="AK124" si="180">SUM(AK125:AK126)</f>
        <v>0</v>
      </c>
      <c r="AL124" s="11">
        <f t="shared" ref="AL124" si="181">SUM(AL125:AL126)</f>
        <v>0</v>
      </c>
      <c r="AM124" s="11">
        <f t="shared" ref="AM124" si="182">SUM(AM125:AM126)</f>
        <v>0</v>
      </c>
      <c r="AN124" s="11">
        <f t="shared" ref="AN124" si="183">SUM(AN125:AN126)</f>
        <v>0</v>
      </c>
      <c r="AO124" s="11">
        <f t="shared" ref="AO124" si="184">SUM(AO125:AO126)</f>
        <v>0</v>
      </c>
      <c r="AP124" s="11">
        <f t="shared" ref="AP124" si="185">SUM(AP125:AP126)</f>
        <v>0</v>
      </c>
      <c r="AQ124" s="11">
        <f t="shared" ref="AQ124" si="186">SUM(AQ125:AQ126)</f>
        <v>0</v>
      </c>
      <c r="AR124" s="11">
        <f t="shared" ref="AR124" si="187">SUM(AR125:AR126)</f>
        <v>0</v>
      </c>
      <c r="AS124" s="11">
        <f t="shared" ref="AS124" si="188">SUM(AS125:AS126)</f>
        <v>0</v>
      </c>
      <c r="AT124" s="11">
        <f t="shared" ref="AT124" si="189">SUM(AT125:AT126)</f>
        <v>0</v>
      </c>
      <c r="AU124" s="11">
        <f t="shared" ref="AU124" si="190">SUM(AU125:AU126)</f>
        <v>0</v>
      </c>
      <c r="AV124" s="11">
        <f t="shared" ref="AV124" si="191">SUM(AV125:AV126)</f>
        <v>0</v>
      </c>
      <c r="AW124" s="11">
        <f t="shared" ref="AW124" si="192">SUM(AW125:AW126)</f>
        <v>0</v>
      </c>
      <c r="AX124" s="11">
        <f t="shared" ref="AX124" si="193">SUM(AX125:AX126)</f>
        <v>0</v>
      </c>
      <c r="AY124" s="11">
        <f t="shared" ref="AY124" si="194">SUM(AY125:AY126)</f>
        <v>0</v>
      </c>
      <c r="AZ124" s="11">
        <f t="shared" ref="AZ124" si="195">SUM(AZ125:AZ126)</f>
        <v>0</v>
      </c>
      <c r="BA124" s="11">
        <f t="shared" ref="BA124" si="196">SUM(BA125:BA126)</f>
        <v>0</v>
      </c>
      <c r="BB124" s="11">
        <f t="shared" ref="BB124" si="197">SUM(BB125:BB126)</f>
        <v>1503743</v>
      </c>
      <c r="BC124" s="11">
        <f t="shared" ref="BC124" si="198">SUM(BC125:BC126)</f>
        <v>0</v>
      </c>
      <c r="BD124" s="11">
        <f t="shared" ref="BD124" si="199">SUM(BD125:BD126)</f>
        <v>0</v>
      </c>
      <c r="BE124" s="11">
        <f t="shared" ref="BE124" si="200">SUM(BE125:BE126)</f>
        <v>0</v>
      </c>
      <c r="BF124" s="11">
        <f t="shared" ref="BF124" si="201">SUM(BF125:BF126)</f>
        <v>0</v>
      </c>
      <c r="BG124" s="11">
        <f t="shared" ref="BG124" si="202">SUM(BG125:BG126)</f>
        <v>0</v>
      </c>
      <c r="BH124" s="11">
        <f t="shared" ref="BH124" si="203">SUM(BH125:BH126)</f>
        <v>0</v>
      </c>
      <c r="BI124" s="11">
        <f t="shared" ref="BI124" si="204">SUM(BI125:BI126)</f>
        <v>0</v>
      </c>
      <c r="BJ124" s="11">
        <f t="shared" ref="BJ124" si="205">SUM(BJ125:BJ126)</f>
        <v>0</v>
      </c>
      <c r="BK124" s="11">
        <f t="shared" ref="BK124" si="206">SUM(BK125:BK126)</f>
        <v>0</v>
      </c>
      <c r="BL124" s="11">
        <f t="shared" ref="BL124" si="207">SUM(BL125:BL126)</f>
        <v>0</v>
      </c>
      <c r="BM124" s="11">
        <f t="shared" ref="BM124" si="208">SUM(BM125:BM126)</f>
        <v>0</v>
      </c>
      <c r="BN124" s="11">
        <f t="shared" ref="BN124" si="209">SUM(BN125:BN126)</f>
        <v>0</v>
      </c>
      <c r="BO124" s="11">
        <f t="shared" ref="BO124" si="210">SUM(BO125:BO126)</f>
        <v>0</v>
      </c>
      <c r="BP124" s="11">
        <f t="shared" ref="BP124" si="211">SUM(BP125:BP126)</f>
        <v>0</v>
      </c>
      <c r="BQ124" s="11">
        <f t="shared" ref="BQ124" si="212">SUM(BQ125:BQ126)</f>
        <v>0</v>
      </c>
      <c r="BR124" s="11">
        <f t="shared" ref="BR124" si="213">SUM(BR125:BR126)</f>
        <v>0</v>
      </c>
      <c r="BS124" s="11">
        <f t="shared" ref="BS124" si="214">SUM(BS125:BS126)</f>
        <v>0</v>
      </c>
      <c r="BT124" s="11">
        <f t="shared" ref="BT124" si="215">SUM(BT125:BT126)</f>
        <v>0</v>
      </c>
      <c r="BU124" s="11">
        <f t="shared" ref="BU124" si="216">SUM(BU125:BU126)</f>
        <v>0</v>
      </c>
      <c r="BV124" s="11">
        <f t="shared" ref="BV124" si="217">SUM(BV125:BV126)</f>
        <v>0</v>
      </c>
      <c r="BW124" s="11">
        <f t="shared" ref="BW124" si="218">SUM(BW125:BW126)</f>
        <v>0</v>
      </c>
      <c r="BX124" s="11">
        <f t="shared" ref="BX124" si="219">SUM(BX125:BX126)</f>
        <v>0</v>
      </c>
      <c r="BY124" s="11">
        <f t="shared" ref="BY124" si="220">SUM(BY125:BY126)</f>
        <v>0</v>
      </c>
      <c r="BZ124" s="11">
        <f t="shared" ref="BZ124" si="221">SUM(BZ125:BZ126)</f>
        <v>0</v>
      </c>
      <c r="CA124" s="11">
        <f t="shared" ref="CA124" si="222">SUM(CA125:CA126)</f>
        <v>0</v>
      </c>
      <c r="CB124" s="11">
        <f t="shared" ref="CB124" si="223">SUM(CB125:CB126)</f>
        <v>0</v>
      </c>
      <c r="CC124" s="11">
        <f t="shared" ref="CC124" si="224">SUM(CC125:CC126)</f>
        <v>0</v>
      </c>
      <c r="CD124" s="11">
        <f t="shared" ref="CD124" si="225">SUM(CD125:CD126)</f>
        <v>0</v>
      </c>
      <c r="CE124" s="11">
        <f t="shared" ref="CE124" si="226">SUM(CE125:CE126)</f>
        <v>0</v>
      </c>
      <c r="CF124" s="11">
        <f t="shared" ref="CF124" si="227">SUM(CF125:CF126)</f>
        <v>0</v>
      </c>
      <c r="CG124" s="11">
        <f t="shared" ref="CG124" si="228">SUM(CG125:CG126)</f>
        <v>0</v>
      </c>
      <c r="CH124" s="11">
        <f t="shared" ref="CH124" si="229">SUM(CH125:CH126)</f>
        <v>0</v>
      </c>
      <c r="CI124" s="11">
        <f t="shared" ref="CI124" si="230">SUM(CI125:CI126)</f>
        <v>0</v>
      </c>
      <c r="CJ124" s="11">
        <f t="shared" ref="CJ124" si="231">SUM(CJ125:CJ126)</f>
        <v>0</v>
      </c>
      <c r="CK124" s="11">
        <f t="shared" ref="CK124" si="232">SUM(CK125:CK126)</f>
        <v>0</v>
      </c>
      <c r="CL124" s="11">
        <f t="shared" ref="CL124" si="233">SUM(CL125:CL126)</f>
        <v>0</v>
      </c>
      <c r="CM124" s="11">
        <f t="shared" ref="CM124" si="234">SUM(CM125:CM126)</f>
        <v>0</v>
      </c>
      <c r="CN124" s="11">
        <f t="shared" ref="CN124" si="235">SUM(CN125:CN126)</f>
        <v>0</v>
      </c>
      <c r="CO124" s="11">
        <f t="shared" ref="CO124" si="236">SUM(CO125:CO126)</f>
        <v>0</v>
      </c>
      <c r="CP124" s="11">
        <f t="shared" ref="CP124" si="237">SUM(CP125:CP126)</f>
        <v>0</v>
      </c>
      <c r="CQ124" s="11">
        <f t="shared" ref="CQ124" si="238">SUM(CQ125:CQ126)</f>
        <v>0</v>
      </c>
      <c r="CR124" s="11">
        <f t="shared" ref="CR124" si="239">SUM(CR125:CR126)</f>
        <v>0</v>
      </c>
      <c r="CS124" s="11">
        <f t="shared" ref="CS124" si="240">SUM(CS125:CS126)</f>
        <v>0</v>
      </c>
      <c r="CT124" s="11">
        <f t="shared" ref="CT124" si="241">SUM(CT125:CT126)</f>
        <v>0</v>
      </c>
      <c r="CU124" s="11">
        <f t="shared" ref="CU124" si="242">SUM(CU125:CU126)</f>
        <v>0</v>
      </c>
      <c r="CV124" s="11">
        <f t="shared" ref="CV124" si="243">SUM(CV125:CV126)</f>
        <v>0</v>
      </c>
      <c r="CW124" s="11">
        <f t="shared" ref="CW124" si="244">SUM(CW125:CW126)</f>
        <v>0</v>
      </c>
      <c r="CX124" s="12">
        <f t="shared" ref="CX124" si="245">SUM(CX125:CX126)</f>
        <v>0</v>
      </c>
    </row>
    <row r="125" spans="1:102" ht="15.75" x14ac:dyDescent="0.25">
      <c r="A125" s="7"/>
      <c r="B125" s="8"/>
      <c r="C125" s="14" t="s">
        <v>117</v>
      </c>
      <c r="D125" s="15" t="s">
        <v>257</v>
      </c>
      <c r="E125" s="10">
        <f>SUM(F125+CB125+CU125)</f>
        <v>0</v>
      </c>
      <c r="F125" s="11">
        <f>SUM(G125+BC125)</f>
        <v>0</v>
      </c>
      <c r="G125" s="11">
        <f>SUM(H125+I125+J125+Q125+T125+U125+V125+AF125+AE125)</f>
        <v>0</v>
      </c>
      <c r="H125" s="11">
        <v>0</v>
      </c>
      <c r="I125" s="11">
        <v>0</v>
      </c>
      <c r="J125" s="11">
        <f t="shared" ref="J125" si="246">SUM(K125:P125)</f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f t="shared" ref="Q125" si="247">SUM(R125:S125)</f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f>SUM(W125:AD125)</f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f>SUM(AG125:BB125)</f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/>
      <c r="AW125" s="11"/>
      <c r="AX125" s="11">
        <v>0</v>
      </c>
      <c r="AY125" s="11">
        <v>0</v>
      </c>
      <c r="AZ125" s="11">
        <v>0</v>
      </c>
      <c r="BA125" s="11">
        <v>0</v>
      </c>
      <c r="BB125" s="16">
        <f>1503743-1503743</f>
        <v>0</v>
      </c>
      <c r="BC125" s="11">
        <f>SUM(BD125+BH125+BL125+BN125+BP125)</f>
        <v>0</v>
      </c>
      <c r="BD125" s="11">
        <f>SUM(BE125:BG125)</f>
        <v>0</v>
      </c>
      <c r="BE125" s="11">
        <v>0</v>
      </c>
      <c r="BF125" s="11">
        <v>0</v>
      </c>
      <c r="BG125" s="11">
        <v>0</v>
      </c>
      <c r="BH125" s="11">
        <f t="shared" ref="BH125" si="248">SUM(BJ125:BK125)</f>
        <v>0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f t="shared" ref="BN125" si="249">SUM(BO125)</f>
        <v>0</v>
      </c>
      <c r="BO125" s="11">
        <v>0</v>
      </c>
      <c r="BP125" s="11">
        <f t="shared" ref="BP125" si="250">SUM(BQ125:CA125)</f>
        <v>0</v>
      </c>
      <c r="BQ125" s="11">
        <v>0</v>
      </c>
      <c r="BR125" s="11">
        <v>0</v>
      </c>
      <c r="BS125" s="11">
        <v>0</v>
      </c>
      <c r="BT125" s="11">
        <v>0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0</v>
      </c>
      <c r="CB125" s="11">
        <f>SUM(CC125+CT125)</f>
        <v>0</v>
      </c>
      <c r="CC125" s="11">
        <f>SUM(CD125+CG125+CL125)</f>
        <v>0</v>
      </c>
      <c r="CD125" s="11">
        <f t="shared" ref="CD125" si="251">SUM(CE125:CF125)</f>
        <v>0</v>
      </c>
      <c r="CE125" s="11">
        <v>0</v>
      </c>
      <c r="CF125" s="11">
        <v>0</v>
      </c>
      <c r="CG125" s="11">
        <f>SUM(CH125:CK125)</f>
        <v>0</v>
      </c>
      <c r="CH125" s="11">
        <v>0</v>
      </c>
      <c r="CI125" s="11">
        <v>0</v>
      </c>
      <c r="CJ125" s="11">
        <v>0</v>
      </c>
      <c r="CK125" s="11">
        <v>0</v>
      </c>
      <c r="CL125" s="11">
        <f>SUM(CM125:CQ125)</f>
        <v>0</v>
      </c>
      <c r="CM125" s="11">
        <v>0</v>
      </c>
      <c r="CN125" s="11">
        <v>0</v>
      </c>
      <c r="CO125" s="11">
        <v>0</v>
      </c>
      <c r="CP125" s="11"/>
      <c r="CQ125" s="11">
        <v>0</v>
      </c>
      <c r="CR125" s="11">
        <v>0</v>
      </c>
      <c r="CS125" s="11">
        <v>0</v>
      </c>
      <c r="CT125" s="11">
        <v>0</v>
      </c>
      <c r="CU125" s="11">
        <f t="shared" ref="CU125" si="252">SUM(CV125)</f>
        <v>0</v>
      </c>
      <c r="CV125" s="11">
        <f t="shared" ref="CV125" si="253">SUM(CW125:CX125)</f>
        <v>0</v>
      </c>
      <c r="CW125" s="11">
        <v>0</v>
      </c>
      <c r="CX125" s="12">
        <v>0</v>
      </c>
    </row>
    <row r="126" spans="1:102" ht="31.5" x14ac:dyDescent="0.25">
      <c r="A126" s="13" t="s">
        <v>1</v>
      </c>
      <c r="B126" s="14" t="s">
        <v>1</v>
      </c>
      <c r="C126" s="14" t="s">
        <v>129</v>
      </c>
      <c r="D126" s="15" t="s">
        <v>634</v>
      </c>
      <c r="E126" s="10">
        <f>SUM(F126+CB126+CU126)</f>
        <v>1503743</v>
      </c>
      <c r="F126" s="11">
        <f>SUM(G126+BC126)</f>
        <v>1503743</v>
      </c>
      <c r="G126" s="11">
        <f>SUM(H126+I126+J126+Q126+T126+U126+V126+AF126+AE126)</f>
        <v>1503743</v>
      </c>
      <c r="H126" s="11">
        <v>0</v>
      </c>
      <c r="I126" s="11">
        <v>0</v>
      </c>
      <c r="J126" s="11">
        <f t="shared" si="76"/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f t="shared" si="77"/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f>SUM(W126:AD126)</f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f>SUM(AG126:BB126)</f>
        <v>1503743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/>
      <c r="AW126" s="11"/>
      <c r="AX126" s="11">
        <v>0</v>
      </c>
      <c r="AY126" s="11">
        <v>0</v>
      </c>
      <c r="AZ126" s="11">
        <v>0</v>
      </c>
      <c r="BA126" s="11">
        <v>0</v>
      </c>
      <c r="BB126" s="16">
        <f>0+1503743</f>
        <v>1503743</v>
      </c>
      <c r="BC126" s="11">
        <f>SUM(BD126+BH126+BL126+BN126+BP126)</f>
        <v>0</v>
      </c>
      <c r="BD126" s="11">
        <f>SUM(BE126:BG126)</f>
        <v>0</v>
      </c>
      <c r="BE126" s="11">
        <v>0</v>
      </c>
      <c r="BF126" s="11">
        <v>0</v>
      </c>
      <c r="BG126" s="11">
        <v>0</v>
      </c>
      <c r="BH126" s="11">
        <f t="shared" si="78"/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f t="shared" si="79"/>
        <v>0</v>
      </c>
      <c r="BO126" s="11">
        <v>0</v>
      </c>
      <c r="BP126" s="11">
        <f t="shared" si="80"/>
        <v>0</v>
      </c>
      <c r="BQ126" s="11">
        <v>0</v>
      </c>
      <c r="BR126" s="11">
        <v>0</v>
      </c>
      <c r="BS126" s="11">
        <v>0</v>
      </c>
      <c r="BT126" s="11">
        <v>0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f>SUM(CC126+CT126)</f>
        <v>0</v>
      </c>
      <c r="CC126" s="11">
        <f>SUM(CD126+CG126+CL126)</f>
        <v>0</v>
      </c>
      <c r="CD126" s="11">
        <f t="shared" si="81"/>
        <v>0</v>
      </c>
      <c r="CE126" s="11">
        <v>0</v>
      </c>
      <c r="CF126" s="11">
        <v>0</v>
      </c>
      <c r="CG126" s="11">
        <f>SUM(CH126:CK126)</f>
        <v>0</v>
      </c>
      <c r="CH126" s="11">
        <v>0</v>
      </c>
      <c r="CI126" s="11">
        <v>0</v>
      </c>
      <c r="CJ126" s="11">
        <v>0</v>
      </c>
      <c r="CK126" s="11">
        <v>0</v>
      </c>
      <c r="CL126" s="11">
        <f>SUM(CM126:CQ126)</f>
        <v>0</v>
      </c>
      <c r="CM126" s="11">
        <v>0</v>
      </c>
      <c r="CN126" s="11">
        <v>0</v>
      </c>
      <c r="CO126" s="11">
        <v>0</v>
      </c>
      <c r="CP126" s="11"/>
      <c r="CQ126" s="11">
        <v>0</v>
      </c>
      <c r="CR126" s="11">
        <v>0</v>
      </c>
      <c r="CS126" s="11">
        <v>0</v>
      </c>
      <c r="CT126" s="11">
        <v>0</v>
      </c>
      <c r="CU126" s="11">
        <f t="shared" si="82"/>
        <v>0</v>
      </c>
      <c r="CV126" s="11">
        <f t="shared" si="83"/>
        <v>0</v>
      </c>
      <c r="CW126" s="11">
        <v>0</v>
      </c>
      <c r="CX126" s="12">
        <v>0</v>
      </c>
    </row>
    <row r="127" spans="1:102" ht="15.75" x14ac:dyDescent="0.25">
      <c r="A127" s="18" t="s">
        <v>258</v>
      </c>
      <c r="B127" s="19" t="s">
        <v>1</v>
      </c>
      <c r="C127" s="19" t="s">
        <v>1</v>
      </c>
      <c r="D127" s="20" t="s">
        <v>259</v>
      </c>
      <c r="E127" s="21">
        <f>SUM(E128+E132+E136+E140+E142+E144)</f>
        <v>317558607</v>
      </c>
      <c r="F127" s="22">
        <f t="shared" ref="F127:BV127" si="254">SUM(F128+F132+F136+F140+F142+F144)</f>
        <v>313161847</v>
      </c>
      <c r="G127" s="22">
        <f t="shared" si="254"/>
        <v>270516457</v>
      </c>
      <c r="H127" s="22">
        <f t="shared" si="254"/>
        <v>189828244</v>
      </c>
      <c r="I127" s="22">
        <f t="shared" si="254"/>
        <v>44472679</v>
      </c>
      <c r="J127" s="22">
        <f t="shared" si="254"/>
        <v>18554213</v>
      </c>
      <c r="K127" s="22">
        <f t="shared" si="254"/>
        <v>227949</v>
      </c>
      <c r="L127" s="22">
        <f t="shared" si="254"/>
        <v>2349066</v>
      </c>
      <c r="M127" s="22">
        <f t="shared" si="254"/>
        <v>13745804</v>
      </c>
      <c r="N127" s="22">
        <f t="shared" si="254"/>
        <v>617832</v>
      </c>
      <c r="O127" s="22">
        <f t="shared" si="254"/>
        <v>1192029</v>
      </c>
      <c r="P127" s="22">
        <f t="shared" si="254"/>
        <v>421533</v>
      </c>
      <c r="Q127" s="22">
        <f t="shared" si="254"/>
        <v>51967</v>
      </c>
      <c r="R127" s="22">
        <f t="shared" si="254"/>
        <v>37530</v>
      </c>
      <c r="S127" s="22">
        <f t="shared" si="254"/>
        <v>14437</v>
      </c>
      <c r="T127" s="22">
        <f t="shared" si="254"/>
        <v>0</v>
      </c>
      <c r="U127" s="22">
        <f t="shared" si="254"/>
        <v>919199</v>
      </c>
      <c r="V127" s="22">
        <f t="shared" si="254"/>
        <v>11086153</v>
      </c>
      <c r="W127" s="22">
        <f t="shared" si="254"/>
        <v>192367</v>
      </c>
      <c r="X127" s="22">
        <f t="shared" si="254"/>
        <v>7242357</v>
      </c>
      <c r="Y127" s="22">
        <f t="shared" si="254"/>
        <v>2107030</v>
      </c>
      <c r="Z127" s="22">
        <f t="shared" si="254"/>
        <v>1085648</v>
      </c>
      <c r="AA127" s="22">
        <f t="shared" si="254"/>
        <v>345513</v>
      </c>
      <c r="AB127" s="22">
        <f t="shared" si="254"/>
        <v>18288</v>
      </c>
      <c r="AC127" s="22">
        <f t="shared" si="254"/>
        <v>0</v>
      </c>
      <c r="AD127" s="22">
        <f t="shared" si="254"/>
        <v>94950</v>
      </c>
      <c r="AE127" s="22">
        <f t="shared" si="254"/>
        <v>0</v>
      </c>
      <c r="AF127" s="22">
        <f t="shared" si="254"/>
        <v>5604002</v>
      </c>
      <c r="AG127" s="22">
        <f t="shared" si="254"/>
        <v>0</v>
      </c>
      <c r="AH127" s="22">
        <f t="shared" si="254"/>
        <v>0</v>
      </c>
      <c r="AI127" s="22">
        <f t="shared" si="254"/>
        <v>37658</v>
      </c>
      <c r="AJ127" s="22">
        <f t="shared" si="254"/>
        <v>564691</v>
      </c>
      <c r="AK127" s="22">
        <f t="shared" si="254"/>
        <v>234625</v>
      </c>
      <c r="AL127" s="22">
        <f t="shared" si="254"/>
        <v>911200</v>
      </c>
      <c r="AM127" s="22">
        <f t="shared" si="254"/>
        <v>0</v>
      </c>
      <c r="AN127" s="22">
        <f t="shared" si="254"/>
        <v>347662</v>
      </c>
      <c r="AO127" s="22">
        <f t="shared" si="254"/>
        <v>269811</v>
      </c>
      <c r="AP127" s="22">
        <f t="shared" si="254"/>
        <v>0</v>
      </c>
      <c r="AQ127" s="22">
        <f t="shared" si="254"/>
        <v>43977</v>
      </c>
      <c r="AR127" s="22">
        <f>SUM(AR128+AR132+AR136+AR140+AR142+AR144)</f>
        <v>0</v>
      </c>
      <c r="AS127" s="22">
        <f t="shared" si="254"/>
        <v>0</v>
      </c>
      <c r="AT127" s="22">
        <f t="shared" si="254"/>
        <v>750205</v>
      </c>
      <c r="AU127" s="22">
        <f t="shared" si="254"/>
        <v>113689</v>
      </c>
      <c r="AV127" s="22"/>
      <c r="AW127" s="22"/>
      <c r="AX127" s="22">
        <f t="shared" si="254"/>
        <v>0</v>
      </c>
      <c r="AY127" s="22">
        <f t="shared" si="254"/>
        <v>0</v>
      </c>
      <c r="AZ127" s="22">
        <f t="shared" si="254"/>
        <v>0</v>
      </c>
      <c r="BA127" s="22">
        <f t="shared" si="254"/>
        <v>0</v>
      </c>
      <c r="BB127" s="22">
        <f t="shared" si="254"/>
        <v>2330484</v>
      </c>
      <c r="BC127" s="22">
        <f t="shared" si="254"/>
        <v>42645390</v>
      </c>
      <c r="BD127" s="22">
        <f t="shared" si="254"/>
        <v>0</v>
      </c>
      <c r="BE127" s="22">
        <f t="shared" si="254"/>
        <v>0</v>
      </c>
      <c r="BF127" s="22">
        <f t="shared" si="254"/>
        <v>0</v>
      </c>
      <c r="BG127" s="22">
        <f t="shared" si="254"/>
        <v>0</v>
      </c>
      <c r="BH127" s="22">
        <f t="shared" si="254"/>
        <v>0</v>
      </c>
      <c r="BI127" s="22">
        <f t="shared" si="254"/>
        <v>0</v>
      </c>
      <c r="BJ127" s="22">
        <f t="shared" si="254"/>
        <v>0</v>
      </c>
      <c r="BK127" s="22">
        <f t="shared" si="254"/>
        <v>0</v>
      </c>
      <c r="BL127" s="22">
        <f t="shared" si="254"/>
        <v>0</v>
      </c>
      <c r="BM127" s="22">
        <f t="shared" si="254"/>
        <v>0</v>
      </c>
      <c r="BN127" s="22">
        <f t="shared" si="254"/>
        <v>0</v>
      </c>
      <c r="BO127" s="22">
        <f t="shared" si="254"/>
        <v>0</v>
      </c>
      <c r="BP127" s="22">
        <f t="shared" si="254"/>
        <v>42645390</v>
      </c>
      <c r="BQ127" s="22">
        <f t="shared" si="254"/>
        <v>0</v>
      </c>
      <c r="BR127" s="22">
        <f t="shared" si="254"/>
        <v>0</v>
      </c>
      <c r="BS127" s="22">
        <f t="shared" si="254"/>
        <v>16144835</v>
      </c>
      <c r="BT127" s="22">
        <f t="shared" si="254"/>
        <v>0</v>
      </c>
      <c r="BU127" s="22">
        <f t="shared" si="254"/>
        <v>0</v>
      </c>
      <c r="BV127" s="22">
        <f t="shared" si="254"/>
        <v>407888</v>
      </c>
      <c r="BW127" s="22">
        <f t="shared" ref="BW127:CX127" si="255">SUM(BW128+BW132+BW136+BW140+BW142+BW144)</f>
        <v>0</v>
      </c>
      <c r="BX127" s="22">
        <f t="shared" si="255"/>
        <v>0</v>
      </c>
      <c r="BY127" s="22">
        <f t="shared" si="255"/>
        <v>0</v>
      </c>
      <c r="BZ127" s="22">
        <f t="shared" si="255"/>
        <v>15271830</v>
      </c>
      <c r="CA127" s="22">
        <f t="shared" si="255"/>
        <v>10820837</v>
      </c>
      <c r="CB127" s="22">
        <f t="shared" si="255"/>
        <v>4396760</v>
      </c>
      <c r="CC127" s="22">
        <f t="shared" si="255"/>
        <v>4396760</v>
      </c>
      <c r="CD127" s="22">
        <f t="shared" si="255"/>
        <v>4075424</v>
      </c>
      <c r="CE127" s="22">
        <f t="shared" si="255"/>
        <v>0</v>
      </c>
      <c r="CF127" s="22">
        <f t="shared" si="255"/>
        <v>4075424</v>
      </c>
      <c r="CG127" s="22">
        <f t="shared" si="255"/>
        <v>0</v>
      </c>
      <c r="CH127" s="22">
        <f t="shared" si="255"/>
        <v>0</v>
      </c>
      <c r="CI127" s="22">
        <f t="shared" si="255"/>
        <v>0</v>
      </c>
      <c r="CJ127" s="22">
        <f t="shared" si="255"/>
        <v>0</v>
      </c>
      <c r="CK127" s="22">
        <f t="shared" si="255"/>
        <v>0</v>
      </c>
      <c r="CL127" s="22">
        <f t="shared" si="255"/>
        <v>321336</v>
      </c>
      <c r="CM127" s="22">
        <f t="shared" si="255"/>
        <v>0</v>
      </c>
      <c r="CN127" s="22">
        <f t="shared" si="255"/>
        <v>321336</v>
      </c>
      <c r="CO127" s="22">
        <f t="shared" si="255"/>
        <v>0</v>
      </c>
      <c r="CP127" s="22"/>
      <c r="CQ127" s="22">
        <f t="shared" si="255"/>
        <v>0</v>
      </c>
      <c r="CR127" s="22">
        <f t="shared" si="255"/>
        <v>0</v>
      </c>
      <c r="CS127" s="22">
        <f t="shared" si="255"/>
        <v>0</v>
      </c>
      <c r="CT127" s="22">
        <f t="shared" si="255"/>
        <v>0</v>
      </c>
      <c r="CU127" s="22">
        <f t="shared" si="255"/>
        <v>0</v>
      </c>
      <c r="CV127" s="22">
        <f t="shared" si="255"/>
        <v>0</v>
      </c>
      <c r="CW127" s="22">
        <f t="shared" si="255"/>
        <v>0</v>
      </c>
      <c r="CX127" s="23">
        <f t="shared" si="255"/>
        <v>0</v>
      </c>
    </row>
    <row r="128" spans="1:102" ht="15.75" x14ac:dyDescent="0.25">
      <c r="A128" s="7"/>
      <c r="B128" s="8" t="s">
        <v>260</v>
      </c>
      <c r="C128" s="8" t="s">
        <v>1</v>
      </c>
      <c r="D128" s="9" t="s">
        <v>261</v>
      </c>
      <c r="E128" s="10">
        <f>SUM(E129:E131)</f>
        <v>63448401</v>
      </c>
      <c r="F128" s="11">
        <f t="shared" ref="F128:BV128" si="256">SUM(F129:F131)</f>
        <v>62940493</v>
      </c>
      <c r="G128" s="11">
        <f t="shared" si="256"/>
        <v>54651324</v>
      </c>
      <c r="H128" s="11">
        <f t="shared" si="256"/>
        <v>31180479</v>
      </c>
      <c r="I128" s="11">
        <f t="shared" si="256"/>
        <v>7266679</v>
      </c>
      <c r="J128" s="11">
        <f t="shared" si="256"/>
        <v>11086971</v>
      </c>
      <c r="K128" s="11">
        <f t="shared" si="256"/>
        <v>125971</v>
      </c>
      <c r="L128" s="11">
        <f t="shared" si="256"/>
        <v>2081065</v>
      </c>
      <c r="M128" s="11">
        <f t="shared" si="256"/>
        <v>7989985</v>
      </c>
      <c r="N128" s="11">
        <f t="shared" si="256"/>
        <v>300995</v>
      </c>
      <c r="O128" s="11">
        <f t="shared" si="256"/>
        <v>512456</v>
      </c>
      <c r="P128" s="11">
        <f t="shared" si="256"/>
        <v>76499</v>
      </c>
      <c r="Q128" s="11">
        <f t="shared" si="256"/>
        <v>14437</v>
      </c>
      <c r="R128" s="11">
        <f t="shared" si="256"/>
        <v>0</v>
      </c>
      <c r="S128" s="11">
        <f t="shared" si="256"/>
        <v>14437</v>
      </c>
      <c r="T128" s="11">
        <f t="shared" si="256"/>
        <v>0</v>
      </c>
      <c r="U128" s="11">
        <f t="shared" si="256"/>
        <v>120214</v>
      </c>
      <c r="V128" s="11">
        <f t="shared" si="256"/>
        <v>2730858</v>
      </c>
      <c r="W128" s="11">
        <f t="shared" si="256"/>
        <v>93451</v>
      </c>
      <c r="X128" s="11">
        <f t="shared" si="256"/>
        <v>1484617</v>
      </c>
      <c r="Y128" s="11">
        <f t="shared" si="256"/>
        <v>628594</v>
      </c>
      <c r="Z128" s="11">
        <f t="shared" si="256"/>
        <v>368496</v>
      </c>
      <c r="AA128" s="11">
        <f t="shared" si="256"/>
        <v>67151</v>
      </c>
      <c r="AB128" s="11">
        <f t="shared" si="256"/>
        <v>0</v>
      </c>
      <c r="AC128" s="11">
        <f t="shared" si="256"/>
        <v>0</v>
      </c>
      <c r="AD128" s="11">
        <f t="shared" si="256"/>
        <v>88549</v>
      </c>
      <c r="AE128" s="11">
        <f t="shared" si="256"/>
        <v>0</v>
      </c>
      <c r="AF128" s="11">
        <f t="shared" si="256"/>
        <v>2251686</v>
      </c>
      <c r="AG128" s="11">
        <f t="shared" si="256"/>
        <v>0</v>
      </c>
      <c r="AH128" s="11">
        <f t="shared" si="256"/>
        <v>0</v>
      </c>
      <c r="AI128" s="11">
        <f t="shared" si="256"/>
        <v>546</v>
      </c>
      <c r="AJ128" s="11">
        <f t="shared" si="256"/>
        <v>334811</v>
      </c>
      <c r="AK128" s="11">
        <f t="shared" si="256"/>
        <v>108201</v>
      </c>
      <c r="AL128" s="11">
        <f t="shared" si="256"/>
        <v>863081</v>
      </c>
      <c r="AM128" s="11">
        <f t="shared" si="256"/>
        <v>0</v>
      </c>
      <c r="AN128" s="11">
        <f t="shared" si="256"/>
        <v>263430</v>
      </c>
      <c r="AO128" s="11">
        <f t="shared" si="256"/>
        <v>10061</v>
      </c>
      <c r="AP128" s="11">
        <f t="shared" si="256"/>
        <v>0</v>
      </c>
      <c r="AQ128" s="11">
        <f t="shared" si="256"/>
        <v>43868</v>
      </c>
      <c r="AR128" s="11">
        <f>SUM(AR129:AR131)</f>
        <v>0</v>
      </c>
      <c r="AS128" s="11">
        <f t="shared" si="256"/>
        <v>0</v>
      </c>
      <c r="AT128" s="11">
        <f t="shared" si="256"/>
        <v>587571</v>
      </c>
      <c r="AU128" s="11">
        <f t="shared" si="256"/>
        <v>0</v>
      </c>
      <c r="AV128" s="11"/>
      <c r="AW128" s="11"/>
      <c r="AX128" s="11">
        <f t="shared" si="256"/>
        <v>0</v>
      </c>
      <c r="AY128" s="11">
        <f t="shared" si="256"/>
        <v>0</v>
      </c>
      <c r="AZ128" s="11">
        <f t="shared" si="256"/>
        <v>0</v>
      </c>
      <c r="BA128" s="11">
        <f t="shared" si="256"/>
        <v>0</v>
      </c>
      <c r="BB128" s="11">
        <f t="shared" si="256"/>
        <v>40117</v>
      </c>
      <c r="BC128" s="11">
        <f t="shared" si="256"/>
        <v>8289169</v>
      </c>
      <c r="BD128" s="11">
        <f t="shared" si="256"/>
        <v>0</v>
      </c>
      <c r="BE128" s="11">
        <f t="shared" si="256"/>
        <v>0</v>
      </c>
      <c r="BF128" s="11">
        <f t="shared" si="256"/>
        <v>0</v>
      </c>
      <c r="BG128" s="11">
        <f t="shared" si="256"/>
        <v>0</v>
      </c>
      <c r="BH128" s="11">
        <f t="shared" si="256"/>
        <v>0</v>
      </c>
      <c r="BI128" s="11">
        <f t="shared" si="256"/>
        <v>0</v>
      </c>
      <c r="BJ128" s="11">
        <f t="shared" si="256"/>
        <v>0</v>
      </c>
      <c r="BK128" s="11">
        <f t="shared" si="256"/>
        <v>0</v>
      </c>
      <c r="BL128" s="11">
        <f t="shared" si="256"/>
        <v>0</v>
      </c>
      <c r="BM128" s="11">
        <f t="shared" si="256"/>
        <v>0</v>
      </c>
      <c r="BN128" s="11">
        <f t="shared" si="256"/>
        <v>0</v>
      </c>
      <c r="BO128" s="11">
        <f t="shared" si="256"/>
        <v>0</v>
      </c>
      <c r="BP128" s="11">
        <f t="shared" si="256"/>
        <v>8289169</v>
      </c>
      <c r="BQ128" s="11">
        <f t="shared" si="256"/>
        <v>0</v>
      </c>
      <c r="BR128" s="11">
        <f t="shared" si="256"/>
        <v>0</v>
      </c>
      <c r="BS128" s="11">
        <f t="shared" si="256"/>
        <v>0</v>
      </c>
      <c r="BT128" s="11">
        <f t="shared" si="256"/>
        <v>0</v>
      </c>
      <c r="BU128" s="11">
        <f t="shared" si="256"/>
        <v>0</v>
      </c>
      <c r="BV128" s="11">
        <f t="shared" si="256"/>
        <v>374363</v>
      </c>
      <c r="BW128" s="11">
        <f t="shared" ref="BW128:CX128" si="257">SUM(BW129:BW131)</f>
        <v>0</v>
      </c>
      <c r="BX128" s="11">
        <f t="shared" si="257"/>
        <v>0</v>
      </c>
      <c r="BY128" s="11">
        <f t="shared" si="257"/>
        <v>0</v>
      </c>
      <c r="BZ128" s="11">
        <f t="shared" si="257"/>
        <v>0</v>
      </c>
      <c r="CA128" s="11">
        <f t="shared" si="257"/>
        <v>7914806</v>
      </c>
      <c r="CB128" s="11">
        <f t="shared" si="257"/>
        <v>507908</v>
      </c>
      <c r="CC128" s="11">
        <f t="shared" si="257"/>
        <v>507908</v>
      </c>
      <c r="CD128" s="11">
        <f t="shared" si="257"/>
        <v>447974</v>
      </c>
      <c r="CE128" s="11">
        <f t="shared" si="257"/>
        <v>0</v>
      </c>
      <c r="CF128" s="11">
        <f t="shared" si="257"/>
        <v>447974</v>
      </c>
      <c r="CG128" s="11">
        <f t="shared" si="257"/>
        <v>0</v>
      </c>
      <c r="CH128" s="11">
        <f t="shared" si="257"/>
        <v>0</v>
      </c>
      <c r="CI128" s="11">
        <f t="shared" si="257"/>
        <v>0</v>
      </c>
      <c r="CJ128" s="11">
        <f t="shared" si="257"/>
        <v>0</v>
      </c>
      <c r="CK128" s="11">
        <f t="shared" si="257"/>
        <v>0</v>
      </c>
      <c r="CL128" s="11">
        <f t="shared" si="257"/>
        <v>59934</v>
      </c>
      <c r="CM128" s="11">
        <f t="shared" si="257"/>
        <v>0</v>
      </c>
      <c r="CN128" s="11">
        <f t="shared" si="257"/>
        <v>59934</v>
      </c>
      <c r="CO128" s="11">
        <f t="shared" si="257"/>
        <v>0</v>
      </c>
      <c r="CP128" s="11"/>
      <c r="CQ128" s="11">
        <f t="shared" si="257"/>
        <v>0</v>
      </c>
      <c r="CR128" s="11">
        <f t="shared" si="257"/>
        <v>0</v>
      </c>
      <c r="CS128" s="11">
        <f t="shared" si="257"/>
        <v>0</v>
      </c>
      <c r="CT128" s="11">
        <f t="shared" si="257"/>
        <v>0</v>
      </c>
      <c r="CU128" s="11">
        <f t="shared" si="257"/>
        <v>0</v>
      </c>
      <c r="CV128" s="11">
        <f t="shared" si="257"/>
        <v>0</v>
      </c>
      <c r="CW128" s="11">
        <f t="shared" si="257"/>
        <v>0</v>
      </c>
      <c r="CX128" s="12">
        <f t="shared" si="257"/>
        <v>0</v>
      </c>
    </row>
    <row r="129" spans="1:102" ht="15.75" x14ac:dyDescent="0.25">
      <c r="A129" s="13"/>
      <c r="B129" s="14" t="s">
        <v>1</v>
      </c>
      <c r="C129" s="14" t="s">
        <v>99</v>
      </c>
      <c r="D129" s="15" t="s">
        <v>262</v>
      </c>
      <c r="E129" s="10">
        <f>SUM(F129+CB129+CU129)</f>
        <v>20243214</v>
      </c>
      <c r="F129" s="11">
        <f>SUM(G129+BC129)</f>
        <v>20115269</v>
      </c>
      <c r="G129" s="11">
        <f>SUM(H129+I129+J129+Q129+T129+U129+V129+AF129+AE129)</f>
        <v>15857493</v>
      </c>
      <c r="H129" s="16">
        <f>7559762+403187</f>
        <v>7962949</v>
      </c>
      <c r="I129" s="16">
        <f>1771936+100797</f>
        <v>1872733</v>
      </c>
      <c r="J129" s="11">
        <f t="shared" si="76"/>
        <v>4460057</v>
      </c>
      <c r="K129" s="16">
        <v>20874</v>
      </c>
      <c r="L129" s="16">
        <v>695564</v>
      </c>
      <c r="M129" s="16">
        <v>3113386</v>
      </c>
      <c r="N129" s="16">
        <v>300995</v>
      </c>
      <c r="O129" s="16">
        <v>317378</v>
      </c>
      <c r="P129" s="16">
        <v>11860</v>
      </c>
      <c r="Q129" s="11">
        <f t="shared" si="77"/>
        <v>0</v>
      </c>
      <c r="R129" s="11">
        <v>0</v>
      </c>
      <c r="S129" s="11">
        <v>0</v>
      </c>
      <c r="T129" s="11">
        <v>0</v>
      </c>
      <c r="U129" s="16">
        <v>30382</v>
      </c>
      <c r="V129" s="11">
        <f t="shared" ref="V129:V131" si="258">SUM(W129:AD129)</f>
        <v>977582</v>
      </c>
      <c r="W129" s="16">
        <v>6214</v>
      </c>
      <c r="X129" s="16">
        <v>620247</v>
      </c>
      <c r="Y129" s="16">
        <v>275213</v>
      </c>
      <c r="Z129" s="16">
        <v>21810</v>
      </c>
      <c r="AA129" s="16">
        <v>14160</v>
      </c>
      <c r="AB129" s="16"/>
      <c r="AC129" s="16"/>
      <c r="AD129" s="16">
        <v>39938</v>
      </c>
      <c r="AE129" s="11"/>
      <c r="AF129" s="11">
        <f>SUM(AG129:BB129)</f>
        <v>553790</v>
      </c>
      <c r="AG129" s="11">
        <v>0</v>
      </c>
      <c r="AH129" s="11">
        <v>0</v>
      </c>
      <c r="AI129" s="16"/>
      <c r="AJ129" s="16">
        <v>141460</v>
      </c>
      <c r="AK129" s="16">
        <v>5776</v>
      </c>
      <c r="AL129" s="16">
        <v>11856</v>
      </c>
      <c r="AM129" s="16"/>
      <c r="AN129" s="16">
        <v>75598</v>
      </c>
      <c r="AO129" s="16">
        <v>5071</v>
      </c>
      <c r="AP129" s="16"/>
      <c r="AQ129" s="16">
        <v>1976</v>
      </c>
      <c r="AR129" s="16"/>
      <c r="AS129" s="16"/>
      <c r="AT129" s="16">
        <v>306117</v>
      </c>
      <c r="AU129" s="16"/>
      <c r="AV129" s="11"/>
      <c r="AW129" s="11"/>
      <c r="AX129" s="11">
        <v>0</v>
      </c>
      <c r="AY129" s="11">
        <v>0</v>
      </c>
      <c r="AZ129" s="11">
        <v>0</v>
      </c>
      <c r="BA129" s="11"/>
      <c r="BB129" s="16">
        <v>5936</v>
      </c>
      <c r="BC129" s="11">
        <f>SUM(BD129+BH129+BL129+BN129+BP129)</f>
        <v>4257776</v>
      </c>
      <c r="BD129" s="11">
        <f>SUM(BE129:BG129)</f>
        <v>0</v>
      </c>
      <c r="BE129" s="11">
        <v>0</v>
      </c>
      <c r="BF129" s="11">
        <v>0</v>
      </c>
      <c r="BG129" s="11">
        <v>0</v>
      </c>
      <c r="BH129" s="11">
        <f t="shared" si="78"/>
        <v>0</v>
      </c>
      <c r="BI129" s="11">
        <v>0</v>
      </c>
      <c r="BJ129" s="11">
        <v>0</v>
      </c>
      <c r="BK129" s="11">
        <v>0</v>
      </c>
      <c r="BL129" s="11">
        <v>0</v>
      </c>
      <c r="BM129" s="11">
        <v>0</v>
      </c>
      <c r="BN129" s="11">
        <f t="shared" si="79"/>
        <v>0</v>
      </c>
      <c r="BO129" s="11">
        <v>0</v>
      </c>
      <c r="BP129" s="11">
        <f t="shared" si="80"/>
        <v>4257776</v>
      </c>
      <c r="BQ129" s="11">
        <v>0</v>
      </c>
      <c r="BR129" s="11">
        <v>0</v>
      </c>
      <c r="BS129" s="11">
        <v>0</v>
      </c>
      <c r="BT129" s="11">
        <v>0</v>
      </c>
      <c r="BU129" s="11">
        <v>0</v>
      </c>
      <c r="BV129" s="16">
        <v>206738</v>
      </c>
      <c r="BW129" s="11">
        <v>0</v>
      </c>
      <c r="BX129" s="11">
        <v>0</v>
      </c>
      <c r="BY129" s="11">
        <v>0</v>
      </c>
      <c r="BZ129" s="11">
        <v>0</v>
      </c>
      <c r="CA129" s="16">
        <v>4051038</v>
      </c>
      <c r="CB129" s="11">
        <f>SUM(CC129+CT129)</f>
        <v>127945</v>
      </c>
      <c r="CC129" s="11">
        <f>SUM(CD129+CG129+CL129)</f>
        <v>127945</v>
      </c>
      <c r="CD129" s="11">
        <f t="shared" si="81"/>
        <v>127945</v>
      </c>
      <c r="CE129" s="11">
        <v>0</v>
      </c>
      <c r="CF129" s="16">
        <v>127945</v>
      </c>
      <c r="CG129" s="11">
        <f>SUM(CH129:CK129)</f>
        <v>0</v>
      </c>
      <c r="CH129" s="11">
        <v>0</v>
      </c>
      <c r="CI129" s="11">
        <v>0</v>
      </c>
      <c r="CJ129" s="11">
        <v>0</v>
      </c>
      <c r="CK129" s="11">
        <v>0</v>
      </c>
      <c r="CL129" s="11">
        <f>SUM(CM129:CQ129)</f>
        <v>0</v>
      </c>
      <c r="CM129" s="11">
        <v>0</v>
      </c>
      <c r="CN129" s="11">
        <v>0</v>
      </c>
      <c r="CO129" s="11">
        <v>0</v>
      </c>
      <c r="CP129" s="11"/>
      <c r="CQ129" s="11">
        <v>0</v>
      </c>
      <c r="CR129" s="11"/>
      <c r="CS129" s="11"/>
      <c r="CT129" s="11">
        <v>0</v>
      </c>
      <c r="CU129" s="11">
        <f t="shared" si="82"/>
        <v>0</v>
      </c>
      <c r="CV129" s="11">
        <f t="shared" si="83"/>
        <v>0</v>
      </c>
      <c r="CW129" s="11">
        <v>0</v>
      </c>
      <c r="CX129" s="12">
        <v>0</v>
      </c>
    </row>
    <row r="130" spans="1:102" ht="15.75" x14ac:dyDescent="0.25">
      <c r="A130" s="13"/>
      <c r="B130" s="14" t="s">
        <v>1</v>
      </c>
      <c r="C130" s="14" t="s">
        <v>99</v>
      </c>
      <c r="D130" s="15" t="s">
        <v>263</v>
      </c>
      <c r="E130" s="10">
        <f>SUM(F130+CB130+CU130)</f>
        <v>34300115</v>
      </c>
      <c r="F130" s="11">
        <f>SUM(G130+BC130)</f>
        <v>33922284</v>
      </c>
      <c r="G130" s="11">
        <f>SUM(H130+I130+J130+Q130+T130+U130+V130+AF130+AE130)</f>
        <v>29890891</v>
      </c>
      <c r="H130" s="16">
        <f>16025635+854701</f>
        <v>16880336</v>
      </c>
      <c r="I130" s="16">
        <f>3704351+213675</f>
        <v>3918026</v>
      </c>
      <c r="J130" s="11">
        <f t="shared" si="76"/>
        <v>6251848</v>
      </c>
      <c r="K130" s="16">
        <v>97254</v>
      </c>
      <c r="L130" s="16">
        <v>1384307</v>
      </c>
      <c r="M130" s="16">
        <v>4526280</v>
      </c>
      <c r="N130" s="16">
        <v>0</v>
      </c>
      <c r="O130" s="16">
        <v>195078</v>
      </c>
      <c r="P130" s="16">
        <v>48929</v>
      </c>
      <c r="Q130" s="11">
        <f t="shared" si="77"/>
        <v>0</v>
      </c>
      <c r="R130" s="11">
        <v>0</v>
      </c>
      <c r="S130" s="11">
        <v>0</v>
      </c>
      <c r="T130" s="11">
        <v>0</v>
      </c>
      <c r="U130" s="16">
        <v>42074</v>
      </c>
      <c r="V130" s="11">
        <f t="shared" si="258"/>
        <v>1101223</v>
      </c>
      <c r="W130" s="16">
        <v>67769</v>
      </c>
      <c r="X130" s="16">
        <v>479690</v>
      </c>
      <c r="Y130" s="16">
        <v>211569</v>
      </c>
      <c r="Z130" s="16">
        <v>269722</v>
      </c>
      <c r="AA130" s="16">
        <v>23862</v>
      </c>
      <c r="AB130" s="16"/>
      <c r="AC130" s="16"/>
      <c r="AD130" s="16">
        <v>48611</v>
      </c>
      <c r="AE130" s="11"/>
      <c r="AF130" s="11">
        <f>SUM(AG130:BB130)</f>
        <v>1697384</v>
      </c>
      <c r="AG130" s="11">
        <v>0</v>
      </c>
      <c r="AH130" s="11"/>
      <c r="AI130" s="16">
        <v>172</v>
      </c>
      <c r="AJ130" s="16">
        <v>193351</v>
      </c>
      <c r="AK130" s="16">
        <v>102425</v>
      </c>
      <c r="AL130" s="16">
        <v>851225</v>
      </c>
      <c r="AM130" s="16"/>
      <c r="AN130" s="16">
        <v>187832</v>
      </c>
      <c r="AO130" s="16">
        <v>4990</v>
      </c>
      <c r="AP130" s="16"/>
      <c r="AQ130" s="16">
        <v>41892</v>
      </c>
      <c r="AR130" s="16"/>
      <c r="AS130" s="16"/>
      <c r="AT130" s="16">
        <v>281454</v>
      </c>
      <c r="AU130" s="16"/>
      <c r="AV130" s="11"/>
      <c r="AW130" s="11"/>
      <c r="AX130" s="11">
        <v>0</v>
      </c>
      <c r="AY130" s="11">
        <v>0</v>
      </c>
      <c r="AZ130" s="11">
        <v>0</v>
      </c>
      <c r="BA130" s="11"/>
      <c r="BB130" s="16">
        <v>34043</v>
      </c>
      <c r="BC130" s="11">
        <f>SUM(BD130+BH130+BL130+BN130+BP130)</f>
        <v>4031393</v>
      </c>
      <c r="BD130" s="11">
        <f>SUM(BE130:BG130)</f>
        <v>0</v>
      </c>
      <c r="BE130" s="11">
        <v>0</v>
      </c>
      <c r="BF130" s="11">
        <v>0</v>
      </c>
      <c r="BG130" s="11">
        <v>0</v>
      </c>
      <c r="BH130" s="11">
        <f t="shared" si="78"/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f t="shared" si="79"/>
        <v>0</v>
      </c>
      <c r="BO130" s="11">
        <v>0</v>
      </c>
      <c r="BP130" s="11">
        <f t="shared" si="80"/>
        <v>4031393</v>
      </c>
      <c r="BQ130" s="11">
        <v>0</v>
      </c>
      <c r="BR130" s="11">
        <v>0</v>
      </c>
      <c r="BS130" s="11">
        <v>0</v>
      </c>
      <c r="BT130" s="11">
        <v>0</v>
      </c>
      <c r="BU130" s="11">
        <v>0</v>
      </c>
      <c r="BV130" s="16">
        <v>167625</v>
      </c>
      <c r="BW130" s="11">
        <v>0</v>
      </c>
      <c r="BX130" s="11">
        <v>0</v>
      </c>
      <c r="BY130" s="11">
        <v>0</v>
      </c>
      <c r="BZ130" s="11">
        <v>0</v>
      </c>
      <c r="CA130" s="16">
        <v>3863768</v>
      </c>
      <c r="CB130" s="11">
        <f>SUM(CC130+CT130)</f>
        <v>377831</v>
      </c>
      <c r="CC130" s="11">
        <f>SUM(CD130+CG130+CL130)</f>
        <v>377831</v>
      </c>
      <c r="CD130" s="11">
        <f t="shared" si="81"/>
        <v>317897</v>
      </c>
      <c r="CE130" s="11">
        <v>0</v>
      </c>
      <c r="CF130" s="16">
        <v>317897</v>
      </c>
      <c r="CG130" s="11">
        <f>SUM(CH130:CK130)</f>
        <v>0</v>
      </c>
      <c r="CH130" s="11">
        <v>0</v>
      </c>
      <c r="CI130" s="11">
        <v>0</v>
      </c>
      <c r="CJ130" s="11">
        <v>0</v>
      </c>
      <c r="CK130" s="11">
        <v>0</v>
      </c>
      <c r="CL130" s="11">
        <f>SUM(CM130:CQ130)</f>
        <v>59934</v>
      </c>
      <c r="CM130" s="11">
        <v>0</v>
      </c>
      <c r="CN130" s="11">
        <v>59934</v>
      </c>
      <c r="CO130" s="11">
        <v>0</v>
      </c>
      <c r="CP130" s="11"/>
      <c r="CQ130" s="11">
        <v>0</v>
      </c>
      <c r="CR130" s="11"/>
      <c r="CS130" s="11"/>
      <c r="CT130" s="11">
        <v>0</v>
      </c>
      <c r="CU130" s="11">
        <f t="shared" si="82"/>
        <v>0</v>
      </c>
      <c r="CV130" s="11">
        <f t="shared" si="83"/>
        <v>0</v>
      </c>
      <c r="CW130" s="11">
        <v>0</v>
      </c>
      <c r="CX130" s="12">
        <v>0</v>
      </c>
    </row>
    <row r="131" spans="1:102" ht="15.75" x14ac:dyDescent="0.25">
      <c r="A131" s="13"/>
      <c r="B131" s="14" t="s">
        <v>1</v>
      </c>
      <c r="C131" s="14" t="s">
        <v>103</v>
      </c>
      <c r="D131" s="15" t="s">
        <v>264</v>
      </c>
      <c r="E131" s="10">
        <f>SUM(F131+CB131+CU131)</f>
        <v>8905072</v>
      </c>
      <c r="F131" s="11">
        <f>SUM(G131+BC131)</f>
        <v>8902940</v>
      </c>
      <c r="G131" s="11">
        <f>SUM(H131+I131+J131+Q131+T131+U131+V131+AF131+AE131)</f>
        <v>8902940</v>
      </c>
      <c r="H131" s="16">
        <f>6016323+320871</f>
        <v>6337194</v>
      </c>
      <c r="I131" s="16">
        <f>1395702+80218</f>
        <v>1475920</v>
      </c>
      <c r="J131" s="11">
        <f t="shared" si="76"/>
        <v>375066</v>
      </c>
      <c r="K131" s="16">
        <v>7843</v>
      </c>
      <c r="L131" s="16">
        <v>1194</v>
      </c>
      <c r="M131" s="16">
        <v>350319</v>
      </c>
      <c r="N131" s="16">
        <v>0</v>
      </c>
      <c r="O131" s="16">
        <v>0</v>
      </c>
      <c r="P131" s="16">
        <v>15710</v>
      </c>
      <c r="Q131" s="11">
        <f t="shared" si="77"/>
        <v>14437</v>
      </c>
      <c r="R131" s="11">
        <v>0</v>
      </c>
      <c r="S131" s="16">
        <v>14437</v>
      </c>
      <c r="T131" s="11">
        <v>0</v>
      </c>
      <c r="U131" s="16">
        <v>47758</v>
      </c>
      <c r="V131" s="11">
        <f t="shared" si="258"/>
        <v>652053</v>
      </c>
      <c r="W131" s="16">
        <v>19468</v>
      </c>
      <c r="X131" s="16">
        <v>384680</v>
      </c>
      <c r="Y131" s="16">
        <v>141812</v>
      </c>
      <c r="Z131" s="16">
        <v>76964</v>
      </c>
      <c r="AA131" s="16">
        <v>29129</v>
      </c>
      <c r="AB131" s="16"/>
      <c r="AC131" s="16"/>
      <c r="AD131" s="16"/>
      <c r="AE131" s="11">
        <v>0</v>
      </c>
      <c r="AF131" s="11">
        <f>SUM(AG131:BB131)</f>
        <v>512</v>
      </c>
      <c r="AG131" s="11">
        <v>0</v>
      </c>
      <c r="AH131" s="11"/>
      <c r="AI131" s="16">
        <v>374</v>
      </c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1"/>
      <c r="AW131" s="11"/>
      <c r="AX131" s="11">
        <v>0</v>
      </c>
      <c r="AY131" s="11">
        <v>0</v>
      </c>
      <c r="AZ131" s="11">
        <v>0</v>
      </c>
      <c r="BA131" s="11">
        <v>0</v>
      </c>
      <c r="BB131" s="16">
        <v>138</v>
      </c>
      <c r="BC131" s="11">
        <f>SUM(BD131+BH131+BL131+BN131+BP131)</f>
        <v>0</v>
      </c>
      <c r="BD131" s="11">
        <f>SUM(BE131:BG131)</f>
        <v>0</v>
      </c>
      <c r="BE131" s="11">
        <v>0</v>
      </c>
      <c r="BF131" s="11">
        <v>0</v>
      </c>
      <c r="BG131" s="11">
        <v>0</v>
      </c>
      <c r="BH131" s="11">
        <f t="shared" si="78"/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f t="shared" si="79"/>
        <v>0</v>
      </c>
      <c r="BO131" s="11">
        <v>0</v>
      </c>
      <c r="BP131" s="11">
        <f t="shared" si="80"/>
        <v>0</v>
      </c>
      <c r="BQ131" s="11">
        <v>0</v>
      </c>
      <c r="BR131" s="11">
        <v>0</v>
      </c>
      <c r="BS131" s="11">
        <v>0</v>
      </c>
      <c r="BT131" s="11">
        <v>0</v>
      </c>
      <c r="BU131" s="11">
        <v>0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>
        <v>0</v>
      </c>
      <c r="CB131" s="11">
        <f>SUM(CC131+CT131)</f>
        <v>2132</v>
      </c>
      <c r="CC131" s="11">
        <f>SUM(CD131+CG131+CL131)</f>
        <v>2132</v>
      </c>
      <c r="CD131" s="11">
        <f t="shared" si="81"/>
        <v>2132</v>
      </c>
      <c r="CE131" s="11">
        <v>0</v>
      </c>
      <c r="CF131" s="16">
        <v>2132</v>
      </c>
      <c r="CG131" s="11">
        <f>SUM(CH131:CK131)</f>
        <v>0</v>
      </c>
      <c r="CH131" s="11">
        <v>0</v>
      </c>
      <c r="CI131" s="11">
        <v>0</v>
      </c>
      <c r="CJ131" s="11">
        <v>0</v>
      </c>
      <c r="CK131" s="11">
        <v>0</v>
      </c>
      <c r="CL131" s="11">
        <f>SUM(CM131:CQ131)</f>
        <v>0</v>
      </c>
      <c r="CM131" s="11">
        <v>0</v>
      </c>
      <c r="CN131" s="11">
        <v>0</v>
      </c>
      <c r="CO131" s="11">
        <v>0</v>
      </c>
      <c r="CP131" s="11"/>
      <c r="CQ131" s="11">
        <v>0</v>
      </c>
      <c r="CR131" s="11">
        <v>0</v>
      </c>
      <c r="CS131" s="11">
        <v>0</v>
      </c>
      <c r="CT131" s="11">
        <v>0</v>
      </c>
      <c r="CU131" s="11">
        <f t="shared" si="82"/>
        <v>0</v>
      </c>
      <c r="CV131" s="11">
        <f t="shared" si="83"/>
        <v>0</v>
      </c>
      <c r="CW131" s="11">
        <v>0</v>
      </c>
      <c r="CX131" s="12">
        <v>0</v>
      </c>
    </row>
    <row r="132" spans="1:102" ht="15.75" x14ac:dyDescent="0.25">
      <c r="A132" s="7"/>
      <c r="B132" s="8" t="s">
        <v>265</v>
      </c>
      <c r="C132" s="8" t="s">
        <v>1</v>
      </c>
      <c r="D132" s="9" t="s">
        <v>266</v>
      </c>
      <c r="E132" s="10">
        <f>SUM(E133:E135)</f>
        <v>115660043</v>
      </c>
      <c r="F132" s="11">
        <f t="shared" ref="F132:BV132" si="259">SUM(F133:F135)</f>
        <v>112101010</v>
      </c>
      <c r="G132" s="11">
        <f t="shared" si="259"/>
        <v>93868188</v>
      </c>
      <c r="H132" s="11">
        <f t="shared" si="259"/>
        <v>65876189</v>
      </c>
      <c r="I132" s="11">
        <f t="shared" si="259"/>
        <v>15400289</v>
      </c>
      <c r="J132" s="11">
        <f t="shared" si="259"/>
        <v>5027006</v>
      </c>
      <c r="K132" s="11">
        <f t="shared" si="259"/>
        <v>96314</v>
      </c>
      <c r="L132" s="11">
        <f t="shared" si="259"/>
        <v>29376</v>
      </c>
      <c r="M132" s="11">
        <f t="shared" si="259"/>
        <v>4179536</v>
      </c>
      <c r="N132" s="11">
        <f t="shared" si="259"/>
        <v>0</v>
      </c>
      <c r="O132" s="11">
        <f t="shared" si="259"/>
        <v>461811</v>
      </c>
      <c r="P132" s="11">
        <f t="shared" si="259"/>
        <v>259969</v>
      </c>
      <c r="Q132" s="11">
        <f t="shared" si="259"/>
        <v>36634</v>
      </c>
      <c r="R132" s="11">
        <f t="shared" si="259"/>
        <v>36634</v>
      </c>
      <c r="S132" s="11">
        <f t="shared" si="259"/>
        <v>0</v>
      </c>
      <c r="T132" s="11">
        <f t="shared" si="259"/>
        <v>0</v>
      </c>
      <c r="U132" s="11">
        <f t="shared" si="259"/>
        <v>377183</v>
      </c>
      <c r="V132" s="11">
        <f t="shared" si="259"/>
        <v>5131072</v>
      </c>
      <c r="W132" s="11">
        <f t="shared" si="259"/>
        <v>64006</v>
      </c>
      <c r="X132" s="11">
        <f t="shared" si="259"/>
        <v>3759731</v>
      </c>
      <c r="Y132" s="11">
        <f t="shared" si="259"/>
        <v>822282</v>
      </c>
      <c r="Z132" s="11">
        <f t="shared" si="259"/>
        <v>396605</v>
      </c>
      <c r="AA132" s="11">
        <f t="shared" si="259"/>
        <v>87934</v>
      </c>
      <c r="AB132" s="11">
        <f t="shared" si="259"/>
        <v>0</v>
      </c>
      <c r="AC132" s="11">
        <f t="shared" si="259"/>
        <v>0</v>
      </c>
      <c r="AD132" s="11">
        <f t="shared" si="259"/>
        <v>514</v>
      </c>
      <c r="AE132" s="11">
        <f t="shared" si="259"/>
        <v>0</v>
      </c>
      <c r="AF132" s="11">
        <f t="shared" si="259"/>
        <v>2019815</v>
      </c>
      <c r="AG132" s="11">
        <f t="shared" si="259"/>
        <v>0</v>
      </c>
      <c r="AH132" s="11">
        <f t="shared" si="259"/>
        <v>0</v>
      </c>
      <c r="AI132" s="11">
        <f t="shared" si="259"/>
        <v>36452</v>
      </c>
      <c r="AJ132" s="11">
        <f t="shared" si="259"/>
        <v>158525</v>
      </c>
      <c r="AK132" s="11">
        <f t="shared" si="259"/>
        <v>22851</v>
      </c>
      <c r="AL132" s="11">
        <f t="shared" si="259"/>
        <v>44364</v>
      </c>
      <c r="AM132" s="11">
        <f t="shared" si="259"/>
        <v>0</v>
      </c>
      <c r="AN132" s="11">
        <f t="shared" si="259"/>
        <v>46296</v>
      </c>
      <c r="AO132" s="11">
        <f t="shared" si="259"/>
        <v>17497</v>
      </c>
      <c r="AP132" s="11">
        <f t="shared" si="259"/>
        <v>0</v>
      </c>
      <c r="AQ132" s="11">
        <f t="shared" si="259"/>
        <v>0</v>
      </c>
      <c r="AR132" s="11">
        <f>SUM(AR133:AR135)</f>
        <v>0</v>
      </c>
      <c r="AS132" s="11">
        <f t="shared" si="259"/>
        <v>0</v>
      </c>
      <c r="AT132" s="11">
        <f t="shared" si="259"/>
        <v>22281</v>
      </c>
      <c r="AU132" s="11">
        <f t="shared" si="259"/>
        <v>83800</v>
      </c>
      <c r="AV132" s="11"/>
      <c r="AW132" s="11"/>
      <c r="AX132" s="11">
        <f t="shared" si="259"/>
        <v>0</v>
      </c>
      <c r="AY132" s="11">
        <f t="shared" si="259"/>
        <v>0</v>
      </c>
      <c r="AZ132" s="11">
        <f t="shared" si="259"/>
        <v>0</v>
      </c>
      <c r="BA132" s="11">
        <f t="shared" si="259"/>
        <v>0</v>
      </c>
      <c r="BB132" s="11">
        <f t="shared" si="259"/>
        <v>1587749</v>
      </c>
      <c r="BC132" s="11">
        <f t="shared" si="259"/>
        <v>18232822</v>
      </c>
      <c r="BD132" s="11">
        <f t="shared" si="259"/>
        <v>0</v>
      </c>
      <c r="BE132" s="11">
        <f t="shared" si="259"/>
        <v>0</v>
      </c>
      <c r="BF132" s="11">
        <f t="shared" si="259"/>
        <v>0</v>
      </c>
      <c r="BG132" s="11">
        <f t="shared" si="259"/>
        <v>0</v>
      </c>
      <c r="BH132" s="11">
        <f t="shared" si="259"/>
        <v>0</v>
      </c>
      <c r="BI132" s="11">
        <f t="shared" si="259"/>
        <v>0</v>
      </c>
      <c r="BJ132" s="11">
        <f t="shared" si="259"/>
        <v>0</v>
      </c>
      <c r="BK132" s="11">
        <f t="shared" si="259"/>
        <v>0</v>
      </c>
      <c r="BL132" s="11">
        <f t="shared" si="259"/>
        <v>0</v>
      </c>
      <c r="BM132" s="11">
        <f t="shared" si="259"/>
        <v>0</v>
      </c>
      <c r="BN132" s="11">
        <f t="shared" si="259"/>
        <v>0</v>
      </c>
      <c r="BO132" s="11">
        <f t="shared" si="259"/>
        <v>0</v>
      </c>
      <c r="BP132" s="11">
        <f t="shared" si="259"/>
        <v>18232822</v>
      </c>
      <c r="BQ132" s="11">
        <f t="shared" si="259"/>
        <v>0</v>
      </c>
      <c r="BR132" s="11">
        <f t="shared" si="259"/>
        <v>0</v>
      </c>
      <c r="BS132" s="11">
        <f t="shared" si="259"/>
        <v>7374638</v>
      </c>
      <c r="BT132" s="11">
        <f t="shared" si="259"/>
        <v>0</v>
      </c>
      <c r="BU132" s="11">
        <f t="shared" si="259"/>
        <v>0</v>
      </c>
      <c r="BV132" s="11">
        <f t="shared" si="259"/>
        <v>0</v>
      </c>
      <c r="BW132" s="11">
        <f t="shared" ref="BW132:CX132" si="260">SUM(BW133:BW135)</f>
        <v>0</v>
      </c>
      <c r="BX132" s="11">
        <f t="shared" si="260"/>
        <v>0</v>
      </c>
      <c r="BY132" s="11">
        <f t="shared" si="260"/>
        <v>0</v>
      </c>
      <c r="BZ132" s="11">
        <f t="shared" si="260"/>
        <v>10788635</v>
      </c>
      <c r="CA132" s="11">
        <f t="shared" si="260"/>
        <v>69549</v>
      </c>
      <c r="CB132" s="11">
        <f t="shared" si="260"/>
        <v>3559033</v>
      </c>
      <c r="CC132" s="11">
        <f t="shared" si="260"/>
        <v>3559033</v>
      </c>
      <c r="CD132" s="11">
        <f t="shared" si="260"/>
        <v>3329662</v>
      </c>
      <c r="CE132" s="11">
        <f t="shared" si="260"/>
        <v>0</v>
      </c>
      <c r="CF132" s="11">
        <f t="shared" si="260"/>
        <v>3329662</v>
      </c>
      <c r="CG132" s="11">
        <f t="shared" si="260"/>
        <v>0</v>
      </c>
      <c r="CH132" s="11">
        <f t="shared" si="260"/>
        <v>0</v>
      </c>
      <c r="CI132" s="11">
        <f t="shared" si="260"/>
        <v>0</v>
      </c>
      <c r="CJ132" s="11">
        <f t="shared" si="260"/>
        <v>0</v>
      </c>
      <c r="CK132" s="11">
        <f t="shared" si="260"/>
        <v>0</v>
      </c>
      <c r="CL132" s="11">
        <f t="shared" si="260"/>
        <v>229371</v>
      </c>
      <c r="CM132" s="11">
        <f t="shared" si="260"/>
        <v>0</v>
      </c>
      <c r="CN132" s="11">
        <f t="shared" si="260"/>
        <v>229371</v>
      </c>
      <c r="CO132" s="11">
        <f t="shared" si="260"/>
        <v>0</v>
      </c>
      <c r="CP132" s="11"/>
      <c r="CQ132" s="11">
        <f t="shared" si="260"/>
        <v>0</v>
      </c>
      <c r="CR132" s="11">
        <f t="shared" si="260"/>
        <v>0</v>
      </c>
      <c r="CS132" s="11">
        <f t="shared" si="260"/>
        <v>0</v>
      </c>
      <c r="CT132" s="11">
        <f t="shared" si="260"/>
        <v>0</v>
      </c>
      <c r="CU132" s="11">
        <f t="shared" si="260"/>
        <v>0</v>
      </c>
      <c r="CV132" s="11">
        <f t="shared" si="260"/>
        <v>0</v>
      </c>
      <c r="CW132" s="11">
        <f t="shared" si="260"/>
        <v>0</v>
      </c>
      <c r="CX132" s="12">
        <f t="shared" si="260"/>
        <v>0</v>
      </c>
    </row>
    <row r="133" spans="1:102" ht="31.5" x14ac:dyDescent="0.25">
      <c r="A133" s="13"/>
      <c r="B133" s="14" t="s">
        <v>1</v>
      </c>
      <c r="C133" s="14" t="s">
        <v>101</v>
      </c>
      <c r="D133" s="15" t="s">
        <v>267</v>
      </c>
      <c r="E133" s="10">
        <f>SUM(F133+CB133+CU133)</f>
        <v>14705821</v>
      </c>
      <c r="F133" s="11">
        <f>SUM(G133+BC133)</f>
        <v>14704112</v>
      </c>
      <c r="G133" s="11">
        <f>SUM(H133+I133+J133+Q133+T133+U133+V133+AF133+AE133)</f>
        <v>12252347</v>
      </c>
      <c r="H133" s="16">
        <f>8757688+467077</f>
        <v>9224765</v>
      </c>
      <c r="I133" s="16">
        <f>2026528+116769</f>
        <v>2143297</v>
      </c>
      <c r="J133" s="11">
        <f t="shared" si="76"/>
        <v>294726</v>
      </c>
      <c r="K133" s="16"/>
      <c r="L133" s="16"/>
      <c r="M133" s="16">
        <v>256678</v>
      </c>
      <c r="N133" s="16"/>
      <c r="O133" s="16">
        <v>38048</v>
      </c>
      <c r="P133" s="16"/>
      <c r="Q133" s="11">
        <f t="shared" si="77"/>
        <v>0</v>
      </c>
      <c r="R133" s="16"/>
      <c r="S133" s="11">
        <v>0</v>
      </c>
      <c r="T133" s="11">
        <v>0</v>
      </c>
      <c r="U133" s="16">
        <v>51011</v>
      </c>
      <c r="V133" s="11">
        <f t="shared" ref="V133:V135" si="261">SUM(W133:AD133)</f>
        <v>518484</v>
      </c>
      <c r="W133" s="16">
        <v>8545</v>
      </c>
      <c r="X133" s="16">
        <v>361149</v>
      </c>
      <c r="Y133" s="16">
        <v>64798</v>
      </c>
      <c r="Z133" s="16">
        <v>83478</v>
      </c>
      <c r="AA133" s="16"/>
      <c r="AB133" s="16"/>
      <c r="AC133" s="16"/>
      <c r="AD133" s="16">
        <v>514</v>
      </c>
      <c r="AE133" s="11">
        <v>0</v>
      </c>
      <c r="AF133" s="11">
        <f>SUM(AG133:BB133)</f>
        <v>20064</v>
      </c>
      <c r="AG133" s="11">
        <v>0</v>
      </c>
      <c r="AH133" s="11">
        <v>0</v>
      </c>
      <c r="AI133" s="16"/>
      <c r="AJ133" s="16">
        <v>5792</v>
      </c>
      <c r="AK133" s="16"/>
      <c r="AL133" s="16"/>
      <c r="AM133" s="16"/>
      <c r="AN133" s="16"/>
      <c r="AO133" s="16">
        <v>14272</v>
      </c>
      <c r="AP133" s="16"/>
      <c r="AQ133" s="16"/>
      <c r="AR133" s="16"/>
      <c r="AS133" s="16"/>
      <c r="AT133" s="16"/>
      <c r="AU133" s="16"/>
      <c r="AV133" s="16"/>
      <c r="AW133" s="11"/>
      <c r="AX133" s="11">
        <v>0</v>
      </c>
      <c r="AY133" s="11">
        <v>0</v>
      </c>
      <c r="AZ133" s="11">
        <v>0</v>
      </c>
      <c r="BA133" s="11">
        <v>0</v>
      </c>
      <c r="BB133" s="16"/>
      <c r="BC133" s="11">
        <f>SUM(BD133+BH133+BL133+BN133+BP133)</f>
        <v>2451765</v>
      </c>
      <c r="BD133" s="11">
        <f>SUM(BE133:BG133)</f>
        <v>0</v>
      </c>
      <c r="BE133" s="11">
        <v>0</v>
      </c>
      <c r="BF133" s="11">
        <v>0</v>
      </c>
      <c r="BG133" s="11">
        <v>0</v>
      </c>
      <c r="BH133" s="11">
        <f t="shared" si="78"/>
        <v>0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f t="shared" si="79"/>
        <v>0</v>
      </c>
      <c r="BO133" s="11">
        <v>0</v>
      </c>
      <c r="BP133" s="11">
        <f t="shared" si="80"/>
        <v>2451765</v>
      </c>
      <c r="BQ133" s="11">
        <v>0</v>
      </c>
      <c r="BR133" s="11">
        <v>0</v>
      </c>
      <c r="BS133" s="16">
        <v>1042711</v>
      </c>
      <c r="BT133" s="11">
        <v>0</v>
      </c>
      <c r="BU133" s="11">
        <v>0</v>
      </c>
      <c r="BV133" s="11">
        <v>0</v>
      </c>
      <c r="BW133" s="11">
        <v>0</v>
      </c>
      <c r="BX133" s="11">
        <v>0</v>
      </c>
      <c r="BY133" s="11">
        <v>0</v>
      </c>
      <c r="BZ133" s="16">
        <v>1360318</v>
      </c>
      <c r="CA133" s="16">
        <v>48736</v>
      </c>
      <c r="CB133" s="11">
        <f>SUM(CC133+CT133)</f>
        <v>1709</v>
      </c>
      <c r="CC133" s="11">
        <f>SUM(CD133+CG133+CL133)</f>
        <v>1709</v>
      </c>
      <c r="CD133" s="11">
        <f t="shared" si="81"/>
        <v>1709</v>
      </c>
      <c r="CE133" s="11">
        <v>0</v>
      </c>
      <c r="CF133" s="16">
        <v>1709</v>
      </c>
      <c r="CG133" s="11">
        <f>SUM(CH133:CK133)</f>
        <v>0</v>
      </c>
      <c r="CH133" s="11">
        <v>0</v>
      </c>
      <c r="CI133" s="11">
        <v>0</v>
      </c>
      <c r="CJ133" s="11">
        <v>0</v>
      </c>
      <c r="CK133" s="11">
        <v>0</v>
      </c>
      <c r="CL133" s="11">
        <f>SUM(CM133:CQ133)</f>
        <v>0</v>
      </c>
      <c r="CM133" s="11">
        <v>0</v>
      </c>
      <c r="CN133" s="11">
        <v>0</v>
      </c>
      <c r="CO133" s="11">
        <v>0</v>
      </c>
      <c r="CP133" s="11"/>
      <c r="CQ133" s="11">
        <v>0</v>
      </c>
      <c r="CR133" s="11">
        <v>0</v>
      </c>
      <c r="CS133" s="11">
        <v>0</v>
      </c>
      <c r="CT133" s="11">
        <v>0</v>
      </c>
      <c r="CU133" s="11">
        <f t="shared" si="82"/>
        <v>0</v>
      </c>
      <c r="CV133" s="11">
        <f t="shared" si="83"/>
        <v>0</v>
      </c>
      <c r="CW133" s="11">
        <v>0</v>
      </c>
      <c r="CX133" s="12">
        <v>0</v>
      </c>
    </row>
    <row r="134" spans="1:102" ht="31.5" x14ac:dyDescent="0.25">
      <c r="A134" s="13"/>
      <c r="B134" s="14" t="s">
        <v>1</v>
      </c>
      <c r="C134" s="14" t="s">
        <v>103</v>
      </c>
      <c r="D134" s="15" t="s">
        <v>268</v>
      </c>
      <c r="E134" s="10">
        <f>SUM(F134+CB134+CU134)</f>
        <v>87485906</v>
      </c>
      <c r="F134" s="11">
        <f>SUM(G134+BC134)</f>
        <v>85428329</v>
      </c>
      <c r="G134" s="11">
        <f>SUM(H134+I134+J134+Q134+T134+U134+V134+AF134+AE134)</f>
        <v>69727976</v>
      </c>
      <c r="H134" s="16">
        <f>49295668+2629102</f>
        <v>51924770</v>
      </c>
      <c r="I134" s="16">
        <f>11494464+657276</f>
        <v>12151740</v>
      </c>
      <c r="J134" s="11">
        <f t="shared" si="76"/>
        <v>850462</v>
      </c>
      <c r="K134" s="16"/>
      <c r="L134" s="16">
        <v>26456</v>
      </c>
      <c r="M134" s="16">
        <v>404787</v>
      </c>
      <c r="N134" s="16"/>
      <c r="O134" s="16">
        <v>341508</v>
      </c>
      <c r="P134" s="16">
        <f>10843+66868</f>
        <v>77711</v>
      </c>
      <c r="Q134" s="11">
        <f t="shared" si="77"/>
        <v>182</v>
      </c>
      <c r="R134" s="16">
        <v>182</v>
      </c>
      <c r="S134" s="11">
        <v>0</v>
      </c>
      <c r="T134" s="11">
        <v>0</v>
      </c>
      <c r="U134" s="16">
        <v>302819</v>
      </c>
      <c r="V134" s="11">
        <f t="shared" si="261"/>
        <v>4322158</v>
      </c>
      <c r="W134" s="16">
        <v>19009</v>
      </c>
      <c r="X134" s="16">
        <v>3230872</v>
      </c>
      <c r="Y134" s="16">
        <v>712279</v>
      </c>
      <c r="Z134" s="16">
        <v>290844</v>
      </c>
      <c r="AA134" s="16">
        <v>69154</v>
      </c>
      <c r="AB134" s="16"/>
      <c r="AC134" s="16"/>
      <c r="AD134" s="16"/>
      <c r="AE134" s="11">
        <v>0</v>
      </c>
      <c r="AF134" s="11">
        <f>SUM(AG134:BB134)</f>
        <v>175845</v>
      </c>
      <c r="AG134" s="11">
        <v>0</v>
      </c>
      <c r="AH134" s="11"/>
      <c r="AI134" s="16"/>
      <c r="AJ134" s="16">
        <f>59426+55833</f>
        <v>115259</v>
      </c>
      <c r="AK134" s="16">
        <f>0+16426</f>
        <v>16426</v>
      </c>
      <c r="AL134" s="16">
        <f>10200+27024</f>
        <v>37224</v>
      </c>
      <c r="AM134" s="16"/>
      <c r="AN134" s="16">
        <f>0+1423</f>
        <v>1423</v>
      </c>
      <c r="AO134" s="16"/>
      <c r="AP134" s="16"/>
      <c r="AQ134" s="16"/>
      <c r="AR134" s="16"/>
      <c r="AS134" s="16"/>
      <c r="AT134" s="16"/>
      <c r="AU134" s="16"/>
      <c r="AV134" s="16"/>
      <c r="AW134" s="11"/>
      <c r="AX134" s="11">
        <v>0</v>
      </c>
      <c r="AY134" s="11">
        <v>0</v>
      </c>
      <c r="AZ134" s="11">
        <v>0</v>
      </c>
      <c r="BA134" s="11"/>
      <c r="BB134" s="16">
        <v>5513</v>
      </c>
      <c r="BC134" s="11">
        <f>SUM(BD134+BH134+BL134+BN134+BP134)</f>
        <v>15700353</v>
      </c>
      <c r="BD134" s="11">
        <f>SUM(BE134:BG134)</f>
        <v>0</v>
      </c>
      <c r="BE134" s="11">
        <v>0</v>
      </c>
      <c r="BF134" s="11">
        <v>0</v>
      </c>
      <c r="BG134" s="11">
        <v>0</v>
      </c>
      <c r="BH134" s="11">
        <f t="shared" si="78"/>
        <v>0</v>
      </c>
      <c r="BI134" s="11">
        <v>0</v>
      </c>
      <c r="BJ134" s="11">
        <v>0</v>
      </c>
      <c r="BK134" s="11">
        <v>0</v>
      </c>
      <c r="BL134" s="11">
        <v>0</v>
      </c>
      <c r="BM134" s="11">
        <v>0</v>
      </c>
      <c r="BN134" s="11">
        <f t="shared" si="79"/>
        <v>0</v>
      </c>
      <c r="BO134" s="11">
        <v>0</v>
      </c>
      <c r="BP134" s="11">
        <f t="shared" si="80"/>
        <v>15700353</v>
      </c>
      <c r="BQ134" s="11">
        <v>0</v>
      </c>
      <c r="BR134" s="11">
        <v>0</v>
      </c>
      <c r="BS134" s="16">
        <v>6269886</v>
      </c>
      <c r="BT134" s="11">
        <v>0</v>
      </c>
      <c r="BU134" s="11">
        <v>0</v>
      </c>
      <c r="BV134" s="11">
        <v>0</v>
      </c>
      <c r="BW134" s="11">
        <v>0</v>
      </c>
      <c r="BX134" s="11">
        <v>0</v>
      </c>
      <c r="BY134" s="11">
        <v>0</v>
      </c>
      <c r="BZ134" s="16">
        <v>9409654</v>
      </c>
      <c r="CA134" s="16">
        <v>20813</v>
      </c>
      <c r="CB134" s="11">
        <f>SUM(CC134+CT134)</f>
        <v>2057577</v>
      </c>
      <c r="CC134" s="11">
        <f>SUM(CD134+CG134+CL134)</f>
        <v>2057577</v>
      </c>
      <c r="CD134" s="11">
        <f t="shared" si="81"/>
        <v>1828206</v>
      </c>
      <c r="CE134" s="11">
        <v>0</v>
      </c>
      <c r="CF134" s="16">
        <f>7033+1821173</f>
        <v>1828206</v>
      </c>
      <c r="CG134" s="11">
        <f>SUM(CH134:CK134)</f>
        <v>0</v>
      </c>
      <c r="CH134" s="11">
        <v>0</v>
      </c>
      <c r="CI134" s="11">
        <v>0</v>
      </c>
      <c r="CJ134" s="11">
        <v>0</v>
      </c>
      <c r="CK134" s="11">
        <v>0</v>
      </c>
      <c r="CL134" s="11">
        <f>SUM(CM134:CQ134)</f>
        <v>229371</v>
      </c>
      <c r="CM134" s="11">
        <v>0</v>
      </c>
      <c r="CN134" s="11">
        <v>229371</v>
      </c>
      <c r="CO134" s="11">
        <v>0</v>
      </c>
      <c r="CP134" s="11"/>
      <c r="CQ134" s="11">
        <v>0</v>
      </c>
      <c r="CR134" s="11"/>
      <c r="CS134" s="11"/>
      <c r="CT134" s="11">
        <v>0</v>
      </c>
      <c r="CU134" s="11">
        <f t="shared" si="82"/>
        <v>0</v>
      </c>
      <c r="CV134" s="11">
        <f t="shared" si="83"/>
        <v>0</v>
      </c>
      <c r="CW134" s="11">
        <v>0</v>
      </c>
      <c r="CX134" s="12">
        <v>0</v>
      </c>
    </row>
    <row r="135" spans="1:102" ht="31.5" x14ac:dyDescent="0.25">
      <c r="A135" s="13"/>
      <c r="B135" s="14" t="s">
        <v>1</v>
      </c>
      <c r="C135" s="14" t="s">
        <v>111</v>
      </c>
      <c r="D135" s="15" t="s">
        <v>469</v>
      </c>
      <c r="E135" s="10">
        <f>SUM(F135+CB135+CU135)</f>
        <v>13468316</v>
      </c>
      <c r="F135" s="11">
        <f>SUM(G135+BC135)</f>
        <v>11968569</v>
      </c>
      <c r="G135" s="11">
        <f>SUM(H135+I135+J135+Q135+T135+U135+V135+AF135+AE135)</f>
        <v>11887865</v>
      </c>
      <c r="H135" s="16">
        <f>4487330+239324</f>
        <v>4726654</v>
      </c>
      <c r="I135" s="16">
        <f>1045421+59831</f>
        <v>1105252</v>
      </c>
      <c r="J135" s="11">
        <f t="shared" si="76"/>
        <v>3881818</v>
      </c>
      <c r="K135" s="16">
        <v>96314</v>
      </c>
      <c r="L135" s="16">
        <v>2920</v>
      </c>
      <c r="M135" s="16">
        <v>3518071</v>
      </c>
      <c r="N135" s="16"/>
      <c r="O135" s="16">
        <v>82255</v>
      </c>
      <c r="P135" s="16">
        <v>182258</v>
      </c>
      <c r="Q135" s="11">
        <f t="shared" si="77"/>
        <v>36452</v>
      </c>
      <c r="R135" s="16">
        <v>36452</v>
      </c>
      <c r="S135" s="11">
        <v>0</v>
      </c>
      <c r="T135" s="11">
        <v>0</v>
      </c>
      <c r="U135" s="16">
        <v>23353</v>
      </c>
      <c r="V135" s="11">
        <f t="shared" si="261"/>
        <v>290430</v>
      </c>
      <c r="W135" s="16">
        <v>36452</v>
      </c>
      <c r="X135" s="16">
        <v>167710</v>
      </c>
      <c r="Y135" s="16">
        <v>45205</v>
      </c>
      <c r="Z135" s="16">
        <v>22283</v>
      </c>
      <c r="AA135" s="16">
        <v>18780</v>
      </c>
      <c r="AB135" s="16"/>
      <c r="AC135" s="16"/>
      <c r="AD135" s="16"/>
      <c r="AE135" s="11">
        <v>0</v>
      </c>
      <c r="AF135" s="11">
        <f>SUM(AG135:BB135)</f>
        <v>1823906</v>
      </c>
      <c r="AG135" s="11">
        <v>0</v>
      </c>
      <c r="AH135" s="11"/>
      <c r="AI135" s="16">
        <v>36452</v>
      </c>
      <c r="AJ135" s="16">
        <v>37474</v>
      </c>
      <c r="AK135" s="16">
        <v>6425</v>
      </c>
      <c r="AL135" s="16">
        <v>7140</v>
      </c>
      <c r="AM135" s="16"/>
      <c r="AN135" s="16">
        <v>44873</v>
      </c>
      <c r="AO135" s="16">
        <v>3225</v>
      </c>
      <c r="AP135" s="16"/>
      <c r="AQ135" s="16"/>
      <c r="AR135" s="16"/>
      <c r="AS135" s="16"/>
      <c r="AT135" s="16">
        <v>22281</v>
      </c>
      <c r="AU135" s="16">
        <v>83800</v>
      </c>
      <c r="AV135" s="16"/>
      <c r="AW135" s="11"/>
      <c r="AX135" s="11">
        <v>0</v>
      </c>
      <c r="AY135" s="11">
        <v>0</v>
      </c>
      <c r="AZ135" s="11">
        <v>0</v>
      </c>
      <c r="BA135" s="11">
        <v>0</v>
      </c>
      <c r="BB135" s="16">
        <v>1582236</v>
      </c>
      <c r="BC135" s="11">
        <f>SUM(BD135+BH135+BL135+BN135+BP135)</f>
        <v>80704</v>
      </c>
      <c r="BD135" s="11">
        <f>SUM(BE135:BG135)</f>
        <v>0</v>
      </c>
      <c r="BE135" s="11">
        <v>0</v>
      </c>
      <c r="BF135" s="11">
        <v>0</v>
      </c>
      <c r="BG135" s="11">
        <v>0</v>
      </c>
      <c r="BH135" s="11">
        <f t="shared" si="78"/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f t="shared" si="79"/>
        <v>0</v>
      </c>
      <c r="BO135" s="11">
        <v>0</v>
      </c>
      <c r="BP135" s="11">
        <f t="shared" si="80"/>
        <v>80704</v>
      </c>
      <c r="BQ135" s="11">
        <v>0</v>
      </c>
      <c r="BR135" s="11">
        <v>0</v>
      </c>
      <c r="BS135" s="16">
        <v>62041</v>
      </c>
      <c r="BT135" s="11">
        <v>0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6">
        <v>18663</v>
      </c>
      <c r="CA135" s="11">
        <v>0</v>
      </c>
      <c r="CB135" s="11">
        <f>SUM(CC135+CT135)</f>
        <v>1499747</v>
      </c>
      <c r="CC135" s="11">
        <f>SUM(CD135+CG135+CL135)</f>
        <v>1499747</v>
      </c>
      <c r="CD135" s="11">
        <f t="shared" si="81"/>
        <v>1499747</v>
      </c>
      <c r="CE135" s="11">
        <v>0</v>
      </c>
      <c r="CF135" s="16">
        <v>1499747</v>
      </c>
      <c r="CG135" s="11">
        <f>SUM(CH135:CK135)</f>
        <v>0</v>
      </c>
      <c r="CH135" s="11">
        <v>0</v>
      </c>
      <c r="CI135" s="11">
        <v>0</v>
      </c>
      <c r="CJ135" s="11">
        <v>0</v>
      </c>
      <c r="CK135" s="11">
        <v>0</v>
      </c>
      <c r="CL135" s="11">
        <f>SUM(CM135:CQ135)</f>
        <v>0</v>
      </c>
      <c r="CM135" s="11">
        <v>0</v>
      </c>
      <c r="CN135" s="11">
        <v>0</v>
      </c>
      <c r="CO135" s="11">
        <v>0</v>
      </c>
      <c r="CP135" s="11"/>
      <c r="CQ135" s="11">
        <v>0</v>
      </c>
      <c r="CR135" s="11">
        <v>0</v>
      </c>
      <c r="CS135" s="11">
        <v>0</v>
      </c>
      <c r="CT135" s="11">
        <v>0</v>
      </c>
      <c r="CU135" s="11">
        <f t="shared" si="82"/>
        <v>0</v>
      </c>
      <c r="CV135" s="11">
        <f t="shared" si="83"/>
        <v>0</v>
      </c>
      <c r="CW135" s="11">
        <v>0</v>
      </c>
      <c r="CX135" s="12">
        <v>0</v>
      </c>
    </row>
    <row r="136" spans="1:102" ht="15.75" x14ac:dyDescent="0.25">
      <c r="A136" s="7"/>
      <c r="B136" s="8" t="s">
        <v>269</v>
      </c>
      <c r="C136" s="8" t="s">
        <v>1</v>
      </c>
      <c r="D136" s="9" t="s">
        <v>270</v>
      </c>
      <c r="E136" s="10">
        <f t="shared" ref="E136:BS136" si="262">SUM(E137:E139)</f>
        <v>123194386</v>
      </c>
      <c r="F136" s="11">
        <f t="shared" si="262"/>
        <v>122944622</v>
      </c>
      <c r="G136" s="11">
        <f t="shared" si="262"/>
        <v>109200902</v>
      </c>
      <c r="H136" s="11">
        <f t="shared" si="262"/>
        <v>84915886</v>
      </c>
      <c r="I136" s="11">
        <f t="shared" si="262"/>
        <v>19984708</v>
      </c>
      <c r="J136" s="11">
        <f t="shared" si="262"/>
        <v>419126</v>
      </c>
      <c r="K136" s="11">
        <f t="shared" si="262"/>
        <v>0</v>
      </c>
      <c r="L136" s="11">
        <f t="shared" si="262"/>
        <v>2860</v>
      </c>
      <c r="M136" s="11">
        <f t="shared" si="262"/>
        <v>389760</v>
      </c>
      <c r="N136" s="11">
        <f t="shared" si="262"/>
        <v>0</v>
      </c>
      <c r="O136" s="11">
        <f t="shared" si="262"/>
        <v>17123</v>
      </c>
      <c r="P136" s="11">
        <f t="shared" si="262"/>
        <v>9383</v>
      </c>
      <c r="Q136" s="11">
        <f t="shared" si="262"/>
        <v>0</v>
      </c>
      <c r="R136" s="11">
        <f t="shared" si="262"/>
        <v>0</v>
      </c>
      <c r="S136" s="11">
        <f t="shared" si="262"/>
        <v>0</v>
      </c>
      <c r="T136" s="11">
        <f t="shared" si="262"/>
        <v>0</v>
      </c>
      <c r="U136" s="11">
        <f t="shared" si="262"/>
        <v>360236</v>
      </c>
      <c r="V136" s="11">
        <f t="shared" si="262"/>
        <v>2804036</v>
      </c>
      <c r="W136" s="11">
        <f t="shared" si="262"/>
        <v>0</v>
      </c>
      <c r="X136" s="11">
        <f t="shared" si="262"/>
        <v>1793052</v>
      </c>
      <c r="Y136" s="11">
        <f t="shared" si="262"/>
        <v>542079</v>
      </c>
      <c r="Z136" s="11">
        <f t="shared" si="262"/>
        <v>267717</v>
      </c>
      <c r="AA136" s="11">
        <f t="shared" si="262"/>
        <v>182613</v>
      </c>
      <c r="AB136" s="11">
        <f t="shared" si="262"/>
        <v>18288</v>
      </c>
      <c r="AC136" s="11">
        <f t="shared" si="262"/>
        <v>0</v>
      </c>
      <c r="AD136" s="11">
        <f t="shared" si="262"/>
        <v>287</v>
      </c>
      <c r="AE136" s="11">
        <f t="shared" si="262"/>
        <v>0</v>
      </c>
      <c r="AF136" s="11">
        <f t="shared" si="262"/>
        <v>716910</v>
      </c>
      <c r="AG136" s="11">
        <f t="shared" si="262"/>
        <v>0</v>
      </c>
      <c r="AH136" s="11">
        <f t="shared" si="262"/>
        <v>0</v>
      </c>
      <c r="AI136" s="11">
        <f t="shared" si="262"/>
        <v>0</v>
      </c>
      <c r="AJ136" s="11">
        <f t="shared" si="262"/>
        <v>27795</v>
      </c>
      <c r="AK136" s="11">
        <f t="shared" si="262"/>
        <v>101428</v>
      </c>
      <c r="AL136" s="11">
        <f t="shared" si="262"/>
        <v>0</v>
      </c>
      <c r="AM136" s="11">
        <f t="shared" si="262"/>
        <v>0</v>
      </c>
      <c r="AN136" s="11">
        <f t="shared" si="262"/>
        <v>0</v>
      </c>
      <c r="AO136" s="11">
        <f t="shared" si="262"/>
        <v>107798</v>
      </c>
      <c r="AP136" s="11">
        <f t="shared" si="262"/>
        <v>0</v>
      </c>
      <c r="AQ136" s="11">
        <f t="shared" si="262"/>
        <v>0</v>
      </c>
      <c r="AR136" s="11">
        <f>SUM(AR137:AR139)</f>
        <v>0</v>
      </c>
      <c r="AS136" s="11">
        <f t="shared" si="262"/>
        <v>0</v>
      </c>
      <c r="AT136" s="11">
        <f t="shared" si="262"/>
        <v>0</v>
      </c>
      <c r="AU136" s="11">
        <f t="shared" si="262"/>
        <v>29889</v>
      </c>
      <c r="AV136" s="11"/>
      <c r="AW136" s="11"/>
      <c r="AX136" s="11">
        <f t="shared" si="262"/>
        <v>0</v>
      </c>
      <c r="AY136" s="11">
        <f t="shared" si="262"/>
        <v>0</v>
      </c>
      <c r="AZ136" s="11">
        <f t="shared" si="262"/>
        <v>0</v>
      </c>
      <c r="BA136" s="11">
        <f t="shared" si="262"/>
        <v>0</v>
      </c>
      <c r="BB136" s="11">
        <f t="shared" si="262"/>
        <v>450000</v>
      </c>
      <c r="BC136" s="11">
        <f t="shared" si="262"/>
        <v>13743720</v>
      </c>
      <c r="BD136" s="11">
        <f t="shared" si="262"/>
        <v>0</v>
      </c>
      <c r="BE136" s="11">
        <f t="shared" si="262"/>
        <v>0</v>
      </c>
      <c r="BF136" s="11">
        <f t="shared" si="262"/>
        <v>0</v>
      </c>
      <c r="BG136" s="11">
        <f t="shared" si="262"/>
        <v>0</v>
      </c>
      <c r="BH136" s="11">
        <f t="shared" si="262"/>
        <v>0</v>
      </c>
      <c r="BI136" s="11">
        <f t="shared" si="262"/>
        <v>0</v>
      </c>
      <c r="BJ136" s="11">
        <f t="shared" si="262"/>
        <v>0</v>
      </c>
      <c r="BK136" s="11">
        <f t="shared" si="262"/>
        <v>0</v>
      </c>
      <c r="BL136" s="11">
        <f t="shared" si="262"/>
        <v>0</v>
      </c>
      <c r="BM136" s="11">
        <f t="shared" si="262"/>
        <v>0</v>
      </c>
      <c r="BN136" s="11">
        <f t="shared" si="262"/>
        <v>0</v>
      </c>
      <c r="BO136" s="11">
        <f t="shared" si="262"/>
        <v>0</v>
      </c>
      <c r="BP136" s="11">
        <f t="shared" si="262"/>
        <v>13743720</v>
      </c>
      <c r="BQ136" s="11">
        <f t="shared" si="262"/>
        <v>0</v>
      </c>
      <c r="BR136" s="11">
        <f t="shared" si="262"/>
        <v>0</v>
      </c>
      <c r="BS136" s="11">
        <f t="shared" si="262"/>
        <v>8719757</v>
      </c>
      <c r="BT136" s="11">
        <f t="shared" ref="BT136:CX136" si="263">SUM(BT137:BT139)</f>
        <v>0</v>
      </c>
      <c r="BU136" s="11">
        <f t="shared" si="263"/>
        <v>0</v>
      </c>
      <c r="BV136" s="11">
        <f t="shared" si="263"/>
        <v>0</v>
      </c>
      <c r="BW136" s="11">
        <f t="shared" si="263"/>
        <v>0</v>
      </c>
      <c r="BX136" s="11">
        <f t="shared" si="263"/>
        <v>0</v>
      </c>
      <c r="BY136" s="11">
        <f t="shared" si="263"/>
        <v>0</v>
      </c>
      <c r="BZ136" s="11">
        <f t="shared" si="263"/>
        <v>4483195</v>
      </c>
      <c r="CA136" s="11">
        <f t="shared" si="263"/>
        <v>540768</v>
      </c>
      <c r="CB136" s="11">
        <f t="shared" si="263"/>
        <v>249764</v>
      </c>
      <c r="CC136" s="11">
        <f t="shared" si="263"/>
        <v>249764</v>
      </c>
      <c r="CD136" s="11">
        <f t="shared" si="263"/>
        <v>234949</v>
      </c>
      <c r="CE136" s="11">
        <f t="shared" si="263"/>
        <v>0</v>
      </c>
      <c r="CF136" s="11">
        <f t="shared" si="263"/>
        <v>234949</v>
      </c>
      <c r="CG136" s="11">
        <f t="shared" si="263"/>
        <v>0</v>
      </c>
      <c r="CH136" s="11">
        <f t="shared" si="263"/>
        <v>0</v>
      </c>
      <c r="CI136" s="11">
        <f t="shared" si="263"/>
        <v>0</v>
      </c>
      <c r="CJ136" s="11">
        <f t="shared" si="263"/>
        <v>0</v>
      </c>
      <c r="CK136" s="11">
        <f t="shared" si="263"/>
        <v>0</v>
      </c>
      <c r="CL136" s="11">
        <f t="shared" si="263"/>
        <v>14815</v>
      </c>
      <c r="CM136" s="11">
        <f t="shared" si="263"/>
        <v>0</v>
      </c>
      <c r="CN136" s="11">
        <f t="shared" si="263"/>
        <v>14815</v>
      </c>
      <c r="CO136" s="11">
        <f t="shared" si="263"/>
        <v>0</v>
      </c>
      <c r="CP136" s="11"/>
      <c r="CQ136" s="11">
        <f t="shared" si="263"/>
        <v>0</v>
      </c>
      <c r="CR136" s="11">
        <f t="shared" si="263"/>
        <v>0</v>
      </c>
      <c r="CS136" s="11">
        <f t="shared" si="263"/>
        <v>0</v>
      </c>
      <c r="CT136" s="11">
        <f t="shared" si="263"/>
        <v>0</v>
      </c>
      <c r="CU136" s="11">
        <f t="shared" si="263"/>
        <v>0</v>
      </c>
      <c r="CV136" s="11">
        <f t="shared" si="263"/>
        <v>0</v>
      </c>
      <c r="CW136" s="11">
        <f t="shared" si="263"/>
        <v>0</v>
      </c>
      <c r="CX136" s="12">
        <f t="shared" si="263"/>
        <v>0</v>
      </c>
    </row>
    <row r="137" spans="1:102" ht="15.75" x14ac:dyDescent="0.25">
      <c r="A137" s="13" t="s">
        <v>1</v>
      </c>
      <c r="B137" s="14" t="s">
        <v>1</v>
      </c>
      <c r="C137" s="14" t="s">
        <v>103</v>
      </c>
      <c r="D137" s="15" t="s">
        <v>271</v>
      </c>
      <c r="E137" s="10">
        <f>SUM(F137+CB137+CU137)</f>
        <v>474912</v>
      </c>
      <c r="F137" s="11">
        <f>SUM(G137+BC137)</f>
        <v>474912</v>
      </c>
      <c r="G137" s="11">
        <f>SUM(H137+I137+J137+Q137+T137+U137+V137+AF137+AE137)</f>
        <v>0</v>
      </c>
      <c r="H137" s="11">
        <v>0</v>
      </c>
      <c r="I137" s="11">
        <v>0</v>
      </c>
      <c r="J137" s="11">
        <f t="shared" si="76"/>
        <v>0</v>
      </c>
      <c r="K137" s="16"/>
      <c r="L137" s="16"/>
      <c r="M137" s="16"/>
      <c r="N137" s="16"/>
      <c r="O137" s="16"/>
      <c r="P137" s="16"/>
      <c r="Q137" s="11">
        <f t="shared" si="77"/>
        <v>0</v>
      </c>
      <c r="R137" s="11">
        <v>0</v>
      </c>
      <c r="S137" s="11">
        <v>0</v>
      </c>
      <c r="T137" s="11">
        <v>0</v>
      </c>
      <c r="U137" s="16"/>
      <c r="V137" s="11">
        <f t="shared" ref="V137:V139" si="264">SUM(W137:AD137)</f>
        <v>0</v>
      </c>
      <c r="W137" s="16"/>
      <c r="X137" s="16"/>
      <c r="Y137" s="16"/>
      <c r="Z137" s="16"/>
      <c r="AA137" s="16"/>
      <c r="AB137" s="16"/>
      <c r="AC137" s="16"/>
      <c r="AD137" s="16"/>
      <c r="AE137" s="11">
        <v>0</v>
      </c>
      <c r="AF137" s="11">
        <f>SUM(AG137:BB137)</f>
        <v>0</v>
      </c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1">
        <v>0</v>
      </c>
      <c r="AV137" s="11"/>
      <c r="AW137" s="11"/>
      <c r="AX137" s="11">
        <v>0</v>
      </c>
      <c r="AY137" s="11">
        <v>0</v>
      </c>
      <c r="AZ137" s="11">
        <v>0</v>
      </c>
      <c r="BA137" s="11">
        <v>0</v>
      </c>
      <c r="BB137" s="16"/>
      <c r="BC137" s="11">
        <f>SUM(BD137+BH137+BL137+BN137+BP137)</f>
        <v>474912</v>
      </c>
      <c r="BD137" s="11">
        <f>SUM(BE137:BG137)</f>
        <v>0</v>
      </c>
      <c r="BE137" s="11">
        <v>0</v>
      </c>
      <c r="BF137" s="11">
        <v>0</v>
      </c>
      <c r="BG137" s="11">
        <v>0</v>
      </c>
      <c r="BH137" s="11">
        <f t="shared" si="78"/>
        <v>0</v>
      </c>
      <c r="BI137" s="11">
        <v>0</v>
      </c>
      <c r="BJ137" s="11">
        <v>0</v>
      </c>
      <c r="BK137" s="11">
        <v>0</v>
      </c>
      <c r="BL137" s="11">
        <v>0</v>
      </c>
      <c r="BM137" s="11">
        <v>0</v>
      </c>
      <c r="BN137" s="11">
        <f t="shared" si="79"/>
        <v>0</v>
      </c>
      <c r="BO137" s="11">
        <v>0</v>
      </c>
      <c r="BP137" s="11">
        <f t="shared" si="80"/>
        <v>474912</v>
      </c>
      <c r="BQ137" s="11">
        <v>0</v>
      </c>
      <c r="BR137" s="11">
        <v>0</v>
      </c>
      <c r="BS137" s="16">
        <v>474912</v>
      </c>
      <c r="BT137" s="11">
        <v>0</v>
      </c>
      <c r="BU137" s="11">
        <v>0</v>
      </c>
      <c r="BV137" s="11">
        <v>0</v>
      </c>
      <c r="BW137" s="11">
        <v>0</v>
      </c>
      <c r="BX137" s="11">
        <v>0</v>
      </c>
      <c r="BY137" s="11">
        <v>0</v>
      </c>
      <c r="BZ137" s="16"/>
      <c r="CA137" s="16"/>
      <c r="CB137" s="11">
        <f>SUM(CC137+CT137)</f>
        <v>0</v>
      </c>
      <c r="CC137" s="11">
        <f>SUM(CD137+CG137+CL137)</f>
        <v>0</v>
      </c>
      <c r="CD137" s="11">
        <f t="shared" si="81"/>
        <v>0</v>
      </c>
      <c r="CE137" s="11">
        <v>0</v>
      </c>
      <c r="CF137" s="16"/>
      <c r="CG137" s="11">
        <f>SUM(CH137:CK137)</f>
        <v>0</v>
      </c>
      <c r="CH137" s="11">
        <v>0</v>
      </c>
      <c r="CI137" s="11">
        <v>0</v>
      </c>
      <c r="CJ137" s="11">
        <v>0</v>
      </c>
      <c r="CK137" s="11">
        <v>0</v>
      </c>
      <c r="CL137" s="11">
        <f>SUM(CM137:CQ137)</f>
        <v>0</v>
      </c>
      <c r="CM137" s="11">
        <v>0</v>
      </c>
      <c r="CN137" s="11">
        <v>0</v>
      </c>
      <c r="CO137" s="11">
        <v>0</v>
      </c>
      <c r="CP137" s="11"/>
      <c r="CQ137" s="11">
        <v>0</v>
      </c>
      <c r="CR137" s="11">
        <v>0</v>
      </c>
      <c r="CS137" s="11">
        <v>0</v>
      </c>
      <c r="CT137" s="11">
        <v>0</v>
      </c>
      <c r="CU137" s="11">
        <f t="shared" si="82"/>
        <v>0</v>
      </c>
      <c r="CV137" s="11">
        <f t="shared" si="83"/>
        <v>0</v>
      </c>
      <c r="CW137" s="11">
        <v>0</v>
      </c>
      <c r="CX137" s="12">
        <v>0</v>
      </c>
    </row>
    <row r="138" spans="1:102" ht="15.75" x14ac:dyDescent="0.25">
      <c r="A138" s="13" t="s">
        <v>1</v>
      </c>
      <c r="B138" s="14" t="s">
        <v>1</v>
      </c>
      <c r="C138" s="14" t="s">
        <v>224</v>
      </c>
      <c r="D138" s="15" t="s">
        <v>272</v>
      </c>
      <c r="E138" s="10">
        <f>SUM(F138+CB138+CU138)</f>
        <v>108612185</v>
      </c>
      <c r="F138" s="11">
        <f>SUM(G138+BC138)</f>
        <v>108546023</v>
      </c>
      <c r="G138" s="11">
        <f>SUM(H138+I138+J138+Q138+T138+U138+V138+AF138+AE138)</f>
        <v>96108721</v>
      </c>
      <c r="H138" s="11">
        <f>70885910+3780582</f>
        <v>74666492</v>
      </c>
      <c r="I138" s="11">
        <f>16576826+945145</f>
        <v>17521971</v>
      </c>
      <c r="J138" s="11">
        <f t="shared" si="76"/>
        <v>409403</v>
      </c>
      <c r="K138" s="16"/>
      <c r="L138" s="16"/>
      <c r="M138" s="16">
        <v>389760</v>
      </c>
      <c r="N138" s="16"/>
      <c r="O138" s="16">
        <v>10260</v>
      </c>
      <c r="P138" s="16">
        <v>9383</v>
      </c>
      <c r="Q138" s="11">
        <f t="shared" si="77"/>
        <v>0</v>
      </c>
      <c r="R138" s="11"/>
      <c r="S138" s="11">
        <v>0</v>
      </c>
      <c r="T138" s="11">
        <v>0</v>
      </c>
      <c r="U138" s="16">
        <v>310900</v>
      </c>
      <c r="V138" s="11">
        <f t="shared" si="264"/>
        <v>2557208</v>
      </c>
      <c r="W138" s="16"/>
      <c r="X138" s="16">
        <v>1608352</v>
      </c>
      <c r="Y138" s="16">
        <v>504660</v>
      </c>
      <c r="Z138" s="16">
        <v>253484</v>
      </c>
      <c r="AA138" s="16">
        <v>172137</v>
      </c>
      <c r="AB138" s="16">
        <v>18288</v>
      </c>
      <c r="AC138" s="16"/>
      <c r="AD138" s="16">
        <v>287</v>
      </c>
      <c r="AE138" s="11"/>
      <c r="AF138" s="11">
        <f>SUM(AG138:BB138)</f>
        <v>642747</v>
      </c>
      <c r="AG138" s="16"/>
      <c r="AH138" s="16"/>
      <c r="AI138" s="16"/>
      <c r="AJ138" s="16"/>
      <c r="AK138" s="16">
        <v>101428</v>
      </c>
      <c r="AL138" s="16"/>
      <c r="AM138" s="16"/>
      <c r="AN138" s="16"/>
      <c r="AO138" s="16">
        <v>91319</v>
      </c>
      <c r="AP138" s="16"/>
      <c r="AQ138" s="16"/>
      <c r="AR138" s="16"/>
      <c r="AS138" s="16"/>
      <c r="AT138" s="16"/>
      <c r="AU138" s="11">
        <v>0</v>
      </c>
      <c r="AV138" s="11"/>
      <c r="AW138" s="11"/>
      <c r="AX138" s="11">
        <v>0</v>
      </c>
      <c r="AY138" s="11">
        <v>0</v>
      </c>
      <c r="AZ138" s="11">
        <v>0</v>
      </c>
      <c r="BA138" s="11"/>
      <c r="BB138" s="16">
        <v>450000</v>
      </c>
      <c r="BC138" s="11">
        <f>SUM(BD138+BH138+BL138+BN138+BP138)</f>
        <v>12437302</v>
      </c>
      <c r="BD138" s="11">
        <f>SUM(BE138:BG138)</f>
        <v>0</v>
      </c>
      <c r="BE138" s="11">
        <v>0</v>
      </c>
      <c r="BF138" s="11">
        <v>0</v>
      </c>
      <c r="BG138" s="11">
        <v>0</v>
      </c>
      <c r="BH138" s="11">
        <f t="shared" si="78"/>
        <v>0</v>
      </c>
      <c r="BI138" s="11">
        <v>0</v>
      </c>
      <c r="BJ138" s="11">
        <v>0</v>
      </c>
      <c r="BK138" s="11">
        <v>0</v>
      </c>
      <c r="BL138" s="11">
        <v>0</v>
      </c>
      <c r="BM138" s="11">
        <v>0</v>
      </c>
      <c r="BN138" s="11">
        <f t="shared" si="79"/>
        <v>0</v>
      </c>
      <c r="BO138" s="11">
        <v>0</v>
      </c>
      <c r="BP138" s="11">
        <f t="shared" si="80"/>
        <v>12437302</v>
      </c>
      <c r="BQ138" s="11">
        <v>0</v>
      </c>
      <c r="BR138" s="11">
        <v>0</v>
      </c>
      <c r="BS138" s="16">
        <v>7654115</v>
      </c>
      <c r="BT138" s="11">
        <v>0</v>
      </c>
      <c r="BU138" s="11">
        <v>0</v>
      </c>
      <c r="BV138" s="11">
        <v>0</v>
      </c>
      <c r="BW138" s="11">
        <v>0</v>
      </c>
      <c r="BX138" s="11">
        <v>0</v>
      </c>
      <c r="BY138" s="11">
        <v>0</v>
      </c>
      <c r="BZ138" s="16">
        <v>4242419</v>
      </c>
      <c r="CA138" s="16">
        <v>540768</v>
      </c>
      <c r="CB138" s="11">
        <f>SUM(CC138+CT138)</f>
        <v>66162</v>
      </c>
      <c r="CC138" s="11">
        <f>SUM(CD138+CG138+CL138)</f>
        <v>66162</v>
      </c>
      <c r="CD138" s="11">
        <f t="shared" si="81"/>
        <v>66162</v>
      </c>
      <c r="CE138" s="11">
        <v>0</v>
      </c>
      <c r="CF138" s="16">
        <v>66162</v>
      </c>
      <c r="CG138" s="11">
        <f>SUM(CH138:CK138)</f>
        <v>0</v>
      </c>
      <c r="CH138" s="11">
        <v>0</v>
      </c>
      <c r="CI138" s="11">
        <v>0</v>
      </c>
      <c r="CJ138" s="11">
        <v>0</v>
      </c>
      <c r="CK138" s="11">
        <v>0</v>
      </c>
      <c r="CL138" s="11">
        <f>SUM(CM138:CQ138)</f>
        <v>0</v>
      </c>
      <c r="CM138" s="11">
        <v>0</v>
      </c>
      <c r="CN138" s="11">
        <v>0</v>
      </c>
      <c r="CO138" s="11">
        <v>0</v>
      </c>
      <c r="CP138" s="11"/>
      <c r="CQ138" s="11">
        <v>0</v>
      </c>
      <c r="CR138" s="11"/>
      <c r="CS138" s="11"/>
      <c r="CT138" s="11">
        <v>0</v>
      </c>
      <c r="CU138" s="11">
        <f t="shared" si="82"/>
        <v>0</v>
      </c>
      <c r="CV138" s="11">
        <f t="shared" si="83"/>
        <v>0</v>
      </c>
      <c r="CW138" s="11">
        <v>0</v>
      </c>
      <c r="CX138" s="12">
        <v>0</v>
      </c>
    </row>
    <row r="139" spans="1:102" ht="15.75" x14ac:dyDescent="0.25">
      <c r="A139" s="13" t="s">
        <v>1</v>
      </c>
      <c r="B139" s="14" t="s">
        <v>1</v>
      </c>
      <c r="C139" s="14" t="s">
        <v>113</v>
      </c>
      <c r="D139" s="15" t="s">
        <v>273</v>
      </c>
      <c r="E139" s="10">
        <f>SUM(F139+CB139+CU139)</f>
        <v>14107289</v>
      </c>
      <c r="F139" s="11">
        <f>SUM(G139+BC139)</f>
        <v>13923687</v>
      </c>
      <c r="G139" s="11">
        <f>SUM(H139+I139+J139+Q139+T139+U139+V139+AF139+AE139)</f>
        <v>13092181</v>
      </c>
      <c r="H139" s="11">
        <f>10079084-20028-328619+518957</f>
        <v>10249394</v>
      </c>
      <c r="I139" s="11">
        <f>2375325-5007-37320+129739</f>
        <v>2462737</v>
      </c>
      <c r="J139" s="11">
        <f t="shared" si="76"/>
        <v>9723</v>
      </c>
      <c r="K139" s="16"/>
      <c r="L139" s="16">
        <v>2860</v>
      </c>
      <c r="M139" s="16"/>
      <c r="N139" s="16"/>
      <c r="O139" s="16">
        <v>6863</v>
      </c>
      <c r="P139" s="16"/>
      <c r="Q139" s="11">
        <f t="shared" si="77"/>
        <v>0</v>
      </c>
      <c r="R139" s="11">
        <v>0</v>
      </c>
      <c r="S139" s="11">
        <v>0</v>
      </c>
      <c r="T139" s="11">
        <v>0</v>
      </c>
      <c r="U139" s="16">
        <v>49336</v>
      </c>
      <c r="V139" s="11">
        <f t="shared" si="264"/>
        <v>246828</v>
      </c>
      <c r="W139" s="16"/>
      <c r="X139" s="16">
        <v>184700</v>
      </c>
      <c r="Y139" s="16">
        <v>37419</v>
      </c>
      <c r="Z139" s="16">
        <v>14233</v>
      </c>
      <c r="AA139" s="16">
        <v>10476</v>
      </c>
      <c r="AB139" s="16"/>
      <c r="AC139" s="16"/>
      <c r="AD139" s="16"/>
      <c r="AE139" s="11">
        <v>0</v>
      </c>
      <c r="AF139" s="11">
        <f>SUM(AG139:BB139)</f>
        <v>74163</v>
      </c>
      <c r="AG139" s="16"/>
      <c r="AH139" s="16"/>
      <c r="AI139" s="16"/>
      <c r="AJ139" s="16">
        <v>27795</v>
      </c>
      <c r="AK139" s="16"/>
      <c r="AL139" s="16"/>
      <c r="AM139" s="16"/>
      <c r="AN139" s="16"/>
      <c r="AO139" s="16">
        <v>16479</v>
      </c>
      <c r="AP139" s="16"/>
      <c r="AQ139" s="16"/>
      <c r="AR139" s="16"/>
      <c r="AS139" s="16"/>
      <c r="AT139" s="16"/>
      <c r="AU139" s="11">
        <f>0+29889</f>
        <v>29889</v>
      </c>
      <c r="AV139" s="11"/>
      <c r="AW139" s="11"/>
      <c r="AX139" s="11">
        <v>0</v>
      </c>
      <c r="AY139" s="11">
        <v>0</v>
      </c>
      <c r="AZ139" s="11">
        <v>0</v>
      </c>
      <c r="BA139" s="11">
        <v>0</v>
      </c>
      <c r="BB139" s="16"/>
      <c r="BC139" s="11">
        <f>SUM(BD139+BH139+BL139+BN139+BP139)</f>
        <v>831506</v>
      </c>
      <c r="BD139" s="11">
        <f>SUM(BE139:BG139)</f>
        <v>0</v>
      </c>
      <c r="BE139" s="11">
        <v>0</v>
      </c>
      <c r="BF139" s="11">
        <v>0</v>
      </c>
      <c r="BG139" s="11">
        <v>0</v>
      </c>
      <c r="BH139" s="11">
        <f t="shared" si="78"/>
        <v>0</v>
      </c>
      <c r="BI139" s="11">
        <v>0</v>
      </c>
      <c r="BJ139" s="11">
        <v>0</v>
      </c>
      <c r="BK139" s="11">
        <v>0</v>
      </c>
      <c r="BL139" s="11">
        <v>0</v>
      </c>
      <c r="BM139" s="11">
        <v>0</v>
      </c>
      <c r="BN139" s="11">
        <f t="shared" si="79"/>
        <v>0</v>
      </c>
      <c r="BO139" s="11">
        <v>0</v>
      </c>
      <c r="BP139" s="11">
        <f t="shared" si="80"/>
        <v>831506</v>
      </c>
      <c r="BQ139" s="11">
        <v>0</v>
      </c>
      <c r="BR139" s="11">
        <v>0</v>
      </c>
      <c r="BS139" s="16">
        <v>590730</v>
      </c>
      <c r="BT139" s="11">
        <v>0</v>
      </c>
      <c r="BU139" s="11">
        <v>0</v>
      </c>
      <c r="BV139" s="11">
        <v>0</v>
      </c>
      <c r="BW139" s="11">
        <v>0</v>
      </c>
      <c r="BX139" s="11">
        <v>0</v>
      </c>
      <c r="BY139" s="11">
        <v>0</v>
      </c>
      <c r="BZ139" s="16">
        <v>240776</v>
      </c>
      <c r="CA139" s="16"/>
      <c r="CB139" s="11">
        <f>SUM(CC139+CT139)</f>
        <v>183602</v>
      </c>
      <c r="CC139" s="11">
        <f>SUM(CD139+CG139+CL139)</f>
        <v>183602</v>
      </c>
      <c r="CD139" s="11">
        <f t="shared" si="81"/>
        <v>168787</v>
      </c>
      <c r="CE139" s="11">
        <v>0</v>
      </c>
      <c r="CF139" s="16">
        <f>51189+117598</f>
        <v>168787</v>
      </c>
      <c r="CG139" s="11">
        <f>SUM(CH139:CK139)</f>
        <v>0</v>
      </c>
      <c r="CH139" s="11">
        <v>0</v>
      </c>
      <c r="CI139" s="11">
        <v>0</v>
      </c>
      <c r="CJ139" s="11">
        <v>0</v>
      </c>
      <c r="CK139" s="11">
        <v>0</v>
      </c>
      <c r="CL139" s="11">
        <f>SUM(CM139:CQ139)</f>
        <v>14815</v>
      </c>
      <c r="CM139" s="11">
        <v>0</v>
      </c>
      <c r="CN139" s="11">
        <v>14815</v>
      </c>
      <c r="CO139" s="11">
        <v>0</v>
      </c>
      <c r="CP139" s="11"/>
      <c r="CQ139" s="11">
        <v>0</v>
      </c>
      <c r="CR139" s="11">
        <v>0</v>
      </c>
      <c r="CS139" s="11">
        <v>0</v>
      </c>
      <c r="CT139" s="11">
        <v>0</v>
      </c>
      <c r="CU139" s="11">
        <f t="shared" si="82"/>
        <v>0</v>
      </c>
      <c r="CV139" s="11">
        <f t="shared" si="83"/>
        <v>0</v>
      </c>
      <c r="CW139" s="11">
        <v>0</v>
      </c>
      <c r="CX139" s="12">
        <v>0</v>
      </c>
    </row>
    <row r="140" spans="1:102" ht="31.5" x14ac:dyDescent="0.25">
      <c r="A140" s="7"/>
      <c r="B140" s="8" t="s">
        <v>274</v>
      </c>
      <c r="C140" s="8" t="s">
        <v>1</v>
      </c>
      <c r="D140" s="9" t="s">
        <v>275</v>
      </c>
      <c r="E140" s="10">
        <f>SUM(E141)</f>
        <v>3607656</v>
      </c>
      <c r="F140" s="11">
        <f t="shared" ref="F140:BV140" si="265">SUM(F141)</f>
        <v>3607656</v>
      </c>
      <c r="G140" s="11">
        <f t="shared" si="265"/>
        <v>3607656</v>
      </c>
      <c r="H140" s="11">
        <f t="shared" si="265"/>
        <v>2842813</v>
      </c>
      <c r="I140" s="11">
        <f t="shared" si="265"/>
        <v>639666</v>
      </c>
      <c r="J140" s="11">
        <f t="shared" si="265"/>
        <v>26568</v>
      </c>
      <c r="K140" s="11">
        <f t="shared" si="265"/>
        <v>0</v>
      </c>
      <c r="L140" s="11">
        <f t="shared" si="265"/>
        <v>0</v>
      </c>
      <c r="M140" s="11">
        <f t="shared" si="265"/>
        <v>0</v>
      </c>
      <c r="N140" s="11">
        <f t="shared" si="265"/>
        <v>0</v>
      </c>
      <c r="O140" s="11">
        <f t="shared" si="265"/>
        <v>20644</v>
      </c>
      <c r="P140" s="11">
        <f t="shared" si="265"/>
        <v>5924</v>
      </c>
      <c r="Q140" s="11">
        <f t="shared" si="265"/>
        <v>896</v>
      </c>
      <c r="R140" s="11">
        <f t="shared" si="265"/>
        <v>896</v>
      </c>
      <c r="S140" s="11">
        <f t="shared" si="265"/>
        <v>0</v>
      </c>
      <c r="T140" s="11">
        <f t="shared" si="265"/>
        <v>0</v>
      </c>
      <c r="U140" s="11">
        <f t="shared" si="265"/>
        <v>24233</v>
      </c>
      <c r="V140" s="11">
        <f t="shared" si="265"/>
        <v>72673</v>
      </c>
      <c r="W140" s="11">
        <f t="shared" si="265"/>
        <v>806</v>
      </c>
      <c r="X140" s="11">
        <f t="shared" si="265"/>
        <v>49831</v>
      </c>
      <c r="Y140" s="11">
        <f t="shared" si="265"/>
        <v>11452</v>
      </c>
      <c r="Z140" s="11">
        <f t="shared" si="265"/>
        <v>6382</v>
      </c>
      <c r="AA140" s="11">
        <f t="shared" si="265"/>
        <v>4202</v>
      </c>
      <c r="AB140" s="11">
        <f t="shared" si="265"/>
        <v>0</v>
      </c>
      <c r="AC140" s="11">
        <f t="shared" si="265"/>
        <v>0</v>
      </c>
      <c r="AD140" s="11">
        <f t="shared" si="265"/>
        <v>0</v>
      </c>
      <c r="AE140" s="11">
        <f t="shared" si="265"/>
        <v>0</v>
      </c>
      <c r="AF140" s="11">
        <f t="shared" si="265"/>
        <v>807</v>
      </c>
      <c r="AG140" s="11">
        <f t="shared" si="265"/>
        <v>0</v>
      </c>
      <c r="AH140" s="11">
        <f t="shared" si="265"/>
        <v>0</v>
      </c>
      <c r="AI140" s="11">
        <f t="shared" si="265"/>
        <v>0</v>
      </c>
      <c r="AJ140" s="11">
        <f t="shared" si="265"/>
        <v>0</v>
      </c>
      <c r="AK140" s="11">
        <f t="shared" si="265"/>
        <v>0</v>
      </c>
      <c r="AL140" s="11">
        <f t="shared" si="265"/>
        <v>0</v>
      </c>
      <c r="AM140" s="11">
        <f t="shared" si="265"/>
        <v>0</v>
      </c>
      <c r="AN140" s="11">
        <f t="shared" si="265"/>
        <v>807</v>
      </c>
      <c r="AO140" s="11">
        <f t="shared" si="265"/>
        <v>0</v>
      </c>
      <c r="AP140" s="11">
        <f t="shared" si="265"/>
        <v>0</v>
      </c>
      <c r="AQ140" s="11">
        <f t="shared" si="265"/>
        <v>0</v>
      </c>
      <c r="AR140" s="11">
        <f t="shared" si="265"/>
        <v>0</v>
      </c>
      <c r="AS140" s="11">
        <f t="shared" si="265"/>
        <v>0</v>
      </c>
      <c r="AT140" s="11">
        <f t="shared" si="265"/>
        <v>0</v>
      </c>
      <c r="AU140" s="11">
        <f t="shared" si="265"/>
        <v>0</v>
      </c>
      <c r="AV140" s="11"/>
      <c r="AW140" s="11"/>
      <c r="AX140" s="11">
        <f t="shared" si="265"/>
        <v>0</v>
      </c>
      <c r="AY140" s="11">
        <f t="shared" si="265"/>
        <v>0</v>
      </c>
      <c r="AZ140" s="11">
        <f t="shared" si="265"/>
        <v>0</v>
      </c>
      <c r="BA140" s="11">
        <f t="shared" si="265"/>
        <v>0</v>
      </c>
      <c r="BB140" s="11">
        <f t="shared" si="265"/>
        <v>0</v>
      </c>
      <c r="BC140" s="11">
        <f t="shared" si="265"/>
        <v>0</v>
      </c>
      <c r="BD140" s="11">
        <f t="shared" si="265"/>
        <v>0</v>
      </c>
      <c r="BE140" s="11">
        <f t="shared" si="265"/>
        <v>0</v>
      </c>
      <c r="BF140" s="11">
        <f t="shared" si="265"/>
        <v>0</v>
      </c>
      <c r="BG140" s="11">
        <f t="shared" si="265"/>
        <v>0</v>
      </c>
      <c r="BH140" s="11">
        <f t="shared" si="265"/>
        <v>0</v>
      </c>
      <c r="BI140" s="11">
        <f t="shared" si="265"/>
        <v>0</v>
      </c>
      <c r="BJ140" s="11">
        <f t="shared" si="265"/>
        <v>0</v>
      </c>
      <c r="BK140" s="11">
        <f t="shared" si="265"/>
        <v>0</v>
      </c>
      <c r="BL140" s="11">
        <f t="shared" si="265"/>
        <v>0</v>
      </c>
      <c r="BM140" s="11">
        <f t="shared" si="265"/>
        <v>0</v>
      </c>
      <c r="BN140" s="11">
        <f t="shared" si="265"/>
        <v>0</v>
      </c>
      <c r="BO140" s="11">
        <f t="shared" si="265"/>
        <v>0</v>
      </c>
      <c r="BP140" s="11">
        <f t="shared" si="265"/>
        <v>0</v>
      </c>
      <c r="BQ140" s="11">
        <f t="shared" si="265"/>
        <v>0</v>
      </c>
      <c r="BR140" s="11">
        <f t="shared" si="265"/>
        <v>0</v>
      </c>
      <c r="BS140" s="11">
        <f t="shared" si="265"/>
        <v>0</v>
      </c>
      <c r="BT140" s="11">
        <f t="shared" si="265"/>
        <v>0</v>
      </c>
      <c r="BU140" s="11">
        <f t="shared" si="265"/>
        <v>0</v>
      </c>
      <c r="BV140" s="11">
        <f t="shared" si="265"/>
        <v>0</v>
      </c>
      <c r="BW140" s="11">
        <f t="shared" ref="BW140:CX140" si="266">SUM(BW141)</f>
        <v>0</v>
      </c>
      <c r="BX140" s="11">
        <f t="shared" si="266"/>
        <v>0</v>
      </c>
      <c r="BY140" s="11">
        <f t="shared" si="266"/>
        <v>0</v>
      </c>
      <c r="BZ140" s="11">
        <f t="shared" si="266"/>
        <v>0</v>
      </c>
      <c r="CA140" s="11">
        <f t="shared" si="266"/>
        <v>0</v>
      </c>
      <c r="CB140" s="11">
        <f t="shared" si="266"/>
        <v>0</v>
      </c>
      <c r="CC140" s="11">
        <f t="shared" si="266"/>
        <v>0</v>
      </c>
      <c r="CD140" s="11">
        <f t="shared" si="266"/>
        <v>0</v>
      </c>
      <c r="CE140" s="11">
        <f t="shared" si="266"/>
        <v>0</v>
      </c>
      <c r="CF140" s="11">
        <f t="shared" si="266"/>
        <v>0</v>
      </c>
      <c r="CG140" s="11">
        <f t="shared" si="266"/>
        <v>0</v>
      </c>
      <c r="CH140" s="11">
        <f t="shared" si="266"/>
        <v>0</v>
      </c>
      <c r="CI140" s="11">
        <f t="shared" si="266"/>
        <v>0</v>
      </c>
      <c r="CJ140" s="11">
        <f t="shared" si="266"/>
        <v>0</v>
      </c>
      <c r="CK140" s="11">
        <f t="shared" si="266"/>
        <v>0</v>
      </c>
      <c r="CL140" s="11">
        <f t="shared" si="266"/>
        <v>0</v>
      </c>
      <c r="CM140" s="11">
        <f t="shared" si="266"/>
        <v>0</v>
      </c>
      <c r="CN140" s="11">
        <f t="shared" si="266"/>
        <v>0</v>
      </c>
      <c r="CO140" s="11">
        <f t="shared" si="266"/>
        <v>0</v>
      </c>
      <c r="CP140" s="11"/>
      <c r="CQ140" s="11">
        <f t="shared" si="266"/>
        <v>0</v>
      </c>
      <c r="CR140" s="11">
        <f t="shared" si="266"/>
        <v>0</v>
      </c>
      <c r="CS140" s="11">
        <f t="shared" si="266"/>
        <v>0</v>
      </c>
      <c r="CT140" s="11">
        <f t="shared" si="266"/>
        <v>0</v>
      </c>
      <c r="CU140" s="11">
        <f t="shared" si="266"/>
        <v>0</v>
      </c>
      <c r="CV140" s="11">
        <f t="shared" si="266"/>
        <v>0</v>
      </c>
      <c r="CW140" s="11">
        <f t="shared" si="266"/>
        <v>0</v>
      </c>
      <c r="CX140" s="12">
        <f t="shared" si="266"/>
        <v>0</v>
      </c>
    </row>
    <row r="141" spans="1:102" ht="31.5" x14ac:dyDescent="0.25">
      <c r="A141" s="13"/>
      <c r="B141" s="14" t="s">
        <v>1</v>
      </c>
      <c r="C141" s="14" t="s">
        <v>103</v>
      </c>
      <c r="D141" s="15" t="s">
        <v>276</v>
      </c>
      <c r="E141" s="10">
        <f>SUM(F141+CB141+CU141)</f>
        <v>3607656</v>
      </c>
      <c r="F141" s="11">
        <f>SUM(G141+BC141)</f>
        <v>3607656</v>
      </c>
      <c r="G141" s="11">
        <f>SUM(H141+I141+J141+Q141+T141+U141+V141+AF141+AE141)</f>
        <v>3607656</v>
      </c>
      <c r="H141" s="11">
        <f>2698873+143940</f>
        <v>2842813</v>
      </c>
      <c r="I141" s="11">
        <f>603681+35985</f>
        <v>639666</v>
      </c>
      <c r="J141" s="11">
        <f t="shared" si="76"/>
        <v>26568</v>
      </c>
      <c r="K141" s="11">
        <v>0</v>
      </c>
      <c r="L141" s="11">
        <v>0</v>
      </c>
      <c r="M141" s="11">
        <v>0</v>
      </c>
      <c r="N141" s="11">
        <v>0</v>
      </c>
      <c r="O141" s="16">
        <v>20644</v>
      </c>
      <c r="P141" s="16">
        <v>5924</v>
      </c>
      <c r="Q141" s="11">
        <f t="shared" si="77"/>
        <v>896</v>
      </c>
      <c r="R141" s="16">
        <v>896</v>
      </c>
      <c r="S141" s="11">
        <v>0</v>
      </c>
      <c r="T141" s="11">
        <v>0</v>
      </c>
      <c r="U141" s="16">
        <v>24233</v>
      </c>
      <c r="V141" s="11">
        <f>SUM(W141:AD141)</f>
        <v>72673</v>
      </c>
      <c r="W141" s="16">
        <v>806</v>
      </c>
      <c r="X141" s="16">
        <v>49831</v>
      </c>
      <c r="Y141" s="16">
        <v>11452</v>
      </c>
      <c r="Z141" s="16">
        <v>6382</v>
      </c>
      <c r="AA141" s="16">
        <v>4202</v>
      </c>
      <c r="AB141" s="11">
        <v>0</v>
      </c>
      <c r="AC141" s="11">
        <v>0</v>
      </c>
      <c r="AD141" s="11">
        <v>0</v>
      </c>
      <c r="AE141" s="11">
        <v>0</v>
      </c>
      <c r="AF141" s="11">
        <f>SUM(AG141:BB141)</f>
        <v>807</v>
      </c>
      <c r="AG141" s="11">
        <v>0</v>
      </c>
      <c r="AH141" s="11">
        <v>0</v>
      </c>
      <c r="AI141" s="11">
        <v>0</v>
      </c>
      <c r="AJ141" s="11"/>
      <c r="AK141" s="11">
        <v>0</v>
      </c>
      <c r="AL141" s="11"/>
      <c r="AM141" s="11">
        <v>0</v>
      </c>
      <c r="AN141" s="11">
        <v>807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/>
      <c r="AW141" s="11"/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f>SUM(BD141+BH141+BL141+BN141+BP141)</f>
        <v>0</v>
      </c>
      <c r="BD141" s="11">
        <f>SUM(BE141:BG141)</f>
        <v>0</v>
      </c>
      <c r="BE141" s="11">
        <v>0</v>
      </c>
      <c r="BF141" s="11">
        <v>0</v>
      </c>
      <c r="BG141" s="11">
        <v>0</v>
      </c>
      <c r="BH141" s="11">
        <f t="shared" si="78"/>
        <v>0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f t="shared" si="79"/>
        <v>0</v>
      </c>
      <c r="BO141" s="11">
        <v>0</v>
      </c>
      <c r="BP141" s="11">
        <f t="shared" si="80"/>
        <v>0</v>
      </c>
      <c r="BQ141" s="11">
        <v>0</v>
      </c>
      <c r="BR141" s="11">
        <v>0</v>
      </c>
      <c r="BS141" s="11">
        <v>0</v>
      </c>
      <c r="BT141" s="11">
        <v>0</v>
      </c>
      <c r="BU141" s="11">
        <v>0</v>
      </c>
      <c r="BV141" s="11">
        <v>0</v>
      </c>
      <c r="BW141" s="11">
        <v>0</v>
      </c>
      <c r="BX141" s="11">
        <v>0</v>
      </c>
      <c r="BY141" s="11">
        <v>0</v>
      </c>
      <c r="BZ141" s="11">
        <v>0</v>
      </c>
      <c r="CA141" s="11">
        <v>0</v>
      </c>
      <c r="CB141" s="11">
        <f>SUM(CC141+CT141)</f>
        <v>0</v>
      </c>
      <c r="CC141" s="11">
        <f>SUM(CD141+CG141+CL141)</f>
        <v>0</v>
      </c>
      <c r="CD141" s="11">
        <f t="shared" si="81"/>
        <v>0</v>
      </c>
      <c r="CE141" s="11">
        <v>0</v>
      </c>
      <c r="CF141" s="11"/>
      <c r="CG141" s="11">
        <f>SUM(CH141:CK141)</f>
        <v>0</v>
      </c>
      <c r="CH141" s="11">
        <v>0</v>
      </c>
      <c r="CI141" s="11">
        <v>0</v>
      </c>
      <c r="CJ141" s="11">
        <v>0</v>
      </c>
      <c r="CK141" s="11">
        <v>0</v>
      </c>
      <c r="CL141" s="11">
        <f>SUM(CM141:CQ141)</f>
        <v>0</v>
      </c>
      <c r="CM141" s="11">
        <v>0</v>
      </c>
      <c r="CN141" s="11">
        <v>0</v>
      </c>
      <c r="CO141" s="11">
        <v>0</v>
      </c>
      <c r="CP141" s="11"/>
      <c r="CQ141" s="11">
        <v>0</v>
      </c>
      <c r="CR141" s="11">
        <v>0</v>
      </c>
      <c r="CS141" s="11">
        <v>0</v>
      </c>
      <c r="CT141" s="11">
        <v>0</v>
      </c>
      <c r="CU141" s="11">
        <f t="shared" si="82"/>
        <v>0</v>
      </c>
      <c r="CV141" s="11">
        <f t="shared" si="83"/>
        <v>0</v>
      </c>
      <c r="CW141" s="11">
        <v>0</v>
      </c>
      <c r="CX141" s="12">
        <v>0</v>
      </c>
    </row>
    <row r="142" spans="1:102" ht="31.5" x14ac:dyDescent="0.25">
      <c r="A142" s="7"/>
      <c r="B142" s="8" t="s">
        <v>277</v>
      </c>
      <c r="C142" s="8" t="s">
        <v>1</v>
      </c>
      <c r="D142" s="9" t="s">
        <v>278</v>
      </c>
      <c r="E142" s="10">
        <f t="shared" ref="E142:AL142" si="267">SUM(E143)</f>
        <v>9814302</v>
      </c>
      <c r="F142" s="11">
        <f t="shared" si="267"/>
        <v>9734247</v>
      </c>
      <c r="G142" s="11">
        <f t="shared" si="267"/>
        <v>7405008</v>
      </c>
      <c r="H142" s="11">
        <f t="shared" si="267"/>
        <v>3910924</v>
      </c>
      <c r="I142" s="11">
        <f t="shared" si="267"/>
        <v>918157</v>
      </c>
      <c r="J142" s="11">
        <f t="shared" si="267"/>
        <v>1968127</v>
      </c>
      <c r="K142" s="11">
        <f t="shared" si="267"/>
        <v>5664</v>
      </c>
      <c r="L142" s="11">
        <f t="shared" si="267"/>
        <v>235765</v>
      </c>
      <c r="M142" s="11">
        <f t="shared" si="267"/>
        <v>1186523</v>
      </c>
      <c r="N142" s="11">
        <f t="shared" si="267"/>
        <v>316837</v>
      </c>
      <c r="O142" s="11">
        <f t="shared" si="267"/>
        <v>179995</v>
      </c>
      <c r="P142" s="11">
        <f t="shared" si="267"/>
        <v>43343</v>
      </c>
      <c r="Q142" s="11">
        <f t="shared" si="267"/>
        <v>0</v>
      </c>
      <c r="R142" s="11">
        <f t="shared" si="267"/>
        <v>0</v>
      </c>
      <c r="S142" s="11">
        <f t="shared" si="267"/>
        <v>0</v>
      </c>
      <c r="T142" s="11">
        <f t="shared" si="267"/>
        <v>0</v>
      </c>
      <c r="U142" s="11">
        <f t="shared" si="267"/>
        <v>29705</v>
      </c>
      <c r="V142" s="11">
        <f t="shared" si="267"/>
        <v>347514</v>
      </c>
      <c r="W142" s="11">
        <f t="shared" si="267"/>
        <v>34104</v>
      </c>
      <c r="X142" s="11">
        <f t="shared" si="267"/>
        <v>155126</v>
      </c>
      <c r="Y142" s="11">
        <f t="shared" si="267"/>
        <v>102623</v>
      </c>
      <c r="Z142" s="11">
        <f t="shared" si="267"/>
        <v>46448</v>
      </c>
      <c r="AA142" s="11">
        <f t="shared" si="267"/>
        <v>3613</v>
      </c>
      <c r="AB142" s="11">
        <f t="shared" si="267"/>
        <v>0</v>
      </c>
      <c r="AC142" s="11">
        <f t="shared" si="267"/>
        <v>0</v>
      </c>
      <c r="AD142" s="11">
        <f t="shared" si="267"/>
        <v>5600</v>
      </c>
      <c r="AE142" s="11">
        <f t="shared" si="267"/>
        <v>0</v>
      </c>
      <c r="AF142" s="11">
        <f t="shared" si="267"/>
        <v>230581</v>
      </c>
      <c r="AG142" s="11">
        <f t="shared" si="267"/>
        <v>0</v>
      </c>
      <c r="AH142" s="11">
        <f t="shared" si="267"/>
        <v>0</v>
      </c>
      <c r="AI142" s="11">
        <f t="shared" si="267"/>
        <v>660</v>
      </c>
      <c r="AJ142" s="11">
        <f t="shared" si="267"/>
        <v>43560</v>
      </c>
      <c r="AK142" s="11">
        <f t="shared" si="267"/>
        <v>2145</v>
      </c>
      <c r="AL142" s="11">
        <f t="shared" si="267"/>
        <v>3755</v>
      </c>
      <c r="AM142" s="11">
        <f t="shared" ref="AM142:CX142" si="268">SUM(AM143)</f>
        <v>0</v>
      </c>
      <c r="AN142" s="11">
        <f t="shared" si="268"/>
        <v>37129</v>
      </c>
      <c r="AO142" s="11">
        <f t="shared" si="268"/>
        <v>0</v>
      </c>
      <c r="AP142" s="11">
        <f t="shared" si="268"/>
        <v>0</v>
      </c>
      <c r="AQ142" s="11">
        <f t="shared" si="268"/>
        <v>109</v>
      </c>
      <c r="AR142" s="11">
        <f t="shared" si="268"/>
        <v>0</v>
      </c>
      <c r="AS142" s="11">
        <f t="shared" si="268"/>
        <v>0</v>
      </c>
      <c r="AT142" s="11">
        <f t="shared" si="268"/>
        <v>140353</v>
      </c>
      <c r="AU142" s="11">
        <f t="shared" si="268"/>
        <v>0</v>
      </c>
      <c r="AV142" s="11"/>
      <c r="AW142" s="11"/>
      <c r="AX142" s="11">
        <f t="shared" si="268"/>
        <v>0</v>
      </c>
      <c r="AY142" s="11">
        <f t="shared" si="268"/>
        <v>0</v>
      </c>
      <c r="AZ142" s="11">
        <f t="shared" si="268"/>
        <v>0</v>
      </c>
      <c r="BA142" s="11">
        <f t="shared" si="268"/>
        <v>0</v>
      </c>
      <c r="BB142" s="11">
        <f t="shared" si="268"/>
        <v>2870</v>
      </c>
      <c r="BC142" s="11">
        <f t="shared" si="268"/>
        <v>2329239</v>
      </c>
      <c r="BD142" s="11">
        <f t="shared" si="268"/>
        <v>0</v>
      </c>
      <c r="BE142" s="11">
        <f t="shared" si="268"/>
        <v>0</v>
      </c>
      <c r="BF142" s="11">
        <f t="shared" si="268"/>
        <v>0</v>
      </c>
      <c r="BG142" s="11">
        <f t="shared" si="268"/>
        <v>0</v>
      </c>
      <c r="BH142" s="11">
        <f t="shared" si="268"/>
        <v>0</v>
      </c>
      <c r="BI142" s="11">
        <f t="shared" si="268"/>
        <v>0</v>
      </c>
      <c r="BJ142" s="11">
        <f t="shared" si="268"/>
        <v>0</v>
      </c>
      <c r="BK142" s="11">
        <f t="shared" si="268"/>
        <v>0</v>
      </c>
      <c r="BL142" s="11">
        <f t="shared" si="268"/>
        <v>0</v>
      </c>
      <c r="BM142" s="11">
        <f t="shared" si="268"/>
        <v>0</v>
      </c>
      <c r="BN142" s="11">
        <f t="shared" si="268"/>
        <v>0</v>
      </c>
      <c r="BO142" s="11">
        <f t="shared" si="268"/>
        <v>0</v>
      </c>
      <c r="BP142" s="11">
        <f t="shared" si="268"/>
        <v>2329239</v>
      </c>
      <c r="BQ142" s="11">
        <f t="shared" si="268"/>
        <v>0</v>
      </c>
      <c r="BR142" s="11">
        <f t="shared" si="268"/>
        <v>0</v>
      </c>
      <c r="BS142" s="11">
        <f t="shared" si="268"/>
        <v>0</v>
      </c>
      <c r="BT142" s="11">
        <f t="shared" si="268"/>
        <v>0</v>
      </c>
      <c r="BU142" s="11">
        <f t="shared" si="268"/>
        <v>0</v>
      </c>
      <c r="BV142" s="11">
        <f t="shared" si="268"/>
        <v>33525</v>
      </c>
      <c r="BW142" s="11">
        <f t="shared" si="268"/>
        <v>0</v>
      </c>
      <c r="BX142" s="11">
        <f t="shared" si="268"/>
        <v>0</v>
      </c>
      <c r="BY142" s="11">
        <f t="shared" si="268"/>
        <v>0</v>
      </c>
      <c r="BZ142" s="11">
        <f t="shared" si="268"/>
        <v>0</v>
      </c>
      <c r="CA142" s="11">
        <f t="shared" si="268"/>
        <v>2295714</v>
      </c>
      <c r="CB142" s="11">
        <f t="shared" si="268"/>
        <v>80055</v>
      </c>
      <c r="CC142" s="11">
        <f t="shared" si="268"/>
        <v>80055</v>
      </c>
      <c r="CD142" s="11">
        <f t="shared" si="268"/>
        <v>62839</v>
      </c>
      <c r="CE142" s="11">
        <f t="shared" si="268"/>
        <v>0</v>
      </c>
      <c r="CF142" s="11">
        <f t="shared" si="268"/>
        <v>62839</v>
      </c>
      <c r="CG142" s="11">
        <f t="shared" si="268"/>
        <v>0</v>
      </c>
      <c r="CH142" s="11">
        <f t="shared" si="268"/>
        <v>0</v>
      </c>
      <c r="CI142" s="11">
        <f t="shared" si="268"/>
        <v>0</v>
      </c>
      <c r="CJ142" s="11">
        <f t="shared" si="268"/>
        <v>0</v>
      </c>
      <c r="CK142" s="11">
        <f t="shared" si="268"/>
        <v>0</v>
      </c>
      <c r="CL142" s="11">
        <f t="shared" si="268"/>
        <v>17216</v>
      </c>
      <c r="CM142" s="11">
        <f t="shared" si="268"/>
        <v>0</v>
      </c>
      <c r="CN142" s="11">
        <f t="shared" si="268"/>
        <v>17216</v>
      </c>
      <c r="CO142" s="11">
        <f t="shared" si="268"/>
        <v>0</v>
      </c>
      <c r="CP142" s="11"/>
      <c r="CQ142" s="11">
        <f t="shared" si="268"/>
        <v>0</v>
      </c>
      <c r="CR142" s="11">
        <f t="shared" si="268"/>
        <v>0</v>
      </c>
      <c r="CS142" s="11">
        <f t="shared" si="268"/>
        <v>0</v>
      </c>
      <c r="CT142" s="11">
        <f t="shared" si="268"/>
        <v>0</v>
      </c>
      <c r="CU142" s="11">
        <f t="shared" si="268"/>
        <v>0</v>
      </c>
      <c r="CV142" s="11">
        <f t="shared" si="268"/>
        <v>0</v>
      </c>
      <c r="CW142" s="11">
        <f t="shared" si="268"/>
        <v>0</v>
      </c>
      <c r="CX142" s="12">
        <f t="shared" si="268"/>
        <v>0</v>
      </c>
    </row>
    <row r="143" spans="1:102" ht="15.75" x14ac:dyDescent="0.25">
      <c r="A143" s="13"/>
      <c r="B143" s="14" t="s">
        <v>1</v>
      </c>
      <c r="C143" s="14" t="s">
        <v>99</v>
      </c>
      <c r="D143" s="15" t="s">
        <v>279</v>
      </c>
      <c r="E143" s="10">
        <f>SUM(F143+CB143+CU143)</f>
        <v>9814302</v>
      </c>
      <c r="F143" s="11">
        <f>SUM(G143+BC143)</f>
        <v>9734247</v>
      </c>
      <c r="G143" s="11">
        <f>SUM(H143+I143+J143+Q143+T143+U143+V143+AF143+AE143)</f>
        <v>7405008</v>
      </c>
      <c r="H143" s="16">
        <f>3712903+198021</f>
        <v>3910924</v>
      </c>
      <c r="I143" s="16">
        <f>868652+49505</f>
        <v>918157</v>
      </c>
      <c r="J143" s="11">
        <f t="shared" si="76"/>
        <v>1968127</v>
      </c>
      <c r="K143" s="16">
        <v>5664</v>
      </c>
      <c r="L143" s="16">
        <v>235765</v>
      </c>
      <c r="M143" s="16">
        <v>1186523</v>
      </c>
      <c r="N143" s="16">
        <v>316837</v>
      </c>
      <c r="O143" s="16">
        <v>179995</v>
      </c>
      <c r="P143" s="16">
        <v>43343</v>
      </c>
      <c r="Q143" s="11">
        <f t="shared" si="77"/>
        <v>0</v>
      </c>
      <c r="R143" s="11">
        <v>0</v>
      </c>
      <c r="S143" s="11">
        <v>0</v>
      </c>
      <c r="T143" s="11">
        <v>0</v>
      </c>
      <c r="U143" s="16">
        <v>29705</v>
      </c>
      <c r="V143" s="11">
        <f>SUM(W143:AD143)</f>
        <v>347514</v>
      </c>
      <c r="W143" s="16">
        <v>34104</v>
      </c>
      <c r="X143" s="16">
        <v>155126</v>
      </c>
      <c r="Y143" s="16">
        <v>102623</v>
      </c>
      <c r="Z143" s="16">
        <v>46448</v>
      </c>
      <c r="AA143" s="16">
        <v>3613</v>
      </c>
      <c r="AB143" s="16"/>
      <c r="AC143" s="16"/>
      <c r="AD143" s="16">
        <v>5600</v>
      </c>
      <c r="AE143" s="11"/>
      <c r="AF143" s="11">
        <f>SUM(AG143:BB143)</f>
        <v>230581</v>
      </c>
      <c r="AG143" s="11">
        <v>0</v>
      </c>
      <c r="AH143" s="11"/>
      <c r="AI143" s="16">
        <v>660</v>
      </c>
      <c r="AJ143" s="16">
        <v>43560</v>
      </c>
      <c r="AK143" s="16">
        <v>2145</v>
      </c>
      <c r="AL143" s="16">
        <v>3755</v>
      </c>
      <c r="AM143" s="11">
        <v>0</v>
      </c>
      <c r="AN143" s="11">
        <v>37129</v>
      </c>
      <c r="AO143" s="11">
        <v>0</v>
      </c>
      <c r="AP143" s="11">
        <v>0</v>
      </c>
      <c r="AQ143" s="11">
        <v>109</v>
      </c>
      <c r="AR143" s="11"/>
      <c r="AS143" s="11">
        <v>0</v>
      </c>
      <c r="AT143" s="11">
        <v>140353</v>
      </c>
      <c r="AU143" s="11">
        <v>0</v>
      </c>
      <c r="AV143" s="11"/>
      <c r="AW143" s="11"/>
      <c r="AX143" s="11">
        <v>0</v>
      </c>
      <c r="AY143" s="11">
        <v>0</v>
      </c>
      <c r="AZ143" s="11">
        <v>0</v>
      </c>
      <c r="BA143" s="11"/>
      <c r="BB143" s="11">
        <v>2870</v>
      </c>
      <c r="BC143" s="11">
        <f>SUM(BD143+BH143+BL143+BN143+BP143)</f>
        <v>2329239</v>
      </c>
      <c r="BD143" s="11">
        <f>SUM(BE143:BG143)</f>
        <v>0</v>
      </c>
      <c r="BE143" s="11">
        <v>0</v>
      </c>
      <c r="BF143" s="11">
        <v>0</v>
      </c>
      <c r="BG143" s="11">
        <v>0</v>
      </c>
      <c r="BH143" s="11">
        <f t="shared" si="78"/>
        <v>0</v>
      </c>
      <c r="BI143" s="11">
        <v>0</v>
      </c>
      <c r="BJ143" s="11">
        <v>0</v>
      </c>
      <c r="BK143" s="11">
        <v>0</v>
      </c>
      <c r="BL143" s="11">
        <v>0</v>
      </c>
      <c r="BM143" s="11">
        <v>0</v>
      </c>
      <c r="BN143" s="11">
        <f t="shared" si="79"/>
        <v>0</v>
      </c>
      <c r="BO143" s="11">
        <v>0</v>
      </c>
      <c r="BP143" s="11">
        <f t="shared" si="80"/>
        <v>2329239</v>
      </c>
      <c r="BQ143" s="11">
        <v>0</v>
      </c>
      <c r="BR143" s="11">
        <v>0</v>
      </c>
      <c r="BS143" s="11">
        <v>0</v>
      </c>
      <c r="BT143" s="11">
        <v>0</v>
      </c>
      <c r="BU143" s="11">
        <v>0</v>
      </c>
      <c r="BV143" s="11">
        <v>33525</v>
      </c>
      <c r="BW143" s="11">
        <v>0</v>
      </c>
      <c r="BX143" s="11">
        <v>0</v>
      </c>
      <c r="BY143" s="11">
        <v>0</v>
      </c>
      <c r="BZ143" s="11">
        <v>0</v>
      </c>
      <c r="CA143" s="11">
        <v>2295714</v>
      </c>
      <c r="CB143" s="11">
        <f>SUM(CC143+CT143)</f>
        <v>80055</v>
      </c>
      <c r="CC143" s="11">
        <f>SUM(CD143+CG143+CL143)</f>
        <v>80055</v>
      </c>
      <c r="CD143" s="11">
        <f t="shared" si="81"/>
        <v>62839</v>
      </c>
      <c r="CE143" s="11">
        <v>0</v>
      </c>
      <c r="CF143" s="11">
        <v>62839</v>
      </c>
      <c r="CG143" s="11">
        <f>SUM(CH143:CK143)</f>
        <v>0</v>
      </c>
      <c r="CH143" s="11">
        <v>0</v>
      </c>
      <c r="CI143" s="11">
        <v>0</v>
      </c>
      <c r="CJ143" s="11">
        <v>0</v>
      </c>
      <c r="CK143" s="11">
        <v>0</v>
      </c>
      <c r="CL143" s="11">
        <f>SUM(CM143:CQ143)</f>
        <v>17216</v>
      </c>
      <c r="CM143" s="11">
        <v>0</v>
      </c>
      <c r="CN143" s="11">
        <v>17216</v>
      </c>
      <c r="CO143" s="11">
        <v>0</v>
      </c>
      <c r="CP143" s="11"/>
      <c r="CQ143" s="11">
        <v>0</v>
      </c>
      <c r="CR143" s="11"/>
      <c r="CS143" s="11"/>
      <c r="CT143" s="11">
        <v>0</v>
      </c>
      <c r="CU143" s="11">
        <f t="shared" si="82"/>
        <v>0</v>
      </c>
      <c r="CV143" s="11">
        <f t="shared" si="83"/>
        <v>0</v>
      </c>
      <c r="CW143" s="11">
        <v>0</v>
      </c>
      <c r="CX143" s="12">
        <v>0</v>
      </c>
    </row>
    <row r="144" spans="1:102" ht="31.5" x14ac:dyDescent="0.25">
      <c r="A144" s="7"/>
      <c r="B144" s="8" t="s">
        <v>280</v>
      </c>
      <c r="C144" s="8" t="s">
        <v>1</v>
      </c>
      <c r="D144" s="9" t="s">
        <v>281</v>
      </c>
      <c r="E144" s="10">
        <f t="shared" ref="E144:BS144" si="269">SUM(E145:E147)</f>
        <v>1833819</v>
      </c>
      <c r="F144" s="11">
        <f t="shared" si="269"/>
        <v>1833819</v>
      </c>
      <c r="G144" s="11">
        <f t="shared" si="269"/>
        <v>1783379</v>
      </c>
      <c r="H144" s="11">
        <f t="shared" si="269"/>
        <v>1101953</v>
      </c>
      <c r="I144" s="11">
        <f t="shared" si="269"/>
        <v>263180</v>
      </c>
      <c r="J144" s="11">
        <f t="shared" si="269"/>
        <v>26415</v>
      </c>
      <c r="K144" s="11">
        <f t="shared" si="269"/>
        <v>0</v>
      </c>
      <c r="L144" s="11">
        <f t="shared" si="269"/>
        <v>0</v>
      </c>
      <c r="M144" s="11">
        <f t="shared" si="269"/>
        <v>0</v>
      </c>
      <c r="N144" s="11">
        <f t="shared" si="269"/>
        <v>0</v>
      </c>
      <c r="O144" s="11">
        <f t="shared" si="269"/>
        <v>0</v>
      </c>
      <c r="P144" s="11">
        <f t="shared" si="269"/>
        <v>26415</v>
      </c>
      <c r="Q144" s="11">
        <f t="shared" si="269"/>
        <v>0</v>
      </c>
      <c r="R144" s="11">
        <f t="shared" si="269"/>
        <v>0</v>
      </c>
      <c r="S144" s="11">
        <f t="shared" si="269"/>
        <v>0</v>
      </c>
      <c r="T144" s="11">
        <f t="shared" si="269"/>
        <v>0</v>
      </c>
      <c r="U144" s="11">
        <f t="shared" si="269"/>
        <v>7628</v>
      </c>
      <c r="V144" s="11">
        <f t="shared" si="269"/>
        <v>0</v>
      </c>
      <c r="W144" s="11">
        <f t="shared" si="269"/>
        <v>0</v>
      </c>
      <c r="X144" s="11">
        <f t="shared" si="269"/>
        <v>0</v>
      </c>
      <c r="Y144" s="11">
        <f t="shared" si="269"/>
        <v>0</v>
      </c>
      <c r="Z144" s="11">
        <f t="shared" si="269"/>
        <v>0</v>
      </c>
      <c r="AA144" s="11">
        <f t="shared" si="269"/>
        <v>0</v>
      </c>
      <c r="AB144" s="11">
        <f t="shared" si="269"/>
        <v>0</v>
      </c>
      <c r="AC144" s="11">
        <f t="shared" si="269"/>
        <v>0</v>
      </c>
      <c r="AD144" s="11">
        <f t="shared" si="269"/>
        <v>0</v>
      </c>
      <c r="AE144" s="11">
        <f t="shared" si="269"/>
        <v>0</v>
      </c>
      <c r="AF144" s="11">
        <f t="shared" si="269"/>
        <v>384203</v>
      </c>
      <c r="AG144" s="11">
        <f t="shared" si="269"/>
        <v>0</v>
      </c>
      <c r="AH144" s="11">
        <f t="shared" si="269"/>
        <v>0</v>
      </c>
      <c r="AI144" s="11">
        <f t="shared" si="269"/>
        <v>0</v>
      </c>
      <c r="AJ144" s="11">
        <f t="shared" si="269"/>
        <v>0</v>
      </c>
      <c r="AK144" s="11">
        <f t="shared" si="269"/>
        <v>0</v>
      </c>
      <c r="AL144" s="11">
        <f t="shared" si="269"/>
        <v>0</v>
      </c>
      <c r="AM144" s="11">
        <f t="shared" si="269"/>
        <v>0</v>
      </c>
      <c r="AN144" s="11">
        <f t="shared" si="269"/>
        <v>0</v>
      </c>
      <c r="AO144" s="11">
        <f t="shared" si="269"/>
        <v>134455</v>
      </c>
      <c r="AP144" s="11">
        <f t="shared" si="269"/>
        <v>0</v>
      </c>
      <c r="AQ144" s="11">
        <f t="shared" si="269"/>
        <v>0</v>
      </c>
      <c r="AR144" s="11">
        <f t="shared" si="269"/>
        <v>0</v>
      </c>
      <c r="AS144" s="11">
        <f t="shared" si="269"/>
        <v>0</v>
      </c>
      <c r="AT144" s="11">
        <f t="shared" si="269"/>
        <v>0</v>
      </c>
      <c r="AU144" s="11">
        <f t="shared" si="269"/>
        <v>0</v>
      </c>
      <c r="AV144" s="11"/>
      <c r="AW144" s="11"/>
      <c r="AX144" s="11">
        <f t="shared" si="269"/>
        <v>0</v>
      </c>
      <c r="AY144" s="11">
        <f t="shared" si="269"/>
        <v>0</v>
      </c>
      <c r="AZ144" s="11">
        <f t="shared" si="269"/>
        <v>0</v>
      </c>
      <c r="BA144" s="11">
        <f t="shared" si="269"/>
        <v>0</v>
      </c>
      <c r="BB144" s="11">
        <f t="shared" si="269"/>
        <v>249748</v>
      </c>
      <c r="BC144" s="11">
        <f t="shared" si="269"/>
        <v>50440</v>
      </c>
      <c r="BD144" s="11">
        <f t="shared" si="269"/>
        <v>0</v>
      </c>
      <c r="BE144" s="11">
        <f t="shared" si="269"/>
        <v>0</v>
      </c>
      <c r="BF144" s="11">
        <f t="shared" si="269"/>
        <v>0</v>
      </c>
      <c r="BG144" s="11">
        <f t="shared" si="269"/>
        <v>0</v>
      </c>
      <c r="BH144" s="11">
        <f t="shared" si="269"/>
        <v>0</v>
      </c>
      <c r="BI144" s="11">
        <f t="shared" si="269"/>
        <v>0</v>
      </c>
      <c r="BJ144" s="11">
        <f t="shared" si="269"/>
        <v>0</v>
      </c>
      <c r="BK144" s="11">
        <f t="shared" si="269"/>
        <v>0</v>
      </c>
      <c r="BL144" s="11">
        <f t="shared" si="269"/>
        <v>0</v>
      </c>
      <c r="BM144" s="11">
        <f t="shared" si="269"/>
        <v>0</v>
      </c>
      <c r="BN144" s="11">
        <f t="shared" si="269"/>
        <v>0</v>
      </c>
      <c r="BO144" s="11">
        <f t="shared" si="269"/>
        <v>0</v>
      </c>
      <c r="BP144" s="11">
        <f t="shared" si="269"/>
        <v>50440</v>
      </c>
      <c r="BQ144" s="11">
        <f t="shared" si="269"/>
        <v>0</v>
      </c>
      <c r="BR144" s="11">
        <f t="shared" si="269"/>
        <v>0</v>
      </c>
      <c r="BS144" s="11">
        <f t="shared" si="269"/>
        <v>50440</v>
      </c>
      <c r="BT144" s="11">
        <f t="shared" ref="BT144:CX144" si="270">SUM(BT145:BT147)</f>
        <v>0</v>
      </c>
      <c r="BU144" s="11">
        <f t="shared" si="270"/>
        <v>0</v>
      </c>
      <c r="BV144" s="11">
        <f t="shared" si="270"/>
        <v>0</v>
      </c>
      <c r="BW144" s="11">
        <f t="shared" si="270"/>
        <v>0</v>
      </c>
      <c r="BX144" s="11">
        <f t="shared" si="270"/>
        <v>0</v>
      </c>
      <c r="BY144" s="11">
        <f t="shared" si="270"/>
        <v>0</v>
      </c>
      <c r="BZ144" s="11">
        <f t="shared" si="270"/>
        <v>0</v>
      </c>
      <c r="CA144" s="11">
        <f t="shared" si="270"/>
        <v>0</v>
      </c>
      <c r="CB144" s="11">
        <f t="shared" si="270"/>
        <v>0</v>
      </c>
      <c r="CC144" s="11">
        <f t="shared" si="270"/>
        <v>0</v>
      </c>
      <c r="CD144" s="11">
        <f t="shared" si="270"/>
        <v>0</v>
      </c>
      <c r="CE144" s="11">
        <f t="shared" si="270"/>
        <v>0</v>
      </c>
      <c r="CF144" s="11">
        <f t="shared" si="270"/>
        <v>0</v>
      </c>
      <c r="CG144" s="11">
        <f t="shared" si="270"/>
        <v>0</v>
      </c>
      <c r="CH144" s="11">
        <f t="shared" si="270"/>
        <v>0</v>
      </c>
      <c r="CI144" s="11">
        <f t="shared" si="270"/>
        <v>0</v>
      </c>
      <c r="CJ144" s="11">
        <f t="shared" si="270"/>
        <v>0</v>
      </c>
      <c r="CK144" s="11">
        <f t="shared" si="270"/>
        <v>0</v>
      </c>
      <c r="CL144" s="11">
        <f t="shared" si="270"/>
        <v>0</v>
      </c>
      <c r="CM144" s="11">
        <f t="shared" si="270"/>
        <v>0</v>
      </c>
      <c r="CN144" s="11">
        <f t="shared" si="270"/>
        <v>0</v>
      </c>
      <c r="CO144" s="11">
        <f t="shared" si="270"/>
        <v>0</v>
      </c>
      <c r="CP144" s="11"/>
      <c r="CQ144" s="11">
        <f t="shared" si="270"/>
        <v>0</v>
      </c>
      <c r="CR144" s="11">
        <f t="shared" si="270"/>
        <v>0</v>
      </c>
      <c r="CS144" s="11">
        <f t="shared" si="270"/>
        <v>0</v>
      </c>
      <c r="CT144" s="11">
        <f t="shared" si="270"/>
        <v>0</v>
      </c>
      <c r="CU144" s="11">
        <f t="shared" si="270"/>
        <v>0</v>
      </c>
      <c r="CV144" s="11">
        <f t="shared" si="270"/>
        <v>0</v>
      </c>
      <c r="CW144" s="11">
        <f t="shared" si="270"/>
        <v>0</v>
      </c>
      <c r="CX144" s="12">
        <f t="shared" si="270"/>
        <v>0</v>
      </c>
    </row>
    <row r="145" spans="1:102" ht="31.5" x14ac:dyDescent="0.25">
      <c r="A145" s="13"/>
      <c r="B145" s="14" t="s">
        <v>1</v>
      </c>
      <c r="C145" s="14" t="s">
        <v>99</v>
      </c>
      <c r="D145" s="15" t="s">
        <v>282</v>
      </c>
      <c r="E145" s="10">
        <f>SUM(F145+CB145+CU145)</f>
        <v>9468</v>
      </c>
      <c r="F145" s="11">
        <f>SUM(G145+BC145)</f>
        <v>9468</v>
      </c>
      <c r="G145" s="11">
        <f>SUM(H145+I145+J145+Q145+T145+U145+V145+AF145+AE145)</f>
        <v>9468</v>
      </c>
      <c r="H145" s="16"/>
      <c r="I145" s="16"/>
      <c r="J145" s="11">
        <f t="shared" si="76"/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f t="shared" si="77"/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f t="shared" ref="V145:V147" si="271">SUM(W145:AD145)</f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f>SUM(AG145:BB145)</f>
        <v>9468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2547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/>
      <c r="AW145" s="11"/>
      <c r="AX145" s="11">
        <v>0</v>
      </c>
      <c r="AY145" s="11">
        <v>0</v>
      </c>
      <c r="AZ145" s="11">
        <v>0</v>
      </c>
      <c r="BA145" s="11">
        <v>0</v>
      </c>
      <c r="BB145" s="16">
        <v>6921</v>
      </c>
      <c r="BC145" s="11">
        <f>SUM(BD145+BH145+BL145+BN145+BP145)</f>
        <v>0</v>
      </c>
      <c r="BD145" s="11">
        <f>SUM(BE145:BG145)</f>
        <v>0</v>
      </c>
      <c r="BE145" s="11">
        <v>0</v>
      </c>
      <c r="BF145" s="11">
        <v>0</v>
      </c>
      <c r="BG145" s="11">
        <v>0</v>
      </c>
      <c r="BH145" s="11">
        <f t="shared" si="78"/>
        <v>0</v>
      </c>
      <c r="BI145" s="11">
        <v>0</v>
      </c>
      <c r="BJ145" s="11">
        <v>0</v>
      </c>
      <c r="BK145" s="11">
        <v>0</v>
      </c>
      <c r="BL145" s="11">
        <v>0</v>
      </c>
      <c r="BM145" s="11">
        <v>0</v>
      </c>
      <c r="BN145" s="11">
        <f t="shared" si="79"/>
        <v>0</v>
      </c>
      <c r="BO145" s="11">
        <v>0</v>
      </c>
      <c r="BP145" s="11">
        <f t="shared" si="80"/>
        <v>0</v>
      </c>
      <c r="BQ145" s="11">
        <v>0</v>
      </c>
      <c r="BR145" s="11">
        <v>0</v>
      </c>
      <c r="BS145" s="11">
        <v>0</v>
      </c>
      <c r="BT145" s="11">
        <v>0</v>
      </c>
      <c r="BU145" s="11">
        <v>0</v>
      </c>
      <c r="BV145" s="11">
        <v>0</v>
      </c>
      <c r="BW145" s="11">
        <v>0</v>
      </c>
      <c r="BX145" s="11">
        <v>0</v>
      </c>
      <c r="BY145" s="11">
        <v>0</v>
      </c>
      <c r="BZ145" s="11">
        <v>0</v>
      </c>
      <c r="CA145" s="11">
        <v>0</v>
      </c>
      <c r="CB145" s="11">
        <f>SUM(CC145+CT145)</f>
        <v>0</v>
      </c>
      <c r="CC145" s="11">
        <f>SUM(CD145+CG145+CL145)</f>
        <v>0</v>
      </c>
      <c r="CD145" s="11">
        <f t="shared" si="81"/>
        <v>0</v>
      </c>
      <c r="CE145" s="11">
        <v>0</v>
      </c>
      <c r="CF145" s="11">
        <v>0</v>
      </c>
      <c r="CG145" s="11">
        <f>SUM(CH145:CK145)</f>
        <v>0</v>
      </c>
      <c r="CH145" s="11">
        <v>0</v>
      </c>
      <c r="CI145" s="11">
        <v>0</v>
      </c>
      <c r="CJ145" s="11">
        <v>0</v>
      </c>
      <c r="CK145" s="11">
        <v>0</v>
      </c>
      <c r="CL145" s="11">
        <f>SUM(CM145:CQ145)</f>
        <v>0</v>
      </c>
      <c r="CM145" s="11">
        <v>0</v>
      </c>
      <c r="CN145" s="11">
        <v>0</v>
      </c>
      <c r="CO145" s="11">
        <v>0</v>
      </c>
      <c r="CP145" s="11"/>
      <c r="CQ145" s="11">
        <v>0</v>
      </c>
      <c r="CR145" s="11">
        <v>0</v>
      </c>
      <c r="CS145" s="11">
        <v>0</v>
      </c>
      <c r="CT145" s="11">
        <v>0</v>
      </c>
      <c r="CU145" s="11">
        <f t="shared" si="82"/>
        <v>0</v>
      </c>
      <c r="CV145" s="11">
        <f t="shared" si="83"/>
        <v>0</v>
      </c>
      <c r="CW145" s="11">
        <v>0</v>
      </c>
      <c r="CX145" s="12">
        <v>0</v>
      </c>
    </row>
    <row r="146" spans="1:102" ht="15.75" x14ac:dyDescent="0.25">
      <c r="A146" s="13"/>
      <c r="B146" s="14" t="s">
        <v>1</v>
      </c>
      <c r="C146" s="14" t="s">
        <v>103</v>
      </c>
      <c r="D146" s="15" t="s">
        <v>283</v>
      </c>
      <c r="E146" s="10">
        <f>SUM(F146+CB146+CU146)</f>
        <v>801323</v>
      </c>
      <c r="F146" s="11">
        <f>SUM(G146+BC146)</f>
        <v>801323</v>
      </c>
      <c r="G146" s="11">
        <f>SUM(H146+I146+J146+Q146+T146+U146+V146+AF146+AE146)</f>
        <v>801323</v>
      </c>
      <c r="H146" s="16">
        <f>582448+31064</f>
        <v>613512</v>
      </c>
      <c r="I146" s="16">
        <f>133303+7766</f>
        <v>141069</v>
      </c>
      <c r="J146" s="11">
        <f>SUM(K146:P146)</f>
        <v>26415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26415</v>
      </c>
      <c r="Q146" s="11">
        <f>SUM(R146:S146)</f>
        <v>0</v>
      </c>
      <c r="R146" s="11"/>
      <c r="S146" s="11">
        <v>0</v>
      </c>
      <c r="T146" s="11">
        <v>0</v>
      </c>
      <c r="U146" s="11">
        <v>7628</v>
      </c>
      <c r="V146" s="11">
        <f t="shared" si="271"/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f>SUM(AG146:BB146)</f>
        <v>12699</v>
      </c>
      <c r="AG146" s="11">
        <v>0</v>
      </c>
      <c r="AH146" s="11"/>
      <c r="AI146" s="11"/>
      <c r="AJ146" s="11">
        <v>0</v>
      </c>
      <c r="AK146" s="11">
        <v>0</v>
      </c>
      <c r="AL146" s="11"/>
      <c r="AM146" s="11">
        <v>0</v>
      </c>
      <c r="AN146" s="11"/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/>
      <c r="AW146" s="11"/>
      <c r="AX146" s="11">
        <v>0</v>
      </c>
      <c r="AY146" s="11">
        <v>0</v>
      </c>
      <c r="AZ146" s="11">
        <v>0</v>
      </c>
      <c r="BA146" s="11">
        <v>0</v>
      </c>
      <c r="BB146" s="16">
        <v>12699</v>
      </c>
      <c r="BC146" s="11">
        <f>SUM(BD146+BH146+BL146+BN146+BP146)</f>
        <v>0</v>
      </c>
      <c r="BD146" s="11">
        <f>SUM(BE146:BG146)</f>
        <v>0</v>
      </c>
      <c r="BE146" s="11">
        <v>0</v>
      </c>
      <c r="BF146" s="11">
        <v>0</v>
      </c>
      <c r="BG146" s="11">
        <v>0</v>
      </c>
      <c r="BH146" s="11">
        <f>SUM(BJ146:BK146)</f>
        <v>0</v>
      </c>
      <c r="BI146" s="11">
        <v>0</v>
      </c>
      <c r="BJ146" s="11">
        <v>0</v>
      </c>
      <c r="BK146" s="11">
        <v>0</v>
      </c>
      <c r="BL146" s="11">
        <v>0</v>
      </c>
      <c r="BM146" s="11">
        <v>0</v>
      </c>
      <c r="BN146" s="11">
        <f>SUM(BO146)</f>
        <v>0</v>
      </c>
      <c r="BO146" s="11">
        <v>0</v>
      </c>
      <c r="BP146" s="11">
        <f>SUM(BQ146:CA146)</f>
        <v>0</v>
      </c>
      <c r="BQ146" s="11">
        <v>0</v>
      </c>
      <c r="BR146" s="11">
        <v>0</v>
      </c>
      <c r="BS146" s="11">
        <v>0</v>
      </c>
      <c r="BT146" s="11">
        <v>0</v>
      </c>
      <c r="BU146" s="11">
        <v>0</v>
      </c>
      <c r="BV146" s="11">
        <v>0</v>
      </c>
      <c r="BW146" s="11">
        <v>0</v>
      </c>
      <c r="BX146" s="11">
        <v>0</v>
      </c>
      <c r="BY146" s="11">
        <v>0</v>
      </c>
      <c r="BZ146" s="11">
        <v>0</v>
      </c>
      <c r="CA146" s="11">
        <v>0</v>
      </c>
      <c r="CB146" s="11">
        <f>SUM(CC146+CT146)</f>
        <v>0</v>
      </c>
      <c r="CC146" s="11">
        <f>SUM(CD146+CG146+CL146)</f>
        <v>0</v>
      </c>
      <c r="CD146" s="11">
        <f>SUM(CE146:CF146)</f>
        <v>0</v>
      </c>
      <c r="CE146" s="11">
        <v>0</v>
      </c>
      <c r="CF146" s="11"/>
      <c r="CG146" s="11">
        <f>SUM(CH146:CK146)</f>
        <v>0</v>
      </c>
      <c r="CH146" s="11">
        <v>0</v>
      </c>
      <c r="CI146" s="11">
        <v>0</v>
      </c>
      <c r="CJ146" s="11">
        <v>0</v>
      </c>
      <c r="CK146" s="11">
        <v>0</v>
      </c>
      <c r="CL146" s="11">
        <f>SUM(CM146:CQ146)</f>
        <v>0</v>
      </c>
      <c r="CM146" s="11">
        <v>0</v>
      </c>
      <c r="CN146" s="11">
        <v>0</v>
      </c>
      <c r="CO146" s="11">
        <v>0</v>
      </c>
      <c r="CP146" s="11"/>
      <c r="CQ146" s="11">
        <v>0</v>
      </c>
      <c r="CR146" s="11">
        <v>0</v>
      </c>
      <c r="CS146" s="11">
        <v>0</v>
      </c>
      <c r="CT146" s="11">
        <v>0</v>
      </c>
      <c r="CU146" s="11">
        <f>SUM(CV146)</f>
        <v>0</v>
      </c>
      <c r="CV146" s="11">
        <f>SUM(CW146:CX146)</f>
        <v>0</v>
      </c>
      <c r="CW146" s="11">
        <v>0</v>
      </c>
      <c r="CX146" s="12">
        <v>0</v>
      </c>
    </row>
    <row r="147" spans="1:102" ht="31.5" x14ac:dyDescent="0.25">
      <c r="A147" s="13" t="s">
        <v>1</v>
      </c>
      <c r="B147" s="14" t="s">
        <v>1</v>
      </c>
      <c r="C147" s="14" t="s">
        <v>103</v>
      </c>
      <c r="D147" s="15" t="s">
        <v>284</v>
      </c>
      <c r="E147" s="10">
        <f>SUM(F147+CB147+CU147)</f>
        <v>1023028</v>
      </c>
      <c r="F147" s="11">
        <f>SUM(G147+BC147)</f>
        <v>1023028</v>
      </c>
      <c r="G147" s="11">
        <f>SUM(H147+I147+J147+Q147+T147+U147+V147+AF147+AE147)</f>
        <v>972588</v>
      </c>
      <c r="H147" s="16">
        <f>463710+24731</f>
        <v>488441</v>
      </c>
      <c r="I147" s="16">
        <f>115928+6183</f>
        <v>122111</v>
      </c>
      <c r="J147" s="11">
        <f t="shared" si="76"/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f t="shared" si="77"/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f t="shared" si="271"/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f>SUM(AG147:BB147)</f>
        <v>362036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131908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/>
      <c r="AW147" s="11"/>
      <c r="AX147" s="11">
        <v>0</v>
      </c>
      <c r="AY147" s="11">
        <v>0</v>
      </c>
      <c r="AZ147" s="11">
        <v>0</v>
      </c>
      <c r="BA147" s="11">
        <v>0</v>
      </c>
      <c r="BB147" s="16">
        <v>230128</v>
      </c>
      <c r="BC147" s="11">
        <f>SUM(BD147+BH147+BL147+BN147+BP147)</f>
        <v>50440</v>
      </c>
      <c r="BD147" s="11">
        <f>SUM(BE147:BG147)</f>
        <v>0</v>
      </c>
      <c r="BE147" s="11">
        <v>0</v>
      </c>
      <c r="BF147" s="11">
        <v>0</v>
      </c>
      <c r="BG147" s="11">
        <v>0</v>
      </c>
      <c r="BH147" s="11">
        <f t="shared" si="78"/>
        <v>0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f t="shared" si="79"/>
        <v>0</v>
      </c>
      <c r="BO147" s="11">
        <v>0</v>
      </c>
      <c r="BP147" s="11">
        <f t="shared" si="80"/>
        <v>50440</v>
      </c>
      <c r="BQ147" s="11">
        <v>0</v>
      </c>
      <c r="BR147" s="11">
        <v>0</v>
      </c>
      <c r="BS147" s="11">
        <v>50440</v>
      </c>
      <c r="BT147" s="11">
        <v>0</v>
      </c>
      <c r="BU147" s="11">
        <v>0</v>
      </c>
      <c r="BV147" s="11">
        <v>0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f>SUM(CC147+CT147)</f>
        <v>0</v>
      </c>
      <c r="CC147" s="11">
        <f>SUM(CD147+CG147+CL147)</f>
        <v>0</v>
      </c>
      <c r="CD147" s="11">
        <f t="shared" si="81"/>
        <v>0</v>
      </c>
      <c r="CE147" s="11">
        <v>0</v>
      </c>
      <c r="CF147" s="11">
        <v>0</v>
      </c>
      <c r="CG147" s="11">
        <f>SUM(CH147:CK147)</f>
        <v>0</v>
      </c>
      <c r="CH147" s="11">
        <v>0</v>
      </c>
      <c r="CI147" s="11">
        <v>0</v>
      </c>
      <c r="CJ147" s="11">
        <v>0</v>
      </c>
      <c r="CK147" s="11">
        <v>0</v>
      </c>
      <c r="CL147" s="11">
        <f>SUM(CM147:CQ147)</f>
        <v>0</v>
      </c>
      <c r="CM147" s="11">
        <v>0</v>
      </c>
      <c r="CN147" s="11">
        <v>0</v>
      </c>
      <c r="CO147" s="11">
        <v>0</v>
      </c>
      <c r="CP147" s="11"/>
      <c r="CQ147" s="11">
        <v>0</v>
      </c>
      <c r="CR147" s="11">
        <v>0</v>
      </c>
      <c r="CS147" s="11">
        <v>0</v>
      </c>
      <c r="CT147" s="11">
        <v>0</v>
      </c>
      <c r="CU147" s="11">
        <f t="shared" si="82"/>
        <v>0</v>
      </c>
      <c r="CV147" s="11">
        <f t="shared" si="83"/>
        <v>0</v>
      </c>
      <c r="CW147" s="11">
        <v>0</v>
      </c>
      <c r="CX147" s="12">
        <v>0</v>
      </c>
    </row>
    <row r="148" spans="1:102" ht="31.5" x14ac:dyDescent="0.25">
      <c r="A148" s="18" t="s">
        <v>285</v>
      </c>
      <c r="B148" s="19" t="s">
        <v>1</v>
      </c>
      <c r="C148" s="19" t="s">
        <v>1</v>
      </c>
      <c r="D148" s="20" t="s">
        <v>286</v>
      </c>
      <c r="E148" s="21">
        <f>SUM(E149+E153+E156)</f>
        <v>24427540</v>
      </c>
      <c r="F148" s="22">
        <f t="shared" ref="F148:BV148" si="272">SUM(F149+F153+F156)</f>
        <v>24193115</v>
      </c>
      <c r="G148" s="22">
        <f t="shared" si="272"/>
        <v>23733335</v>
      </c>
      <c r="H148" s="22">
        <f t="shared" si="272"/>
        <v>16708925</v>
      </c>
      <c r="I148" s="22">
        <f t="shared" si="272"/>
        <v>3926646</v>
      </c>
      <c r="J148" s="22">
        <f t="shared" si="272"/>
        <v>318931</v>
      </c>
      <c r="K148" s="22">
        <f t="shared" si="272"/>
        <v>45201</v>
      </c>
      <c r="L148" s="22">
        <f t="shared" si="272"/>
        <v>0</v>
      </c>
      <c r="M148" s="22">
        <f t="shared" si="272"/>
        <v>0</v>
      </c>
      <c r="N148" s="22">
        <f t="shared" si="272"/>
        <v>0</v>
      </c>
      <c r="O148" s="22">
        <f t="shared" si="272"/>
        <v>165341</v>
      </c>
      <c r="P148" s="22">
        <f t="shared" si="272"/>
        <v>108389</v>
      </c>
      <c r="Q148" s="22">
        <f t="shared" si="272"/>
        <v>1741</v>
      </c>
      <c r="R148" s="22">
        <f t="shared" si="272"/>
        <v>1741</v>
      </c>
      <c r="S148" s="22">
        <f t="shared" si="272"/>
        <v>0</v>
      </c>
      <c r="T148" s="22">
        <f t="shared" si="272"/>
        <v>0</v>
      </c>
      <c r="U148" s="22">
        <f t="shared" si="272"/>
        <v>106143</v>
      </c>
      <c r="V148" s="22">
        <f t="shared" si="272"/>
        <v>656999</v>
      </c>
      <c r="W148" s="22">
        <f t="shared" si="272"/>
        <v>8272</v>
      </c>
      <c r="X148" s="22">
        <f t="shared" si="272"/>
        <v>355891</v>
      </c>
      <c r="Y148" s="22">
        <f t="shared" si="272"/>
        <v>223585</v>
      </c>
      <c r="Z148" s="22">
        <f t="shared" si="272"/>
        <v>59182</v>
      </c>
      <c r="AA148" s="22">
        <f t="shared" si="272"/>
        <v>5410</v>
      </c>
      <c r="AB148" s="22">
        <f t="shared" si="272"/>
        <v>0</v>
      </c>
      <c r="AC148" s="22">
        <f t="shared" si="272"/>
        <v>0</v>
      </c>
      <c r="AD148" s="22">
        <f t="shared" si="272"/>
        <v>4659</v>
      </c>
      <c r="AE148" s="22">
        <f t="shared" si="272"/>
        <v>0</v>
      </c>
      <c r="AF148" s="22">
        <f t="shared" si="272"/>
        <v>2013950</v>
      </c>
      <c r="AG148" s="22">
        <f t="shared" si="272"/>
        <v>0</v>
      </c>
      <c r="AH148" s="22">
        <f t="shared" si="272"/>
        <v>0</v>
      </c>
      <c r="AI148" s="22">
        <f t="shared" si="272"/>
        <v>225</v>
      </c>
      <c r="AJ148" s="22">
        <f t="shared" si="272"/>
        <v>0</v>
      </c>
      <c r="AK148" s="22">
        <f t="shared" si="272"/>
        <v>0</v>
      </c>
      <c r="AL148" s="22">
        <f t="shared" si="272"/>
        <v>329</v>
      </c>
      <c r="AM148" s="22">
        <f t="shared" si="272"/>
        <v>0</v>
      </c>
      <c r="AN148" s="22">
        <f t="shared" si="272"/>
        <v>0</v>
      </c>
      <c r="AO148" s="22">
        <f t="shared" si="272"/>
        <v>0</v>
      </c>
      <c r="AP148" s="22">
        <f t="shared" si="272"/>
        <v>0</v>
      </c>
      <c r="AQ148" s="22">
        <f t="shared" si="272"/>
        <v>0</v>
      </c>
      <c r="AR148" s="22">
        <f>SUM(AR149+AR153+AR156)</f>
        <v>0</v>
      </c>
      <c r="AS148" s="22">
        <f t="shared" si="272"/>
        <v>0</v>
      </c>
      <c r="AT148" s="22">
        <f t="shared" si="272"/>
        <v>60544</v>
      </c>
      <c r="AU148" s="22">
        <f t="shared" si="272"/>
        <v>32800</v>
      </c>
      <c r="AV148" s="22"/>
      <c r="AW148" s="22"/>
      <c r="AX148" s="22">
        <f t="shared" si="272"/>
        <v>0</v>
      </c>
      <c r="AY148" s="22">
        <f t="shared" si="272"/>
        <v>0</v>
      </c>
      <c r="AZ148" s="22">
        <f t="shared" si="272"/>
        <v>0</v>
      </c>
      <c r="BA148" s="22">
        <f t="shared" si="272"/>
        <v>0</v>
      </c>
      <c r="BB148" s="22">
        <f t="shared" si="272"/>
        <v>1920052</v>
      </c>
      <c r="BC148" s="22">
        <f t="shared" si="272"/>
        <v>459780</v>
      </c>
      <c r="BD148" s="22">
        <f t="shared" si="272"/>
        <v>0</v>
      </c>
      <c r="BE148" s="22">
        <f t="shared" si="272"/>
        <v>0</v>
      </c>
      <c r="BF148" s="22">
        <f t="shared" si="272"/>
        <v>0</v>
      </c>
      <c r="BG148" s="22">
        <f t="shared" si="272"/>
        <v>0</v>
      </c>
      <c r="BH148" s="22">
        <f t="shared" si="272"/>
        <v>0</v>
      </c>
      <c r="BI148" s="22">
        <f t="shared" si="272"/>
        <v>0</v>
      </c>
      <c r="BJ148" s="22">
        <f t="shared" si="272"/>
        <v>0</v>
      </c>
      <c r="BK148" s="22">
        <f t="shared" si="272"/>
        <v>0</v>
      </c>
      <c r="BL148" s="22">
        <f t="shared" si="272"/>
        <v>0</v>
      </c>
      <c r="BM148" s="22">
        <f t="shared" si="272"/>
        <v>0</v>
      </c>
      <c r="BN148" s="22">
        <f t="shared" si="272"/>
        <v>0</v>
      </c>
      <c r="BO148" s="22">
        <f t="shared" si="272"/>
        <v>0</v>
      </c>
      <c r="BP148" s="22">
        <f t="shared" si="272"/>
        <v>459780</v>
      </c>
      <c r="BQ148" s="22">
        <f t="shared" si="272"/>
        <v>0</v>
      </c>
      <c r="BR148" s="22">
        <f t="shared" si="272"/>
        <v>0</v>
      </c>
      <c r="BS148" s="22">
        <f t="shared" si="272"/>
        <v>459780</v>
      </c>
      <c r="BT148" s="22">
        <f t="shared" si="272"/>
        <v>0</v>
      </c>
      <c r="BU148" s="22">
        <f t="shared" si="272"/>
        <v>0</v>
      </c>
      <c r="BV148" s="22">
        <f t="shared" si="272"/>
        <v>0</v>
      </c>
      <c r="BW148" s="22">
        <f t="shared" ref="BW148:CX148" si="273">SUM(BW149+BW153+BW156)</f>
        <v>0</v>
      </c>
      <c r="BX148" s="22">
        <f t="shared" si="273"/>
        <v>0</v>
      </c>
      <c r="BY148" s="22">
        <f t="shared" si="273"/>
        <v>0</v>
      </c>
      <c r="BZ148" s="22">
        <f t="shared" si="273"/>
        <v>0</v>
      </c>
      <c r="CA148" s="22">
        <f t="shared" si="273"/>
        <v>0</v>
      </c>
      <c r="CB148" s="22">
        <f t="shared" si="273"/>
        <v>234425</v>
      </c>
      <c r="CC148" s="22">
        <f t="shared" si="273"/>
        <v>234425</v>
      </c>
      <c r="CD148" s="22">
        <f t="shared" si="273"/>
        <v>234425</v>
      </c>
      <c r="CE148" s="22">
        <f t="shared" si="273"/>
        <v>0</v>
      </c>
      <c r="CF148" s="22">
        <f t="shared" si="273"/>
        <v>234425</v>
      </c>
      <c r="CG148" s="22">
        <f t="shared" si="273"/>
        <v>0</v>
      </c>
      <c r="CH148" s="22">
        <f t="shared" si="273"/>
        <v>0</v>
      </c>
      <c r="CI148" s="22">
        <f t="shared" si="273"/>
        <v>0</v>
      </c>
      <c r="CJ148" s="22">
        <f t="shared" si="273"/>
        <v>0</v>
      </c>
      <c r="CK148" s="22">
        <f t="shared" si="273"/>
        <v>0</v>
      </c>
      <c r="CL148" s="22">
        <f t="shared" si="273"/>
        <v>0</v>
      </c>
      <c r="CM148" s="22">
        <f t="shared" si="273"/>
        <v>0</v>
      </c>
      <c r="CN148" s="22">
        <f t="shared" si="273"/>
        <v>0</v>
      </c>
      <c r="CO148" s="22">
        <f t="shared" si="273"/>
        <v>0</v>
      </c>
      <c r="CP148" s="22"/>
      <c r="CQ148" s="22">
        <f t="shared" si="273"/>
        <v>0</v>
      </c>
      <c r="CR148" s="22">
        <f t="shared" si="273"/>
        <v>0</v>
      </c>
      <c r="CS148" s="22">
        <f t="shared" si="273"/>
        <v>0</v>
      </c>
      <c r="CT148" s="22">
        <f t="shared" si="273"/>
        <v>0</v>
      </c>
      <c r="CU148" s="22">
        <f t="shared" si="273"/>
        <v>0</v>
      </c>
      <c r="CV148" s="22">
        <f t="shared" si="273"/>
        <v>0</v>
      </c>
      <c r="CW148" s="22">
        <f t="shared" si="273"/>
        <v>0</v>
      </c>
      <c r="CX148" s="23">
        <f t="shared" si="273"/>
        <v>0</v>
      </c>
    </row>
    <row r="149" spans="1:102" ht="31.5" x14ac:dyDescent="0.25">
      <c r="A149" s="7"/>
      <c r="B149" s="8" t="s">
        <v>287</v>
      </c>
      <c r="C149" s="8" t="s">
        <v>1</v>
      </c>
      <c r="D149" s="9" t="s">
        <v>288</v>
      </c>
      <c r="E149" s="10">
        <f>SUM(E150:E152)</f>
        <v>13936047</v>
      </c>
      <c r="F149" s="11">
        <f t="shared" ref="F149:BV149" si="274">SUM(F150:F152)</f>
        <v>13911654</v>
      </c>
      <c r="G149" s="11">
        <f t="shared" si="274"/>
        <v>13911654</v>
      </c>
      <c r="H149" s="11">
        <f t="shared" si="274"/>
        <v>10904540</v>
      </c>
      <c r="I149" s="11">
        <f t="shared" si="274"/>
        <v>2560270</v>
      </c>
      <c r="J149" s="11">
        <f t="shared" si="274"/>
        <v>50592</v>
      </c>
      <c r="K149" s="11">
        <f t="shared" si="274"/>
        <v>0</v>
      </c>
      <c r="L149" s="11">
        <f t="shared" si="274"/>
        <v>0</v>
      </c>
      <c r="M149" s="11">
        <f t="shared" si="274"/>
        <v>0</v>
      </c>
      <c r="N149" s="11">
        <f t="shared" si="274"/>
        <v>0</v>
      </c>
      <c r="O149" s="11">
        <f t="shared" si="274"/>
        <v>49051</v>
      </c>
      <c r="P149" s="11">
        <f t="shared" si="274"/>
        <v>1541</v>
      </c>
      <c r="Q149" s="11">
        <f t="shared" si="274"/>
        <v>0</v>
      </c>
      <c r="R149" s="11">
        <f t="shared" si="274"/>
        <v>0</v>
      </c>
      <c r="S149" s="11">
        <f t="shared" si="274"/>
        <v>0</v>
      </c>
      <c r="T149" s="11">
        <f t="shared" si="274"/>
        <v>0</v>
      </c>
      <c r="U149" s="11">
        <f t="shared" si="274"/>
        <v>38203</v>
      </c>
      <c r="V149" s="11">
        <f t="shared" si="274"/>
        <v>317546</v>
      </c>
      <c r="W149" s="11">
        <f t="shared" si="274"/>
        <v>7500</v>
      </c>
      <c r="X149" s="11">
        <f t="shared" si="274"/>
        <v>188276</v>
      </c>
      <c r="Y149" s="11">
        <f t="shared" si="274"/>
        <v>90279</v>
      </c>
      <c r="Z149" s="11">
        <f t="shared" si="274"/>
        <v>21422</v>
      </c>
      <c r="AA149" s="11">
        <f t="shared" si="274"/>
        <v>5410</v>
      </c>
      <c r="AB149" s="11">
        <f t="shared" si="274"/>
        <v>0</v>
      </c>
      <c r="AC149" s="11">
        <f t="shared" si="274"/>
        <v>0</v>
      </c>
      <c r="AD149" s="11">
        <f t="shared" si="274"/>
        <v>4659</v>
      </c>
      <c r="AE149" s="11">
        <f t="shared" si="274"/>
        <v>0</v>
      </c>
      <c r="AF149" s="11">
        <f t="shared" si="274"/>
        <v>40503</v>
      </c>
      <c r="AG149" s="11">
        <f t="shared" si="274"/>
        <v>0</v>
      </c>
      <c r="AH149" s="11">
        <f t="shared" si="274"/>
        <v>0</v>
      </c>
      <c r="AI149" s="11">
        <f t="shared" si="274"/>
        <v>0</v>
      </c>
      <c r="AJ149" s="11">
        <f t="shared" si="274"/>
        <v>0</v>
      </c>
      <c r="AK149" s="11">
        <f t="shared" si="274"/>
        <v>0</v>
      </c>
      <c r="AL149" s="11">
        <f t="shared" si="274"/>
        <v>0</v>
      </c>
      <c r="AM149" s="11">
        <f t="shared" si="274"/>
        <v>0</v>
      </c>
      <c r="AN149" s="11">
        <f t="shared" si="274"/>
        <v>0</v>
      </c>
      <c r="AO149" s="11">
        <f t="shared" si="274"/>
        <v>0</v>
      </c>
      <c r="AP149" s="11">
        <f t="shared" si="274"/>
        <v>0</v>
      </c>
      <c r="AQ149" s="11">
        <f t="shared" si="274"/>
        <v>0</v>
      </c>
      <c r="AR149" s="11">
        <f>SUM(AR150:AR152)</f>
        <v>0</v>
      </c>
      <c r="AS149" s="11">
        <f t="shared" si="274"/>
        <v>0</v>
      </c>
      <c r="AT149" s="11">
        <f t="shared" si="274"/>
        <v>40503</v>
      </c>
      <c r="AU149" s="11">
        <f t="shared" si="274"/>
        <v>0</v>
      </c>
      <c r="AV149" s="11"/>
      <c r="AW149" s="11"/>
      <c r="AX149" s="11">
        <f t="shared" si="274"/>
        <v>0</v>
      </c>
      <c r="AY149" s="11">
        <f t="shared" si="274"/>
        <v>0</v>
      </c>
      <c r="AZ149" s="11">
        <f t="shared" si="274"/>
        <v>0</v>
      </c>
      <c r="BA149" s="11">
        <f t="shared" si="274"/>
        <v>0</v>
      </c>
      <c r="BB149" s="11">
        <f t="shared" si="274"/>
        <v>0</v>
      </c>
      <c r="BC149" s="11">
        <f t="shared" si="274"/>
        <v>0</v>
      </c>
      <c r="BD149" s="11">
        <f t="shared" si="274"/>
        <v>0</v>
      </c>
      <c r="BE149" s="11">
        <f t="shared" si="274"/>
        <v>0</v>
      </c>
      <c r="BF149" s="11">
        <f t="shared" si="274"/>
        <v>0</v>
      </c>
      <c r="BG149" s="11">
        <f t="shared" si="274"/>
        <v>0</v>
      </c>
      <c r="BH149" s="11">
        <f t="shared" si="274"/>
        <v>0</v>
      </c>
      <c r="BI149" s="11">
        <f t="shared" si="274"/>
        <v>0</v>
      </c>
      <c r="BJ149" s="11">
        <f t="shared" si="274"/>
        <v>0</v>
      </c>
      <c r="BK149" s="11">
        <f t="shared" si="274"/>
        <v>0</v>
      </c>
      <c r="BL149" s="11">
        <f t="shared" si="274"/>
        <v>0</v>
      </c>
      <c r="BM149" s="11">
        <f t="shared" si="274"/>
        <v>0</v>
      </c>
      <c r="BN149" s="11">
        <f t="shared" si="274"/>
        <v>0</v>
      </c>
      <c r="BO149" s="11">
        <f t="shared" si="274"/>
        <v>0</v>
      </c>
      <c r="BP149" s="11">
        <f t="shared" si="274"/>
        <v>0</v>
      </c>
      <c r="BQ149" s="11">
        <f t="shared" si="274"/>
        <v>0</v>
      </c>
      <c r="BR149" s="11">
        <f t="shared" si="274"/>
        <v>0</v>
      </c>
      <c r="BS149" s="11">
        <f t="shared" si="274"/>
        <v>0</v>
      </c>
      <c r="BT149" s="11">
        <f t="shared" si="274"/>
        <v>0</v>
      </c>
      <c r="BU149" s="11">
        <f t="shared" si="274"/>
        <v>0</v>
      </c>
      <c r="BV149" s="11">
        <f t="shared" si="274"/>
        <v>0</v>
      </c>
      <c r="BW149" s="11">
        <f t="shared" ref="BW149:CX149" si="275">SUM(BW150:BW152)</f>
        <v>0</v>
      </c>
      <c r="BX149" s="11">
        <f t="shared" si="275"/>
        <v>0</v>
      </c>
      <c r="BY149" s="11">
        <f t="shared" si="275"/>
        <v>0</v>
      </c>
      <c r="BZ149" s="11">
        <f t="shared" si="275"/>
        <v>0</v>
      </c>
      <c r="CA149" s="11">
        <f t="shared" si="275"/>
        <v>0</v>
      </c>
      <c r="CB149" s="11">
        <f t="shared" si="275"/>
        <v>24393</v>
      </c>
      <c r="CC149" s="11">
        <f t="shared" si="275"/>
        <v>24393</v>
      </c>
      <c r="CD149" s="11">
        <f t="shared" si="275"/>
        <v>24393</v>
      </c>
      <c r="CE149" s="11">
        <f t="shared" si="275"/>
        <v>0</v>
      </c>
      <c r="CF149" s="11">
        <f t="shared" si="275"/>
        <v>24393</v>
      </c>
      <c r="CG149" s="11">
        <f t="shared" si="275"/>
        <v>0</v>
      </c>
      <c r="CH149" s="11">
        <f t="shared" si="275"/>
        <v>0</v>
      </c>
      <c r="CI149" s="11">
        <f t="shared" si="275"/>
        <v>0</v>
      </c>
      <c r="CJ149" s="11">
        <f t="shared" si="275"/>
        <v>0</v>
      </c>
      <c r="CK149" s="11">
        <f t="shared" si="275"/>
        <v>0</v>
      </c>
      <c r="CL149" s="11">
        <f t="shared" si="275"/>
        <v>0</v>
      </c>
      <c r="CM149" s="11">
        <f t="shared" si="275"/>
        <v>0</v>
      </c>
      <c r="CN149" s="11">
        <f t="shared" si="275"/>
        <v>0</v>
      </c>
      <c r="CO149" s="11">
        <f t="shared" si="275"/>
        <v>0</v>
      </c>
      <c r="CP149" s="11"/>
      <c r="CQ149" s="11">
        <f t="shared" si="275"/>
        <v>0</v>
      </c>
      <c r="CR149" s="11">
        <f t="shared" si="275"/>
        <v>0</v>
      </c>
      <c r="CS149" s="11">
        <f t="shared" si="275"/>
        <v>0</v>
      </c>
      <c r="CT149" s="11">
        <f t="shared" si="275"/>
        <v>0</v>
      </c>
      <c r="CU149" s="11">
        <f t="shared" si="275"/>
        <v>0</v>
      </c>
      <c r="CV149" s="11">
        <f t="shared" si="275"/>
        <v>0</v>
      </c>
      <c r="CW149" s="11">
        <f t="shared" si="275"/>
        <v>0</v>
      </c>
      <c r="CX149" s="12">
        <f t="shared" si="275"/>
        <v>0</v>
      </c>
    </row>
    <row r="150" spans="1:102" ht="31.5" x14ac:dyDescent="0.25">
      <c r="A150" s="13"/>
      <c r="B150" s="14" t="s">
        <v>1</v>
      </c>
      <c r="C150" s="14" t="s">
        <v>113</v>
      </c>
      <c r="D150" s="15" t="s">
        <v>289</v>
      </c>
      <c r="E150" s="10">
        <f>SUM(F150+CB150+CU150)</f>
        <v>8455379</v>
      </c>
      <c r="F150" s="11">
        <f>SUM(G150+BC150)</f>
        <v>8430986</v>
      </c>
      <c r="G150" s="11">
        <f>SUM(H150+I150+J150+Q150+T150+U150+V150+AF150+AE150)</f>
        <v>8430986</v>
      </c>
      <c r="H150" s="16">
        <f>6218149+331635</f>
        <v>6549784</v>
      </c>
      <c r="I150" s="16">
        <f>1431221+82909</f>
        <v>1514130</v>
      </c>
      <c r="J150" s="11">
        <f t="shared" si="76"/>
        <v>50592</v>
      </c>
      <c r="K150" s="11">
        <v>0</v>
      </c>
      <c r="L150" s="11">
        <v>0</v>
      </c>
      <c r="M150" s="11">
        <v>0</v>
      </c>
      <c r="N150" s="11">
        <v>0</v>
      </c>
      <c r="O150" s="11">
        <v>49051</v>
      </c>
      <c r="P150" s="11">
        <v>1541</v>
      </c>
      <c r="Q150" s="11">
        <f t="shared" si="77"/>
        <v>0</v>
      </c>
      <c r="R150" s="11"/>
      <c r="S150" s="11">
        <v>0</v>
      </c>
      <c r="T150" s="11">
        <v>0</v>
      </c>
      <c r="U150" s="16">
        <v>24663</v>
      </c>
      <c r="V150" s="11">
        <f t="shared" ref="V150:V152" si="276">SUM(W150:AD150)</f>
        <v>291817</v>
      </c>
      <c r="W150" s="16">
        <v>7500</v>
      </c>
      <c r="X150" s="16">
        <v>188276</v>
      </c>
      <c r="Y150" s="16">
        <v>71844</v>
      </c>
      <c r="Z150" s="16">
        <v>18787</v>
      </c>
      <c r="AA150" s="16">
        <v>5410</v>
      </c>
      <c r="AB150" s="16"/>
      <c r="AC150" s="16"/>
      <c r="AD150" s="16"/>
      <c r="AE150" s="11">
        <v>0</v>
      </c>
      <c r="AF150" s="11">
        <f>SUM(AG150:BB150)</f>
        <v>0</v>
      </c>
      <c r="AG150" s="11">
        <v>0</v>
      </c>
      <c r="AH150" s="11">
        <v>0</v>
      </c>
      <c r="AI150" s="11">
        <v>0</v>
      </c>
      <c r="AJ150" s="11"/>
      <c r="AK150" s="11"/>
      <c r="AL150" s="11"/>
      <c r="AM150" s="11"/>
      <c r="AN150" s="11"/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/>
      <c r="AW150" s="11"/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f>SUM(BD150+BH150+BL150+BN150+BP150)</f>
        <v>0</v>
      </c>
      <c r="BD150" s="11">
        <f>SUM(BE150:BG150)</f>
        <v>0</v>
      </c>
      <c r="BE150" s="11">
        <v>0</v>
      </c>
      <c r="BF150" s="11">
        <v>0</v>
      </c>
      <c r="BG150" s="11">
        <v>0</v>
      </c>
      <c r="BH150" s="11">
        <f t="shared" si="78"/>
        <v>0</v>
      </c>
      <c r="BI150" s="11">
        <v>0</v>
      </c>
      <c r="BJ150" s="11">
        <v>0</v>
      </c>
      <c r="BK150" s="11">
        <v>0</v>
      </c>
      <c r="BL150" s="11">
        <v>0</v>
      </c>
      <c r="BM150" s="11">
        <v>0</v>
      </c>
      <c r="BN150" s="11">
        <f t="shared" si="79"/>
        <v>0</v>
      </c>
      <c r="BO150" s="11">
        <v>0</v>
      </c>
      <c r="BP150" s="11">
        <f t="shared" si="80"/>
        <v>0</v>
      </c>
      <c r="BQ150" s="11">
        <v>0</v>
      </c>
      <c r="BR150" s="11">
        <v>0</v>
      </c>
      <c r="BS150" s="11">
        <v>0</v>
      </c>
      <c r="BT150" s="11">
        <v>0</v>
      </c>
      <c r="BU150" s="11">
        <v>0</v>
      </c>
      <c r="BV150" s="11">
        <v>0</v>
      </c>
      <c r="BW150" s="11">
        <v>0</v>
      </c>
      <c r="BX150" s="11">
        <v>0</v>
      </c>
      <c r="BY150" s="11">
        <v>0</v>
      </c>
      <c r="BZ150" s="11">
        <v>0</v>
      </c>
      <c r="CA150" s="11">
        <v>0</v>
      </c>
      <c r="CB150" s="11">
        <f>SUM(CC150+CT150)</f>
        <v>24393</v>
      </c>
      <c r="CC150" s="11">
        <f>SUM(CD150+CG150+CL150)</f>
        <v>24393</v>
      </c>
      <c r="CD150" s="11">
        <f t="shared" si="81"/>
        <v>24393</v>
      </c>
      <c r="CE150" s="11">
        <v>0</v>
      </c>
      <c r="CF150" s="11">
        <v>24393</v>
      </c>
      <c r="CG150" s="11">
        <f>SUM(CH150:CK150)</f>
        <v>0</v>
      </c>
      <c r="CH150" s="11">
        <v>0</v>
      </c>
      <c r="CI150" s="11">
        <v>0</v>
      </c>
      <c r="CJ150" s="11">
        <v>0</v>
      </c>
      <c r="CK150" s="11">
        <v>0</v>
      </c>
      <c r="CL150" s="11">
        <f>SUM(CM150:CQ150)</f>
        <v>0</v>
      </c>
      <c r="CM150" s="11">
        <v>0</v>
      </c>
      <c r="CN150" s="11">
        <v>0</v>
      </c>
      <c r="CO150" s="11">
        <v>0</v>
      </c>
      <c r="CP150" s="11"/>
      <c r="CQ150" s="11">
        <v>0</v>
      </c>
      <c r="CR150" s="11">
        <v>0</v>
      </c>
      <c r="CS150" s="11">
        <v>0</v>
      </c>
      <c r="CT150" s="11">
        <v>0</v>
      </c>
      <c r="CU150" s="11">
        <f t="shared" si="82"/>
        <v>0</v>
      </c>
      <c r="CV150" s="11">
        <f t="shared" si="83"/>
        <v>0</v>
      </c>
      <c r="CW150" s="11">
        <v>0</v>
      </c>
      <c r="CX150" s="12">
        <v>0</v>
      </c>
    </row>
    <row r="151" spans="1:102" ht="15.75" x14ac:dyDescent="0.25">
      <c r="A151" s="13"/>
      <c r="B151" s="14" t="s">
        <v>1</v>
      </c>
      <c r="C151" s="14" t="s">
        <v>113</v>
      </c>
      <c r="D151" s="15" t="s">
        <v>290</v>
      </c>
      <c r="E151" s="10">
        <f>SUM(F151+CB151+CU151)</f>
        <v>1026162</v>
      </c>
      <c r="F151" s="11">
        <f>SUM(G151+BC151)</f>
        <v>1026162</v>
      </c>
      <c r="G151" s="11">
        <f>SUM(H151+I151+J151+Q151+T151+U151+V151+AF151+AE151)</f>
        <v>1026162</v>
      </c>
      <c r="H151" s="16">
        <f>728521+38854</f>
        <v>767375</v>
      </c>
      <c r="I151" s="16">
        <f>169301+9714</f>
        <v>179015</v>
      </c>
      <c r="J151" s="11">
        <f t="shared" si="76"/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f t="shared" si="77"/>
        <v>0</v>
      </c>
      <c r="R151" s="11">
        <v>0</v>
      </c>
      <c r="S151" s="11">
        <v>0</v>
      </c>
      <c r="T151" s="11">
        <v>0</v>
      </c>
      <c r="U151" s="16">
        <v>13540</v>
      </c>
      <c r="V151" s="11">
        <f t="shared" si="276"/>
        <v>25729</v>
      </c>
      <c r="W151" s="16"/>
      <c r="X151" s="16"/>
      <c r="Y151" s="16">
        <v>18435</v>
      </c>
      <c r="Z151" s="16">
        <v>2635</v>
      </c>
      <c r="AA151" s="16"/>
      <c r="AB151" s="16"/>
      <c r="AC151" s="16"/>
      <c r="AD151" s="16">
        <v>4659</v>
      </c>
      <c r="AE151" s="11"/>
      <c r="AF151" s="11">
        <f>SUM(AG151:BB151)</f>
        <v>40503</v>
      </c>
      <c r="AG151" s="11">
        <v>0</v>
      </c>
      <c r="AH151" s="11">
        <v>0</v>
      </c>
      <c r="AI151" s="11">
        <v>0</v>
      </c>
      <c r="AJ151" s="11"/>
      <c r="AK151" s="11"/>
      <c r="AL151" s="11"/>
      <c r="AM151" s="11"/>
      <c r="AN151" s="11"/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40503</v>
      </c>
      <c r="AU151" s="11">
        <v>0</v>
      </c>
      <c r="AV151" s="11"/>
      <c r="AW151" s="11"/>
      <c r="AX151" s="11">
        <v>0</v>
      </c>
      <c r="AY151" s="11">
        <v>0</v>
      </c>
      <c r="AZ151" s="11">
        <v>0</v>
      </c>
      <c r="BA151" s="11">
        <v>0</v>
      </c>
      <c r="BB151" s="11"/>
      <c r="BC151" s="11">
        <f>SUM(BD151+BH151+BL151+BN151+BP151)</f>
        <v>0</v>
      </c>
      <c r="BD151" s="11">
        <f>SUM(BE151:BG151)</f>
        <v>0</v>
      </c>
      <c r="BE151" s="11">
        <v>0</v>
      </c>
      <c r="BF151" s="11">
        <v>0</v>
      </c>
      <c r="BG151" s="11">
        <v>0</v>
      </c>
      <c r="BH151" s="11">
        <f t="shared" si="78"/>
        <v>0</v>
      </c>
      <c r="BI151" s="11">
        <v>0</v>
      </c>
      <c r="BJ151" s="11">
        <v>0</v>
      </c>
      <c r="BK151" s="11">
        <v>0</v>
      </c>
      <c r="BL151" s="11">
        <v>0</v>
      </c>
      <c r="BM151" s="11">
        <v>0</v>
      </c>
      <c r="BN151" s="11">
        <f t="shared" si="79"/>
        <v>0</v>
      </c>
      <c r="BO151" s="11">
        <v>0</v>
      </c>
      <c r="BP151" s="11">
        <f t="shared" si="80"/>
        <v>0</v>
      </c>
      <c r="BQ151" s="11">
        <v>0</v>
      </c>
      <c r="BR151" s="11">
        <v>0</v>
      </c>
      <c r="BS151" s="11">
        <v>0</v>
      </c>
      <c r="BT151" s="11">
        <v>0</v>
      </c>
      <c r="BU151" s="11">
        <v>0</v>
      </c>
      <c r="BV151" s="11">
        <v>0</v>
      </c>
      <c r="BW151" s="11">
        <v>0</v>
      </c>
      <c r="BX151" s="11">
        <v>0</v>
      </c>
      <c r="BY151" s="11">
        <v>0</v>
      </c>
      <c r="BZ151" s="11">
        <v>0</v>
      </c>
      <c r="CA151" s="11">
        <v>0</v>
      </c>
      <c r="CB151" s="11">
        <f>SUM(CC151+CT151)</f>
        <v>0</v>
      </c>
      <c r="CC151" s="11">
        <f>SUM(CD151+CG151+CL151)</f>
        <v>0</v>
      </c>
      <c r="CD151" s="11">
        <f t="shared" si="81"/>
        <v>0</v>
      </c>
      <c r="CE151" s="11">
        <v>0</v>
      </c>
      <c r="CF151" s="11"/>
      <c r="CG151" s="11">
        <f>SUM(CH151:CK151)</f>
        <v>0</v>
      </c>
      <c r="CH151" s="11">
        <v>0</v>
      </c>
      <c r="CI151" s="11">
        <v>0</v>
      </c>
      <c r="CJ151" s="11">
        <v>0</v>
      </c>
      <c r="CK151" s="11">
        <v>0</v>
      </c>
      <c r="CL151" s="11">
        <f>SUM(CM151:CQ151)</f>
        <v>0</v>
      </c>
      <c r="CM151" s="11">
        <v>0</v>
      </c>
      <c r="CN151" s="11">
        <v>0</v>
      </c>
      <c r="CO151" s="11">
        <v>0</v>
      </c>
      <c r="CP151" s="11"/>
      <c r="CQ151" s="11">
        <v>0</v>
      </c>
      <c r="CR151" s="11">
        <v>0</v>
      </c>
      <c r="CS151" s="11">
        <v>0</v>
      </c>
      <c r="CT151" s="11">
        <v>0</v>
      </c>
      <c r="CU151" s="11">
        <f t="shared" si="82"/>
        <v>0</v>
      </c>
      <c r="CV151" s="11">
        <f t="shared" si="83"/>
        <v>0</v>
      </c>
      <c r="CW151" s="11">
        <v>0</v>
      </c>
      <c r="CX151" s="12">
        <v>0</v>
      </c>
    </row>
    <row r="152" spans="1:102" ht="31.5" x14ac:dyDescent="0.25">
      <c r="A152" s="13"/>
      <c r="B152" s="14" t="s">
        <v>1</v>
      </c>
      <c r="C152" s="14" t="s">
        <v>113</v>
      </c>
      <c r="D152" s="15" t="s">
        <v>470</v>
      </c>
      <c r="E152" s="10">
        <f>SUM(F152+CB152+CU152)</f>
        <v>4454506</v>
      </c>
      <c r="F152" s="11">
        <f>SUM(G152+BC152)</f>
        <v>4454506</v>
      </c>
      <c r="G152" s="11">
        <f>SUM(H152+I152+J152+Q152+T152+U152+V152+AF152+AE152)</f>
        <v>4454506</v>
      </c>
      <c r="H152" s="16">
        <f>3405741+181640</f>
        <v>3587381</v>
      </c>
      <c r="I152" s="16">
        <f>821715+45410</f>
        <v>867125</v>
      </c>
      <c r="J152" s="11">
        <f t="shared" si="76"/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f t="shared" si="77"/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f t="shared" si="276"/>
        <v>0</v>
      </c>
      <c r="W152" s="16"/>
      <c r="X152" s="16"/>
      <c r="Y152" s="16"/>
      <c r="Z152" s="16"/>
      <c r="AA152" s="16"/>
      <c r="AB152" s="16"/>
      <c r="AC152" s="16"/>
      <c r="AD152" s="16"/>
      <c r="AE152" s="11">
        <v>0</v>
      </c>
      <c r="AF152" s="11">
        <f>SUM(AG152:BB152)</f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11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/>
      <c r="AW152" s="11"/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f>SUM(BD152+BH152+BL152+BN152+BP152)</f>
        <v>0</v>
      </c>
      <c r="BD152" s="11">
        <f>SUM(BE152:BG152)</f>
        <v>0</v>
      </c>
      <c r="BE152" s="11">
        <v>0</v>
      </c>
      <c r="BF152" s="11">
        <v>0</v>
      </c>
      <c r="BG152" s="11">
        <v>0</v>
      </c>
      <c r="BH152" s="11">
        <f t="shared" si="78"/>
        <v>0</v>
      </c>
      <c r="BI152" s="11">
        <v>0</v>
      </c>
      <c r="BJ152" s="11">
        <v>0</v>
      </c>
      <c r="BK152" s="11">
        <v>0</v>
      </c>
      <c r="BL152" s="11">
        <v>0</v>
      </c>
      <c r="BM152" s="11">
        <v>0</v>
      </c>
      <c r="BN152" s="11">
        <f t="shared" si="79"/>
        <v>0</v>
      </c>
      <c r="BO152" s="11">
        <v>0</v>
      </c>
      <c r="BP152" s="11">
        <f t="shared" si="80"/>
        <v>0</v>
      </c>
      <c r="BQ152" s="11">
        <v>0</v>
      </c>
      <c r="BR152" s="11">
        <v>0</v>
      </c>
      <c r="BS152" s="11">
        <v>0</v>
      </c>
      <c r="BT152" s="11">
        <v>0</v>
      </c>
      <c r="BU152" s="11">
        <v>0</v>
      </c>
      <c r="BV152" s="11">
        <v>0</v>
      </c>
      <c r="BW152" s="11">
        <v>0</v>
      </c>
      <c r="BX152" s="11">
        <v>0</v>
      </c>
      <c r="BY152" s="11">
        <v>0</v>
      </c>
      <c r="BZ152" s="11">
        <v>0</v>
      </c>
      <c r="CA152" s="11">
        <v>0</v>
      </c>
      <c r="CB152" s="11">
        <f>SUM(CC152+CT152)</f>
        <v>0</v>
      </c>
      <c r="CC152" s="11">
        <f>SUM(CD152+CG152+CL152)</f>
        <v>0</v>
      </c>
      <c r="CD152" s="11">
        <f t="shared" si="81"/>
        <v>0</v>
      </c>
      <c r="CE152" s="11">
        <v>0</v>
      </c>
      <c r="CF152" s="11">
        <v>0</v>
      </c>
      <c r="CG152" s="11">
        <f>SUM(CH152:CK152)</f>
        <v>0</v>
      </c>
      <c r="CH152" s="11">
        <v>0</v>
      </c>
      <c r="CI152" s="11">
        <v>0</v>
      </c>
      <c r="CJ152" s="11">
        <v>0</v>
      </c>
      <c r="CK152" s="11">
        <v>0</v>
      </c>
      <c r="CL152" s="11">
        <f>SUM(CM152:CQ152)</f>
        <v>0</v>
      </c>
      <c r="CM152" s="11">
        <v>0</v>
      </c>
      <c r="CN152" s="11">
        <v>0</v>
      </c>
      <c r="CO152" s="11">
        <v>0</v>
      </c>
      <c r="CP152" s="11"/>
      <c r="CQ152" s="11">
        <v>0</v>
      </c>
      <c r="CR152" s="11">
        <v>0</v>
      </c>
      <c r="CS152" s="11">
        <v>0</v>
      </c>
      <c r="CT152" s="11">
        <v>0</v>
      </c>
      <c r="CU152" s="11">
        <f t="shared" si="82"/>
        <v>0</v>
      </c>
      <c r="CV152" s="11">
        <f t="shared" si="83"/>
        <v>0</v>
      </c>
      <c r="CW152" s="11">
        <v>0</v>
      </c>
      <c r="CX152" s="12">
        <v>0</v>
      </c>
    </row>
    <row r="153" spans="1:102" ht="15.75" x14ac:dyDescent="0.25">
      <c r="A153" s="7"/>
      <c r="B153" s="8" t="s">
        <v>291</v>
      </c>
      <c r="C153" s="8" t="s">
        <v>1</v>
      </c>
      <c r="D153" s="9" t="s">
        <v>292</v>
      </c>
      <c r="E153" s="10">
        <f>SUM(E154:E155)</f>
        <v>864570</v>
      </c>
      <c r="F153" s="11">
        <f t="shared" ref="F153:BV153" si="277">SUM(F154:F155)</f>
        <v>864570</v>
      </c>
      <c r="G153" s="11">
        <f t="shared" si="277"/>
        <v>864570</v>
      </c>
      <c r="H153" s="11">
        <f t="shared" si="277"/>
        <v>0</v>
      </c>
      <c r="I153" s="11">
        <f t="shared" si="277"/>
        <v>0</v>
      </c>
      <c r="J153" s="11">
        <f t="shared" si="277"/>
        <v>0</v>
      </c>
      <c r="K153" s="11">
        <f t="shared" si="277"/>
        <v>0</v>
      </c>
      <c r="L153" s="11">
        <f t="shared" si="277"/>
        <v>0</v>
      </c>
      <c r="M153" s="11">
        <f t="shared" si="277"/>
        <v>0</v>
      </c>
      <c r="N153" s="11">
        <f t="shared" si="277"/>
        <v>0</v>
      </c>
      <c r="O153" s="11">
        <f t="shared" si="277"/>
        <v>0</v>
      </c>
      <c r="P153" s="11">
        <f t="shared" si="277"/>
        <v>0</v>
      </c>
      <c r="Q153" s="11">
        <f t="shared" si="277"/>
        <v>0</v>
      </c>
      <c r="R153" s="11">
        <f t="shared" si="277"/>
        <v>0</v>
      </c>
      <c r="S153" s="11">
        <f t="shared" si="277"/>
        <v>0</v>
      </c>
      <c r="T153" s="11">
        <f t="shared" si="277"/>
        <v>0</v>
      </c>
      <c r="U153" s="11">
        <f t="shared" si="277"/>
        <v>0</v>
      </c>
      <c r="V153" s="11">
        <f t="shared" si="277"/>
        <v>0</v>
      </c>
      <c r="W153" s="11">
        <f t="shared" si="277"/>
        <v>0</v>
      </c>
      <c r="X153" s="11">
        <f t="shared" si="277"/>
        <v>0</v>
      </c>
      <c r="Y153" s="11">
        <f t="shared" si="277"/>
        <v>0</v>
      </c>
      <c r="Z153" s="11">
        <f t="shared" si="277"/>
        <v>0</v>
      </c>
      <c r="AA153" s="11">
        <f t="shared" si="277"/>
        <v>0</v>
      </c>
      <c r="AB153" s="11">
        <f t="shared" si="277"/>
        <v>0</v>
      </c>
      <c r="AC153" s="11">
        <f t="shared" si="277"/>
        <v>0</v>
      </c>
      <c r="AD153" s="11">
        <f t="shared" si="277"/>
        <v>0</v>
      </c>
      <c r="AE153" s="11">
        <f t="shared" si="277"/>
        <v>0</v>
      </c>
      <c r="AF153" s="11">
        <f t="shared" si="277"/>
        <v>864570</v>
      </c>
      <c r="AG153" s="11">
        <f t="shared" si="277"/>
        <v>0</v>
      </c>
      <c r="AH153" s="11">
        <f t="shared" si="277"/>
        <v>0</v>
      </c>
      <c r="AI153" s="11">
        <f t="shared" si="277"/>
        <v>0</v>
      </c>
      <c r="AJ153" s="11">
        <f t="shared" si="277"/>
        <v>0</v>
      </c>
      <c r="AK153" s="11">
        <f t="shared" si="277"/>
        <v>0</v>
      </c>
      <c r="AL153" s="11">
        <f t="shared" si="277"/>
        <v>0</v>
      </c>
      <c r="AM153" s="11">
        <f t="shared" si="277"/>
        <v>0</v>
      </c>
      <c r="AN153" s="11">
        <f t="shared" si="277"/>
        <v>0</v>
      </c>
      <c r="AO153" s="11">
        <f t="shared" si="277"/>
        <v>0</v>
      </c>
      <c r="AP153" s="11">
        <f t="shared" si="277"/>
        <v>0</v>
      </c>
      <c r="AQ153" s="11">
        <f t="shared" si="277"/>
        <v>0</v>
      </c>
      <c r="AR153" s="11">
        <f>SUM(AR154:AR155)</f>
        <v>0</v>
      </c>
      <c r="AS153" s="11">
        <f t="shared" si="277"/>
        <v>0</v>
      </c>
      <c r="AT153" s="11">
        <f t="shared" si="277"/>
        <v>0</v>
      </c>
      <c r="AU153" s="11">
        <f t="shared" si="277"/>
        <v>0</v>
      </c>
      <c r="AV153" s="11"/>
      <c r="AW153" s="11"/>
      <c r="AX153" s="11">
        <f t="shared" si="277"/>
        <v>0</v>
      </c>
      <c r="AY153" s="11">
        <f t="shared" si="277"/>
        <v>0</v>
      </c>
      <c r="AZ153" s="11">
        <f t="shared" si="277"/>
        <v>0</v>
      </c>
      <c r="BA153" s="11">
        <f t="shared" si="277"/>
        <v>0</v>
      </c>
      <c r="BB153" s="11">
        <f t="shared" si="277"/>
        <v>864570</v>
      </c>
      <c r="BC153" s="11">
        <f t="shared" si="277"/>
        <v>0</v>
      </c>
      <c r="BD153" s="11">
        <f t="shared" si="277"/>
        <v>0</v>
      </c>
      <c r="BE153" s="11">
        <f t="shared" si="277"/>
        <v>0</v>
      </c>
      <c r="BF153" s="11">
        <f t="shared" si="277"/>
        <v>0</v>
      </c>
      <c r="BG153" s="11">
        <f t="shared" si="277"/>
        <v>0</v>
      </c>
      <c r="BH153" s="11">
        <f t="shared" si="277"/>
        <v>0</v>
      </c>
      <c r="BI153" s="11">
        <f t="shared" si="277"/>
        <v>0</v>
      </c>
      <c r="BJ153" s="11">
        <f t="shared" si="277"/>
        <v>0</v>
      </c>
      <c r="BK153" s="11">
        <f t="shared" si="277"/>
        <v>0</v>
      </c>
      <c r="BL153" s="11">
        <f t="shared" si="277"/>
        <v>0</v>
      </c>
      <c r="BM153" s="11">
        <f t="shared" si="277"/>
        <v>0</v>
      </c>
      <c r="BN153" s="11">
        <f t="shared" si="277"/>
        <v>0</v>
      </c>
      <c r="BO153" s="11">
        <f t="shared" si="277"/>
        <v>0</v>
      </c>
      <c r="BP153" s="11">
        <f t="shared" si="277"/>
        <v>0</v>
      </c>
      <c r="BQ153" s="11">
        <f t="shared" si="277"/>
        <v>0</v>
      </c>
      <c r="BR153" s="11">
        <f t="shared" si="277"/>
        <v>0</v>
      </c>
      <c r="BS153" s="11">
        <f t="shared" si="277"/>
        <v>0</v>
      </c>
      <c r="BT153" s="11">
        <f t="shared" si="277"/>
        <v>0</v>
      </c>
      <c r="BU153" s="11">
        <f t="shared" si="277"/>
        <v>0</v>
      </c>
      <c r="BV153" s="11">
        <f t="shared" si="277"/>
        <v>0</v>
      </c>
      <c r="BW153" s="11">
        <f t="shared" ref="BW153:CX153" si="278">SUM(BW154:BW155)</f>
        <v>0</v>
      </c>
      <c r="BX153" s="11">
        <f t="shared" si="278"/>
        <v>0</v>
      </c>
      <c r="BY153" s="11">
        <f t="shared" si="278"/>
        <v>0</v>
      </c>
      <c r="BZ153" s="11">
        <f t="shared" si="278"/>
        <v>0</v>
      </c>
      <c r="CA153" s="11">
        <f t="shared" si="278"/>
        <v>0</v>
      </c>
      <c r="CB153" s="11">
        <f t="shared" si="278"/>
        <v>0</v>
      </c>
      <c r="CC153" s="11">
        <f t="shared" si="278"/>
        <v>0</v>
      </c>
      <c r="CD153" s="11">
        <f t="shared" si="278"/>
        <v>0</v>
      </c>
      <c r="CE153" s="11">
        <f t="shared" si="278"/>
        <v>0</v>
      </c>
      <c r="CF153" s="11">
        <f t="shared" si="278"/>
        <v>0</v>
      </c>
      <c r="CG153" s="11">
        <f t="shared" si="278"/>
        <v>0</v>
      </c>
      <c r="CH153" s="11">
        <f t="shared" si="278"/>
        <v>0</v>
      </c>
      <c r="CI153" s="11">
        <f t="shared" si="278"/>
        <v>0</v>
      </c>
      <c r="CJ153" s="11">
        <f t="shared" si="278"/>
        <v>0</v>
      </c>
      <c r="CK153" s="11">
        <f t="shared" si="278"/>
        <v>0</v>
      </c>
      <c r="CL153" s="11">
        <f t="shared" si="278"/>
        <v>0</v>
      </c>
      <c r="CM153" s="11">
        <f t="shared" si="278"/>
        <v>0</v>
      </c>
      <c r="CN153" s="11">
        <f t="shared" si="278"/>
        <v>0</v>
      </c>
      <c r="CO153" s="11">
        <f t="shared" si="278"/>
        <v>0</v>
      </c>
      <c r="CP153" s="11"/>
      <c r="CQ153" s="11">
        <f t="shared" si="278"/>
        <v>0</v>
      </c>
      <c r="CR153" s="11">
        <f t="shared" si="278"/>
        <v>0</v>
      </c>
      <c r="CS153" s="11">
        <f t="shared" si="278"/>
        <v>0</v>
      </c>
      <c r="CT153" s="11">
        <f t="shared" si="278"/>
        <v>0</v>
      </c>
      <c r="CU153" s="11">
        <f t="shared" si="278"/>
        <v>0</v>
      </c>
      <c r="CV153" s="11">
        <f t="shared" si="278"/>
        <v>0</v>
      </c>
      <c r="CW153" s="11">
        <f t="shared" si="278"/>
        <v>0</v>
      </c>
      <c r="CX153" s="12">
        <f t="shared" si="278"/>
        <v>0</v>
      </c>
    </row>
    <row r="154" spans="1:102" ht="15.75" x14ac:dyDescent="0.25">
      <c r="A154" s="13"/>
      <c r="B154" s="14" t="s">
        <v>1</v>
      </c>
      <c r="C154" s="14" t="s">
        <v>103</v>
      </c>
      <c r="D154" s="15" t="s">
        <v>293</v>
      </c>
      <c r="E154" s="10">
        <f>SUM(F154+CB154+CU154)</f>
        <v>655288</v>
      </c>
      <c r="F154" s="11">
        <f>SUM(G154+BC154)</f>
        <v>655288</v>
      </c>
      <c r="G154" s="11">
        <f>SUM(H154+I154+J154+Q154+T154+U154+V154+AF154+AE154)</f>
        <v>655288</v>
      </c>
      <c r="H154" s="11">
        <v>0</v>
      </c>
      <c r="I154" s="11">
        <v>0</v>
      </c>
      <c r="J154" s="11">
        <f t="shared" ref="J154:J234" si="279">SUM(K154:P154)</f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f t="shared" ref="Q154:Q234" si="280">SUM(R154:S154)</f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f t="shared" ref="V154:V155" si="281">SUM(W154:AD154)</f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f>SUM(AG154:BB154)</f>
        <v>655288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/>
      <c r="AW154" s="11"/>
      <c r="AX154" s="11">
        <v>0</v>
      </c>
      <c r="AY154" s="11">
        <v>0</v>
      </c>
      <c r="AZ154" s="11">
        <v>0</v>
      </c>
      <c r="BA154" s="11">
        <v>0</v>
      </c>
      <c r="BB154" s="16">
        <v>655288</v>
      </c>
      <c r="BC154" s="11">
        <f>SUM(BD154+BH154+BL154+BN154+BP154)</f>
        <v>0</v>
      </c>
      <c r="BD154" s="11">
        <f>SUM(BE154:BG154)</f>
        <v>0</v>
      </c>
      <c r="BE154" s="11">
        <v>0</v>
      </c>
      <c r="BF154" s="11">
        <v>0</v>
      </c>
      <c r="BG154" s="11">
        <v>0</v>
      </c>
      <c r="BH154" s="11">
        <f t="shared" ref="BH154:BH234" si="282">SUM(BJ154:BK154)</f>
        <v>0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f t="shared" ref="BN154:BN234" si="283">SUM(BO154)</f>
        <v>0</v>
      </c>
      <c r="BO154" s="11">
        <v>0</v>
      </c>
      <c r="BP154" s="11">
        <f t="shared" ref="BP154:BP234" si="284">SUM(BQ154:CA154)</f>
        <v>0</v>
      </c>
      <c r="BQ154" s="11">
        <v>0</v>
      </c>
      <c r="BR154" s="11">
        <v>0</v>
      </c>
      <c r="BS154" s="11">
        <v>0</v>
      </c>
      <c r="BT154" s="11">
        <v>0</v>
      </c>
      <c r="BU154" s="11">
        <v>0</v>
      </c>
      <c r="BV154" s="11">
        <v>0</v>
      </c>
      <c r="BW154" s="11">
        <v>0</v>
      </c>
      <c r="BX154" s="11">
        <v>0</v>
      </c>
      <c r="BY154" s="11">
        <v>0</v>
      </c>
      <c r="BZ154" s="11">
        <v>0</v>
      </c>
      <c r="CA154" s="11">
        <v>0</v>
      </c>
      <c r="CB154" s="11">
        <f>SUM(CC154+CT154)</f>
        <v>0</v>
      </c>
      <c r="CC154" s="11">
        <f>SUM(CD154+CG154+CL154)</f>
        <v>0</v>
      </c>
      <c r="CD154" s="11">
        <f t="shared" ref="CD154:CD234" si="285">SUM(CE154:CF154)</f>
        <v>0</v>
      </c>
      <c r="CE154" s="11">
        <v>0</v>
      </c>
      <c r="CF154" s="11">
        <v>0</v>
      </c>
      <c r="CG154" s="11">
        <f>SUM(CH154:CK154)</f>
        <v>0</v>
      </c>
      <c r="CH154" s="11">
        <v>0</v>
      </c>
      <c r="CI154" s="11">
        <v>0</v>
      </c>
      <c r="CJ154" s="11">
        <v>0</v>
      </c>
      <c r="CK154" s="11">
        <v>0</v>
      </c>
      <c r="CL154" s="11">
        <f>SUM(CM154:CQ154)</f>
        <v>0</v>
      </c>
      <c r="CM154" s="11">
        <v>0</v>
      </c>
      <c r="CN154" s="11">
        <v>0</v>
      </c>
      <c r="CO154" s="11">
        <v>0</v>
      </c>
      <c r="CP154" s="11"/>
      <c r="CQ154" s="11">
        <v>0</v>
      </c>
      <c r="CR154" s="11">
        <v>0</v>
      </c>
      <c r="CS154" s="11">
        <v>0</v>
      </c>
      <c r="CT154" s="11">
        <v>0</v>
      </c>
      <c r="CU154" s="11">
        <f t="shared" ref="CU154:CU234" si="286">SUM(CV154)</f>
        <v>0</v>
      </c>
      <c r="CV154" s="11">
        <f t="shared" ref="CV154:CV234" si="287">SUM(CW154:CX154)</f>
        <v>0</v>
      </c>
      <c r="CW154" s="11">
        <v>0</v>
      </c>
      <c r="CX154" s="12">
        <v>0</v>
      </c>
    </row>
    <row r="155" spans="1:102" ht="15.75" x14ac:dyDescent="0.25">
      <c r="A155" s="13"/>
      <c r="B155" s="14" t="s">
        <v>1</v>
      </c>
      <c r="C155" s="14" t="s">
        <v>111</v>
      </c>
      <c r="D155" s="15" t="s">
        <v>294</v>
      </c>
      <c r="E155" s="10">
        <f>SUM(F155+CB155+CU155)</f>
        <v>209282</v>
      </c>
      <c r="F155" s="11">
        <f>SUM(G155+BC155)</f>
        <v>209282</v>
      </c>
      <c r="G155" s="11">
        <f>SUM(H155+I155+J155+Q155+T155+U155+V155+AF155+AE155)</f>
        <v>209282</v>
      </c>
      <c r="H155" s="11">
        <v>0</v>
      </c>
      <c r="I155" s="11">
        <v>0</v>
      </c>
      <c r="J155" s="11">
        <f t="shared" si="279"/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f t="shared" si="280"/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f t="shared" si="281"/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f>SUM(AG155:BB155)</f>
        <v>209282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/>
      <c r="AW155" s="11"/>
      <c r="AX155" s="11">
        <v>0</v>
      </c>
      <c r="AY155" s="11">
        <v>0</v>
      </c>
      <c r="AZ155" s="11">
        <v>0</v>
      </c>
      <c r="BA155" s="11">
        <v>0</v>
      </c>
      <c r="BB155" s="16">
        <v>209282</v>
      </c>
      <c r="BC155" s="11">
        <f>SUM(BD155+BH155+BL155+BN155+BP155)</f>
        <v>0</v>
      </c>
      <c r="BD155" s="11">
        <f>SUM(BE155:BG155)</f>
        <v>0</v>
      </c>
      <c r="BE155" s="11">
        <v>0</v>
      </c>
      <c r="BF155" s="11">
        <v>0</v>
      </c>
      <c r="BG155" s="11">
        <v>0</v>
      </c>
      <c r="BH155" s="11">
        <f t="shared" si="282"/>
        <v>0</v>
      </c>
      <c r="BI155" s="11">
        <v>0</v>
      </c>
      <c r="BJ155" s="11">
        <v>0</v>
      </c>
      <c r="BK155" s="11">
        <v>0</v>
      </c>
      <c r="BL155" s="11">
        <v>0</v>
      </c>
      <c r="BM155" s="11">
        <v>0</v>
      </c>
      <c r="BN155" s="11">
        <f t="shared" si="283"/>
        <v>0</v>
      </c>
      <c r="BO155" s="11">
        <v>0</v>
      </c>
      <c r="BP155" s="11">
        <f t="shared" si="284"/>
        <v>0</v>
      </c>
      <c r="BQ155" s="11">
        <v>0</v>
      </c>
      <c r="BR155" s="11">
        <v>0</v>
      </c>
      <c r="BS155" s="11">
        <v>0</v>
      </c>
      <c r="BT155" s="11">
        <v>0</v>
      </c>
      <c r="BU155" s="11">
        <v>0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>
        <v>0</v>
      </c>
      <c r="CB155" s="11">
        <f>SUM(CC155+CT155)</f>
        <v>0</v>
      </c>
      <c r="CC155" s="11">
        <f>SUM(CD155+CG155+CL155)</f>
        <v>0</v>
      </c>
      <c r="CD155" s="11">
        <f t="shared" si="285"/>
        <v>0</v>
      </c>
      <c r="CE155" s="11">
        <v>0</v>
      </c>
      <c r="CF155" s="11">
        <v>0</v>
      </c>
      <c r="CG155" s="11">
        <f>SUM(CH155:CK155)</f>
        <v>0</v>
      </c>
      <c r="CH155" s="11">
        <v>0</v>
      </c>
      <c r="CI155" s="11">
        <v>0</v>
      </c>
      <c r="CJ155" s="11">
        <v>0</v>
      </c>
      <c r="CK155" s="11">
        <v>0</v>
      </c>
      <c r="CL155" s="11">
        <f>SUM(CM155:CQ155)</f>
        <v>0</v>
      </c>
      <c r="CM155" s="11">
        <v>0</v>
      </c>
      <c r="CN155" s="11">
        <v>0</v>
      </c>
      <c r="CO155" s="11">
        <v>0</v>
      </c>
      <c r="CP155" s="11"/>
      <c r="CQ155" s="11">
        <v>0</v>
      </c>
      <c r="CR155" s="11">
        <v>0</v>
      </c>
      <c r="CS155" s="11">
        <v>0</v>
      </c>
      <c r="CT155" s="11">
        <v>0</v>
      </c>
      <c r="CU155" s="11">
        <f t="shared" si="286"/>
        <v>0</v>
      </c>
      <c r="CV155" s="11">
        <f t="shared" si="287"/>
        <v>0</v>
      </c>
      <c r="CW155" s="11">
        <v>0</v>
      </c>
      <c r="CX155" s="12">
        <v>0</v>
      </c>
    </row>
    <row r="156" spans="1:102" ht="31.5" x14ac:dyDescent="0.25">
      <c r="A156" s="7"/>
      <c r="B156" s="8" t="s">
        <v>295</v>
      </c>
      <c r="C156" s="8" t="s">
        <v>1</v>
      </c>
      <c r="D156" s="9" t="s">
        <v>296</v>
      </c>
      <c r="E156" s="10">
        <f t="shared" ref="E156:BS156" si="288">SUM(E157:E162)</f>
        <v>9626923</v>
      </c>
      <c r="F156" s="11">
        <f t="shared" si="288"/>
        <v>9416891</v>
      </c>
      <c r="G156" s="11">
        <f t="shared" si="288"/>
        <v>8957111</v>
      </c>
      <c r="H156" s="11">
        <f t="shared" si="288"/>
        <v>5804385</v>
      </c>
      <c r="I156" s="11">
        <f t="shared" si="288"/>
        <v>1366376</v>
      </c>
      <c r="J156" s="11">
        <f t="shared" si="288"/>
        <v>268339</v>
      </c>
      <c r="K156" s="11">
        <f t="shared" si="288"/>
        <v>45201</v>
      </c>
      <c r="L156" s="11">
        <f t="shared" si="288"/>
        <v>0</v>
      </c>
      <c r="M156" s="11">
        <f t="shared" si="288"/>
        <v>0</v>
      </c>
      <c r="N156" s="11">
        <f t="shared" si="288"/>
        <v>0</v>
      </c>
      <c r="O156" s="11">
        <f t="shared" si="288"/>
        <v>116290</v>
      </c>
      <c r="P156" s="11">
        <f t="shared" si="288"/>
        <v>106848</v>
      </c>
      <c r="Q156" s="11">
        <f t="shared" si="288"/>
        <v>1741</v>
      </c>
      <c r="R156" s="11">
        <f t="shared" si="288"/>
        <v>1741</v>
      </c>
      <c r="S156" s="11">
        <f t="shared" si="288"/>
        <v>0</v>
      </c>
      <c r="T156" s="11">
        <f t="shared" si="288"/>
        <v>0</v>
      </c>
      <c r="U156" s="11">
        <f t="shared" si="288"/>
        <v>67940</v>
      </c>
      <c r="V156" s="11">
        <f t="shared" si="288"/>
        <v>339453</v>
      </c>
      <c r="W156" s="11">
        <f t="shared" si="288"/>
        <v>772</v>
      </c>
      <c r="X156" s="11">
        <f t="shared" si="288"/>
        <v>167615</v>
      </c>
      <c r="Y156" s="11">
        <f t="shared" si="288"/>
        <v>133306</v>
      </c>
      <c r="Z156" s="11">
        <f t="shared" si="288"/>
        <v>37760</v>
      </c>
      <c r="AA156" s="11">
        <f t="shared" si="288"/>
        <v>0</v>
      </c>
      <c r="AB156" s="11">
        <f t="shared" si="288"/>
        <v>0</v>
      </c>
      <c r="AC156" s="11">
        <f t="shared" si="288"/>
        <v>0</v>
      </c>
      <c r="AD156" s="11">
        <f t="shared" si="288"/>
        <v>0</v>
      </c>
      <c r="AE156" s="11">
        <f t="shared" si="288"/>
        <v>0</v>
      </c>
      <c r="AF156" s="11">
        <f t="shared" si="288"/>
        <v>1108877</v>
      </c>
      <c r="AG156" s="11">
        <f t="shared" si="288"/>
        <v>0</v>
      </c>
      <c r="AH156" s="11">
        <f t="shared" si="288"/>
        <v>0</v>
      </c>
      <c r="AI156" s="11">
        <f t="shared" si="288"/>
        <v>225</v>
      </c>
      <c r="AJ156" s="11">
        <f t="shared" si="288"/>
        <v>0</v>
      </c>
      <c r="AK156" s="11">
        <f t="shared" si="288"/>
        <v>0</v>
      </c>
      <c r="AL156" s="11">
        <f t="shared" si="288"/>
        <v>329</v>
      </c>
      <c r="AM156" s="11">
        <f t="shared" si="288"/>
        <v>0</v>
      </c>
      <c r="AN156" s="11">
        <f t="shared" si="288"/>
        <v>0</v>
      </c>
      <c r="AO156" s="11">
        <f t="shared" si="288"/>
        <v>0</v>
      </c>
      <c r="AP156" s="11">
        <f t="shared" si="288"/>
        <v>0</v>
      </c>
      <c r="AQ156" s="11">
        <f t="shared" si="288"/>
        <v>0</v>
      </c>
      <c r="AR156" s="11">
        <f t="shared" si="288"/>
        <v>0</v>
      </c>
      <c r="AS156" s="11">
        <f t="shared" si="288"/>
        <v>0</v>
      </c>
      <c r="AT156" s="11">
        <f t="shared" si="288"/>
        <v>20041</v>
      </c>
      <c r="AU156" s="11">
        <f t="shared" si="288"/>
        <v>32800</v>
      </c>
      <c r="AV156" s="11"/>
      <c r="AW156" s="11"/>
      <c r="AX156" s="11">
        <f t="shared" si="288"/>
        <v>0</v>
      </c>
      <c r="AY156" s="11">
        <f t="shared" si="288"/>
        <v>0</v>
      </c>
      <c r="AZ156" s="11">
        <f t="shared" si="288"/>
        <v>0</v>
      </c>
      <c r="BA156" s="11">
        <f t="shared" si="288"/>
        <v>0</v>
      </c>
      <c r="BB156" s="11">
        <f t="shared" si="288"/>
        <v>1055482</v>
      </c>
      <c r="BC156" s="11">
        <f t="shared" si="288"/>
        <v>459780</v>
      </c>
      <c r="BD156" s="11">
        <f t="shared" si="288"/>
        <v>0</v>
      </c>
      <c r="BE156" s="11">
        <f t="shared" si="288"/>
        <v>0</v>
      </c>
      <c r="BF156" s="11">
        <f t="shared" si="288"/>
        <v>0</v>
      </c>
      <c r="BG156" s="11">
        <f t="shared" si="288"/>
        <v>0</v>
      </c>
      <c r="BH156" s="11">
        <f t="shared" si="288"/>
        <v>0</v>
      </c>
      <c r="BI156" s="11">
        <f t="shared" si="288"/>
        <v>0</v>
      </c>
      <c r="BJ156" s="11">
        <f t="shared" si="288"/>
        <v>0</v>
      </c>
      <c r="BK156" s="11">
        <f t="shared" si="288"/>
        <v>0</v>
      </c>
      <c r="BL156" s="11">
        <f t="shared" si="288"/>
        <v>0</v>
      </c>
      <c r="BM156" s="11">
        <f t="shared" si="288"/>
        <v>0</v>
      </c>
      <c r="BN156" s="11">
        <f t="shared" si="288"/>
        <v>0</v>
      </c>
      <c r="BO156" s="11">
        <f t="shared" si="288"/>
        <v>0</v>
      </c>
      <c r="BP156" s="11">
        <f t="shared" si="288"/>
        <v>459780</v>
      </c>
      <c r="BQ156" s="11">
        <f t="shared" si="288"/>
        <v>0</v>
      </c>
      <c r="BR156" s="11">
        <f t="shared" si="288"/>
        <v>0</v>
      </c>
      <c r="BS156" s="11">
        <f t="shared" si="288"/>
        <v>459780</v>
      </c>
      <c r="BT156" s="11">
        <f t="shared" ref="BT156:CX156" si="289">SUM(BT157:BT162)</f>
        <v>0</v>
      </c>
      <c r="BU156" s="11">
        <f t="shared" si="289"/>
        <v>0</v>
      </c>
      <c r="BV156" s="11">
        <f t="shared" si="289"/>
        <v>0</v>
      </c>
      <c r="BW156" s="11">
        <f t="shared" si="289"/>
        <v>0</v>
      </c>
      <c r="BX156" s="11">
        <f t="shared" si="289"/>
        <v>0</v>
      </c>
      <c r="BY156" s="11">
        <f t="shared" si="289"/>
        <v>0</v>
      </c>
      <c r="BZ156" s="11">
        <f t="shared" si="289"/>
        <v>0</v>
      </c>
      <c r="CA156" s="11">
        <f t="shared" si="289"/>
        <v>0</v>
      </c>
      <c r="CB156" s="11">
        <f t="shared" si="289"/>
        <v>210032</v>
      </c>
      <c r="CC156" s="11">
        <f t="shared" si="289"/>
        <v>210032</v>
      </c>
      <c r="CD156" s="11">
        <f t="shared" si="289"/>
        <v>210032</v>
      </c>
      <c r="CE156" s="11">
        <f t="shared" si="289"/>
        <v>0</v>
      </c>
      <c r="CF156" s="11">
        <f t="shared" si="289"/>
        <v>210032</v>
      </c>
      <c r="CG156" s="11">
        <f t="shared" si="289"/>
        <v>0</v>
      </c>
      <c r="CH156" s="11">
        <f t="shared" si="289"/>
        <v>0</v>
      </c>
      <c r="CI156" s="11">
        <f t="shared" si="289"/>
        <v>0</v>
      </c>
      <c r="CJ156" s="11">
        <f t="shared" si="289"/>
        <v>0</v>
      </c>
      <c r="CK156" s="11">
        <f t="shared" si="289"/>
        <v>0</v>
      </c>
      <c r="CL156" s="11">
        <f t="shared" si="289"/>
        <v>0</v>
      </c>
      <c r="CM156" s="11">
        <f t="shared" si="289"/>
        <v>0</v>
      </c>
      <c r="CN156" s="11">
        <f t="shared" si="289"/>
        <v>0</v>
      </c>
      <c r="CO156" s="11">
        <f t="shared" si="289"/>
        <v>0</v>
      </c>
      <c r="CP156" s="11"/>
      <c r="CQ156" s="11">
        <f t="shared" si="289"/>
        <v>0</v>
      </c>
      <c r="CR156" s="11">
        <f t="shared" si="289"/>
        <v>0</v>
      </c>
      <c r="CS156" s="11">
        <f t="shared" si="289"/>
        <v>0</v>
      </c>
      <c r="CT156" s="11">
        <f t="shared" si="289"/>
        <v>0</v>
      </c>
      <c r="CU156" s="11">
        <f t="shared" si="289"/>
        <v>0</v>
      </c>
      <c r="CV156" s="11">
        <f t="shared" si="289"/>
        <v>0</v>
      </c>
      <c r="CW156" s="11">
        <f t="shared" si="289"/>
        <v>0</v>
      </c>
      <c r="CX156" s="12">
        <f t="shared" si="289"/>
        <v>0</v>
      </c>
    </row>
    <row r="157" spans="1:102" ht="15.75" x14ac:dyDescent="0.25">
      <c r="A157" s="13" t="s">
        <v>1</v>
      </c>
      <c r="B157" s="14" t="s">
        <v>1</v>
      </c>
      <c r="C157" s="14" t="s">
        <v>99</v>
      </c>
      <c r="D157" s="15" t="s">
        <v>297</v>
      </c>
      <c r="E157" s="10">
        <f t="shared" ref="E157:E162" si="290">SUM(F157+CB157+CU157)</f>
        <v>3751527</v>
      </c>
      <c r="F157" s="11">
        <f t="shared" ref="F157:F162" si="291">SUM(G157+BC157)</f>
        <v>3558906</v>
      </c>
      <c r="G157" s="11">
        <f t="shared" ref="G157:G162" si="292">SUM(H157+I157+J157+Q157+T157+U157+V157+AF157+AE157)</f>
        <v>3099126</v>
      </c>
      <c r="H157" s="16">
        <f>1926215+102731</f>
        <v>2028946</v>
      </c>
      <c r="I157" s="16">
        <f>460002+25683</f>
        <v>485685</v>
      </c>
      <c r="J157" s="11">
        <f t="shared" si="279"/>
        <v>206838</v>
      </c>
      <c r="K157" s="16">
        <f>0+5201</f>
        <v>5201</v>
      </c>
      <c r="L157" s="16"/>
      <c r="M157" s="16"/>
      <c r="N157" s="16"/>
      <c r="O157" s="16">
        <f>15970+89361</f>
        <v>105331</v>
      </c>
      <c r="P157" s="16">
        <f>9942+86364</f>
        <v>96306</v>
      </c>
      <c r="Q157" s="11">
        <f t="shared" si="280"/>
        <v>0</v>
      </c>
      <c r="R157" s="11">
        <v>0</v>
      </c>
      <c r="S157" s="11">
        <v>0</v>
      </c>
      <c r="T157" s="11">
        <v>0</v>
      </c>
      <c r="U157" s="16">
        <v>40123</v>
      </c>
      <c r="V157" s="11">
        <f t="shared" ref="V157:V162" si="293">SUM(W157:AD157)</f>
        <v>272166</v>
      </c>
      <c r="W157" s="16">
        <v>772</v>
      </c>
      <c r="X157" s="16">
        <v>112160</v>
      </c>
      <c r="Y157" s="16">
        <v>123950</v>
      </c>
      <c r="Z157" s="16">
        <v>35284</v>
      </c>
      <c r="AA157" s="16"/>
      <c r="AB157" s="16"/>
      <c r="AC157" s="16"/>
      <c r="AD157" s="16"/>
      <c r="AE157" s="11">
        <v>0</v>
      </c>
      <c r="AF157" s="11">
        <f t="shared" ref="AF157:AF162" si="294">SUM(AG157:BB157)</f>
        <v>65368</v>
      </c>
      <c r="AG157" s="11">
        <v>0</v>
      </c>
      <c r="AH157" s="11">
        <v>0</v>
      </c>
      <c r="AI157" s="16">
        <v>225</v>
      </c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>
        <f>0+20041</f>
        <v>20041</v>
      </c>
      <c r="AU157" s="16">
        <f>0+32800</f>
        <v>32800</v>
      </c>
      <c r="AV157" s="16"/>
      <c r="AW157" s="11"/>
      <c r="AX157" s="11">
        <v>0</v>
      </c>
      <c r="AY157" s="11">
        <v>0</v>
      </c>
      <c r="AZ157" s="11">
        <v>0</v>
      </c>
      <c r="BA157" s="11">
        <v>0</v>
      </c>
      <c r="BB157" s="16">
        <f>196+12106</f>
        <v>12302</v>
      </c>
      <c r="BC157" s="11">
        <f t="shared" ref="BC157:BC162" si="295">SUM(BD157+BH157+BL157+BN157+BP157)</f>
        <v>459780</v>
      </c>
      <c r="BD157" s="11">
        <f t="shared" ref="BD157:BD162" si="296">SUM(BE157:BG157)</f>
        <v>0</v>
      </c>
      <c r="BE157" s="11">
        <v>0</v>
      </c>
      <c r="BF157" s="11">
        <v>0</v>
      </c>
      <c r="BG157" s="11">
        <v>0</v>
      </c>
      <c r="BH157" s="11">
        <f t="shared" si="282"/>
        <v>0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f t="shared" si="283"/>
        <v>0</v>
      </c>
      <c r="BO157" s="11">
        <v>0</v>
      </c>
      <c r="BP157" s="11">
        <f t="shared" si="284"/>
        <v>459780</v>
      </c>
      <c r="BQ157" s="11">
        <v>0</v>
      </c>
      <c r="BR157" s="11">
        <v>0</v>
      </c>
      <c r="BS157" s="11">
        <v>459780</v>
      </c>
      <c r="BT157" s="11">
        <v>0</v>
      </c>
      <c r="BU157" s="11">
        <v>0</v>
      </c>
      <c r="BV157" s="11">
        <v>0</v>
      </c>
      <c r="BW157" s="11">
        <v>0</v>
      </c>
      <c r="BX157" s="11">
        <v>0</v>
      </c>
      <c r="BY157" s="11">
        <v>0</v>
      </c>
      <c r="BZ157" s="11">
        <v>0</v>
      </c>
      <c r="CA157" s="11">
        <v>0</v>
      </c>
      <c r="CB157" s="11">
        <f t="shared" ref="CB157:CB162" si="297">SUM(CC157+CT157)</f>
        <v>192621</v>
      </c>
      <c r="CC157" s="11">
        <f t="shared" ref="CC157:CC162" si="298">SUM(CD157+CG157+CL157)</f>
        <v>192621</v>
      </c>
      <c r="CD157" s="11">
        <f t="shared" si="285"/>
        <v>192621</v>
      </c>
      <c r="CE157" s="11">
        <v>0</v>
      </c>
      <c r="CF157" s="16">
        <f>0+192621</f>
        <v>192621</v>
      </c>
      <c r="CG157" s="11">
        <f t="shared" ref="CG157:CG162" si="299">SUM(CH157:CK157)</f>
        <v>0</v>
      </c>
      <c r="CH157" s="11">
        <v>0</v>
      </c>
      <c r="CI157" s="11">
        <v>0</v>
      </c>
      <c r="CJ157" s="11">
        <v>0</v>
      </c>
      <c r="CK157" s="11">
        <v>0</v>
      </c>
      <c r="CL157" s="11">
        <f t="shared" ref="CL157:CL162" si="300">SUM(CM157:CQ157)</f>
        <v>0</v>
      </c>
      <c r="CM157" s="11">
        <v>0</v>
      </c>
      <c r="CN157" s="11">
        <v>0</v>
      </c>
      <c r="CO157" s="11">
        <v>0</v>
      </c>
      <c r="CP157" s="11"/>
      <c r="CQ157" s="11">
        <v>0</v>
      </c>
      <c r="CR157" s="11">
        <v>0</v>
      </c>
      <c r="CS157" s="11">
        <v>0</v>
      </c>
      <c r="CT157" s="11">
        <v>0</v>
      </c>
      <c r="CU157" s="11">
        <f t="shared" si="286"/>
        <v>0</v>
      </c>
      <c r="CV157" s="11">
        <f t="shared" si="287"/>
        <v>0</v>
      </c>
      <c r="CW157" s="11">
        <v>0</v>
      </c>
      <c r="CX157" s="12">
        <v>0</v>
      </c>
    </row>
    <row r="158" spans="1:102" ht="15.75" x14ac:dyDescent="0.25">
      <c r="A158" s="13" t="s">
        <v>1</v>
      </c>
      <c r="B158" s="14" t="s">
        <v>1</v>
      </c>
      <c r="C158" s="14" t="s">
        <v>111</v>
      </c>
      <c r="D158" s="15" t="s">
        <v>298</v>
      </c>
      <c r="E158" s="10">
        <f t="shared" si="290"/>
        <v>1416168</v>
      </c>
      <c r="F158" s="11">
        <f t="shared" si="291"/>
        <v>1416168</v>
      </c>
      <c r="G158" s="11">
        <f t="shared" si="292"/>
        <v>1416168</v>
      </c>
      <c r="H158" s="16">
        <f>1024106+54619</f>
        <v>1078725</v>
      </c>
      <c r="I158" s="16">
        <f>239432+13655</f>
        <v>253087</v>
      </c>
      <c r="J158" s="11">
        <f>SUM(K158:P158)</f>
        <v>10959</v>
      </c>
      <c r="K158" s="16"/>
      <c r="L158" s="16"/>
      <c r="M158" s="16"/>
      <c r="N158" s="16"/>
      <c r="O158" s="16">
        <v>10959</v>
      </c>
      <c r="P158" s="16"/>
      <c r="Q158" s="11">
        <f>SUM(R158:S158)</f>
        <v>0</v>
      </c>
      <c r="R158" s="11">
        <v>0</v>
      </c>
      <c r="S158" s="11">
        <v>0</v>
      </c>
      <c r="T158" s="11">
        <v>0</v>
      </c>
      <c r="U158" s="16">
        <v>6110</v>
      </c>
      <c r="V158" s="11">
        <f t="shared" si="293"/>
        <v>67287</v>
      </c>
      <c r="W158" s="16"/>
      <c r="X158" s="16">
        <v>55455</v>
      </c>
      <c r="Y158" s="16">
        <v>9356</v>
      </c>
      <c r="Z158" s="16">
        <v>2476</v>
      </c>
      <c r="AA158" s="16"/>
      <c r="AB158" s="16"/>
      <c r="AC158" s="16"/>
      <c r="AD158" s="16"/>
      <c r="AE158" s="11">
        <v>0</v>
      </c>
      <c r="AF158" s="11">
        <f t="shared" si="294"/>
        <v>0</v>
      </c>
      <c r="AG158" s="11">
        <v>0</v>
      </c>
      <c r="AH158" s="11">
        <v>0</v>
      </c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1"/>
      <c r="AX158" s="11">
        <v>0</v>
      </c>
      <c r="AY158" s="11">
        <v>0</v>
      </c>
      <c r="AZ158" s="11">
        <v>0</v>
      </c>
      <c r="BA158" s="11">
        <v>0</v>
      </c>
      <c r="BB158" s="16"/>
      <c r="BC158" s="11">
        <f t="shared" si="295"/>
        <v>0</v>
      </c>
      <c r="BD158" s="11">
        <f t="shared" si="296"/>
        <v>0</v>
      </c>
      <c r="BE158" s="11">
        <v>0</v>
      </c>
      <c r="BF158" s="11">
        <v>0</v>
      </c>
      <c r="BG158" s="11">
        <v>0</v>
      </c>
      <c r="BH158" s="11">
        <f>SUM(BJ158:BK158)</f>
        <v>0</v>
      </c>
      <c r="BI158" s="11">
        <v>0</v>
      </c>
      <c r="BJ158" s="11">
        <v>0</v>
      </c>
      <c r="BK158" s="11">
        <v>0</v>
      </c>
      <c r="BL158" s="11">
        <v>0</v>
      </c>
      <c r="BM158" s="11">
        <v>0</v>
      </c>
      <c r="BN158" s="11">
        <f>SUM(BO158)</f>
        <v>0</v>
      </c>
      <c r="BO158" s="11">
        <v>0</v>
      </c>
      <c r="BP158" s="11">
        <f>SUM(BQ158:CA158)</f>
        <v>0</v>
      </c>
      <c r="BQ158" s="11">
        <v>0</v>
      </c>
      <c r="BR158" s="11">
        <v>0</v>
      </c>
      <c r="BS158" s="11">
        <v>0</v>
      </c>
      <c r="BT158" s="11">
        <v>0</v>
      </c>
      <c r="BU158" s="11">
        <v>0</v>
      </c>
      <c r="BV158" s="11">
        <v>0</v>
      </c>
      <c r="BW158" s="11">
        <v>0</v>
      </c>
      <c r="BX158" s="11">
        <v>0</v>
      </c>
      <c r="BY158" s="11">
        <v>0</v>
      </c>
      <c r="BZ158" s="11">
        <v>0</v>
      </c>
      <c r="CA158" s="11">
        <v>0</v>
      </c>
      <c r="CB158" s="11">
        <f t="shared" si="297"/>
        <v>0</v>
      </c>
      <c r="CC158" s="11">
        <f t="shared" si="298"/>
        <v>0</v>
      </c>
      <c r="CD158" s="11">
        <f>SUM(CE158:CF158)</f>
        <v>0</v>
      </c>
      <c r="CE158" s="11">
        <v>0</v>
      </c>
      <c r="CF158" s="16"/>
      <c r="CG158" s="11">
        <f t="shared" si="299"/>
        <v>0</v>
      </c>
      <c r="CH158" s="11">
        <v>0</v>
      </c>
      <c r="CI158" s="11">
        <v>0</v>
      </c>
      <c r="CJ158" s="11">
        <v>0</v>
      </c>
      <c r="CK158" s="11">
        <v>0</v>
      </c>
      <c r="CL158" s="11">
        <f t="shared" si="300"/>
        <v>0</v>
      </c>
      <c r="CM158" s="11">
        <v>0</v>
      </c>
      <c r="CN158" s="11">
        <v>0</v>
      </c>
      <c r="CO158" s="11">
        <v>0</v>
      </c>
      <c r="CP158" s="11"/>
      <c r="CQ158" s="11">
        <v>0</v>
      </c>
      <c r="CR158" s="11">
        <v>0</v>
      </c>
      <c r="CS158" s="11">
        <v>0</v>
      </c>
      <c r="CT158" s="11">
        <v>0</v>
      </c>
      <c r="CU158" s="11">
        <f>SUM(CV158)</f>
        <v>0</v>
      </c>
      <c r="CV158" s="11">
        <f>SUM(CW158:CX158)</f>
        <v>0</v>
      </c>
      <c r="CW158" s="11">
        <v>0</v>
      </c>
      <c r="CX158" s="12">
        <v>0</v>
      </c>
    </row>
    <row r="159" spans="1:102" ht="15.75" x14ac:dyDescent="0.25">
      <c r="A159" s="13" t="s">
        <v>1</v>
      </c>
      <c r="B159" s="14" t="s">
        <v>1</v>
      </c>
      <c r="C159" s="14" t="s">
        <v>111</v>
      </c>
      <c r="D159" s="15" t="s">
        <v>299</v>
      </c>
      <c r="E159" s="10">
        <f t="shared" si="290"/>
        <v>2631967</v>
      </c>
      <c r="F159" s="11">
        <f t="shared" si="291"/>
        <v>2631967</v>
      </c>
      <c r="G159" s="11">
        <f t="shared" si="292"/>
        <v>2631967</v>
      </c>
      <c r="H159" s="16">
        <f>1855501+98960</f>
        <v>1954461</v>
      </c>
      <c r="I159" s="16">
        <f>429375+24740</f>
        <v>454115</v>
      </c>
      <c r="J159" s="11">
        <f t="shared" si="279"/>
        <v>41836</v>
      </c>
      <c r="K159" s="16">
        <v>40000</v>
      </c>
      <c r="L159" s="16"/>
      <c r="M159" s="16"/>
      <c r="N159" s="16"/>
      <c r="O159" s="16"/>
      <c r="P159" s="16">
        <v>1836</v>
      </c>
      <c r="Q159" s="11">
        <f t="shared" si="280"/>
        <v>0</v>
      </c>
      <c r="R159" s="11">
        <v>0</v>
      </c>
      <c r="S159" s="11">
        <v>0</v>
      </c>
      <c r="T159" s="11">
        <v>0</v>
      </c>
      <c r="U159" s="16">
        <v>7137</v>
      </c>
      <c r="V159" s="11">
        <f t="shared" si="293"/>
        <v>0</v>
      </c>
      <c r="W159" s="16"/>
      <c r="X159" s="16"/>
      <c r="Y159" s="16"/>
      <c r="Z159" s="16"/>
      <c r="AA159" s="16"/>
      <c r="AB159" s="16"/>
      <c r="AC159" s="16"/>
      <c r="AD159" s="16"/>
      <c r="AE159" s="11">
        <v>0</v>
      </c>
      <c r="AF159" s="11">
        <f t="shared" si="294"/>
        <v>174418</v>
      </c>
      <c r="AG159" s="11">
        <v>0</v>
      </c>
      <c r="AH159" s="11">
        <v>0</v>
      </c>
      <c r="AI159" s="16"/>
      <c r="AJ159" s="16"/>
      <c r="AK159" s="16"/>
      <c r="AL159" s="16">
        <v>329</v>
      </c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1"/>
      <c r="AX159" s="11">
        <v>0</v>
      </c>
      <c r="AY159" s="11">
        <v>0</v>
      </c>
      <c r="AZ159" s="11">
        <v>0</v>
      </c>
      <c r="BA159" s="11">
        <v>0</v>
      </c>
      <c r="BB159" s="16">
        <v>174089</v>
      </c>
      <c r="BC159" s="11">
        <f t="shared" si="295"/>
        <v>0</v>
      </c>
      <c r="BD159" s="11">
        <f t="shared" si="296"/>
        <v>0</v>
      </c>
      <c r="BE159" s="11">
        <v>0</v>
      </c>
      <c r="BF159" s="11">
        <v>0</v>
      </c>
      <c r="BG159" s="11">
        <v>0</v>
      </c>
      <c r="BH159" s="11">
        <f t="shared" si="282"/>
        <v>0</v>
      </c>
      <c r="BI159" s="11">
        <v>0</v>
      </c>
      <c r="BJ159" s="11">
        <v>0</v>
      </c>
      <c r="BK159" s="11">
        <v>0</v>
      </c>
      <c r="BL159" s="11">
        <v>0</v>
      </c>
      <c r="BM159" s="11">
        <v>0</v>
      </c>
      <c r="BN159" s="11">
        <f t="shared" si="283"/>
        <v>0</v>
      </c>
      <c r="BO159" s="11">
        <v>0</v>
      </c>
      <c r="BP159" s="11">
        <f t="shared" si="284"/>
        <v>0</v>
      </c>
      <c r="BQ159" s="11">
        <v>0</v>
      </c>
      <c r="BR159" s="11">
        <v>0</v>
      </c>
      <c r="BS159" s="11">
        <v>0</v>
      </c>
      <c r="BT159" s="11">
        <v>0</v>
      </c>
      <c r="BU159" s="11">
        <v>0</v>
      </c>
      <c r="BV159" s="11">
        <v>0</v>
      </c>
      <c r="BW159" s="11">
        <v>0</v>
      </c>
      <c r="BX159" s="11">
        <v>0</v>
      </c>
      <c r="BY159" s="11">
        <v>0</v>
      </c>
      <c r="BZ159" s="11">
        <v>0</v>
      </c>
      <c r="CA159" s="11">
        <v>0</v>
      </c>
      <c r="CB159" s="11">
        <f t="shared" si="297"/>
        <v>0</v>
      </c>
      <c r="CC159" s="11">
        <f t="shared" si="298"/>
        <v>0</v>
      </c>
      <c r="CD159" s="11">
        <f t="shared" si="285"/>
        <v>0</v>
      </c>
      <c r="CE159" s="11">
        <v>0</v>
      </c>
      <c r="CF159" s="16"/>
      <c r="CG159" s="11">
        <f t="shared" si="299"/>
        <v>0</v>
      </c>
      <c r="CH159" s="11">
        <v>0</v>
      </c>
      <c r="CI159" s="11">
        <v>0</v>
      </c>
      <c r="CJ159" s="11">
        <v>0</v>
      </c>
      <c r="CK159" s="11">
        <v>0</v>
      </c>
      <c r="CL159" s="11">
        <f t="shared" si="300"/>
        <v>0</v>
      </c>
      <c r="CM159" s="11">
        <v>0</v>
      </c>
      <c r="CN159" s="11">
        <v>0</v>
      </c>
      <c r="CO159" s="11">
        <v>0</v>
      </c>
      <c r="CP159" s="11"/>
      <c r="CQ159" s="11">
        <v>0</v>
      </c>
      <c r="CR159" s="11">
        <v>0</v>
      </c>
      <c r="CS159" s="11">
        <v>0</v>
      </c>
      <c r="CT159" s="11">
        <v>0</v>
      </c>
      <c r="CU159" s="11">
        <f t="shared" si="286"/>
        <v>0</v>
      </c>
      <c r="CV159" s="11">
        <f t="shared" si="287"/>
        <v>0</v>
      </c>
      <c r="CW159" s="11">
        <v>0</v>
      </c>
      <c r="CX159" s="12">
        <v>0</v>
      </c>
    </row>
    <row r="160" spans="1:102" ht="15.75" x14ac:dyDescent="0.25">
      <c r="A160" s="13" t="s">
        <v>1</v>
      </c>
      <c r="B160" s="14" t="s">
        <v>1</v>
      </c>
      <c r="C160" s="14" t="s">
        <v>111</v>
      </c>
      <c r="D160" s="15" t="s">
        <v>300</v>
      </c>
      <c r="E160" s="10">
        <f t="shared" si="290"/>
        <v>701060</v>
      </c>
      <c r="F160" s="11">
        <f t="shared" si="291"/>
        <v>701060</v>
      </c>
      <c r="G160" s="11">
        <f t="shared" si="292"/>
        <v>701060</v>
      </c>
      <c r="H160" s="16">
        <f>530556+28296</f>
        <v>558852</v>
      </c>
      <c r="I160" s="16">
        <f>120564+7074</f>
        <v>127638</v>
      </c>
      <c r="J160" s="11">
        <f>SUM(K160:P160)</f>
        <v>0</v>
      </c>
      <c r="K160" s="16"/>
      <c r="L160" s="16"/>
      <c r="M160" s="16"/>
      <c r="N160" s="16"/>
      <c r="O160" s="16"/>
      <c r="P160" s="16"/>
      <c r="Q160" s="11">
        <f>SUM(R160:S160)</f>
        <v>0</v>
      </c>
      <c r="R160" s="11">
        <v>0</v>
      </c>
      <c r="S160" s="11">
        <v>0</v>
      </c>
      <c r="T160" s="11">
        <v>0</v>
      </c>
      <c r="U160" s="16">
        <v>14570</v>
      </c>
      <c r="V160" s="11">
        <f t="shared" si="293"/>
        <v>0</v>
      </c>
      <c r="W160" s="16"/>
      <c r="X160" s="16"/>
      <c r="Y160" s="16"/>
      <c r="Z160" s="16"/>
      <c r="AA160" s="16"/>
      <c r="AB160" s="16"/>
      <c r="AC160" s="16"/>
      <c r="AD160" s="16"/>
      <c r="AE160" s="11">
        <v>0</v>
      </c>
      <c r="AF160" s="11">
        <f t="shared" si="294"/>
        <v>0</v>
      </c>
      <c r="AG160" s="11">
        <v>0</v>
      </c>
      <c r="AH160" s="11">
        <v>0</v>
      </c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1"/>
      <c r="AX160" s="11">
        <v>0</v>
      </c>
      <c r="AY160" s="11">
        <v>0</v>
      </c>
      <c r="AZ160" s="11">
        <v>0</v>
      </c>
      <c r="BA160" s="11">
        <v>0</v>
      </c>
      <c r="BB160" s="16"/>
      <c r="BC160" s="11">
        <f t="shared" si="295"/>
        <v>0</v>
      </c>
      <c r="BD160" s="11">
        <f t="shared" si="296"/>
        <v>0</v>
      </c>
      <c r="BE160" s="11">
        <v>0</v>
      </c>
      <c r="BF160" s="11">
        <v>0</v>
      </c>
      <c r="BG160" s="11">
        <v>0</v>
      </c>
      <c r="BH160" s="11">
        <f>SUM(BJ160:BK160)</f>
        <v>0</v>
      </c>
      <c r="BI160" s="11">
        <v>0</v>
      </c>
      <c r="BJ160" s="11">
        <v>0</v>
      </c>
      <c r="BK160" s="11">
        <v>0</v>
      </c>
      <c r="BL160" s="11">
        <v>0</v>
      </c>
      <c r="BM160" s="11">
        <v>0</v>
      </c>
      <c r="BN160" s="11">
        <f>SUM(BO160)</f>
        <v>0</v>
      </c>
      <c r="BO160" s="11">
        <v>0</v>
      </c>
      <c r="BP160" s="11">
        <f>SUM(BQ160:CA160)</f>
        <v>0</v>
      </c>
      <c r="BQ160" s="11">
        <v>0</v>
      </c>
      <c r="BR160" s="11">
        <v>0</v>
      </c>
      <c r="BS160" s="11">
        <v>0</v>
      </c>
      <c r="BT160" s="11">
        <v>0</v>
      </c>
      <c r="BU160" s="11">
        <v>0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>
        <v>0</v>
      </c>
      <c r="CB160" s="11">
        <f t="shared" si="297"/>
        <v>0</v>
      </c>
      <c r="CC160" s="11">
        <f t="shared" si="298"/>
        <v>0</v>
      </c>
      <c r="CD160" s="11">
        <f>SUM(CE160:CF160)</f>
        <v>0</v>
      </c>
      <c r="CE160" s="11">
        <v>0</v>
      </c>
      <c r="CF160" s="16"/>
      <c r="CG160" s="11">
        <f t="shared" si="299"/>
        <v>0</v>
      </c>
      <c r="CH160" s="11">
        <v>0</v>
      </c>
      <c r="CI160" s="11">
        <v>0</v>
      </c>
      <c r="CJ160" s="11">
        <v>0</v>
      </c>
      <c r="CK160" s="11">
        <v>0</v>
      </c>
      <c r="CL160" s="11">
        <f t="shared" si="300"/>
        <v>0</v>
      </c>
      <c r="CM160" s="11">
        <v>0</v>
      </c>
      <c r="CN160" s="11">
        <v>0</v>
      </c>
      <c r="CO160" s="11">
        <v>0</v>
      </c>
      <c r="CP160" s="11"/>
      <c r="CQ160" s="11">
        <v>0</v>
      </c>
      <c r="CR160" s="11">
        <v>0</v>
      </c>
      <c r="CS160" s="11">
        <v>0</v>
      </c>
      <c r="CT160" s="11">
        <v>0</v>
      </c>
      <c r="CU160" s="11">
        <f>SUM(CV160)</f>
        <v>0</v>
      </c>
      <c r="CV160" s="11">
        <f>SUM(CW160:CX160)</f>
        <v>0</v>
      </c>
      <c r="CW160" s="11">
        <v>0</v>
      </c>
      <c r="CX160" s="12">
        <v>0</v>
      </c>
    </row>
    <row r="161" spans="1:102" ht="31.5" x14ac:dyDescent="0.25">
      <c r="A161" s="13" t="s">
        <v>1</v>
      </c>
      <c r="B161" s="14" t="s">
        <v>1</v>
      </c>
      <c r="C161" s="14" t="s">
        <v>113</v>
      </c>
      <c r="D161" s="15" t="s">
        <v>471</v>
      </c>
      <c r="E161" s="10">
        <f t="shared" si="290"/>
        <v>257110</v>
      </c>
      <c r="F161" s="11">
        <f t="shared" si="291"/>
        <v>239699</v>
      </c>
      <c r="G161" s="11">
        <f t="shared" si="292"/>
        <v>239699</v>
      </c>
      <c r="H161" s="16">
        <f>174115+9286</f>
        <v>183401</v>
      </c>
      <c r="I161" s="16">
        <f>43529+2322</f>
        <v>45851</v>
      </c>
      <c r="J161" s="11">
        <f>SUM(K161:P161)</f>
        <v>8706</v>
      </c>
      <c r="K161" s="16"/>
      <c r="L161" s="16"/>
      <c r="M161" s="16"/>
      <c r="N161" s="16"/>
      <c r="O161" s="16"/>
      <c r="P161" s="16">
        <v>8706</v>
      </c>
      <c r="Q161" s="11">
        <f>SUM(R161:S161)</f>
        <v>1741</v>
      </c>
      <c r="R161" s="11">
        <v>1741</v>
      </c>
      <c r="S161" s="11">
        <v>0</v>
      </c>
      <c r="T161" s="11">
        <v>0</v>
      </c>
      <c r="U161" s="16"/>
      <c r="V161" s="11">
        <f t="shared" si="293"/>
        <v>0</v>
      </c>
      <c r="W161" s="16"/>
      <c r="X161" s="16"/>
      <c r="Y161" s="16"/>
      <c r="Z161" s="16"/>
      <c r="AA161" s="16"/>
      <c r="AB161" s="16"/>
      <c r="AC161" s="16"/>
      <c r="AD161" s="16"/>
      <c r="AE161" s="11">
        <v>0</v>
      </c>
      <c r="AF161" s="11">
        <f t="shared" si="294"/>
        <v>0</v>
      </c>
      <c r="AG161" s="11">
        <v>0</v>
      </c>
      <c r="AH161" s="11">
        <v>0</v>
      </c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1"/>
      <c r="AX161" s="11">
        <v>0</v>
      </c>
      <c r="AY161" s="11">
        <v>0</v>
      </c>
      <c r="AZ161" s="11">
        <v>0</v>
      </c>
      <c r="BA161" s="11">
        <v>0</v>
      </c>
      <c r="BB161" s="16"/>
      <c r="BC161" s="11">
        <f t="shared" si="295"/>
        <v>0</v>
      </c>
      <c r="BD161" s="11">
        <f>SUM(BE161:BG161)</f>
        <v>0</v>
      </c>
      <c r="BE161" s="11">
        <v>0</v>
      </c>
      <c r="BF161" s="11">
        <v>0</v>
      </c>
      <c r="BG161" s="11">
        <v>0</v>
      </c>
      <c r="BH161" s="11">
        <f>SUM(BJ161:BK161)</f>
        <v>0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f>SUM(BO161)</f>
        <v>0</v>
      </c>
      <c r="BO161" s="11">
        <v>0</v>
      </c>
      <c r="BP161" s="11">
        <f>SUM(BQ161:CA161)</f>
        <v>0</v>
      </c>
      <c r="BQ161" s="11">
        <v>0</v>
      </c>
      <c r="BR161" s="11">
        <v>0</v>
      </c>
      <c r="BS161" s="11">
        <v>0</v>
      </c>
      <c r="BT161" s="11">
        <v>0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v>0</v>
      </c>
      <c r="CB161" s="11">
        <f t="shared" si="297"/>
        <v>17411</v>
      </c>
      <c r="CC161" s="11">
        <f t="shared" si="298"/>
        <v>17411</v>
      </c>
      <c r="CD161" s="11">
        <f>SUM(CE161:CF161)</f>
        <v>17411</v>
      </c>
      <c r="CE161" s="11">
        <v>0</v>
      </c>
      <c r="CF161" s="16">
        <v>17411</v>
      </c>
      <c r="CG161" s="11">
        <f t="shared" si="299"/>
        <v>0</v>
      </c>
      <c r="CH161" s="11">
        <v>0</v>
      </c>
      <c r="CI161" s="11">
        <v>0</v>
      </c>
      <c r="CJ161" s="11">
        <v>0</v>
      </c>
      <c r="CK161" s="11">
        <v>0</v>
      </c>
      <c r="CL161" s="11">
        <f t="shared" si="300"/>
        <v>0</v>
      </c>
      <c r="CM161" s="11">
        <v>0</v>
      </c>
      <c r="CN161" s="11">
        <v>0</v>
      </c>
      <c r="CO161" s="11">
        <v>0</v>
      </c>
      <c r="CP161" s="11"/>
      <c r="CQ161" s="11">
        <v>0</v>
      </c>
      <c r="CR161" s="11">
        <v>0</v>
      </c>
      <c r="CS161" s="11">
        <v>0</v>
      </c>
      <c r="CT161" s="11">
        <v>0</v>
      </c>
      <c r="CU161" s="11">
        <f>SUM(CV161)</f>
        <v>0</v>
      </c>
      <c r="CV161" s="11">
        <f>SUM(CW161:CX161)</f>
        <v>0</v>
      </c>
      <c r="CW161" s="11">
        <v>0</v>
      </c>
      <c r="CX161" s="12">
        <v>0</v>
      </c>
    </row>
    <row r="162" spans="1:102" ht="31.5" x14ac:dyDescent="0.25">
      <c r="A162" s="13" t="s">
        <v>1</v>
      </c>
      <c r="B162" s="14" t="s">
        <v>1</v>
      </c>
      <c r="C162" s="14" t="s">
        <v>113</v>
      </c>
      <c r="D162" s="15" t="s">
        <v>301</v>
      </c>
      <c r="E162" s="10">
        <f t="shared" si="290"/>
        <v>869091</v>
      </c>
      <c r="F162" s="11">
        <f t="shared" si="291"/>
        <v>869091</v>
      </c>
      <c r="G162" s="11">
        <f t="shared" si="292"/>
        <v>869091</v>
      </c>
      <c r="H162" s="16"/>
      <c r="I162" s="16"/>
      <c r="J162" s="11">
        <f t="shared" ref="J162" si="301">SUM(K162:P162)</f>
        <v>0</v>
      </c>
      <c r="K162" s="16"/>
      <c r="L162" s="16"/>
      <c r="M162" s="16"/>
      <c r="N162" s="16"/>
      <c r="O162" s="16"/>
      <c r="P162" s="16"/>
      <c r="Q162" s="11">
        <f t="shared" ref="Q162" si="302">SUM(R162:S162)</f>
        <v>0</v>
      </c>
      <c r="R162" s="11">
        <v>0</v>
      </c>
      <c r="S162" s="11">
        <v>0</v>
      </c>
      <c r="T162" s="11">
        <v>0</v>
      </c>
      <c r="U162" s="16"/>
      <c r="V162" s="11">
        <f t="shared" si="293"/>
        <v>0</v>
      </c>
      <c r="W162" s="16"/>
      <c r="X162" s="16"/>
      <c r="Y162" s="16"/>
      <c r="Z162" s="16"/>
      <c r="AA162" s="16"/>
      <c r="AB162" s="16"/>
      <c r="AC162" s="16"/>
      <c r="AD162" s="16"/>
      <c r="AE162" s="11">
        <v>0</v>
      </c>
      <c r="AF162" s="11">
        <f t="shared" si="294"/>
        <v>869091</v>
      </c>
      <c r="AG162" s="11">
        <v>0</v>
      </c>
      <c r="AH162" s="11">
        <v>0</v>
      </c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1"/>
      <c r="AX162" s="11">
        <v>0</v>
      </c>
      <c r="AY162" s="11">
        <v>0</v>
      </c>
      <c r="AZ162" s="11">
        <v>0</v>
      </c>
      <c r="BA162" s="11">
        <v>0</v>
      </c>
      <c r="BB162" s="16">
        <v>869091</v>
      </c>
      <c r="BC162" s="11">
        <f t="shared" si="295"/>
        <v>0</v>
      </c>
      <c r="BD162" s="11">
        <f t="shared" si="296"/>
        <v>0</v>
      </c>
      <c r="BE162" s="11">
        <v>0</v>
      </c>
      <c r="BF162" s="11">
        <v>0</v>
      </c>
      <c r="BG162" s="11">
        <v>0</v>
      </c>
      <c r="BH162" s="11">
        <f t="shared" ref="BH162" si="303">SUM(BJ162:BK162)</f>
        <v>0</v>
      </c>
      <c r="BI162" s="11">
        <v>0</v>
      </c>
      <c r="BJ162" s="11">
        <v>0</v>
      </c>
      <c r="BK162" s="11">
        <v>0</v>
      </c>
      <c r="BL162" s="11">
        <v>0</v>
      </c>
      <c r="BM162" s="11">
        <v>0</v>
      </c>
      <c r="BN162" s="11">
        <f t="shared" ref="BN162" si="304">SUM(BO162)</f>
        <v>0</v>
      </c>
      <c r="BO162" s="11">
        <v>0</v>
      </c>
      <c r="BP162" s="11">
        <f t="shared" ref="BP162" si="305">SUM(BQ162:CA162)</f>
        <v>0</v>
      </c>
      <c r="BQ162" s="11">
        <v>0</v>
      </c>
      <c r="BR162" s="11">
        <v>0</v>
      </c>
      <c r="BS162" s="11">
        <v>0</v>
      </c>
      <c r="BT162" s="11">
        <v>0</v>
      </c>
      <c r="BU162" s="11">
        <v>0</v>
      </c>
      <c r="BV162" s="11">
        <v>0</v>
      </c>
      <c r="BW162" s="11">
        <v>0</v>
      </c>
      <c r="BX162" s="11">
        <v>0</v>
      </c>
      <c r="BY162" s="11">
        <v>0</v>
      </c>
      <c r="BZ162" s="11">
        <v>0</v>
      </c>
      <c r="CA162" s="11">
        <v>0</v>
      </c>
      <c r="CB162" s="11">
        <f t="shared" si="297"/>
        <v>0</v>
      </c>
      <c r="CC162" s="11">
        <f t="shared" si="298"/>
        <v>0</v>
      </c>
      <c r="CD162" s="11">
        <f t="shared" ref="CD162" si="306">SUM(CE162:CF162)</f>
        <v>0</v>
      </c>
      <c r="CE162" s="11">
        <v>0</v>
      </c>
      <c r="CF162" s="16"/>
      <c r="CG162" s="11">
        <f t="shared" si="299"/>
        <v>0</v>
      </c>
      <c r="CH162" s="11">
        <v>0</v>
      </c>
      <c r="CI162" s="11">
        <v>0</v>
      </c>
      <c r="CJ162" s="11">
        <v>0</v>
      </c>
      <c r="CK162" s="11">
        <v>0</v>
      </c>
      <c r="CL162" s="11">
        <f t="shared" si="300"/>
        <v>0</v>
      </c>
      <c r="CM162" s="11">
        <v>0</v>
      </c>
      <c r="CN162" s="11">
        <v>0</v>
      </c>
      <c r="CO162" s="11">
        <v>0</v>
      </c>
      <c r="CP162" s="11"/>
      <c r="CQ162" s="11">
        <v>0</v>
      </c>
      <c r="CR162" s="11">
        <v>0</v>
      </c>
      <c r="CS162" s="11">
        <v>0</v>
      </c>
      <c r="CT162" s="11">
        <v>0</v>
      </c>
      <c r="CU162" s="11">
        <f t="shared" ref="CU162" si="307">SUM(CV162)</f>
        <v>0</v>
      </c>
      <c r="CV162" s="11">
        <f t="shared" ref="CV162" si="308">SUM(CW162:CX162)</f>
        <v>0</v>
      </c>
      <c r="CW162" s="11">
        <v>0</v>
      </c>
      <c r="CX162" s="12">
        <v>0</v>
      </c>
    </row>
    <row r="163" spans="1:102" ht="31.5" x14ac:dyDescent="0.25">
      <c r="A163" s="18" t="s">
        <v>302</v>
      </c>
      <c r="B163" s="19" t="s">
        <v>1</v>
      </c>
      <c r="C163" s="19" t="s">
        <v>1</v>
      </c>
      <c r="D163" s="20" t="s">
        <v>303</v>
      </c>
      <c r="E163" s="21">
        <f t="shared" ref="E163:AU163" si="309">SUM(E164+E169)</f>
        <v>46685054</v>
      </c>
      <c r="F163" s="22">
        <f t="shared" si="309"/>
        <v>44821663</v>
      </c>
      <c r="G163" s="22">
        <f t="shared" si="309"/>
        <v>44821663</v>
      </c>
      <c r="H163" s="22">
        <f t="shared" si="309"/>
        <v>28104799</v>
      </c>
      <c r="I163" s="22">
        <f t="shared" si="309"/>
        <v>6740361</v>
      </c>
      <c r="J163" s="22">
        <f t="shared" si="309"/>
        <v>357968</v>
      </c>
      <c r="K163" s="22">
        <f t="shared" si="309"/>
        <v>0</v>
      </c>
      <c r="L163" s="22">
        <f t="shared" si="309"/>
        <v>0</v>
      </c>
      <c r="M163" s="22">
        <f t="shared" si="309"/>
        <v>0</v>
      </c>
      <c r="N163" s="22">
        <f t="shared" si="309"/>
        <v>0</v>
      </c>
      <c r="O163" s="22">
        <f t="shared" si="309"/>
        <v>317606</v>
      </c>
      <c r="P163" s="22">
        <f t="shared" si="309"/>
        <v>40362</v>
      </c>
      <c r="Q163" s="22">
        <f t="shared" si="309"/>
        <v>56109</v>
      </c>
      <c r="R163" s="22">
        <f t="shared" si="309"/>
        <v>0</v>
      </c>
      <c r="S163" s="22">
        <f t="shared" si="309"/>
        <v>56109</v>
      </c>
      <c r="T163" s="22">
        <f t="shared" si="309"/>
        <v>0</v>
      </c>
      <c r="U163" s="22">
        <f t="shared" si="309"/>
        <v>136635</v>
      </c>
      <c r="V163" s="22">
        <f t="shared" si="309"/>
        <v>119144</v>
      </c>
      <c r="W163" s="22">
        <f t="shared" si="309"/>
        <v>37487</v>
      </c>
      <c r="X163" s="22">
        <f t="shared" si="309"/>
        <v>0</v>
      </c>
      <c r="Y163" s="22">
        <f t="shared" si="309"/>
        <v>81657</v>
      </c>
      <c r="Z163" s="22">
        <f t="shared" si="309"/>
        <v>0</v>
      </c>
      <c r="AA163" s="22">
        <f t="shared" si="309"/>
        <v>0</v>
      </c>
      <c r="AB163" s="22">
        <f t="shared" si="309"/>
        <v>0</v>
      </c>
      <c r="AC163" s="22">
        <f t="shared" si="309"/>
        <v>0</v>
      </c>
      <c r="AD163" s="22">
        <f t="shared" si="309"/>
        <v>0</v>
      </c>
      <c r="AE163" s="22">
        <f t="shared" si="309"/>
        <v>0</v>
      </c>
      <c r="AF163" s="22">
        <f t="shared" si="309"/>
        <v>9306647</v>
      </c>
      <c r="AG163" s="22">
        <f t="shared" si="309"/>
        <v>0</v>
      </c>
      <c r="AH163" s="22">
        <f t="shared" si="309"/>
        <v>0</v>
      </c>
      <c r="AI163" s="22">
        <f t="shared" si="309"/>
        <v>1432</v>
      </c>
      <c r="AJ163" s="22">
        <f t="shared" si="309"/>
        <v>1053</v>
      </c>
      <c r="AK163" s="22">
        <f t="shared" si="309"/>
        <v>0</v>
      </c>
      <c r="AL163" s="22">
        <f t="shared" si="309"/>
        <v>0</v>
      </c>
      <c r="AM163" s="22">
        <f t="shared" si="309"/>
        <v>0</v>
      </c>
      <c r="AN163" s="22">
        <f t="shared" si="309"/>
        <v>0</v>
      </c>
      <c r="AO163" s="22">
        <f t="shared" si="309"/>
        <v>1258980</v>
      </c>
      <c r="AP163" s="22">
        <f t="shared" si="309"/>
        <v>0</v>
      </c>
      <c r="AQ163" s="22">
        <f t="shared" si="309"/>
        <v>0</v>
      </c>
      <c r="AR163" s="22">
        <f t="shared" si="309"/>
        <v>0</v>
      </c>
      <c r="AS163" s="22">
        <f t="shared" si="309"/>
        <v>0</v>
      </c>
      <c r="AT163" s="22">
        <f t="shared" si="309"/>
        <v>45182</v>
      </c>
      <c r="AU163" s="22">
        <f t="shared" si="309"/>
        <v>0</v>
      </c>
      <c r="AV163" s="22"/>
      <c r="AW163" s="22"/>
      <c r="AX163" s="22">
        <f t="shared" ref="AX163:CO163" si="310">SUM(AX164+AX169)</f>
        <v>0</v>
      </c>
      <c r="AY163" s="22">
        <f t="shared" si="310"/>
        <v>0</v>
      </c>
      <c r="AZ163" s="22">
        <f t="shared" si="310"/>
        <v>0</v>
      </c>
      <c r="BA163" s="22">
        <f t="shared" si="310"/>
        <v>0</v>
      </c>
      <c r="BB163" s="22">
        <f t="shared" si="310"/>
        <v>8000000</v>
      </c>
      <c r="BC163" s="22">
        <f t="shared" si="310"/>
        <v>0</v>
      </c>
      <c r="BD163" s="22">
        <f t="shared" si="310"/>
        <v>0</v>
      </c>
      <c r="BE163" s="22">
        <f t="shared" si="310"/>
        <v>0</v>
      </c>
      <c r="BF163" s="22">
        <f t="shared" si="310"/>
        <v>0</v>
      </c>
      <c r="BG163" s="22">
        <f t="shared" si="310"/>
        <v>0</v>
      </c>
      <c r="BH163" s="22">
        <f t="shared" si="310"/>
        <v>0</v>
      </c>
      <c r="BI163" s="22">
        <f t="shared" si="310"/>
        <v>0</v>
      </c>
      <c r="BJ163" s="22">
        <f t="shared" si="310"/>
        <v>0</v>
      </c>
      <c r="BK163" s="22">
        <f t="shared" si="310"/>
        <v>0</v>
      </c>
      <c r="BL163" s="22">
        <f t="shared" si="310"/>
        <v>0</v>
      </c>
      <c r="BM163" s="22">
        <f t="shared" si="310"/>
        <v>0</v>
      </c>
      <c r="BN163" s="22">
        <f t="shared" si="310"/>
        <v>0</v>
      </c>
      <c r="BO163" s="22">
        <f t="shared" si="310"/>
        <v>0</v>
      </c>
      <c r="BP163" s="22">
        <f t="shared" si="310"/>
        <v>0</v>
      </c>
      <c r="BQ163" s="22">
        <f t="shared" si="310"/>
        <v>0</v>
      </c>
      <c r="BR163" s="22">
        <f t="shared" si="310"/>
        <v>0</v>
      </c>
      <c r="BS163" s="22">
        <f t="shared" si="310"/>
        <v>0</v>
      </c>
      <c r="BT163" s="22">
        <f t="shared" si="310"/>
        <v>0</v>
      </c>
      <c r="BU163" s="22">
        <f t="shared" si="310"/>
        <v>0</v>
      </c>
      <c r="BV163" s="22">
        <f t="shared" si="310"/>
        <v>0</v>
      </c>
      <c r="BW163" s="22">
        <f t="shared" si="310"/>
        <v>0</v>
      </c>
      <c r="BX163" s="22">
        <f t="shared" si="310"/>
        <v>0</v>
      </c>
      <c r="BY163" s="22">
        <f t="shared" si="310"/>
        <v>0</v>
      </c>
      <c r="BZ163" s="22">
        <f t="shared" si="310"/>
        <v>0</v>
      </c>
      <c r="CA163" s="22">
        <f t="shared" si="310"/>
        <v>0</v>
      </c>
      <c r="CB163" s="22">
        <f t="shared" si="310"/>
        <v>1863391</v>
      </c>
      <c r="CC163" s="22">
        <f t="shared" si="310"/>
        <v>1863391</v>
      </c>
      <c r="CD163" s="22">
        <f t="shared" si="310"/>
        <v>1460120</v>
      </c>
      <c r="CE163" s="22">
        <f t="shared" si="310"/>
        <v>0</v>
      </c>
      <c r="CF163" s="22">
        <f t="shared" si="310"/>
        <v>1460120</v>
      </c>
      <c r="CG163" s="22">
        <f t="shared" si="310"/>
        <v>0</v>
      </c>
      <c r="CH163" s="22">
        <f t="shared" si="310"/>
        <v>0</v>
      </c>
      <c r="CI163" s="22">
        <f t="shared" si="310"/>
        <v>0</v>
      </c>
      <c r="CJ163" s="22">
        <f t="shared" si="310"/>
        <v>0</v>
      </c>
      <c r="CK163" s="22">
        <f t="shared" si="310"/>
        <v>0</v>
      </c>
      <c r="CL163" s="22">
        <f t="shared" si="310"/>
        <v>403271</v>
      </c>
      <c r="CM163" s="22">
        <f t="shared" si="310"/>
        <v>0</v>
      </c>
      <c r="CN163" s="22">
        <f t="shared" si="310"/>
        <v>403271</v>
      </c>
      <c r="CO163" s="22">
        <f t="shared" si="310"/>
        <v>0</v>
      </c>
      <c r="CP163" s="22"/>
      <c r="CQ163" s="22">
        <f t="shared" ref="CQ163:CX163" si="311">SUM(CQ164+CQ169)</f>
        <v>0</v>
      </c>
      <c r="CR163" s="22">
        <f t="shared" si="311"/>
        <v>0</v>
      </c>
      <c r="CS163" s="22">
        <f t="shared" si="311"/>
        <v>0</v>
      </c>
      <c r="CT163" s="22">
        <f t="shared" si="311"/>
        <v>0</v>
      </c>
      <c r="CU163" s="22">
        <f t="shared" si="311"/>
        <v>0</v>
      </c>
      <c r="CV163" s="22">
        <f t="shared" si="311"/>
        <v>0</v>
      </c>
      <c r="CW163" s="22">
        <f t="shared" si="311"/>
        <v>0</v>
      </c>
      <c r="CX163" s="23">
        <f t="shared" si="311"/>
        <v>0</v>
      </c>
    </row>
    <row r="164" spans="1:102" ht="15.75" x14ac:dyDescent="0.25">
      <c r="A164" s="7"/>
      <c r="B164" s="8" t="s">
        <v>304</v>
      </c>
      <c r="C164" s="8" t="s">
        <v>1</v>
      </c>
      <c r="D164" s="9" t="s">
        <v>305</v>
      </c>
      <c r="E164" s="10">
        <f t="shared" ref="E164:AU164" si="312">SUM(E165:E168)</f>
        <v>37445922</v>
      </c>
      <c r="F164" s="11">
        <f t="shared" si="312"/>
        <v>35985802</v>
      </c>
      <c r="G164" s="11">
        <f t="shared" si="312"/>
        <v>35985802</v>
      </c>
      <c r="H164" s="11">
        <f t="shared" si="312"/>
        <v>22046863</v>
      </c>
      <c r="I164" s="11">
        <f t="shared" si="312"/>
        <v>5304684</v>
      </c>
      <c r="J164" s="11">
        <f t="shared" si="312"/>
        <v>351055</v>
      </c>
      <c r="K164" s="11">
        <f t="shared" si="312"/>
        <v>0</v>
      </c>
      <c r="L164" s="11">
        <f t="shared" si="312"/>
        <v>0</v>
      </c>
      <c r="M164" s="11">
        <f t="shared" si="312"/>
        <v>0</v>
      </c>
      <c r="N164" s="11">
        <f t="shared" si="312"/>
        <v>0</v>
      </c>
      <c r="O164" s="11">
        <f t="shared" si="312"/>
        <v>311175</v>
      </c>
      <c r="P164" s="11">
        <f t="shared" si="312"/>
        <v>39880</v>
      </c>
      <c r="Q164" s="11">
        <f t="shared" si="312"/>
        <v>56109</v>
      </c>
      <c r="R164" s="11">
        <f t="shared" si="312"/>
        <v>0</v>
      </c>
      <c r="S164" s="11">
        <f t="shared" si="312"/>
        <v>56109</v>
      </c>
      <c r="T164" s="11">
        <f t="shared" si="312"/>
        <v>0</v>
      </c>
      <c r="U164" s="11">
        <f t="shared" si="312"/>
        <v>100252</v>
      </c>
      <c r="V164" s="11">
        <f t="shared" si="312"/>
        <v>81657</v>
      </c>
      <c r="W164" s="11">
        <f t="shared" si="312"/>
        <v>0</v>
      </c>
      <c r="X164" s="11">
        <f t="shared" si="312"/>
        <v>0</v>
      </c>
      <c r="Y164" s="11">
        <f t="shared" si="312"/>
        <v>81657</v>
      </c>
      <c r="Z164" s="11">
        <f t="shared" si="312"/>
        <v>0</v>
      </c>
      <c r="AA164" s="11">
        <f t="shared" si="312"/>
        <v>0</v>
      </c>
      <c r="AB164" s="11">
        <f t="shared" si="312"/>
        <v>0</v>
      </c>
      <c r="AC164" s="11">
        <f t="shared" si="312"/>
        <v>0</v>
      </c>
      <c r="AD164" s="11">
        <f t="shared" si="312"/>
        <v>0</v>
      </c>
      <c r="AE164" s="11">
        <f t="shared" si="312"/>
        <v>0</v>
      </c>
      <c r="AF164" s="11">
        <f t="shared" si="312"/>
        <v>8045182</v>
      </c>
      <c r="AG164" s="11">
        <f t="shared" si="312"/>
        <v>0</v>
      </c>
      <c r="AH164" s="11">
        <f t="shared" si="312"/>
        <v>0</v>
      </c>
      <c r="AI164" s="11">
        <f t="shared" si="312"/>
        <v>0</v>
      </c>
      <c r="AJ164" s="11">
        <f t="shared" si="312"/>
        <v>0</v>
      </c>
      <c r="AK164" s="11">
        <f t="shared" si="312"/>
        <v>0</v>
      </c>
      <c r="AL164" s="11">
        <f t="shared" si="312"/>
        <v>0</v>
      </c>
      <c r="AM164" s="11">
        <f t="shared" si="312"/>
        <v>0</v>
      </c>
      <c r="AN164" s="11">
        <f t="shared" si="312"/>
        <v>0</v>
      </c>
      <c r="AO164" s="11">
        <f t="shared" si="312"/>
        <v>0</v>
      </c>
      <c r="AP164" s="11">
        <f t="shared" si="312"/>
        <v>0</v>
      </c>
      <c r="AQ164" s="11">
        <f t="shared" si="312"/>
        <v>0</v>
      </c>
      <c r="AR164" s="11">
        <f t="shared" si="312"/>
        <v>0</v>
      </c>
      <c r="AS164" s="11">
        <f t="shared" si="312"/>
        <v>0</v>
      </c>
      <c r="AT164" s="11">
        <f t="shared" si="312"/>
        <v>45182</v>
      </c>
      <c r="AU164" s="11">
        <f t="shared" si="312"/>
        <v>0</v>
      </c>
      <c r="AV164" s="11"/>
      <c r="AW164" s="11"/>
      <c r="AX164" s="11">
        <f t="shared" ref="AX164:CO164" si="313">SUM(AX165:AX168)</f>
        <v>0</v>
      </c>
      <c r="AY164" s="11">
        <f t="shared" si="313"/>
        <v>0</v>
      </c>
      <c r="AZ164" s="11">
        <f t="shared" si="313"/>
        <v>0</v>
      </c>
      <c r="BA164" s="11">
        <f t="shared" si="313"/>
        <v>0</v>
      </c>
      <c r="BB164" s="11">
        <f t="shared" si="313"/>
        <v>8000000</v>
      </c>
      <c r="BC164" s="11">
        <f t="shared" si="313"/>
        <v>0</v>
      </c>
      <c r="BD164" s="11">
        <f t="shared" si="313"/>
        <v>0</v>
      </c>
      <c r="BE164" s="11">
        <f t="shared" si="313"/>
        <v>0</v>
      </c>
      <c r="BF164" s="11">
        <f t="shared" si="313"/>
        <v>0</v>
      </c>
      <c r="BG164" s="11">
        <f t="shared" si="313"/>
        <v>0</v>
      </c>
      <c r="BH164" s="11">
        <f t="shared" si="313"/>
        <v>0</v>
      </c>
      <c r="BI164" s="11">
        <f t="shared" si="313"/>
        <v>0</v>
      </c>
      <c r="BJ164" s="11">
        <f t="shared" si="313"/>
        <v>0</v>
      </c>
      <c r="BK164" s="11">
        <f t="shared" si="313"/>
        <v>0</v>
      </c>
      <c r="BL164" s="11">
        <f t="shared" si="313"/>
        <v>0</v>
      </c>
      <c r="BM164" s="11">
        <f t="shared" si="313"/>
        <v>0</v>
      </c>
      <c r="BN164" s="11">
        <f t="shared" si="313"/>
        <v>0</v>
      </c>
      <c r="BO164" s="11">
        <f t="shared" si="313"/>
        <v>0</v>
      </c>
      <c r="BP164" s="11">
        <f t="shared" si="313"/>
        <v>0</v>
      </c>
      <c r="BQ164" s="11">
        <f t="shared" si="313"/>
        <v>0</v>
      </c>
      <c r="BR164" s="11">
        <f t="shared" si="313"/>
        <v>0</v>
      </c>
      <c r="BS164" s="11">
        <f t="shared" si="313"/>
        <v>0</v>
      </c>
      <c r="BT164" s="11">
        <f t="shared" si="313"/>
        <v>0</v>
      </c>
      <c r="BU164" s="11">
        <f t="shared" si="313"/>
        <v>0</v>
      </c>
      <c r="BV164" s="11">
        <f t="shared" si="313"/>
        <v>0</v>
      </c>
      <c r="BW164" s="11">
        <f t="shared" si="313"/>
        <v>0</v>
      </c>
      <c r="BX164" s="11">
        <f t="shared" si="313"/>
        <v>0</v>
      </c>
      <c r="BY164" s="11">
        <f t="shared" si="313"/>
        <v>0</v>
      </c>
      <c r="BZ164" s="11">
        <f t="shared" si="313"/>
        <v>0</v>
      </c>
      <c r="CA164" s="11">
        <f t="shared" si="313"/>
        <v>0</v>
      </c>
      <c r="CB164" s="11">
        <f t="shared" si="313"/>
        <v>1460120</v>
      </c>
      <c r="CC164" s="11">
        <f t="shared" si="313"/>
        <v>1460120</v>
      </c>
      <c r="CD164" s="11">
        <f t="shared" si="313"/>
        <v>1460120</v>
      </c>
      <c r="CE164" s="11">
        <f t="shared" si="313"/>
        <v>0</v>
      </c>
      <c r="CF164" s="11">
        <f t="shared" si="313"/>
        <v>1460120</v>
      </c>
      <c r="CG164" s="11">
        <f t="shared" si="313"/>
        <v>0</v>
      </c>
      <c r="CH164" s="11">
        <f t="shared" si="313"/>
        <v>0</v>
      </c>
      <c r="CI164" s="11">
        <f t="shared" si="313"/>
        <v>0</v>
      </c>
      <c r="CJ164" s="11">
        <f t="shared" si="313"/>
        <v>0</v>
      </c>
      <c r="CK164" s="11">
        <f t="shared" si="313"/>
        <v>0</v>
      </c>
      <c r="CL164" s="11">
        <f t="shared" si="313"/>
        <v>0</v>
      </c>
      <c r="CM164" s="11">
        <f t="shared" si="313"/>
        <v>0</v>
      </c>
      <c r="CN164" s="11">
        <f t="shared" si="313"/>
        <v>0</v>
      </c>
      <c r="CO164" s="11">
        <f t="shared" si="313"/>
        <v>0</v>
      </c>
      <c r="CP164" s="11"/>
      <c r="CQ164" s="11">
        <f t="shared" ref="CQ164:CX164" si="314">SUM(CQ165:CQ168)</f>
        <v>0</v>
      </c>
      <c r="CR164" s="11">
        <f t="shared" si="314"/>
        <v>0</v>
      </c>
      <c r="CS164" s="11">
        <f t="shared" si="314"/>
        <v>0</v>
      </c>
      <c r="CT164" s="11">
        <f t="shared" si="314"/>
        <v>0</v>
      </c>
      <c r="CU164" s="11">
        <f t="shared" si="314"/>
        <v>0</v>
      </c>
      <c r="CV164" s="11">
        <f t="shared" si="314"/>
        <v>0</v>
      </c>
      <c r="CW164" s="11">
        <f t="shared" si="314"/>
        <v>0</v>
      </c>
      <c r="CX164" s="12">
        <f t="shared" si="314"/>
        <v>0</v>
      </c>
    </row>
    <row r="165" spans="1:102" ht="15.75" x14ac:dyDescent="0.25">
      <c r="A165" s="13"/>
      <c r="B165" s="14" t="s">
        <v>1</v>
      </c>
      <c r="C165" s="14" t="s">
        <v>115</v>
      </c>
      <c r="D165" s="15" t="s">
        <v>306</v>
      </c>
      <c r="E165" s="10">
        <f>SUM(F165+CB165+CU165)</f>
        <v>0</v>
      </c>
      <c r="F165" s="11">
        <f>SUM(G165+BC165)</f>
        <v>0</v>
      </c>
      <c r="G165" s="11">
        <f>SUM(H165+I165+J165+Q165+T165+U165+V165+AF165+AE165)</f>
        <v>0</v>
      </c>
      <c r="H165" s="11">
        <f>20930566-20930566</f>
        <v>0</v>
      </c>
      <c r="I165" s="11">
        <f>5025610-5025610</f>
        <v>0</v>
      </c>
      <c r="J165" s="11">
        <f t="shared" si="279"/>
        <v>0</v>
      </c>
      <c r="K165" s="11">
        <v>0</v>
      </c>
      <c r="L165" s="11">
        <v>0</v>
      </c>
      <c r="M165" s="11">
        <v>0</v>
      </c>
      <c r="N165" s="11">
        <v>0</v>
      </c>
      <c r="O165" s="16">
        <f>311175-311175</f>
        <v>0</v>
      </c>
      <c r="P165" s="16">
        <f>39880-39880</f>
        <v>0</v>
      </c>
      <c r="Q165" s="11">
        <f t="shared" si="280"/>
        <v>0</v>
      </c>
      <c r="R165" s="11">
        <v>0</v>
      </c>
      <c r="S165" s="11">
        <f>56109-56109</f>
        <v>0</v>
      </c>
      <c r="T165" s="11">
        <v>0</v>
      </c>
      <c r="U165" s="16">
        <f>100252-100252</f>
        <v>0</v>
      </c>
      <c r="V165" s="11">
        <f t="shared" ref="V165:V168" si="315">SUM(W165:AD165)</f>
        <v>0</v>
      </c>
      <c r="W165" s="11">
        <v>0</v>
      </c>
      <c r="X165" s="11">
        <v>0</v>
      </c>
      <c r="Y165" s="11">
        <f>81657-81657</f>
        <v>0</v>
      </c>
      <c r="Z165" s="11">
        <v>0</v>
      </c>
      <c r="AA165" s="11">
        <v>0</v>
      </c>
      <c r="AB165" s="11"/>
      <c r="AC165" s="11">
        <v>0</v>
      </c>
      <c r="AD165" s="11">
        <v>0</v>
      </c>
      <c r="AE165" s="11">
        <v>0</v>
      </c>
      <c r="AF165" s="11">
        <f>SUM(AG165:BB165)</f>
        <v>0</v>
      </c>
      <c r="AG165" s="11">
        <v>0</v>
      </c>
      <c r="AH165" s="11">
        <v>0</v>
      </c>
      <c r="AI165" s="11">
        <v>0</v>
      </c>
      <c r="AJ165" s="11"/>
      <c r="AK165" s="11">
        <v>0</v>
      </c>
      <c r="AL165" s="11">
        <v>0</v>
      </c>
      <c r="AM165" s="11">
        <v>0</v>
      </c>
      <c r="AN165" s="11"/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f>45182-45182</f>
        <v>0</v>
      </c>
      <c r="AU165" s="11">
        <v>0</v>
      </c>
      <c r="AV165" s="11"/>
      <c r="AW165" s="11"/>
      <c r="AX165" s="11">
        <v>0</v>
      </c>
      <c r="AY165" s="11">
        <v>0</v>
      </c>
      <c r="AZ165" s="11">
        <v>0</v>
      </c>
      <c r="BA165" s="11">
        <v>0</v>
      </c>
      <c r="BB165" s="11"/>
      <c r="BC165" s="11">
        <f>SUM(BD165+BH165+BL165+BN165+BP165)</f>
        <v>0</v>
      </c>
      <c r="BD165" s="11">
        <f>SUM(BE165:BG165)</f>
        <v>0</v>
      </c>
      <c r="BE165" s="11">
        <v>0</v>
      </c>
      <c r="BF165" s="11">
        <v>0</v>
      </c>
      <c r="BG165" s="11">
        <v>0</v>
      </c>
      <c r="BH165" s="11">
        <f t="shared" si="282"/>
        <v>0</v>
      </c>
      <c r="BI165" s="11">
        <v>0</v>
      </c>
      <c r="BJ165" s="11">
        <v>0</v>
      </c>
      <c r="BK165" s="11">
        <v>0</v>
      </c>
      <c r="BL165" s="11">
        <v>0</v>
      </c>
      <c r="BM165" s="11">
        <v>0</v>
      </c>
      <c r="BN165" s="11">
        <f t="shared" si="283"/>
        <v>0</v>
      </c>
      <c r="BO165" s="11">
        <v>0</v>
      </c>
      <c r="BP165" s="11">
        <f t="shared" si="284"/>
        <v>0</v>
      </c>
      <c r="BQ165" s="11">
        <v>0</v>
      </c>
      <c r="BR165" s="11">
        <v>0</v>
      </c>
      <c r="BS165" s="11">
        <v>0</v>
      </c>
      <c r="BT165" s="11">
        <v>0</v>
      </c>
      <c r="BU165" s="11">
        <v>0</v>
      </c>
      <c r="BV165" s="11">
        <v>0</v>
      </c>
      <c r="BW165" s="11">
        <v>0</v>
      </c>
      <c r="BX165" s="11">
        <v>0</v>
      </c>
      <c r="BY165" s="11">
        <v>0</v>
      </c>
      <c r="BZ165" s="11">
        <v>0</v>
      </c>
      <c r="CA165" s="11">
        <v>0</v>
      </c>
      <c r="CB165" s="11">
        <f>SUM(CC165+CT165)</f>
        <v>0</v>
      </c>
      <c r="CC165" s="11">
        <f>SUM(CD165+CG165+CL165)</f>
        <v>0</v>
      </c>
      <c r="CD165" s="11">
        <f t="shared" si="285"/>
        <v>0</v>
      </c>
      <c r="CE165" s="11">
        <v>0</v>
      </c>
      <c r="CF165" s="11">
        <f>1460120-1460120</f>
        <v>0</v>
      </c>
      <c r="CG165" s="11">
        <f>SUM(CH165:CK165)</f>
        <v>0</v>
      </c>
      <c r="CH165" s="11">
        <v>0</v>
      </c>
      <c r="CI165" s="11">
        <v>0</v>
      </c>
      <c r="CJ165" s="11">
        <v>0</v>
      </c>
      <c r="CK165" s="11">
        <v>0</v>
      </c>
      <c r="CL165" s="11">
        <f>SUM(CM165:CQ165)</f>
        <v>0</v>
      </c>
      <c r="CM165" s="11">
        <v>0</v>
      </c>
      <c r="CN165" s="11">
        <v>0</v>
      </c>
      <c r="CO165" s="11">
        <v>0</v>
      </c>
      <c r="CP165" s="11"/>
      <c r="CQ165" s="11">
        <v>0</v>
      </c>
      <c r="CR165" s="11">
        <v>0</v>
      </c>
      <c r="CS165" s="11">
        <v>0</v>
      </c>
      <c r="CT165" s="11">
        <v>0</v>
      </c>
      <c r="CU165" s="11">
        <f t="shared" si="286"/>
        <v>0</v>
      </c>
      <c r="CV165" s="11">
        <f t="shared" si="287"/>
        <v>0</v>
      </c>
      <c r="CW165" s="11">
        <v>0</v>
      </c>
      <c r="CX165" s="12">
        <v>0</v>
      </c>
    </row>
    <row r="166" spans="1:102" ht="15.75" x14ac:dyDescent="0.25">
      <c r="A166" s="13"/>
      <c r="B166" s="14"/>
      <c r="C166" s="14" t="s">
        <v>117</v>
      </c>
      <c r="D166" s="15" t="s">
        <v>307</v>
      </c>
      <c r="E166" s="10">
        <f>SUM(F166+CB166+CU166)</f>
        <v>0</v>
      </c>
      <c r="F166" s="11">
        <f>SUM(G166+BC166)</f>
        <v>0</v>
      </c>
      <c r="G166" s="11">
        <f>SUM(H166+I166+J166+Q166+T166+U166+V166+AF166+AE166)</f>
        <v>0</v>
      </c>
      <c r="H166" s="11">
        <v>0</v>
      </c>
      <c r="I166" s="11">
        <v>0</v>
      </c>
      <c r="J166" s="11">
        <f t="shared" ref="J166:J167" si="316">SUM(K166:P166)</f>
        <v>0</v>
      </c>
      <c r="K166" s="11">
        <v>0</v>
      </c>
      <c r="L166" s="11">
        <v>0</v>
      </c>
      <c r="M166" s="11">
        <v>0</v>
      </c>
      <c r="N166" s="11">
        <v>0</v>
      </c>
      <c r="O166" s="16"/>
      <c r="P166" s="16"/>
      <c r="Q166" s="11">
        <f t="shared" ref="Q166:Q167" si="317">SUM(R166:S166)</f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f t="shared" ref="V166:V167" si="318">SUM(W166:AD166)</f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f>SUM(AG166:BB166)</f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11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/>
      <c r="AW166" s="11"/>
      <c r="AX166" s="11">
        <v>0</v>
      </c>
      <c r="AY166" s="11">
        <v>0</v>
      </c>
      <c r="AZ166" s="11">
        <v>0</v>
      </c>
      <c r="BA166" s="11">
        <v>0</v>
      </c>
      <c r="BB166" s="11">
        <f>8000000-8000000</f>
        <v>0</v>
      </c>
      <c r="BC166" s="11">
        <f>SUM(BD166+BH166+BL166+BN166+BP166)</f>
        <v>0</v>
      </c>
      <c r="BD166" s="11">
        <f>SUM(BE166:BG166)</f>
        <v>0</v>
      </c>
      <c r="BE166" s="11">
        <v>0</v>
      </c>
      <c r="BF166" s="11">
        <v>0</v>
      </c>
      <c r="BG166" s="11">
        <v>0</v>
      </c>
      <c r="BH166" s="11">
        <f t="shared" ref="BH166:BH167" si="319">SUM(BJ166:BK166)</f>
        <v>0</v>
      </c>
      <c r="BI166" s="11">
        <v>0</v>
      </c>
      <c r="BJ166" s="11">
        <v>0</v>
      </c>
      <c r="BK166" s="11">
        <v>0</v>
      </c>
      <c r="BL166" s="11">
        <v>0</v>
      </c>
      <c r="BM166" s="11">
        <v>0</v>
      </c>
      <c r="BN166" s="11">
        <f t="shared" ref="BN166:BN167" si="320">SUM(BO166)</f>
        <v>0</v>
      </c>
      <c r="BO166" s="11">
        <v>0</v>
      </c>
      <c r="BP166" s="11">
        <f t="shared" ref="BP166:BP167" si="321">SUM(BQ166:CA166)</f>
        <v>0</v>
      </c>
      <c r="BQ166" s="11">
        <v>0</v>
      </c>
      <c r="BR166" s="11">
        <v>0</v>
      </c>
      <c r="BS166" s="11">
        <v>0</v>
      </c>
      <c r="BT166" s="11">
        <v>0</v>
      </c>
      <c r="BU166" s="11">
        <v>0</v>
      </c>
      <c r="BV166" s="11">
        <v>0</v>
      </c>
      <c r="BW166" s="11">
        <v>0</v>
      </c>
      <c r="BX166" s="11">
        <v>0</v>
      </c>
      <c r="BY166" s="11">
        <v>0</v>
      </c>
      <c r="BZ166" s="11">
        <v>0</v>
      </c>
      <c r="CA166" s="11">
        <v>0</v>
      </c>
      <c r="CB166" s="11">
        <f>SUM(CC166+CT166)</f>
        <v>0</v>
      </c>
      <c r="CC166" s="11">
        <f>SUM(CD166+CG166+CL166)</f>
        <v>0</v>
      </c>
      <c r="CD166" s="11">
        <f t="shared" ref="CD166:CD167" si="322">SUM(CE166:CF166)</f>
        <v>0</v>
      </c>
      <c r="CE166" s="11">
        <v>0</v>
      </c>
      <c r="CF166" s="11">
        <v>0</v>
      </c>
      <c r="CG166" s="11">
        <f>SUM(CH166:CK166)</f>
        <v>0</v>
      </c>
      <c r="CH166" s="11">
        <v>0</v>
      </c>
      <c r="CI166" s="11">
        <v>0</v>
      </c>
      <c r="CJ166" s="11">
        <v>0</v>
      </c>
      <c r="CK166" s="11">
        <v>0</v>
      </c>
      <c r="CL166" s="11">
        <f>SUM(CM166:CQ166)</f>
        <v>0</v>
      </c>
      <c r="CM166" s="11">
        <v>0</v>
      </c>
      <c r="CN166" s="11">
        <v>0</v>
      </c>
      <c r="CO166" s="11">
        <v>0</v>
      </c>
      <c r="CP166" s="11"/>
      <c r="CQ166" s="11">
        <v>0</v>
      </c>
      <c r="CR166" s="11">
        <v>0</v>
      </c>
      <c r="CS166" s="11">
        <v>0</v>
      </c>
      <c r="CT166" s="11">
        <v>0</v>
      </c>
      <c r="CU166" s="11">
        <f t="shared" ref="CU166:CU167" si="323">SUM(CV166)</f>
        <v>0</v>
      </c>
      <c r="CV166" s="11">
        <f t="shared" ref="CV166:CV167" si="324">SUM(CW166:CX166)</f>
        <v>0</v>
      </c>
      <c r="CW166" s="11">
        <v>0</v>
      </c>
      <c r="CX166" s="12">
        <v>0</v>
      </c>
    </row>
    <row r="167" spans="1:102" ht="31.5" x14ac:dyDescent="0.25">
      <c r="A167" s="13"/>
      <c r="B167" s="14"/>
      <c r="C167" s="46" t="s">
        <v>129</v>
      </c>
      <c r="D167" s="45" t="s">
        <v>308</v>
      </c>
      <c r="E167" s="10">
        <f>SUM(F167+CB167+CU167)</f>
        <v>29445922</v>
      </c>
      <c r="F167" s="11">
        <f>SUM(G167+BC167)</f>
        <v>27985802</v>
      </c>
      <c r="G167" s="11">
        <f>SUM(H167+I167+J167+Q167+T167+U167+V167+AF167+AE167)</f>
        <v>27985802</v>
      </c>
      <c r="H167" s="11">
        <f>0+22046863</f>
        <v>22046863</v>
      </c>
      <c r="I167" s="11">
        <f>0+5304684</f>
        <v>5304684</v>
      </c>
      <c r="J167" s="11">
        <f t="shared" si="316"/>
        <v>351055</v>
      </c>
      <c r="K167" s="11">
        <v>0</v>
      </c>
      <c r="L167" s="11">
        <v>0</v>
      </c>
      <c r="M167" s="11">
        <v>0</v>
      </c>
      <c r="N167" s="11">
        <v>0</v>
      </c>
      <c r="O167" s="16">
        <f>0+311175</f>
        <v>311175</v>
      </c>
      <c r="P167" s="16">
        <f>0+39880</f>
        <v>39880</v>
      </c>
      <c r="Q167" s="11">
        <f t="shared" si="317"/>
        <v>56109</v>
      </c>
      <c r="R167" s="11">
        <v>0</v>
      </c>
      <c r="S167" s="11">
        <f>0+56109</f>
        <v>56109</v>
      </c>
      <c r="T167" s="11">
        <v>0</v>
      </c>
      <c r="U167" s="11">
        <f>0+100252</f>
        <v>100252</v>
      </c>
      <c r="V167" s="11">
        <f t="shared" si="318"/>
        <v>81657</v>
      </c>
      <c r="W167" s="11">
        <v>0</v>
      </c>
      <c r="X167" s="11">
        <v>0</v>
      </c>
      <c r="Y167" s="11">
        <f>0+81657</f>
        <v>81657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f>SUM(AG167:BB167)</f>
        <v>45182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f>0+45182</f>
        <v>45182</v>
      </c>
      <c r="AU167" s="11">
        <v>0</v>
      </c>
      <c r="AV167" s="11"/>
      <c r="AW167" s="11"/>
      <c r="AX167" s="11">
        <v>0</v>
      </c>
      <c r="AY167" s="11">
        <v>0</v>
      </c>
      <c r="AZ167" s="11">
        <v>0</v>
      </c>
      <c r="BA167" s="11">
        <v>0</v>
      </c>
      <c r="BB167" s="11"/>
      <c r="BC167" s="11">
        <f>SUM(BD167+BH167+BL167+BN167+BP167)</f>
        <v>0</v>
      </c>
      <c r="BD167" s="11">
        <f>SUM(BE167:BG167)</f>
        <v>0</v>
      </c>
      <c r="BE167" s="11">
        <v>0</v>
      </c>
      <c r="BF167" s="11">
        <v>0</v>
      </c>
      <c r="BG167" s="11">
        <v>0</v>
      </c>
      <c r="BH167" s="11">
        <f t="shared" si="319"/>
        <v>0</v>
      </c>
      <c r="BI167" s="11">
        <v>0</v>
      </c>
      <c r="BJ167" s="11">
        <v>0</v>
      </c>
      <c r="BK167" s="11">
        <v>0</v>
      </c>
      <c r="BL167" s="11">
        <v>0</v>
      </c>
      <c r="BM167" s="11">
        <v>0</v>
      </c>
      <c r="BN167" s="11">
        <f t="shared" si="320"/>
        <v>0</v>
      </c>
      <c r="BO167" s="11">
        <v>0</v>
      </c>
      <c r="BP167" s="11">
        <f t="shared" si="321"/>
        <v>0</v>
      </c>
      <c r="BQ167" s="11"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f>SUM(CC167+CT167)</f>
        <v>1460120</v>
      </c>
      <c r="CC167" s="11">
        <f>SUM(CD167+CG167+CL167)</f>
        <v>1460120</v>
      </c>
      <c r="CD167" s="11">
        <f t="shared" si="322"/>
        <v>1460120</v>
      </c>
      <c r="CE167" s="11">
        <v>0</v>
      </c>
      <c r="CF167" s="11">
        <f>0+1460120</f>
        <v>1460120</v>
      </c>
      <c r="CG167" s="11">
        <f>SUM(CH167:CK167)</f>
        <v>0</v>
      </c>
      <c r="CH167" s="11">
        <v>0</v>
      </c>
      <c r="CI167" s="11">
        <v>0</v>
      </c>
      <c r="CJ167" s="11">
        <v>0</v>
      </c>
      <c r="CK167" s="11">
        <v>0</v>
      </c>
      <c r="CL167" s="11">
        <f>SUM(CM167:CQ167)</f>
        <v>0</v>
      </c>
      <c r="CM167" s="11">
        <v>0</v>
      </c>
      <c r="CN167" s="11">
        <v>0</v>
      </c>
      <c r="CO167" s="11">
        <v>0</v>
      </c>
      <c r="CP167" s="11"/>
      <c r="CQ167" s="11">
        <v>0</v>
      </c>
      <c r="CR167" s="11">
        <v>0</v>
      </c>
      <c r="CS167" s="11">
        <v>0</v>
      </c>
      <c r="CT167" s="11">
        <v>0</v>
      </c>
      <c r="CU167" s="11">
        <f t="shared" si="323"/>
        <v>0</v>
      </c>
      <c r="CV167" s="11">
        <f t="shared" si="324"/>
        <v>0</v>
      </c>
      <c r="CW167" s="11">
        <v>0</v>
      </c>
      <c r="CX167" s="12">
        <v>0</v>
      </c>
    </row>
    <row r="168" spans="1:102" ht="31.5" x14ac:dyDescent="0.25">
      <c r="A168" s="13"/>
      <c r="B168" s="14" t="s">
        <v>1</v>
      </c>
      <c r="C168" s="46" t="s">
        <v>129</v>
      </c>
      <c r="D168" s="45" t="s">
        <v>309</v>
      </c>
      <c r="E168" s="10">
        <f>SUM(F168+CB168+CU168)</f>
        <v>8000000</v>
      </c>
      <c r="F168" s="11">
        <f>SUM(G168+BC168)</f>
        <v>8000000</v>
      </c>
      <c r="G168" s="11">
        <f>SUM(H168+I168+J168+Q168+T168+U168+V168+AF168+AE168)</f>
        <v>8000000</v>
      </c>
      <c r="H168" s="11">
        <v>0</v>
      </c>
      <c r="I168" s="11">
        <v>0</v>
      </c>
      <c r="J168" s="11">
        <f t="shared" si="279"/>
        <v>0</v>
      </c>
      <c r="K168" s="11">
        <v>0</v>
      </c>
      <c r="L168" s="11">
        <v>0</v>
      </c>
      <c r="M168" s="11">
        <v>0</v>
      </c>
      <c r="N168" s="11">
        <v>0</v>
      </c>
      <c r="O168" s="16"/>
      <c r="P168" s="16"/>
      <c r="Q168" s="11">
        <f t="shared" si="280"/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f t="shared" si="315"/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f>SUM(AG168:BB168)</f>
        <v>8000000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/>
      <c r="AW168" s="11"/>
      <c r="AX168" s="11">
        <v>0</v>
      </c>
      <c r="AY168" s="11">
        <v>0</v>
      </c>
      <c r="AZ168" s="11">
        <v>0</v>
      </c>
      <c r="BA168" s="11">
        <v>0</v>
      </c>
      <c r="BB168" s="11">
        <f>0+8000000</f>
        <v>8000000</v>
      </c>
      <c r="BC168" s="11">
        <f>SUM(BD168+BH168+BL168+BN168+BP168)</f>
        <v>0</v>
      </c>
      <c r="BD168" s="11">
        <f>SUM(BE168:BG168)</f>
        <v>0</v>
      </c>
      <c r="BE168" s="11">
        <v>0</v>
      </c>
      <c r="BF168" s="11">
        <v>0</v>
      </c>
      <c r="BG168" s="11">
        <v>0</v>
      </c>
      <c r="BH168" s="11">
        <f t="shared" si="282"/>
        <v>0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f t="shared" si="283"/>
        <v>0</v>
      </c>
      <c r="BO168" s="11">
        <v>0</v>
      </c>
      <c r="BP168" s="11">
        <f t="shared" si="284"/>
        <v>0</v>
      </c>
      <c r="BQ168" s="11">
        <v>0</v>
      </c>
      <c r="BR168" s="11">
        <v>0</v>
      </c>
      <c r="BS168" s="11">
        <v>0</v>
      </c>
      <c r="BT168" s="11">
        <v>0</v>
      </c>
      <c r="BU168" s="11">
        <v>0</v>
      </c>
      <c r="BV168" s="11">
        <v>0</v>
      </c>
      <c r="BW168" s="11">
        <v>0</v>
      </c>
      <c r="BX168" s="11">
        <v>0</v>
      </c>
      <c r="BY168" s="11">
        <v>0</v>
      </c>
      <c r="BZ168" s="11">
        <v>0</v>
      </c>
      <c r="CA168" s="11">
        <v>0</v>
      </c>
      <c r="CB168" s="11">
        <f>SUM(CC168+CT168)</f>
        <v>0</v>
      </c>
      <c r="CC168" s="11">
        <f>SUM(CD168+CG168+CL168)</f>
        <v>0</v>
      </c>
      <c r="CD168" s="11">
        <f t="shared" si="285"/>
        <v>0</v>
      </c>
      <c r="CE168" s="11">
        <v>0</v>
      </c>
      <c r="CF168" s="11">
        <v>0</v>
      </c>
      <c r="CG168" s="11">
        <f>SUM(CH168:CK168)</f>
        <v>0</v>
      </c>
      <c r="CH168" s="11">
        <v>0</v>
      </c>
      <c r="CI168" s="11">
        <v>0</v>
      </c>
      <c r="CJ168" s="11">
        <v>0</v>
      </c>
      <c r="CK168" s="11">
        <v>0</v>
      </c>
      <c r="CL168" s="11">
        <f>SUM(CM168:CQ168)</f>
        <v>0</v>
      </c>
      <c r="CM168" s="11">
        <v>0</v>
      </c>
      <c r="CN168" s="11">
        <v>0</v>
      </c>
      <c r="CO168" s="11">
        <v>0</v>
      </c>
      <c r="CP168" s="11"/>
      <c r="CQ168" s="11">
        <v>0</v>
      </c>
      <c r="CR168" s="11">
        <v>0</v>
      </c>
      <c r="CS168" s="11">
        <v>0</v>
      </c>
      <c r="CT168" s="11">
        <v>0</v>
      </c>
      <c r="CU168" s="11">
        <f t="shared" si="286"/>
        <v>0</v>
      </c>
      <c r="CV168" s="11">
        <f t="shared" si="287"/>
        <v>0</v>
      </c>
      <c r="CW168" s="11">
        <v>0</v>
      </c>
      <c r="CX168" s="12">
        <v>0</v>
      </c>
    </row>
    <row r="169" spans="1:102" ht="15.75" x14ac:dyDescent="0.25">
      <c r="A169" s="7"/>
      <c r="B169" s="8" t="s">
        <v>310</v>
      </c>
      <c r="C169" s="8" t="s">
        <v>1</v>
      </c>
      <c r="D169" s="9" t="s">
        <v>311</v>
      </c>
      <c r="E169" s="10">
        <f t="shared" ref="E169:BS169" si="325">SUM(E170:E172)</f>
        <v>9239132</v>
      </c>
      <c r="F169" s="11">
        <f t="shared" si="325"/>
        <v>8835861</v>
      </c>
      <c r="G169" s="11">
        <f t="shared" si="325"/>
        <v>8835861</v>
      </c>
      <c r="H169" s="11">
        <f t="shared" si="325"/>
        <v>6057936</v>
      </c>
      <c r="I169" s="11">
        <f t="shared" si="325"/>
        <v>1435677</v>
      </c>
      <c r="J169" s="11">
        <f t="shared" si="325"/>
        <v>6913</v>
      </c>
      <c r="K169" s="11">
        <f t="shared" si="325"/>
        <v>0</v>
      </c>
      <c r="L169" s="11">
        <f t="shared" si="325"/>
        <v>0</v>
      </c>
      <c r="M169" s="11">
        <f t="shared" si="325"/>
        <v>0</v>
      </c>
      <c r="N169" s="11">
        <f t="shared" si="325"/>
        <v>0</v>
      </c>
      <c r="O169" s="11">
        <f t="shared" si="325"/>
        <v>6431</v>
      </c>
      <c r="P169" s="11">
        <f t="shared" si="325"/>
        <v>482</v>
      </c>
      <c r="Q169" s="11">
        <f t="shared" si="325"/>
        <v>0</v>
      </c>
      <c r="R169" s="11">
        <f t="shared" si="325"/>
        <v>0</v>
      </c>
      <c r="S169" s="11">
        <f t="shared" si="325"/>
        <v>0</v>
      </c>
      <c r="T169" s="11">
        <f t="shared" si="325"/>
        <v>0</v>
      </c>
      <c r="U169" s="11">
        <f t="shared" si="325"/>
        <v>36383</v>
      </c>
      <c r="V169" s="11">
        <f t="shared" si="325"/>
        <v>37487</v>
      </c>
      <c r="W169" s="11">
        <f t="shared" si="325"/>
        <v>37487</v>
      </c>
      <c r="X169" s="11">
        <f t="shared" si="325"/>
        <v>0</v>
      </c>
      <c r="Y169" s="11">
        <f t="shared" si="325"/>
        <v>0</v>
      </c>
      <c r="Z169" s="11">
        <f t="shared" si="325"/>
        <v>0</v>
      </c>
      <c r="AA169" s="11">
        <f t="shared" si="325"/>
        <v>0</v>
      </c>
      <c r="AB169" s="11">
        <f t="shared" si="325"/>
        <v>0</v>
      </c>
      <c r="AC169" s="11">
        <f t="shared" si="325"/>
        <v>0</v>
      </c>
      <c r="AD169" s="11">
        <f t="shared" si="325"/>
        <v>0</v>
      </c>
      <c r="AE169" s="11">
        <f t="shared" si="325"/>
        <v>0</v>
      </c>
      <c r="AF169" s="11">
        <f t="shared" si="325"/>
        <v>1261465</v>
      </c>
      <c r="AG169" s="11">
        <f t="shared" si="325"/>
        <v>0</v>
      </c>
      <c r="AH169" s="11">
        <f t="shared" si="325"/>
        <v>0</v>
      </c>
      <c r="AI169" s="11">
        <f t="shared" si="325"/>
        <v>1432</v>
      </c>
      <c r="AJ169" s="11">
        <f t="shared" si="325"/>
        <v>1053</v>
      </c>
      <c r="AK169" s="11">
        <f t="shared" si="325"/>
        <v>0</v>
      </c>
      <c r="AL169" s="11">
        <f t="shared" si="325"/>
        <v>0</v>
      </c>
      <c r="AM169" s="11">
        <f t="shared" si="325"/>
        <v>0</v>
      </c>
      <c r="AN169" s="11">
        <f t="shared" si="325"/>
        <v>0</v>
      </c>
      <c r="AO169" s="11">
        <f t="shared" si="325"/>
        <v>1258980</v>
      </c>
      <c r="AP169" s="11">
        <f t="shared" si="325"/>
        <v>0</v>
      </c>
      <c r="AQ169" s="11">
        <f t="shared" si="325"/>
        <v>0</v>
      </c>
      <c r="AR169" s="11">
        <f>SUM(AR170:AR172)</f>
        <v>0</v>
      </c>
      <c r="AS169" s="11">
        <f t="shared" si="325"/>
        <v>0</v>
      </c>
      <c r="AT169" s="11">
        <f t="shared" si="325"/>
        <v>0</v>
      </c>
      <c r="AU169" s="11">
        <f t="shared" si="325"/>
        <v>0</v>
      </c>
      <c r="AV169" s="11"/>
      <c r="AW169" s="11"/>
      <c r="AX169" s="11">
        <f t="shared" si="325"/>
        <v>0</v>
      </c>
      <c r="AY169" s="11">
        <f t="shared" si="325"/>
        <v>0</v>
      </c>
      <c r="AZ169" s="11">
        <f t="shared" si="325"/>
        <v>0</v>
      </c>
      <c r="BA169" s="11">
        <f t="shared" si="325"/>
        <v>0</v>
      </c>
      <c r="BB169" s="11">
        <f t="shared" si="325"/>
        <v>0</v>
      </c>
      <c r="BC169" s="11">
        <f t="shared" si="325"/>
        <v>0</v>
      </c>
      <c r="BD169" s="11">
        <f t="shared" si="325"/>
        <v>0</v>
      </c>
      <c r="BE169" s="11">
        <f t="shared" si="325"/>
        <v>0</v>
      </c>
      <c r="BF169" s="11">
        <f t="shared" si="325"/>
        <v>0</v>
      </c>
      <c r="BG169" s="11">
        <f t="shared" si="325"/>
        <v>0</v>
      </c>
      <c r="BH169" s="11">
        <f t="shared" si="325"/>
        <v>0</v>
      </c>
      <c r="BI169" s="11">
        <f t="shared" si="325"/>
        <v>0</v>
      </c>
      <c r="BJ169" s="11">
        <f t="shared" si="325"/>
        <v>0</v>
      </c>
      <c r="BK169" s="11">
        <f t="shared" si="325"/>
        <v>0</v>
      </c>
      <c r="BL169" s="11">
        <f t="shared" si="325"/>
        <v>0</v>
      </c>
      <c r="BM169" s="11">
        <f t="shared" si="325"/>
        <v>0</v>
      </c>
      <c r="BN169" s="11">
        <f t="shared" si="325"/>
        <v>0</v>
      </c>
      <c r="BO169" s="11">
        <f t="shared" si="325"/>
        <v>0</v>
      </c>
      <c r="BP169" s="11">
        <f t="shared" si="325"/>
        <v>0</v>
      </c>
      <c r="BQ169" s="11">
        <f t="shared" si="325"/>
        <v>0</v>
      </c>
      <c r="BR169" s="11">
        <f t="shared" si="325"/>
        <v>0</v>
      </c>
      <c r="BS169" s="11">
        <f t="shared" si="325"/>
        <v>0</v>
      </c>
      <c r="BT169" s="11">
        <f t="shared" ref="BT169:CX169" si="326">SUM(BT170:BT172)</f>
        <v>0</v>
      </c>
      <c r="BU169" s="11">
        <f t="shared" si="326"/>
        <v>0</v>
      </c>
      <c r="BV169" s="11">
        <f t="shared" si="326"/>
        <v>0</v>
      </c>
      <c r="BW169" s="11">
        <f t="shared" si="326"/>
        <v>0</v>
      </c>
      <c r="BX169" s="11">
        <f t="shared" si="326"/>
        <v>0</v>
      </c>
      <c r="BY169" s="11">
        <f t="shared" si="326"/>
        <v>0</v>
      </c>
      <c r="BZ169" s="11">
        <f t="shared" si="326"/>
        <v>0</v>
      </c>
      <c r="CA169" s="11">
        <f t="shared" si="326"/>
        <v>0</v>
      </c>
      <c r="CB169" s="11">
        <f t="shared" si="326"/>
        <v>403271</v>
      </c>
      <c r="CC169" s="11">
        <f t="shared" si="326"/>
        <v>403271</v>
      </c>
      <c r="CD169" s="11">
        <f t="shared" si="326"/>
        <v>0</v>
      </c>
      <c r="CE169" s="11">
        <f t="shared" si="326"/>
        <v>0</v>
      </c>
      <c r="CF169" s="11">
        <f t="shared" si="326"/>
        <v>0</v>
      </c>
      <c r="CG169" s="11">
        <f t="shared" si="326"/>
        <v>0</v>
      </c>
      <c r="CH169" s="11">
        <f t="shared" si="326"/>
        <v>0</v>
      </c>
      <c r="CI169" s="11">
        <f t="shared" si="326"/>
        <v>0</v>
      </c>
      <c r="CJ169" s="11">
        <f t="shared" si="326"/>
        <v>0</v>
      </c>
      <c r="CK169" s="11">
        <f t="shared" si="326"/>
        <v>0</v>
      </c>
      <c r="CL169" s="11">
        <f t="shared" si="326"/>
        <v>403271</v>
      </c>
      <c r="CM169" s="11">
        <f t="shared" si="326"/>
        <v>0</v>
      </c>
      <c r="CN169" s="11">
        <f t="shared" si="326"/>
        <v>403271</v>
      </c>
      <c r="CO169" s="11">
        <f t="shared" si="326"/>
        <v>0</v>
      </c>
      <c r="CP169" s="11"/>
      <c r="CQ169" s="11">
        <f t="shared" si="326"/>
        <v>0</v>
      </c>
      <c r="CR169" s="11">
        <f t="shared" si="326"/>
        <v>0</v>
      </c>
      <c r="CS169" s="11">
        <f t="shared" si="326"/>
        <v>0</v>
      </c>
      <c r="CT169" s="11">
        <f t="shared" si="326"/>
        <v>0</v>
      </c>
      <c r="CU169" s="11">
        <f t="shared" si="326"/>
        <v>0</v>
      </c>
      <c r="CV169" s="11">
        <f t="shared" si="326"/>
        <v>0</v>
      </c>
      <c r="CW169" s="11">
        <f t="shared" si="326"/>
        <v>0</v>
      </c>
      <c r="CX169" s="12">
        <f t="shared" si="326"/>
        <v>0</v>
      </c>
    </row>
    <row r="170" spans="1:102" ht="15.75" x14ac:dyDescent="0.25">
      <c r="A170" s="13"/>
      <c r="B170" s="14" t="s">
        <v>1</v>
      </c>
      <c r="C170" s="14" t="s">
        <v>97</v>
      </c>
      <c r="D170" s="15" t="s">
        <v>312</v>
      </c>
      <c r="E170" s="10">
        <f>SUM(F170+CB170+CU170)</f>
        <v>247332</v>
      </c>
      <c r="F170" s="11">
        <f>SUM(G170+BC170)</f>
        <v>247332</v>
      </c>
      <c r="G170" s="11">
        <f>SUM(H170+I170+J170+Q170+T170+U170+V170+AF170+AE170)</f>
        <v>247332</v>
      </c>
      <c r="H170" s="16">
        <f>189597+10112</f>
        <v>199709</v>
      </c>
      <c r="I170" s="16">
        <f>45095+2528</f>
        <v>47623</v>
      </c>
      <c r="J170" s="11">
        <f t="shared" si="279"/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f t="shared" si="280"/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f t="shared" ref="V170:V172" si="327">SUM(W170:AD170)</f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f>SUM(AG170:BB170)</f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/>
      <c r="AW170" s="11"/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f>SUM(BD170+BH170+BL170+BN170+BP170)</f>
        <v>0</v>
      </c>
      <c r="BD170" s="11">
        <f>SUM(BE170:BG170)</f>
        <v>0</v>
      </c>
      <c r="BE170" s="11">
        <v>0</v>
      </c>
      <c r="BF170" s="11">
        <v>0</v>
      </c>
      <c r="BG170" s="11">
        <v>0</v>
      </c>
      <c r="BH170" s="11">
        <f t="shared" si="282"/>
        <v>0</v>
      </c>
      <c r="BI170" s="11">
        <v>0</v>
      </c>
      <c r="BJ170" s="11">
        <v>0</v>
      </c>
      <c r="BK170" s="11">
        <v>0</v>
      </c>
      <c r="BL170" s="11">
        <v>0</v>
      </c>
      <c r="BM170" s="11">
        <v>0</v>
      </c>
      <c r="BN170" s="11">
        <f t="shared" si="283"/>
        <v>0</v>
      </c>
      <c r="BO170" s="11">
        <v>0</v>
      </c>
      <c r="BP170" s="11">
        <f t="shared" si="284"/>
        <v>0</v>
      </c>
      <c r="BQ170" s="11">
        <v>0</v>
      </c>
      <c r="BR170" s="11">
        <v>0</v>
      </c>
      <c r="BS170" s="11">
        <v>0</v>
      </c>
      <c r="BT170" s="11">
        <v>0</v>
      </c>
      <c r="BU170" s="11">
        <v>0</v>
      </c>
      <c r="BV170" s="11">
        <v>0</v>
      </c>
      <c r="BW170" s="11">
        <v>0</v>
      </c>
      <c r="BX170" s="11">
        <v>0</v>
      </c>
      <c r="BY170" s="11">
        <v>0</v>
      </c>
      <c r="BZ170" s="11">
        <v>0</v>
      </c>
      <c r="CA170" s="11">
        <v>0</v>
      </c>
      <c r="CB170" s="11">
        <f>SUM(CC170+CT170)</f>
        <v>0</v>
      </c>
      <c r="CC170" s="11">
        <f>SUM(CD170+CG170+CL170)</f>
        <v>0</v>
      </c>
      <c r="CD170" s="11">
        <f t="shared" si="285"/>
        <v>0</v>
      </c>
      <c r="CE170" s="11">
        <v>0</v>
      </c>
      <c r="CF170" s="11">
        <v>0</v>
      </c>
      <c r="CG170" s="11">
        <f>SUM(CH170:CK170)</f>
        <v>0</v>
      </c>
      <c r="CH170" s="11">
        <v>0</v>
      </c>
      <c r="CI170" s="11">
        <v>0</v>
      </c>
      <c r="CJ170" s="11">
        <v>0</v>
      </c>
      <c r="CK170" s="11">
        <v>0</v>
      </c>
      <c r="CL170" s="11">
        <f>SUM(CM170:CQ170)</f>
        <v>0</v>
      </c>
      <c r="CM170" s="11">
        <v>0</v>
      </c>
      <c r="CN170" s="11">
        <v>0</v>
      </c>
      <c r="CO170" s="11">
        <v>0</v>
      </c>
      <c r="CP170" s="11"/>
      <c r="CQ170" s="11">
        <v>0</v>
      </c>
      <c r="CR170" s="11">
        <v>0</v>
      </c>
      <c r="CS170" s="11">
        <v>0</v>
      </c>
      <c r="CT170" s="11">
        <v>0</v>
      </c>
      <c r="CU170" s="11">
        <f t="shared" si="286"/>
        <v>0</v>
      </c>
      <c r="CV170" s="11">
        <f t="shared" si="287"/>
        <v>0</v>
      </c>
      <c r="CW170" s="11">
        <v>0</v>
      </c>
      <c r="CX170" s="12">
        <v>0</v>
      </c>
    </row>
    <row r="171" spans="1:102" ht="15.75" x14ac:dyDescent="0.25">
      <c r="A171" s="13" t="s">
        <v>1</v>
      </c>
      <c r="B171" s="14" t="s">
        <v>1</v>
      </c>
      <c r="C171" s="14" t="s">
        <v>115</v>
      </c>
      <c r="D171" s="15" t="s">
        <v>313</v>
      </c>
      <c r="E171" s="10">
        <f>SUM(F171+CB171+CU171)</f>
        <v>445927</v>
      </c>
      <c r="F171" s="11">
        <f>SUM(G171+BC171)</f>
        <v>445927</v>
      </c>
      <c r="G171" s="11">
        <f>SUM(H171+I171+J171+Q171+T171+U171+V171+AF171+AE171)</f>
        <v>445927</v>
      </c>
      <c r="H171" s="16">
        <f>5561608-5208770</f>
        <v>352838</v>
      </c>
      <c r="I171" s="16">
        <f>1313899-1220810</f>
        <v>93089</v>
      </c>
      <c r="J171" s="11">
        <f t="shared" ref="J171" si="328">SUM(K171:P171)</f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f>6431-6431</f>
        <v>0</v>
      </c>
      <c r="P171" s="11">
        <f>482-482</f>
        <v>0</v>
      </c>
      <c r="Q171" s="11">
        <f t="shared" si="280"/>
        <v>0</v>
      </c>
      <c r="R171" s="11"/>
      <c r="S171" s="11">
        <v>0</v>
      </c>
      <c r="T171" s="11">
        <v>0</v>
      </c>
      <c r="U171" s="11">
        <f>36383-36383</f>
        <v>0</v>
      </c>
      <c r="V171" s="11">
        <f t="shared" ref="V171" si="329">SUM(W171:AD171)</f>
        <v>0</v>
      </c>
      <c r="W171" s="11">
        <f>37487-37487</f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f>SUM(AG171:BB171)</f>
        <v>0</v>
      </c>
      <c r="AG171" s="11">
        <v>0</v>
      </c>
      <c r="AH171" s="11">
        <v>0</v>
      </c>
      <c r="AI171" s="11">
        <f>1432-1432</f>
        <v>0</v>
      </c>
      <c r="AJ171" s="11">
        <f>1053-1053</f>
        <v>0</v>
      </c>
      <c r="AK171" s="11">
        <v>0</v>
      </c>
      <c r="AL171" s="11">
        <v>0</v>
      </c>
      <c r="AM171" s="11">
        <v>0</v>
      </c>
      <c r="AN171" s="11"/>
      <c r="AO171" s="11">
        <f>1233740-1233740</f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/>
      <c r="AW171" s="11"/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f>SUM(BD171+BH171+BL171+BN171+BP171)</f>
        <v>0</v>
      </c>
      <c r="BD171" s="11">
        <f>SUM(BE171:BG171)</f>
        <v>0</v>
      </c>
      <c r="BE171" s="11">
        <v>0</v>
      </c>
      <c r="BF171" s="11">
        <v>0</v>
      </c>
      <c r="BG171" s="11">
        <v>0</v>
      </c>
      <c r="BH171" s="11">
        <f t="shared" si="282"/>
        <v>0</v>
      </c>
      <c r="BI171" s="11">
        <v>0</v>
      </c>
      <c r="BJ171" s="11">
        <v>0</v>
      </c>
      <c r="BK171" s="11">
        <v>0</v>
      </c>
      <c r="BL171" s="11">
        <v>0</v>
      </c>
      <c r="BM171" s="11">
        <v>0</v>
      </c>
      <c r="BN171" s="11">
        <f t="shared" si="283"/>
        <v>0</v>
      </c>
      <c r="BO171" s="11">
        <v>0</v>
      </c>
      <c r="BP171" s="11">
        <f t="shared" si="284"/>
        <v>0</v>
      </c>
      <c r="BQ171" s="11">
        <v>0</v>
      </c>
      <c r="BR171" s="11">
        <v>0</v>
      </c>
      <c r="BS171" s="11">
        <v>0</v>
      </c>
      <c r="BT171" s="11">
        <v>0</v>
      </c>
      <c r="BU171" s="11">
        <v>0</v>
      </c>
      <c r="BV171" s="11">
        <v>0</v>
      </c>
      <c r="BW171" s="11">
        <v>0</v>
      </c>
      <c r="BX171" s="11">
        <v>0</v>
      </c>
      <c r="BY171" s="11">
        <v>0</v>
      </c>
      <c r="BZ171" s="11">
        <v>0</v>
      </c>
      <c r="CA171" s="11">
        <v>0</v>
      </c>
      <c r="CB171" s="11">
        <f>SUM(CC171+CT171)</f>
        <v>0</v>
      </c>
      <c r="CC171" s="11">
        <f>SUM(CD171+CG171+CL171)</f>
        <v>0</v>
      </c>
      <c r="CD171" s="11">
        <f t="shared" ref="CD171" si="330">SUM(CE171:CF171)</f>
        <v>0</v>
      </c>
      <c r="CE171" s="11">
        <v>0</v>
      </c>
      <c r="CF171" s="11"/>
      <c r="CG171" s="11">
        <f>SUM(CH171:CK171)</f>
        <v>0</v>
      </c>
      <c r="CH171" s="11">
        <v>0</v>
      </c>
      <c r="CI171" s="11">
        <v>0</v>
      </c>
      <c r="CJ171" s="11">
        <v>0</v>
      </c>
      <c r="CK171" s="11">
        <v>0</v>
      </c>
      <c r="CL171" s="11">
        <f>SUM(CM171:CQ171)</f>
        <v>0</v>
      </c>
      <c r="CM171" s="11">
        <v>0</v>
      </c>
      <c r="CN171" s="11">
        <f>403271-403271</f>
        <v>0</v>
      </c>
      <c r="CO171" s="11">
        <v>0</v>
      </c>
      <c r="CP171" s="11"/>
      <c r="CQ171" s="11">
        <v>0</v>
      </c>
      <c r="CR171" s="11">
        <v>0</v>
      </c>
      <c r="CS171" s="11">
        <v>0</v>
      </c>
      <c r="CT171" s="11">
        <v>0</v>
      </c>
      <c r="CU171" s="11">
        <f t="shared" si="286"/>
        <v>0</v>
      </c>
      <c r="CV171" s="11">
        <f t="shared" si="287"/>
        <v>0</v>
      </c>
      <c r="CW171" s="11">
        <v>0</v>
      </c>
      <c r="CX171" s="12">
        <v>0</v>
      </c>
    </row>
    <row r="172" spans="1:102" ht="31.5" x14ac:dyDescent="0.25">
      <c r="A172" s="13" t="s">
        <v>1</v>
      </c>
      <c r="B172" s="14" t="s">
        <v>1</v>
      </c>
      <c r="C172" s="14" t="s">
        <v>129</v>
      </c>
      <c r="D172" s="15" t="s">
        <v>130</v>
      </c>
      <c r="E172" s="10">
        <f>SUM(F172+CB172+CU172)</f>
        <v>8545873</v>
      </c>
      <c r="F172" s="11">
        <f>SUM(G172+BC172)</f>
        <v>8142602</v>
      </c>
      <c r="G172" s="11">
        <f>SUM(H172+I172+J172+Q172+T172+U172+V172+AF172+AE172)</f>
        <v>8142602</v>
      </c>
      <c r="H172" s="16">
        <f>0+5505389</f>
        <v>5505389</v>
      </c>
      <c r="I172" s="16">
        <f>0+1294965</f>
        <v>1294965</v>
      </c>
      <c r="J172" s="11">
        <f t="shared" si="279"/>
        <v>6913</v>
      </c>
      <c r="K172" s="11">
        <v>0</v>
      </c>
      <c r="L172" s="11">
        <v>0</v>
      </c>
      <c r="M172" s="11">
        <v>0</v>
      </c>
      <c r="N172" s="11">
        <v>0</v>
      </c>
      <c r="O172" s="11">
        <f>0+6431</f>
        <v>6431</v>
      </c>
      <c r="P172" s="11">
        <f>0+482</f>
        <v>482</v>
      </c>
      <c r="Q172" s="11">
        <f t="shared" si="280"/>
        <v>0</v>
      </c>
      <c r="R172" s="11"/>
      <c r="S172" s="11">
        <v>0</v>
      </c>
      <c r="T172" s="11">
        <v>0</v>
      </c>
      <c r="U172" s="11">
        <f>0+36383</f>
        <v>36383</v>
      </c>
      <c r="V172" s="11">
        <f t="shared" si="327"/>
        <v>37487</v>
      </c>
      <c r="W172" s="11">
        <f>0+37487</f>
        <v>37487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f>SUM(AG172:BB172)</f>
        <v>1261465</v>
      </c>
      <c r="AG172" s="11">
        <v>0</v>
      </c>
      <c r="AH172" s="11">
        <v>0</v>
      </c>
      <c r="AI172" s="11">
        <f>0+1432</f>
        <v>1432</v>
      </c>
      <c r="AJ172" s="11">
        <f>0+1053</f>
        <v>1053</v>
      </c>
      <c r="AK172" s="11">
        <v>0</v>
      </c>
      <c r="AL172" s="11">
        <v>0</v>
      </c>
      <c r="AM172" s="11">
        <v>0</v>
      </c>
      <c r="AN172" s="11"/>
      <c r="AO172" s="11">
        <f>0+25240+1233740</f>
        <v>1258980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/>
      <c r="AW172" s="11"/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f>SUM(BD172+BH172+BL172+BN172+BP172)</f>
        <v>0</v>
      </c>
      <c r="BD172" s="11">
        <f>SUM(BE172:BG172)</f>
        <v>0</v>
      </c>
      <c r="BE172" s="11">
        <v>0</v>
      </c>
      <c r="BF172" s="11">
        <v>0</v>
      </c>
      <c r="BG172" s="11">
        <v>0</v>
      </c>
      <c r="BH172" s="11">
        <f t="shared" si="282"/>
        <v>0</v>
      </c>
      <c r="BI172" s="11">
        <v>0</v>
      </c>
      <c r="BJ172" s="11">
        <v>0</v>
      </c>
      <c r="BK172" s="11">
        <v>0</v>
      </c>
      <c r="BL172" s="11">
        <v>0</v>
      </c>
      <c r="BM172" s="11">
        <v>0</v>
      </c>
      <c r="BN172" s="11">
        <f t="shared" si="283"/>
        <v>0</v>
      </c>
      <c r="BO172" s="11">
        <v>0</v>
      </c>
      <c r="BP172" s="11">
        <f t="shared" si="284"/>
        <v>0</v>
      </c>
      <c r="BQ172" s="11">
        <v>0</v>
      </c>
      <c r="BR172" s="11">
        <v>0</v>
      </c>
      <c r="BS172" s="11">
        <v>0</v>
      </c>
      <c r="BT172" s="11">
        <v>0</v>
      </c>
      <c r="BU172" s="11">
        <v>0</v>
      </c>
      <c r="BV172" s="11">
        <v>0</v>
      </c>
      <c r="BW172" s="11">
        <v>0</v>
      </c>
      <c r="BX172" s="11">
        <v>0</v>
      </c>
      <c r="BY172" s="11">
        <v>0</v>
      </c>
      <c r="BZ172" s="11">
        <v>0</v>
      </c>
      <c r="CA172" s="11">
        <v>0</v>
      </c>
      <c r="CB172" s="11">
        <f>SUM(CC172+CT172)</f>
        <v>403271</v>
      </c>
      <c r="CC172" s="11">
        <f>SUM(CD172+CG172+CL172)</f>
        <v>403271</v>
      </c>
      <c r="CD172" s="11">
        <f t="shared" si="285"/>
        <v>0</v>
      </c>
      <c r="CE172" s="11">
        <v>0</v>
      </c>
      <c r="CF172" s="11"/>
      <c r="CG172" s="11">
        <f>SUM(CH172:CK172)</f>
        <v>0</v>
      </c>
      <c r="CH172" s="11">
        <v>0</v>
      </c>
      <c r="CI172" s="11">
        <v>0</v>
      </c>
      <c r="CJ172" s="11">
        <v>0</v>
      </c>
      <c r="CK172" s="11">
        <v>0</v>
      </c>
      <c r="CL172" s="11">
        <f>SUM(CM172:CQ172)</f>
        <v>403271</v>
      </c>
      <c r="CM172" s="11">
        <v>0</v>
      </c>
      <c r="CN172" s="11">
        <f>0+403271</f>
        <v>403271</v>
      </c>
      <c r="CO172" s="11">
        <v>0</v>
      </c>
      <c r="CP172" s="11"/>
      <c r="CQ172" s="11">
        <v>0</v>
      </c>
      <c r="CR172" s="11">
        <v>0</v>
      </c>
      <c r="CS172" s="11">
        <v>0</v>
      </c>
      <c r="CT172" s="11">
        <v>0</v>
      </c>
      <c r="CU172" s="11">
        <f t="shared" si="286"/>
        <v>0</v>
      </c>
      <c r="CV172" s="11">
        <f t="shared" si="287"/>
        <v>0</v>
      </c>
      <c r="CW172" s="11">
        <v>0</v>
      </c>
      <c r="CX172" s="12">
        <v>0</v>
      </c>
    </row>
    <row r="173" spans="1:102" ht="15.75" x14ac:dyDescent="0.25">
      <c r="A173" s="18" t="s">
        <v>314</v>
      </c>
      <c r="B173" s="19" t="s">
        <v>1</v>
      </c>
      <c r="C173" s="19" t="s">
        <v>1</v>
      </c>
      <c r="D173" s="20" t="s">
        <v>315</v>
      </c>
      <c r="E173" s="21">
        <f>SUM(E174+E176+E179+E182+E184)</f>
        <v>768962291</v>
      </c>
      <c r="F173" s="22">
        <f t="shared" ref="F173:BV173" si="331">SUM(F174+F176+F179+F182+F184)</f>
        <v>768091616</v>
      </c>
      <c r="G173" s="22">
        <f t="shared" si="331"/>
        <v>767800868</v>
      </c>
      <c r="H173" s="22">
        <f t="shared" si="331"/>
        <v>441456526</v>
      </c>
      <c r="I173" s="22">
        <f t="shared" si="331"/>
        <v>104198341</v>
      </c>
      <c r="J173" s="22">
        <f t="shared" si="331"/>
        <v>156031695</v>
      </c>
      <c r="K173" s="22">
        <f t="shared" si="331"/>
        <v>120110208</v>
      </c>
      <c r="L173" s="22">
        <f t="shared" si="331"/>
        <v>2722112</v>
      </c>
      <c r="M173" s="22">
        <f t="shared" si="331"/>
        <v>19190393</v>
      </c>
      <c r="N173" s="22">
        <f t="shared" si="331"/>
        <v>2955</v>
      </c>
      <c r="O173" s="22">
        <f t="shared" si="331"/>
        <v>13427068</v>
      </c>
      <c r="P173" s="22">
        <f t="shared" si="331"/>
        <v>578959</v>
      </c>
      <c r="Q173" s="22">
        <f t="shared" si="331"/>
        <v>1022</v>
      </c>
      <c r="R173" s="22">
        <f t="shared" si="331"/>
        <v>0</v>
      </c>
      <c r="S173" s="22">
        <f t="shared" si="331"/>
        <v>1022</v>
      </c>
      <c r="T173" s="22">
        <f t="shared" si="331"/>
        <v>600</v>
      </c>
      <c r="U173" s="22">
        <f t="shared" si="331"/>
        <v>2736359</v>
      </c>
      <c r="V173" s="22">
        <f t="shared" si="331"/>
        <v>24888022</v>
      </c>
      <c r="W173" s="22">
        <f t="shared" si="331"/>
        <v>80659</v>
      </c>
      <c r="X173" s="22">
        <f t="shared" si="331"/>
        <v>12466981</v>
      </c>
      <c r="Y173" s="22">
        <f t="shared" si="331"/>
        <v>6432956</v>
      </c>
      <c r="Z173" s="22">
        <f t="shared" si="331"/>
        <v>5098264</v>
      </c>
      <c r="AA173" s="22">
        <f t="shared" si="331"/>
        <v>565054</v>
      </c>
      <c r="AB173" s="22">
        <f t="shared" si="331"/>
        <v>3208</v>
      </c>
      <c r="AC173" s="22">
        <f t="shared" si="331"/>
        <v>0</v>
      </c>
      <c r="AD173" s="22">
        <f t="shared" si="331"/>
        <v>240900</v>
      </c>
      <c r="AE173" s="22">
        <f t="shared" si="331"/>
        <v>2897</v>
      </c>
      <c r="AF173" s="22">
        <f t="shared" si="331"/>
        <v>38485406</v>
      </c>
      <c r="AG173" s="22">
        <f t="shared" si="331"/>
        <v>0</v>
      </c>
      <c r="AH173" s="22">
        <f t="shared" si="331"/>
        <v>0</v>
      </c>
      <c r="AI173" s="22">
        <f t="shared" si="331"/>
        <v>81454</v>
      </c>
      <c r="AJ173" s="22">
        <f t="shared" si="331"/>
        <v>269952</v>
      </c>
      <c r="AK173" s="22">
        <f t="shared" si="331"/>
        <v>0</v>
      </c>
      <c r="AL173" s="22">
        <f t="shared" si="331"/>
        <v>2216</v>
      </c>
      <c r="AM173" s="22">
        <f t="shared" si="331"/>
        <v>0</v>
      </c>
      <c r="AN173" s="22">
        <f t="shared" si="331"/>
        <v>1034254</v>
      </c>
      <c r="AO173" s="22">
        <f t="shared" si="331"/>
        <v>113930</v>
      </c>
      <c r="AP173" s="22">
        <f t="shared" si="331"/>
        <v>0</v>
      </c>
      <c r="AQ173" s="22">
        <f t="shared" si="331"/>
        <v>216</v>
      </c>
      <c r="AR173" s="22">
        <f>SUM(AR174+AR176+AR179+AR182+AR184)</f>
        <v>0</v>
      </c>
      <c r="AS173" s="22">
        <f t="shared" si="331"/>
        <v>0</v>
      </c>
      <c r="AT173" s="22">
        <f t="shared" si="331"/>
        <v>911675</v>
      </c>
      <c r="AU173" s="22">
        <f t="shared" si="331"/>
        <v>25400</v>
      </c>
      <c r="AV173" s="22">
        <f t="shared" si="331"/>
        <v>0</v>
      </c>
      <c r="AW173" s="22">
        <f t="shared" si="331"/>
        <v>1580270</v>
      </c>
      <c r="AX173" s="22">
        <f t="shared" si="331"/>
        <v>5944824</v>
      </c>
      <c r="AY173" s="22">
        <f t="shared" si="331"/>
        <v>0</v>
      </c>
      <c r="AZ173" s="22">
        <f t="shared" si="331"/>
        <v>0</v>
      </c>
      <c r="BA173" s="22">
        <f t="shared" si="331"/>
        <v>0</v>
      </c>
      <c r="BB173" s="22">
        <f t="shared" si="331"/>
        <v>28521215</v>
      </c>
      <c r="BC173" s="22">
        <f t="shared" si="331"/>
        <v>290748</v>
      </c>
      <c r="BD173" s="22">
        <f t="shared" si="331"/>
        <v>0</v>
      </c>
      <c r="BE173" s="22">
        <f t="shared" si="331"/>
        <v>0</v>
      </c>
      <c r="BF173" s="22">
        <f t="shared" si="331"/>
        <v>0</v>
      </c>
      <c r="BG173" s="22">
        <f t="shared" si="331"/>
        <v>0</v>
      </c>
      <c r="BH173" s="22">
        <f t="shared" si="331"/>
        <v>0</v>
      </c>
      <c r="BI173" s="22">
        <f t="shared" si="331"/>
        <v>0</v>
      </c>
      <c r="BJ173" s="22">
        <f t="shared" si="331"/>
        <v>0</v>
      </c>
      <c r="BK173" s="22">
        <f t="shared" si="331"/>
        <v>0</v>
      </c>
      <c r="BL173" s="22">
        <f t="shared" si="331"/>
        <v>0</v>
      </c>
      <c r="BM173" s="22">
        <f t="shared" si="331"/>
        <v>0</v>
      </c>
      <c r="BN173" s="22">
        <f t="shared" si="331"/>
        <v>0</v>
      </c>
      <c r="BO173" s="22">
        <f t="shared" si="331"/>
        <v>0</v>
      </c>
      <c r="BP173" s="22">
        <f t="shared" si="331"/>
        <v>290748</v>
      </c>
      <c r="BQ173" s="22">
        <f t="shared" si="331"/>
        <v>0</v>
      </c>
      <c r="BR173" s="22">
        <f t="shared" si="331"/>
        <v>0</v>
      </c>
      <c r="BS173" s="22">
        <f t="shared" si="331"/>
        <v>0</v>
      </c>
      <c r="BT173" s="22">
        <f t="shared" si="331"/>
        <v>0</v>
      </c>
      <c r="BU173" s="22">
        <f t="shared" si="331"/>
        <v>0</v>
      </c>
      <c r="BV173" s="22">
        <f t="shared" si="331"/>
        <v>0</v>
      </c>
      <c r="BW173" s="22">
        <f t="shared" ref="BW173:CX173" si="332">SUM(BW174+BW176+BW179+BW182+BW184)</f>
        <v>0</v>
      </c>
      <c r="BX173" s="22">
        <f t="shared" si="332"/>
        <v>0</v>
      </c>
      <c r="BY173" s="22">
        <f t="shared" si="332"/>
        <v>0</v>
      </c>
      <c r="BZ173" s="22">
        <f t="shared" si="332"/>
        <v>0</v>
      </c>
      <c r="CA173" s="22">
        <f t="shared" si="332"/>
        <v>290748</v>
      </c>
      <c r="CB173" s="22">
        <f t="shared" si="332"/>
        <v>870675</v>
      </c>
      <c r="CC173" s="22">
        <f t="shared" si="332"/>
        <v>870675</v>
      </c>
      <c r="CD173" s="22">
        <f t="shared" si="332"/>
        <v>461445</v>
      </c>
      <c r="CE173" s="22">
        <f t="shared" si="332"/>
        <v>0</v>
      </c>
      <c r="CF173" s="22">
        <f t="shared" si="332"/>
        <v>461445</v>
      </c>
      <c r="CG173" s="22">
        <f t="shared" si="332"/>
        <v>0</v>
      </c>
      <c r="CH173" s="22">
        <f t="shared" si="332"/>
        <v>0</v>
      </c>
      <c r="CI173" s="22">
        <f t="shared" si="332"/>
        <v>0</v>
      </c>
      <c r="CJ173" s="22">
        <f t="shared" si="332"/>
        <v>0</v>
      </c>
      <c r="CK173" s="22">
        <f t="shared" si="332"/>
        <v>0</v>
      </c>
      <c r="CL173" s="22">
        <f t="shared" si="332"/>
        <v>409230</v>
      </c>
      <c r="CM173" s="22">
        <f t="shared" si="332"/>
        <v>0</v>
      </c>
      <c r="CN173" s="22">
        <f t="shared" si="332"/>
        <v>313046</v>
      </c>
      <c r="CO173" s="22">
        <f t="shared" si="332"/>
        <v>0</v>
      </c>
      <c r="CP173" s="22">
        <f t="shared" si="332"/>
        <v>96184</v>
      </c>
      <c r="CQ173" s="22">
        <f t="shared" si="332"/>
        <v>0</v>
      </c>
      <c r="CR173" s="22">
        <f t="shared" si="332"/>
        <v>0</v>
      </c>
      <c r="CS173" s="22">
        <f t="shared" si="332"/>
        <v>0</v>
      </c>
      <c r="CT173" s="22">
        <f t="shared" si="332"/>
        <v>0</v>
      </c>
      <c r="CU173" s="22">
        <f t="shared" si="332"/>
        <v>0</v>
      </c>
      <c r="CV173" s="22">
        <f t="shared" si="332"/>
        <v>0</v>
      </c>
      <c r="CW173" s="22">
        <f t="shared" si="332"/>
        <v>0</v>
      </c>
      <c r="CX173" s="23">
        <f t="shared" si="332"/>
        <v>0</v>
      </c>
    </row>
    <row r="174" spans="1:102" ht="15.75" x14ac:dyDescent="0.25">
      <c r="A174" s="7"/>
      <c r="B174" s="8" t="s">
        <v>316</v>
      </c>
      <c r="C174" s="8" t="s">
        <v>1</v>
      </c>
      <c r="D174" s="9" t="s">
        <v>317</v>
      </c>
      <c r="E174" s="10">
        <f>SUM(E175)</f>
        <v>568909321</v>
      </c>
      <c r="F174" s="11">
        <f t="shared" ref="F174:BV174" si="333">SUM(F175)</f>
        <v>568261226</v>
      </c>
      <c r="G174" s="11">
        <f t="shared" si="333"/>
        <v>568157715</v>
      </c>
      <c r="H174" s="11">
        <f t="shared" si="333"/>
        <v>327451114</v>
      </c>
      <c r="I174" s="11">
        <f t="shared" si="333"/>
        <v>76551066</v>
      </c>
      <c r="J174" s="11">
        <f t="shared" si="333"/>
        <v>116250918</v>
      </c>
      <c r="K174" s="11">
        <f t="shared" si="333"/>
        <v>86454156</v>
      </c>
      <c r="L174" s="11">
        <f t="shared" si="333"/>
        <v>2502412</v>
      </c>
      <c r="M174" s="11">
        <f t="shared" si="333"/>
        <v>18712184</v>
      </c>
      <c r="N174" s="11">
        <f t="shared" si="333"/>
        <v>2955</v>
      </c>
      <c r="O174" s="11">
        <f t="shared" si="333"/>
        <v>8106601</v>
      </c>
      <c r="P174" s="11">
        <f t="shared" si="333"/>
        <v>472610</v>
      </c>
      <c r="Q174" s="11">
        <f t="shared" si="333"/>
        <v>0</v>
      </c>
      <c r="R174" s="11">
        <f t="shared" si="333"/>
        <v>0</v>
      </c>
      <c r="S174" s="11">
        <f t="shared" si="333"/>
        <v>0</v>
      </c>
      <c r="T174" s="11">
        <f t="shared" si="333"/>
        <v>0</v>
      </c>
      <c r="U174" s="11">
        <f t="shared" si="333"/>
        <v>1798518</v>
      </c>
      <c r="V174" s="11">
        <f t="shared" si="333"/>
        <v>21646212</v>
      </c>
      <c r="W174" s="11">
        <f t="shared" si="333"/>
        <v>61039</v>
      </c>
      <c r="X174" s="11">
        <f t="shared" si="333"/>
        <v>10437628</v>
      </c>
      <c r="Y174" s="11">
        <f t="shared" si="333"/>
        <v>5812294</v>
      </c>
      <c r="Z174" s="11">
        <f t="shared" si="333"/>
        <v>4631097</v>
      </c>
      <c r="AA174" s="11">
        <f t="shared" si="333"/>
        <v>549526</v>
      </c>
      <c r="AB174" s="11">
        <f t="shared" si="333"/>
        <v>3208</v>
      </c>
      <c r="AC174" s="11">
        <f t="shared" si="333"/>
        <v>0</v>
      </c>
      <c r="AD174" s="11">
        <f t="shared" si="333"/>
        <v>151420</v>
      </c>
      <c r="AE174" s="11">
        <f t="shared" si="333"/>
        <v>0</v>
      </c>
      <c r="AF174" s="11">
        <f t="shared" si="333"/>
        <v>24459887</v>
      </c>
      <c r="AG174" s="11">
        <f t="shared" si="333"/>
        <v>0</v>
      </c>
      <c r="AH174" s="11">
        <f t="shared" si="333"/>
        <v>0</v>
      </c>
      <c r="AI174" s="11">
        <f t="shared" si="333"/>
        <v>79837</v>
      </c>
      <c r="AJ174" s="11">
        <f t="shared" si="333"/>
        <v>253748</v>
      </c>
      <c r="AK174" s="11">
        <f t="shared" si="333"/>
        <v>0</v>
      </c>
      <c r="AL174" s="11">
        <f t="shared" si="333"/>
        <v>0</v>
      </c>
      <c r="AM174" s="11">
        <f t="shared" si="333"/>
        <v>0</v>
      </c>
      <c r="AN174" s="11">
        <f t="shared" si="333"/>
        <v>739522</v>
      </c>
      <c r="AO174" s="11">
        <f t="shared" si="333"/>
        <v>92231</v>
      </c>
      <c r="AP174" s="11">
        <f t="shared" si="333"/>
        <v>0</v>
      </c>
      <c r="AQ174" s="11">
        <f t="shared" si="333"/>
        <v>0</v>
      </c>
      <c r="AR174" s="11">
        <f t="shared" si="333"/>
        <v>0</v>
      </c>
      <c r="AS174" s="11">
        <f t="shared" si="333"/>
        <v>0</v>
      </c>
      <c r="AT174" s="11">
        <f t="shared" si="333"/>
        <v>792495</v>
      </c>
      <c r="AU174" s="11">
        <f t="shared" si="333"/>
        <v>11000</v>
      </c>
      <c r="AV174" s="11">
        <f t="shared" si="333"/>
        <v>0</v>
      </c>
      <c r="AW174" s="11">
        <f t="shared" si="333"/>
        <v>1149018</v>
      </c>
      <c r="AX174" s="11">
        <f t="shared" si="333"/>
        <v>2806906</v>
      </c>
      <c r="AY174" s="11">
        <f t="shared" si="333"/>
        <v>0</v>
      </c>
      <c r="AZ174" s="11">
        <f t="shared" si="333"/>
        <v>0</v>
      </c>
      <c r="BA174" s="11">
        <f t="shared" si="333"/>
        <v>0</v>
      </c>
      <c r="BB174" s="11">
        <f t="shared" si="333"/>
        <v>18535130</v>
      </c>
      <c r="BC174" s="11">
        <f t="shared" si="333"/>
        <v>103511</v>
      </c>
      <c r="BD174" s="11">
        <f t="shared" si="333"/>
        <v>0</v>
      </c>
      <c r="BE174" s="11">
        <f t="shared" si="333"/>
        <v>0</v>
      </c>
      <c r="BF174" s="11">
        <f t="shared" si="333"/>
        <v>0</v>
      </c>
      <c r="BG174" s="11">
        <f t="shared" si="333"/>
        <v>0</v>
      </c>
      <c r="BH174" s="11">
        <f t="shared" si="333"/>
        <v>0</v>
      </c>
      <c r="BI174" s="11">
        <f t="shared" si="333"/>
        <v>0</v>
      </c>
      <c r="BJ174" s="11">
        <f t="shared" si="333"/>
        <v>0</v>
      </c>
      <c r="BK174" s="11">
        <f t="shared" si="333"/>
        <v>0</v>
      </c>
      <c r="BL174" s="11">
        <f t="shared" si="333"/>
        <v>0</v>
      </c>
      <c r="BM174" s="11">
        <f t="shared" si="333"/>
        <v>0</v>
      </c>
      <c r="BN174" s="11">
        <f t="shared" si="333"/>
        <v>0</v>
      </c>
      <c r="BO174" s="11">
        <f t="shared" si="333"/>
        <v>0</v>
      </c>
      <c r="BP174" s="11">
        <f t="shared" si="333"/>
        <v>103511</v>
      </c>
      <c r="BQ174" s="11">
        <f t="shared" si="333"/>
        <v>0</v>
      </c>
      <c r="BR174" s="11">
        <f t="shared" si="333"/>
        <v>0</v>
      </c>
      <c r="BS174" s="11">
        <f t="shared" si="333"/>
        <v>0</v>
      </c>
      <c r="BT174" s="11">
        <f t="shared" si="333"/>
        <v>0</v>
      </c>
      <c r="BU174" s="11">
        <f t="shared" si="333"/>
        <v>0</v>
      </c>
      <c r="BV174" s="11">
        <f t="shared" si="333"/>
        <v>0</v>
      </c>
      <c r="BW174" s="11">
        <f t="shared" ref="BW174:CX174" si="334">SUM(BW175)</f>
        <v>0</v>
      </c>
      <c r="BX174" s="11">
        <f t="shared" si="334"/>
        <v>0</v>
      </c>
      <c r="BY174" s="11">
        <f t="shared" si="334"/>
        <v>0</v>
      </c>
      <c r="BZ174" s="11">
        <f t="shared" si="334"/>
        <v>0</v>
      </c>
      <c r="CA174" s="11">
        <f t="shared" si="334"/>
        <v>103511</v>
      </c>
      <c r="CB174" s="11">
        <f t="shared" si="334"/>
        <v>648095</v>
      </c>
      <c r="CC174" s="11">
        <f t="shared" si="334"/>
        <v>648095</v>
      </c>
      <c r="CD174" s="11">
        <f t="shared" si="334"/>
        <v>335049</v>
      </c>
      <c r="CE174" s="11">
        <f t="shared" si="334"/>
        <v>0</v>
      </c>
      <c r="CF174" s="11">
        <f t="shared" si="334"/>
        <v>335049</v>
      </c>
      <c r="CG174" s="11">
        <f t="shared" si="334"/>
        <v>0</v>
      </c>
      <c r="CH174" s="11">
        <f t="shared" si="334"/>
        <v>0</v>
      </c>
      <c r="CI174" s="11">
        <f t="shared" si="334"/>
        <v>0</v>
      </c>
      <c r="CJ174" s="11">
        <f t="shared" si="334"/>
        <v>0</v>
      </c>
      <c r="CK174" s="11">
        <f t="shared" si="334"/>
        <v>0</v>
      </c>
      <c r="CL174" s="11">
        <f t="shared" si="334"/>
        <v>313046</v>
      </c>
      <c r="CM174" s="11">
        <f t="shared" si="334"/>
        <v>0</v>
      </c>
      <c r="CN174" s="11">
        <f t="shared" si="334"/>
        <v>313046</v>
      </c>
      <c r="CO174" s="11">
        <f t="shared" si="334"/>
        <v>0</v>
      </c>
      <c r="CP174" s="11"/>
      <c r="CQ174" s="11">
        <f t="shared" si="334"/>
        <v>0</v>
      </c>
      <c r="CR174" s="11">
        <f t="shared" si="334"/>
        <v>0</v>
      </c>
      <c r="CS174" s="11">
        <f t="shared" si="334"/>
        <v>0</v>
      </c>
      <c r="CT174" s="11">
        <f t="shared" si="334"/>
        <v>0</v>
      </c>
      <c r="CU174" s="11">
        <f t="shared" si="334"/>
        <v>0</v>
      </c>
      <c r="CV174" s="11">
        <f t="shared" si="334"/>
        <v>0</v>
      </c>
      <c r="CW174" s="11">
        <f t="shared" si="334"/>
        <v>0</v>
      </c>
      <c r="CX174" s="12">
        <f t="shared" si="334"/>
        <v>0</v>
      </c>
    </row>
    <row r="175" spans="1:102" ht="15.75" x14ac:dyDescent="0.25">
      <c r="A175" s="13"/>
      <c r="B175" s="14" t="s">
        <v>1</v>
      </c>
      <c r="C175" s="14" t="s">
        <v>101</v>
      </c>
      <c r="D175" s="15" t="s">
        <v>317</v>
      </c>
      <c r="E175" s="10">
        <f>SUM(F175+CB175+CU175)</f>
        <v>568909321</v>
      </c>
      <c r="F175" s="11">
        <f>SUM(G175+BC175)</f>
        <v>568261226</v>
      </c>
      <c r="G175" s="11">
        <f>SUM(H175+I175+J175+Q175+T175+U175+V175+AF175+AE175)</f>
        <v>568157715</v>
      </c>
      <c r="H175" s="16">
        <f>249830337+77620777</f>
        <v>327451114</v>
      </c>
      <c r="I175" s="16">
        <f>57997662+18553404</f>
        <v>76551066</v>
      </c>
      <c r="J175" s="11">
        <f t="shared" si="279"/>
        <v>116250918</v>
      </c>
      <c r="K175" s="16">
        <f>51937593+34516563</f>
        <v>86454156</v>
      </c>
      <c r="L175" s="16">
        <f>246461+2255951</f>
        <v>2502412</v>
      </c>
      <c r="M175" s="16">
        <f>13961350+4750834</f>
        <v>18712184</v>
      </c>
      <c r="N175" s="16">
        <v>2955</v>
      </c>
      <c r="O175" s="16">
        <v>8106601</v>
      </c>
      <c r="P175" s="16">
        <f>451066+21707-163</f>
        <v>472610</v>
      </c>
      <c r="Q175" s="11">
        <f t="shared" si="280"/>
        <v>0</v>
      </c>
      <c r="R175" s="11">
        <v>0</v>
      </c>
      <c r="S175" s="11"/>
      <c r="T175" s="11">
        <v>0</v>
      </c>
      <c r="U175" s="16">
        <v>1798518</v>
      </c>
      <c r="V175" s="11">
        <f t="shared" ref="V175" si="335">SUM(W175:AD175)</f>
        <v>21646212</v>
      </c>
      <c r="W175" s="16">
        <v>61039</v>
      </c>
      <c r="X175" s="16">
        <v>10437628</v>
      </c>
      <c r="Y175" s="16">
        <v>5812294</v>
      </c>
      <c r="Z175" s="16">
        <v>4631097</v>
      </c>
      <c r="AA175" s="16">
        <v>549526</v>
      </c>
      <c r="AB175" s="16">
        <v>3208</v>
      </c>
      <c r="AC175" s="16"/>
      <c r="AD175" s="16">
        <v>151420</v>
      </c>
      <c r="AE175" s="11"/>
      <c r="AF175" s="11">
        <f>SUM(AG175:BB175)</f>
        <v>24459887</v>
      </c>
      <c r="AG175" s="11">
        <v>0</v>
      </c>
      <c r="AH175" s="11"/>
      <c r="AI175" s="16">
        <v>79837</v>
      </c>
      <c r="AJ175" s="16">
        <f>251316+2432</f>
        <v>253748</v>
      </c>
      <c r="AK175" s="16"/>
      <c r="AL175" s="16"/>
      <c r="AM175" s="16"/>
      <c r="AN175" s="16">
        <v>739522</v>
      </c>
      <c r="AO175" s="16">
        <v>92231</v>
      </c>
      <c r="AP175" s="16"/>
      <c r="AQ175" s="16"/>
      <c r="AR175" s="16"/>
      <c r="AS175" s="16"/>
      <c r="AT175" s="16">
        <v>792495</v>
      </c>
      <c r="AU175" s="16">
        <v>11000</v>
      </c>
      <c r="AV175" s="16"/>
      <c r="AW175" s="16">
        <v>1149018</v>
      </c>
      <c r="AX175" s="16">
        <v>2806906</v>
      </c>
      <c r="AY175" s="16"/>
      <c r="AZ175" s="16"/>
      <c r="BA175" s="16"/>
      <c r="BB175" s="16">
        <v>18535130</v>
      </c>
      <c r="BC175" s="11">
        <f>SUM(BD175+BH175+BL175+BN175+BP175)</f>
        <v>103511</v>
      </c>
      <c r="BD175" s="11">
        <f>SUM(BE175:BG175)</f>
        <v>0</v>
      </c>
      <c r="BE175" s="11">
        <v>0</v>
      </c>
      <c r="BF175" s="11">
        <v>0</v>
      </c>
      <c r="BG175" s="11">
        <v>0</v>
      </c>
      <c r="BH175" s="11">
        <f t="shared" si="282"/>
        <v>0</v>
      </c>
      <c r="BI175" s="11">
        <v>0</v>
      </c>
      <c r="BJ175" s="11">
        <v>0</v>
      </c>
      <c r="BK175" s="11">
        <v>0</v>
      </c>
      <c r="BL175" s="11">
        <v>0</v>
      </c>
      <c r="BM175" s="11">
        <v>0</v>
      </c>
      <c r="BN175" s="11">
        <f t="shared" si="283"/>
        <v>0</v>
      </c>
      <c r="BO175" s="11">
        <v>0</v>
      </c>
      <c r="BP175" s="11">
        <f t="shared" si="284"/>
        <v>103511</v>
      </c>
      <c r="BQ175" s="11">
        <v>0</v>
      </c>
      <c r="BR175" s="11">
        <v>0</v>
      </c>
      <c r="BS175" s="11">
        <v>0</v>
      </c>
      <c r="BT175" s="11">
        <v>0</v>
      </c>
      <c r="BU175" s="11">
        <v>0</v>
      </c>
      <c r="BV175" s="11">
        <v>0</v>
      </c>
      <c r="BW175" s="11">
        <v>0</v>
      </c>
      <c r="BX175" s="11">
        <v>0</v>
      </c>
      <c r="BY175" s="11">
        <v>0</v>
      </c>
      <c r="BZ175" s="11">
        <v>0</v>
      </c>
      <c r="CA175" s="11">
        <v>103511</v>
      </c>
      <c r="CB175" s="11">
        <f>SUM(CC175+CT175)</f>
        <v>648095</v>
      </c>
      <c r="CC175" s="11">
        <f>SUM(CD175+CG175+CL175)</f>
        <v>648095</v>
      </c>
      <c r="CD175" s="11">
        <f t="shared" si="285"/>
        <v>335049</v>
      </c>
      <c r="CE175" s="11">
        <v>0</v>
      </c>
      <c r="CF175" s="11">
        <f>233064+101985</f>
        <v>335049</v>
      </c>
      <c r="CG175" s="11">
        <f>SUM(CH175:CK175)</f>
        <v>0</v>
      </c>
      <c r="CH175" s="11">
        <v>0</v>
      </c>
      <c r="CI175" s="11">
        <v>0</v>
      </c>
      <c r="CJ175" s="11">
        <v>0</v>
      </c>
      <c r="CK175" s="11">
        <v>0</v>
      </c>
      <c r="CL175" s="11">
        <f>SUM(CM175:CQ175)</f>
        <v>313046</v>
      </c>
      <c r="CM175" s="11">
        <v>0</v>
      </c>
      <c r="CN175" s="11">
        <v>313046</v>
      </c>
      <c r="CO175" s="11">
        <v>0</v>
      </c>
      <c r="CP175" s="11"/>
      <c r="CQ175" s="11">
        <v>0</v>
      </c>
      <c r="CR175" s="11"/>
      <c r="CS175" s="11"/>
      <c r="CT175" s="11">
        <v>0</v>
      </c>
      <c r="CU175" s="11">
        <f t="shared" si="286"/>
        <v>0</v>
      </c>
      <c r="CV175" s="11">
        <f t="shared" si="287"/>
        <v>0</v>
      </c>
      <c r="CW175" s="11">
        <v>0</v>
      </c>
      <c r="CX175" s="12">
        <v>0</v>
      </c>
    </row>
    <row r="176" spans="1:102" ht="31.5" x14ac:dyDescent="0.25">
      <c r="A176" s="7"/>
      <c r="B176" s="8" t="s">
        <v>318</v>
      </c>
      <c r="C176" s="8" t="s">
        <v>1</v>
      </c>
      <c r="D176" s="9" t="s">
        <v>319</v>
      </c>
      <c r="E176" s="10">
        <f>SUM(E177:E178)</f>
        <v>139626611</v>
      </c>
      <c r="F176" s="11">
        <f t="shared" ref="F176:BV176" si="336">SUM(F177:F178)</f>
        <v>139487700</v>
      </c>
      <c r="G176" s="11">
        <f t="shared" si="336"/>
        <v>139484200</v>
      </c>
      <c r="H176" s="11">
        <f t="shared" si="336"/>
        <v>93406344</v>
      </c>
      <c r="I176" s="11">
        <f t="shared" si="336"/>
        <v>22784293</v>
      </c>
      <c r="J176" s="11">
        <f t="shared" si="336"/>
        <v>11013678</v>
      </c>
      <c r="K176" s="11">
        <f t="shared" si="336"/>
        <v>6212319</v>
      </c>
      <c r="L176" s="11">
        <f t="shared" si="336"/>
        <v>26250</v>
      </c>
      <c r="M176" s="11">
        <f t="shared" si="336"/>
        <v>0</v>
      </c>
      <c r="N176" s="11">
        <f t="shared" si="336"/>
        <v>0</v>
      </c>
      <c r="O176" s="11">
        <f t="shared" si="336"/>
        <v>4738655</v>
      </c>
      <c r="P176" s="11">
        <f t="shared" si="336"/>
        <v>36454</v>
      </c>
      <c r="Q176" s="11">
        <f t="shared" si="336"/>
        <v>0</v>
      </c>
      <c r="R176" s="11">
        <f t="shared" si="336"/>
        <v>0</v>
      </c>
      <c r="S176" s="11">
        <f t="shared" si="336"/>
        <v>0</v>
      </c>
      <c r="T176" s="11">
        <f t="shared" si="336"/>
        <v>600</v>
      </c>
      <c r="U176" s="11">
        <f t="shared" si="336"/>
        <v>666261</v>
      </c>
      <c r="V176" s="11">
        <f t="shared" si="336"/>
        <v>2440385</v>
      </c>
      <c r="W176" s="11">
        <f t="shared" si="336"/>
        <v>0</v>
      </c>
      <c r="X176" s="11">
        <f t="shared" si="336"/>
        <v>1514919</v>
      </c>
      <c r="Y176" s="11">
        <f t="shared" si="336"/>
        <v>499652</v>
      </c>
      <c r="Z176" s="11">
        <f t="shared" si="336"/>
        <v>365696</v>
      </c>
      <c r="AA176" s="11">
        <f t="shared" si="336"/>
        <v>8562</v>
      </c>
      <c r="AB176" s="11">
        <f t="shared" si="336"/>
        <v>0</v>
      </c>
      <c r="AC176" s="11">
        <f t="shared" si="336"/>
        <v>0</v>
      </c>
      <c r="AD176" s="11">
        <f t="shared" si="336"/>
        <v>51556</v>
      </c>
      <c r="AE176" s="11">
        <f t="shared" si="336"/>
        <v>2897</v>
      </c>
      <c r="AF176" s="11">
        <f t="shared" si="336"/>
        <v>9169742</v>
      </c>
      <c r="AG176" s="11">
        <f t="shared" si="336"/>
        <v>0</v>
      </c>
      <c r="AH176" s="11">
        <f t="shared" si="336"/>
        <v>0</v>
      </c>
      <c r="AI176" s="11">
        <f t="shared" si="336"/>
        <v>992</v>
      </c>
      <c r="AJ176" s="11">
        <f t="shared" si="336"/>
        <v>0</v>
      </c>
      <c r="AK176" s="11">
        <f t="shared" si="336"/>
        <v>0</v>
      </c>
      <c r="AL176" s="11">
        <f t="shared" si="336"/>
        <v>0</v>
      </c>
      <c r="AM176" s="11">
        <f t="shared" si="336"/>
        <v>0</v>
      </c>
      <c r="AN176" s="11">
        <f t="shared" si="336"/>
        <v>212776</v>
      </c>
      <c r="AO176" s="11">
        <f t="shared" si="336"/>
        <v>9716</v>
      </c>
      <c r="AP176" s="11">
        <f t="shared" si="336"/>
        <v>0</v>
      </c>
      <c r="AQ176" s="11">
        <f t="shared" si="336"/>
        <v>216</v>
      </c>
      <c r="AR176" s="11">
        <f>SUM(AR177:AR178)</f>
        <v>0</v>
      </c>
      <c r="AS176" s="11">
        <f t="shared" si="336"/>
        <v>0</v>
      </c>
      <c r="AT176" s="11">
        <f t="shared" si="336"/>
        <v>74668</v>
      </c>
      <c r="AU176" s="11">
        <f t="shared" si="336"/>
        <v>0</v>
      </c>
      <c r="AV176" s="11">
        <f t="shared" si="336"/>
        <v>0</v>
      </c>
      <c r="AW176" s="11">
        <f t="shared" si="336"/>
        <v>413074</v>
      </c>
      <c r="AX176" s="11">
        <f t="shared" si="336"/>
        <v>0</v>
      </c>
      <c r="AY176" s="11">
        <f t="shared" si="336"/>
        <v>0</v>
      </c>
      <c r="AZ176" s="11">
        <f t="shared" si="336"/>
        <v>0</v>
      </c>
      <c r="BA176" s="11">
        <f t="shared" si="336"/>
        <v>0</v>
      </c>
      <c r="BB176" s="11">
        <f t="shared" si="336"/>
        <v>8458300</v>
      </c>
      <c r="BC176" s="11">
        <f t="shared" si="336"/>
        <v>3500</v>
      </c>
      <c r="BD176" s="11">
        <f t="shared" si="336"/>
        <v>0</v>
      </c>
      <c r="BE176" s="11">
        <f t="shared" si="336"/>
        <v>0</v>
      </c>
      <c r="BF176" s="11">
        <f t="shared" si="336"/>
        <v>0</v>
      </c>
      <c r="BG176" s="11">
        <f t="shared" si="336"/>
        <v>0</v>
      </c>
      <c r="BH176" s="11">
        <f t="shared" si="336"/>
        <v>0</v>
      </c>
      <c r="BI176" s="11">
        <f t="shared" si="336"/>
        <v>0</v>
      </c>
      <c r="BJ176" s="11">
        <f t="shared" si="336"/>
        <v>0</v>
      </c>
      <c r="BK176" s="11">
        <f t="shared" si="336"/>
        <v>0</v>
      </c>
      <c r="BL176" s="11">
        <f t="shared" si="336"/>
        <v>0</v>
      </c>
      <c r="BM176" s="11">
        <f t="shared" si="336"/>
        <v>0</v>
      </c>
      <c r="BN176" s="11">
        <f t="shared" si="336"/>
        <v>0</v>
      </c>
      <c r="BO176" s="11">
        <f t="shared" si="336"/>
        <v>0</v>
      </c>
      <c r="BP176" s="11">
        <f t="shared" si="336"/>
        <v>3500</v>
      </c>
      <c r="BQ176" s="11">
        <f t="shared" si="336"/>
        <v>0</v>
      </c>
      <c r="BR176" s="11">
        <f t="shared" si="336"/>
        <v>0</v>
      </c>
      <c r="BS176" s="11">
        <f t="shared" si="336"/>
        <v>0</v>
      </c>
      <c r="BT176" s="11">
        <f t="shared" si="336"/>
        <v>0</v>
      </c>
      <c r="BU176" s="11">
        <f t="shared" si="336"/>
        <v>0</v>
      </c>
      <c r="BV176" s="11">
        <f t="shared" si="336"/>
        <v>0</v>
      </c>
      <c r="BW176" s="11">
        <f t="shared" ref="BW176:CX176" si="337">SUM(BW177:BW178)</f>
        <v>0</v>
      </c>
      <c r="BX176" s="11">
        <f t="shared" si="337"/>
        <v>0</v>
      </c>
      <c r="BY176" s="11">
        <f t="shared" si="337"/>
        <v>0</v>
      </c>
      <c r="BZ176" s="11">
        <f t="shared" si="337"/>
        <v>0</v>
      </c>
      <c r="CA176" s="11">
        <f t="shared" si="337"/>
        <v>3500</v>
      </c>
      <c r="CB176" s="11">
        <f t="shared" si="337"/>
        <v>138911</v>
      </c>
      <c r="CC176" s="11">
        <f t="shared" si="337"/>
        <v>138911</v>
      </c>
      <c r="CD176" s="11">
        <f t="shared" si="337"/>
        <v>42727</v>
      </c>
      <c r="CE176" s="11">
        <f t="shared" si="337"/>
        <v>0</v>
      </c>
      <c r="CF176" s="11">
        <f t="shared" si="337"/>
        <v>42727</v>
      </c>
      <c r="CG176" s="11">
        <f t="shared" si="337"/>
        <v>0</v>
      </c>
      <c r="CH176" s="11">
        <f t="shared" si="337"/>
        <v>0</v>
      </c>
      <c r="CI176" s="11">
        <f t="shared" si="337"/>
        <v>0</v>
      </c>
      <c r="CJ176" s="11">
        <f t="shared" si="337"/>
        <v>0</v>
      </c>
      <c r="CK176" s="11">
        <f t="shared" si="337"/>
        <v>0</v>
      </c>
      <c r="CL176" s="11">
        <f t="shared" si="337"/>
        <v>96184</v>
      </c>
      <c r="CM176" s="11">
        <f t="shared" si="337"/>
        <v>0</v>
      </c>
      <c r="CN176" s="11">
        <f t="shared" si="337"/>
        <v>0</v>
      </c>
      <c r="CO176" s="11">
        <f t="shared" si="337"/>
        <v>0</v>
      </c>
      <c r="CP176" s="11">
        <f t="shared" si="337"/>
        <v>96184</v>
      </c>
      <c r="CQ176" s="11">
        <f t="shared" si="337"/>
        <v>0</v>
      </c>
      <c r="CR176" s="11">
        <f t="shared" si="337"/>
        <v>0</v>
      </c>
      <c r="CS176" s="11">
        <f t="shared" si="337"/>
        <v>0</v>
      </c>
      <c r="CT176" s="11">
        <f t="shared" si="337"/>
        <v>0</v>
      </c>
      <c r="CU176" s="11">
        <f t="shared" si="337"/>
        <v>0</v>
      </c>
      <c r="CV176" s="11">
        <f t="shared" si="337"/>
        <v>0</v>
      </c>
      <c r="CW176" s="11">
        <f t="shared" si="337"/>
        <v>0</v>
      </c>
      <c r="CX176" s="12">
        <f t="shared" si="337"/>
        <v>0</v>
      </c>
    </row>
    <row r="177" spans="1:102" ht="15.75" x14ac:dyDescent="0.25">
      <c r="A177" s="13"/>
      <c r="B177" s="14" t="s">
        <v>1</v>
      </c>
      <c r="C177" s="14" t="s">
        <v>101</v>
      </c>
      <c r="D177" s="15" t="s">
        <v>320</v>
      </c>
      <c r="E177" s="10">
        <f>SUM(F177+CB177+CU177)</f>
        <v>103527790</v>
      </c>
      <c r="F177" s="11">
        <f>SUM(G177+BC177)</f>
        <v>103527790</v>
      </c>
      <c r="G177" s="11">
        <f>SUM(H177+I177+J177+Q177+T177+U177+V177+AF177+AE177)</f>
        <v>103527790</v>
      </c>
      <c r="H177" s="16">
        <f>60844073+7871089</f>
        <v>68715162</v>
      </c>
      <c r="I177" s="16">
        <f>14867365+2040028</f>
        <v>16907393</v>
      </c>
      <c r="J177" s="11">
        <f t="shared" si="279"/>
        <v>6113424</v>
      </c>
      <c r="K177" s="16">
        <v>5706052</v>
      </c>
      <c r="L177" s="16"/>
      <c r="M177" s="16"/>
      <c r="N177" s="16"/>
      <c r="O177" s="16">
        <v>405274</v>
      </c>
      <c r="P177" s="16">
        <f>1935+163</f>
        <v>2098</v>
      </c>
      <c r="Q177" s="11">
        <f t="shared" si="280"/>
        <v>0</v>
      </c>
      <c r="R177" s="11">
        <v>0</v>
      </c>
      <c r="S177" s="11"/>
      <c r="T177" s="11">
        <v>0</v>
      </c>
      <c r="U177" s="16">
        <v>561722</v>
      </c>
      <c r="V177" s="11">
        <f t="shared" ref="V177:V178" si="338">SUM(W177:AD177)</f>
        <v>2175556</v>
      </c>
      <c r="W177" s="16"/>
      <c r="X177" s="16">
        <v>1384397</v>
      </c>
      <c r="Y177" s="16">
        <v>403921</v>
      </c>
      <c r="Z177" s="16">
        <v>331206</v>
      </c>
      <c r="AA177" s="16">
        <v>4476</v>
      </c>
      <c r="AB177" s="16"/>
      <c r="AC177" s="16"/>
      <c r="AD177" s="16">
        <v>51556</v>
      </c>
      <c r="AE177" s="16"/>
      <c r="AF177" s="11">
        <f>SUM(AG177:BB177)</f>
        <v>9054533</v>
      </c>
      <c r="AG177" s="11">
        <v>0</v>
      </c>
      <c r="AH177" s="11">
        <v>0</v>
      </c>
      <c r="AI177" s="11">
        <v>0</v>
      </c>
      <c r="AJ177" s="11"/>
      <c r="AK177" s="11">
        <v>0</v>
      </c>
      <c r="AL177" s="11"/>
      <c r="AM177" s="11">
        <v>0</v>
      </c>
      <c r="AN177" s="16">
        <v>158278</v>
      </c>
      <c r="AO177" s="16"/>
      <c r="AP177" s="11">
        <v>0</v>
      </c>
      <c r="AQ177" s="11">
        <v>216</v>
      </c>
      <c r="AR177" s="11"/>
      <c r="AS177" s="11">
        <v>0</v>
      </c>
      <c r="AT177" s="16">
        <v>42315</v>
      </c>
      <c r="AU177" s="11">
        <v>0</v>
      </c>
      <c r="AV177" s="11"/>
      <c r="AW177" s="16">
        <v>413074</v>
      </c>
      <c r="AX177" s="11">
        <v>0</v>
      </c>
      <c r="AY177" s="11">
        <v>0</v>
      </c>
      <c r="AZ177" s="11">
        <v>0</v>
      </c>
      <c r="BA177" s="11"/>
      <c r="BB177" s="16">
        <v>8440650</v>
      </c>
      <c r="BC177" s="11">
        <f>SUM(BD177+BH177+BL177+BN177+BP177)</f>
        <v>0</v>
      </c>
      <c r="BD177" s="11">
        <f>SUM(BE177:BG177)</f>
        <v>0</v>
      </c>
      <c r="BE177" s="11">
        <v>0</v>
      </c>
      <c r="BF177" s="11">
        <v>0</v>
      </c>
      <c r="BG177" s="11">
        <v>0</v>
      </c>
      <c r="BH177" s="11">
        <f t="shared" si="282"/>
        <v>0</v>
      </c>
      <c r="BI177" s="11">
        <v>0</v>
      </c>
      <c r="BJ177" s="11">
        <v>0</v>
      </c>
      <c r="BK177" s="11">
        <v>0</v>
      </c>
      <c r="BL177" s="11">
        <v>0</v>
      </c>
      <c r="BM177" s="11">
        <v>0</v>
      </c>
      <c r="BN177" s="11">
        <f t="shared" si="283"/>
        <v>0</v>
      </c>
      <c r="BO177" s="11">
        <v>0</v>
      </c>
      <c r="BP177" s="11">
        <f t="shared" si="284"/>
        <v>0</v>
      </c>
      <c r="BQ177" s="11">
        <v>0</v>
      </c>
      <c r="BR177" s="11">
        <v>0</v>
      </c>
      <c r="BS177" s="11">
        <v>0</v>
      </c>
      <c r="BT177" s="11">
        <v>0</v>
      </c>
      <c r="BU177" s="11">
        <v>0</v>
      </c>
      <c r="BV177" s="11">
        <v>0</v>
      </c>
      <c r="BW177" s="11">
        <v>0</v>
      </c>
      <c r="BX177" s="11">
        <v>0</v>
      </c>
      <c r="BY177" s="11">
        <v>0</v>
      </c>
      <c r="BZ177" s="11">
        <v>0</v>
      </c>
      <c r="CA177" s="11">
        <v>0</v>
      </c>
      <c r="CB177" s="11">
        <f>SUM(CC177+CT177)</f>
        <v>0</v>
      </c>
      <c r="CC177" s="11">
        <f>SUM(CD177+CG177+CL177)</f>
        <v>0</v>
      </c>
      <c r="CD177" s="11">
        <f t="shared" si="285"/>
        <v>0</v>
      </c>
      <c r="CE177" s="11">
        <v>0</v>
      </c>
      <c r="CF177" s="11"/>
      <c r="CG177" s="11">
        <f>SUM(CH177:CK177)</f>
        <v>0</v>
      </c>
      <c r="CH177" s="11">
        <v>0</v>
      </c>
      <c r="CI177" s="11">
        <v>0</v>
      </c>
      <c r="CJ177" s="11">
        <v>0</v>
      </c>
      <c r="CK177" s="11">
        <v>0</v>
      </c>
      <c r="CL177" s="11">
        <f>SUM(CM177:CQ177)</f>
        <v>0</v>
      </c>
      <c r="CM177" s="11">
        <v>0</v>
      </c>
      <c r="CN177" s="11">
        <v>0</v>
      </c>
      <c r="CO177" s="11">
        <v>0</v>
      </c>
      <c r="CP177" s="11"/>
      <c r="CQ177" s="11">
        <v>0</v>
      </c>
      <c r="CR177" s="11"/>
      <c r="CS177" s="11"/>
      <c r="CT177" s="11">
        <v>0</v>
      </c>
      <c r="CU177" s="11">
        <f t="shared" si="286"/>
        <v>0</v>
      </c>
      <c r="CV177" s="11">
        <f t="shared" si="287"/>
        <v>0</v>
      </c>
      <c r="CW177" s="11">
        <v>0</v>
      </c>
      <c r="CX177" s="12">
        <v>0</v>
      </c>
    </row>
    <row r="178" spans="1:102" ht="15.75" x14ac:dyDescent="0.25">
      <c r="A178" s="13"/>
      <c r="B178" s="14" t="s">
        <v>1</v>
      </c>
      <c r="C178" s="14" t="s">
        <v>101</v>
      </c>
      <c r="D178" s="15" t="s">
        <v>321</v>
      </c>
      <c r="E178" s="10">
        <f>SUM(F178+CB178+CU178)</f>
        <v>36098821</v>
      </c>
      <c r="F178" s="11">
        <f>SUM(G178+BC178)</f>
        <v>35959910</v>
      </c>
      <c r="G178" s="11">
        <f>SUM(H178+I178+J178+Q178+T178+U178+V178+AF178+AE178)</f>
        <v>35956410</v>
      </c>
      <c r="H178" s="16">
        <f>18792492+5898690</f>
        <v>24691182</v>
      </c>
      <c r="I178" s="16">
        <f>4424557+1452343</f>
        <v>5876900</v>
      </c>
      <c r="J178" s="11">
        <f t="shared" si="279"/>
        <v>4900254</v>
      </c>
      <c r="K178" s="16">
        <v>506267</v>
      </c>
      <c r="L178" s="16">
        <v>26250</v>
      </c>
      <c r="M178" s="16"/>
      <c r="N178" s="16"/>
      <c r="O178" s="16">
        <v>4333381</v>
      </c>
      <c r="P178" s="16">
        <v>34356</v>
      </c>
      <c r="Q178" s="11">
        <f t="shared" si="280"/>
        <v>0</v>
      </c>
      <c r="R178" s="11">
        <v>0</v>
      </c>
      <c r="S178" s="11">
        <v>0</v>
      </c>
      <c r="T178" s="11">
        <v>600</v>
      </c>
      <c r="U178" s="16">
        <v>104539</v>
      </c>
      <c r="V178" s="11">
        <f t="shared" si="338"/>
        <v>264829</v>
      </c>
      <c r="W178" s="11"/>
      <c r="X178" s="16">
        <v>130522</v>
      </c>
      <c r="Y178" s="16">
        <v>95731</v>
      </c>
      <c r="Z178" s="16">
        <v>34490</v>
      </c>
      <c r="AA178" s="16">
        <v>4086</v>
      </c>
      <c r="AB178" s="16"/>
      <c r="AC178" s="16"/>
      <c r="AD178" s="16"/>
      <c r="AE178" s="16">
        <v>2897</v>
      </c>
      <c r="AF178" s="11">
        <f>SUM(AG178:BB178)</f>
        <v>115209</v>
      </c>
      <c r="AG178" s="11">
        <v>0</v>
      </c>
      <c r="AH178" s="11"/>
      <c r="AI178" s="11">
        <v>992</v>
      </c>
      <c r="AJ178" s="11"/>
      <c r="AK178" s="11">
        <v>0</v>
      </c>
      <c r="AL178" s="11"/>
      <c r="AM178" s="11">
        <v>0</v>
      </c>
      <c r="AN178" s="16">
        <v>54498</v>
      </c>
      <c r="AO178" s="16">
        <v>9716</v>
      </c>
      <c r="AP178" s="11">
        <v>0</v>
      </c>
      <c r="AQ178" s="11">
        <v>0</v>
      </c>
      <c r="AR178" s="11">
        <v>0</v>
      </c>
      <c r="AS178" s="11">
        <v>0</v>
      </c>
      <c r="AT178" s="16">
        <v>32353</v>
      </c>
      <c r="AU178" s="11"/>
      <c r="AV178" s="11"/>
      <c r="AW178" s="11"/>
      <c r="AX178" s="11">
        <v>0</v>
      </c>
      <c r="AY178" s="11">
        <v>0</v>
      </c>
      <c r="AZ178" s="11">
        <v>0</v>
      </c>
      <c r="BA178" s="11">
        <v>0</v>
      </c>
      <c r="BB178" s="16">
        <v>17650</v>
      </c>
      <c r="BC178" s="11">
        <f>SUM(BD178+BH178+BL178+BN178+BP178)</f>
        <v>3500</v>
      </c>
      <c r="BD178" s="11">
        <f>SUM(BE178:BG178)</f>
        <v>0</v>
      </c>
      <c r="BE178" s="11">
        <v>0</v>
      </c>
      <c r="BF178" s="11">
        <v>0</v>
      </c>
      <c r="BG178" s="11">
        <v>0</v>
      </c>
      <c r="BH178" s="11">
        <f t="shared" si="282"/>
        <v>0</v>
      </c>
      <c r="BI178" s="11">
        <v>0</v>
      </c>
      <c r="BJ178" s="11">
        <v>0</v>
      </c>
      <c r="BK178" s="11">
        <v>0</v>
      </c>
      <c r="BL178" s="11">
        <v>0</v>
      </c>
      <c r="BM178" s="11">
        <v>0</v>
      </c>
      <c r="BN178" s="11">
        <f t="shared" si="283"/>
        <v>0</v>
      </c>
      <c r="BO178" s="11">
        <v>0</v>
      </c>
      <c r="BP178" s="11">
        <f t="shared" si="284"/>
        <v>3500</v>
      </c>
      <c r="BQ178" s="11">
        <v>0</v>
      </c>
      <c r="BR178" s="11">
        <v>0</v>
      </c>
      <c r="BS178" s="11">
        <v>0</v>
      </c>
      <c r="BT178" s="11">
        <v>0</v>
      </c>
      <c r="BU178" s="11">
        <v>0</v>
      </c>
      <c r="BV178" s="11">
        <v>0</v>
      </c>
      <c r="BW178" s="11">
        <v>0</v>
      </c>
      <c r="BX178" s="11">
        <v>0</v>
      </c>
      <c r="BY178" s="11">
        <v>0</v>
      </c>
      <c r="BZ178" s="11">
        <v>0</v>
      </c>
      <c r="CA178" s="11">
        <v>3500</v>
      </c>
      <c r="CB178" s="11">
        <f>SUM(CC178+CT178)</f>
        <v>138911</v>
      </c>
      <c r="CC178" s="11">
        <f>SUM(CD178+CG178+CL178)</f>
        <v>138911</v>
      </c>
      <c r="CD178" s="11">
        <f t="shared" si="285"/>
        <v>42727</v>
      </c>
      <c r="CE178" s="11">
        <v>0</v>
      </c>
      <c r="CF178" s="11">
        <v>42727</v>
      </c>
      <c r="CG178" s="11">
        <f>SUM(CH178:CK178)</f>
        <v>0</v>
      </c>
      <c r="CH178" s="11">
        <v>0</v>
      </c>
      <c r="CI178" s="11">
        <v>0</v>
      </c>
      <c r="CJ178" s="11">
        <v>0</v>
      </c>
      <c r="CK178" s="11">
        <v>0</v>
      </c>
      <c r="CL178" s="11">
        <f>SUM(CM178:CQ178)</f>
        <v>96184</v>
      </c>
      <c r="CM178" s="11">
        <v>0</v>
      </c>
      <c r="CN178" s="11">
        <v>0</v>
      </c>
      <c r="CO178" s="11"/>
      <c r="CP178" s="11">
        <v>96184</v>
      </c>
      <c r="CQ178" s="11">
        <v>0</v>
      </c>
      <c r="CR178" s="11">
        <v>0</v>
      </c>
      <c r="CS178" s="11">
        <v>0</v>
      </c>
      <c r="CT178" s="11">
        <v>0</v>
      </c>
      <c r="CU178" s="11">
        <f t="shared" si="286"/>
        <v>0</v>
      </c>
      <c r="CV178" s="11">
        <f t="shared" si="287"/>
        <v>0</v>
      </c>
      <c r="CW178" s="11">
        <v>0</v>
      </c>
      <c r="CX178" s="12">
        <v>0</v>
      </c>
    </row>
    <row r="179" spans="1:102" ht="31.5" x14ac:dyDescent="0.25">
      <c r="A179" s="7"/>
      <c r="B179" s="8" t="s">
        <v>322</v>
      </c>
      <c r="C179" s="8" t="s">
        <v>1</v>
      </c>
      <c r="D179" s="9" t="s">
        <v>323</v>
      </c>
      <c r="E179" s="10">
        <f t="shared" ref="E179:BS179" si="339">SUM(E180:E181)</f>
        <v>30819572</v>
      </c>
      <c r="F179" s="11">
        <f t="shared" si="339"/>
        <v>30761599</v>
      </c>
      <c r="G179" s="11">
        <f t="shared" si="339"/>
        <v>30577862</v>
      </c>
      <c r="H179" s="11">
        <f t="shared" si="339"/>
        <v>18904354</v>
      </c>
      <c r="I179" s="11">
        <f t="shared" si="339"/>
        <v>4474871</v>
      </c>
      <c r="J179" s="11">
        <f t="shared" si="339"/>
        <v>5973978</v>
      </c>
      <c r="K179" s="11">
        <f t="shared" si="339"/>
        <v>4790165</v>
      </c>
      <c r="L179" s="11">
        <f t="shared" si="339"/>
        <v>193450</v>
      </c>
      <c r="M179" s="11">
        <f t="shared" si="339"/>
        <v>478209</v>
      </c>
      <c r="N179" s="11">
        <f t="shared" si="339"/>
        <v>0</v>
      </c>
      <c r="O179" s="11">
        <f t="shared" si="339"/>
        <v>449322</v>
      </c>
      <c r="P179" s="11">
        <f t="shared" si="339"/>
        <v>62832</v>
      </c>
      <c r="Q179" s="11">
        <f t="shared" si="339"/>
        <v>1022</v>
      </c>
      <c r="R179" s="11">
        <f t="shared" si="339"/>
        <v>0</v>
      </c>
      <c r="S179" s="11">
        <f t="shared" si="339"/>
        <v>1022</v>
      </c>
      <c r="T179" s="11">
        <f t="shared" si="339"/>
        <v>0</v>
      </c>
      <c r="U179" s="11">
        <f t="shared" si="339"/>
        <v>216614</v>
      </c>
      <c r="V179" s="11">
        <f t="shared" si="339"/>
        <v>801425</v>
      </c>
      <c r="W179" s="11">
        <f t="shared" si="339"/>
        <v>19620</v>
      </c>
      <c r="X179" s="11">
        <f t="shared" si="339"/>
        <v>514434</v>
      </c>
      <c r="Y179" s="11">
        <f t="shared" si="339"/>
        <v>121010</v>
      </c>
      <c r="Z179" s="11">
        <f t="shared" si="339"/>
        <v>101471</v>
      </c>
      <c r="AA179" s="11">
        <f t="shared" si="339"/>
        <v>6966</v>
      </c>
      <c r="AB179" s="11">
        <f t="shared" si="339"/>
        <v>0</v>
      </c>
      <c r="AC179" s="11">
        <f t="shared" si="339"/>
        <v>0</v>
      </c>
      <c r="AD179" s="11">
        <f t="shared" si="339"/>
        <v>37924</v>
      </c>
      <c r="AE179" s="11">
        <f t="shared" si="339"/>
        <v>0</v>
      </c>
      <c r="AF179" s="11">
        <f t="shared" si="339"/>
        <v>205598</v>
      </c>
      <c r="AG179" s="11">
        <f t="shared" si="339"/>
        <v>0</v>
      </c>
      <c r="AH179" s="11">
        <f t="shared" si="339"/>
        <v>0</v>
      </c>
      <c r="AI179" s="11">
        <f t="shared" si="339"/>
        <v>625</v>
      </c>
      <c r="AJ179" s="11">
        <f t="shared" si="339"/>
        <v>16204</v>
      </c>
      <c r="AK179" s="11">
        <f t="shared" si="339"/>
        <v>0</v>
      </c>
      <c r="AL179" s="11">
        <f t="shared" si="339"/>
        <v>1591</v>
      </c>
      <c r="AM179" s="11">
        <f t="shared" si="339"/>
        <v>0</v>
      </c>
      <c r="AN179" s="11">
        <f t="shared" si="339"/>
        <v>77563</v>
      </c>
      <c r="AO179" s="11">
        <f t="shared" si="339"/>
        <v>0</v>
      </c>
      <c r="AP179" s="11">
        <f t="shared" si="339"/>
        <v>0</v>
      </c>
      <c r="AQ179" s="11">
        <f t="shared" si="339"/>
        <v>0</v>
      </c>
      <c r="AR179" s="11">
        <f>SUM(AR180:AR181)</f>
        <v>0</v>
      </c>
      <c r="AS179" s="11">
        <f t="shared" si="339"/>
        <v>0</v>
      </c>
      <c r="AT179" s="11">
        <f t="shared" si="339"/>
        <v>44512</v>
      </c>
      <c r="AU179" s="11">
        <f t="shared" si="339"/>
        <v>14400</v>
      </c>
      <c r="AV179" s="11">
        <f t="shared" si="339"/>
        <v>0</v>
      </c>
      <c r="AW179" s="11">
        <f t="shared" si="339"/>
        <v>18178</v>
      </c>
      <c r="AX179" s="11">
        <f t="shared" si="339"/>
        <v>0</v>
      </c>
      <c r="AY179" s="11">
        <f t="shared" si="339"/>
        <v>0</v>
      </c>
      <c r="AZ179" s="11">
        <f t="shared" si="339"/>
        <v>0</v>
      </c>
      <c r="BA179" s="11">
        <f t="shared" si="339"/>
        <v>0</v>
      </c>
      <c r="BB179" s="11">
        <f t="shared" si="339"/>
        <v>32525</v>
      </c>
      <c r="BC179" s="11">
        <f t="shared" si="339"/>
        <v>183737</v>
      </c>
      <c r="BD179" s="11">
        <f t="shared" si="339"/>
        <v>0</v>
      </c>
      <c r="BE179" s="11">
        <f t="shared" si="339"/>
        <v>0</v>
      </c>
      <c r="BF179" s="11">
        <f t="shared" si="339"/>
        <v>0</v>
      </c>
      <c r="BG179" s="11">
        <f t="shared" si="339"/>
        <v>0</v>
      </c>
      <c r="BH179" s="11">
        <f t="shared" si="339"/>
        <v>0</v>
      </c>
      <c r="BI179" s="11">
        <f t="shared" si="339"/>
        <v>0</v>
      </c>
      <c r="BJ179" s="11">
        <f t="shared" si="339"/>
        <v>0</v>
      </c>
      <c r="BK179" s="11">
        <f t="shared" si="339"/>
        <v>0</v>
      </c>
      <c r="BL179" s="11">
        <f t="shared" si="339"/>
        <v>0</v>
      </c>
      <c r="BM179" s="11">
        <f t="shared" si="339"/>
        <v>0</v>
      </c>
      <c r="BN179" s="11">
        <f t="shared" si="339"/>
        <v>0</v>
      </c>
      <c r="BO179" s="11">
        <f t="shared" si="339"/>
        <v>0</v>
      </c>
      <c r="BP179" s="11">
        <f t="shared" si="339"/>
        <v>183737</v>
      </c>
      <c r="BQ179" s="11">
        <f t="shared" si="339"/>
        <v>0</v>
      </c>
      <c r="BR179" s="11">
        <f t="shared" si="339"/>
        <v>0</v>
      </c>
      <c r="BS179" s="11">
        <f t="shared" si="339"/>
        <v>0</v>
      </c>
      <c r="BT179" s="11">
        <f t="shared" ref="BT179:CX179" si="340">SUM(BT180:BT181)</f>
        <v>0</v>
      </c>
      <c r="BU179" s="11">
        <f t="shared" si="340"/>
        <v>0</v>
      </c>
      <c r="BV179" s="11">
        <f t="shared" si="340"/>
        <v>0</v>
      </c>
      <c r="BW179" s="11">
        <f t="shared" si="340"/>
        <v>0</v>
      </c>
      <c r="BX179" s="11">
        <f t="shared" si="340"/>
        <v>0</v>
      </c>
      <c r="BY179" s="11">
        <f t="shared" si="340"/>
        <v>0</v>
      </c>
      <c r="BZ179" s="11">
        <f t="shared" si="340"/>
        <v>0</v>
      </c>
      <c r="CA179" s="11">
        <f t="shared" si="340"/>
        <v>183737</v>
      </c>
      <c r="CB179" s="11">
        <f t="shared" si="340"/>
        <v>57973</v>
      </c>
      <c r="CC179" s="11">
        <f t="shared" si="340"/>
        <v>57973</v>
      </c>
      <c r="CD179" s="11">
        <f t="shared" si="340"/>
        <v>57973</v>
      </c>
      <c r="CE179" s="11">
        <f t="shared" si="340"/>
        <v>0</v>
      </c>
      <c r="CF179" s="11">
        <f t="shared" si="340"/>
        <v>57973</v>
      </c>
      <c r="CG179" s="11">
        <f t="shared" si="340"/>
        <v>0</v>
      </c>
      <c r="CH179" s="11">
        <f t="shared" si="340"/>
        <v>0</v>
      </c>
      <c r="CI179" s="11">
        <f t="shared" si="340"/>
        <v>0</v>
      </c>
      <c r="CJ179" s="11">
        <f t="shared" si="340"/>
        <v>0</v>
      </c>
      <c r="CK179" s="11">
        <f t="shared" si="340"/>
        <v>0</v>
      </c>
      <c r="CL179" s="11">
        <f t="shared" si="340"/>
        <v>0</v>
      </c>
      <c r="CM179" s="11">
        <f t="shared" si="340"/>
        <v>0</v>
      </c>
      <c r="CN179" s="11">
        <f t="shared" si="340"/>
        <v>0</v>
      </c>
      <c r="CO179" s="11">
        <f t="shared" si="340"/>
        <v>0</v>
      </c>
      <c r="CP179" s="11"/>
      <c r="CQ179" s="11">
        <f t="shared" si="340"/>
        <v>0</v>
      </c>
      <c r="CR179" s="11">
        <f t="shared" si="340"/>
        <v>0</v>
      </c>
      <c r="CS179" s="11">
        <f t="shared" si="340"/>
        <v>0</v>
      </c>
      <c r="CT179" s="11">
        <f t="shared" si="340"/>
        <v>0</v>
      </c>
      <c r="CU179" s="11">
        <f t="shared" si="340"/>
        <v>0</v>
      </c>
      <c r="CV179" s="11">
        <f t="shared" si="340"/>
        <v>0</v>
      </c>
      <c r="CW179" s="11">
        <f t="shared" si="340"/>
        <v>0</v>
      </c>
      <c r="CX179" s="12">
        <f t="shared" si="340"/>
        <v>0</v>
      </c>
    </row>
    <row r="180" spans="1:102" ht="15.75" x14ac:dyDescent="0.25">
      <c r="A180" s="13"/>
      <c r="B180" s="14" t="s">
        <v>1</v>
      </c>
      <c r="C180" s="14" t="s">
        <v>99</v>
      </c>
      <c r="D180" s="15" t="s">
        <v>324</v>
      </c>
      <c r="E180" s="10">
        <f>SUM(F180+CB180+CU180)</f>
        <v>5999081</v>
      </c>
      <c r="F180" s="11">
        <f>SUM(G180+BC180)</f>
        <v>5941108</v>
      </c>
      <c r="G180" s="11">
        <f>SUM(H180+I180+J180+Q180+T180+U180+V180+AF180+AE180)</f>
        <v>5757371</v>
      </c>
      <c r="H180" s="16">
        <f>3425414+182689</f>
        <v>3608103</v>
      </c>
      <c r="I180" s="16">
        <f>794609+45672</f>
        <v>840281</v>
      </c>
      <c r="J180" s="11">
        <f t="shared" si="279"/>
        <v>938435</v>
      </c>
      <c r="K180" s="16">
        <v>108835</v>
      </c>
      <c r="L180" s="16">
        <v>193450</v>
      </c>
      <c r="M180" s="16">
        <v>478209</v>
      </c>
      <c r="N180" s="16"/>
      <c r="O180" s="16">
        <v>95109</v>
      </c>
      <c r="P180" s="16">
        <v>62832</v>
      </c>
      <c r="Q180" s="11">
        <f t="shared" si="280"/>
        <v>1022</v>
      </c>
      <c r="R180" s="11">
        <v>0</v>
      </c>
      <c r="S180" s="11">
        <v>1022</v>
      </c>
      <c r="T180" s="11">
        <v>0</v>
      </c>
      <c r="U180" s="16">
        <v>14736</v>
      </c>
      <c r="V180" s="11">
        <f t="shared" ref="V180:V181" si="341">SUM(W180:AD180)</f>
        <v>192505</v>
      </c>
      <c r="W180" s="16">
        <v>19620</v>
      </c>
      <c r="X180" s="16"/>
      <c r="Y180" s="16">
        <v>69188</v>
      </c>
      <c r="Z180" s="16">
        <v>62824</v>
      </c>
      <c r="AA180" s="16">
        <v>6522</v>
      </c>
      <c r="AB180" s="16"/>
      <c r="AC180" s="16"/>
      <c r="AD180" s="16">
        <v>34351</v>
      </c>
      <c r="AE180" s="11"/>
      <c r="AF180" s="11">
        <f>SUM(AG180:BB180)</f>
        <v>162289</v>
      </c>
      <c r="AG180" s="11">
        <v>0</v>
      </c>
      <c r="AH180" s="11"/>
      <c r="AI180" s="11">
        <v>625</v>
      </c>
      <c r="AJ180" s="11">
        <v>16204</v>
      </c>
      <c r="AK180" s="11">
        <v>0</v>
      </c>
      <c r="AL180" s="11">
        <v>1591</v>
      </c>
      <c r="AM180" s="11">
        <v>0</v>
      </c>
      <c r="AN180" s="11">
        <v>34254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6">
        <v>44512</v>
      </c>
      <c r="AU180" s="16">
        <v>14400</v>
      </c>
      <c r="AV180" s="11"/>
      <c r="AW180" s="16">
        <v>18178</v>
      </c>
      <c r="AX180" s="11">
        <v>0</v>
      </c>
      <c r="AY180" s="11">
        <v>0</v>
      </c>
      <c r="AZ180" s="11">
        <v>0</v>
      </c>
      <c r="BA180" s="11">
        <v>0</v>
      </c>
      <c r="BB180" s="11">
        <v>32525</v>
      </c>
      <c r="BC180" s="11">
        <f>SUM(BD180+BH180+BL180+BN180+BP180)</f>
        <v>183737</v>
      </c>
      <c r="BD180" s="11">
        <f>SUM(BE180:BG180)</f>
        <v>0</v>
      </c>
      <c r="BE180" s="11">
        <v>0</v>
      </c>
      <c r="BF180" s="11">
        <v>0</v>
      </c>
      <c r="BG180" s="11">
        <v>0</v>
      </c>
      <c r="BH180" s="11">
        <f t="shared" si="282"/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f t="shared" si="283"/>
        <v>0</v>
      </c>
      <c r="BO180" s="11">
        <v>0</v>
      </c>
      <c r="BP180" s="11">
        <f t="shared" si="284"/>
        <v>183737</v>
      </c>
      <c r="BQ180" s="11">
        <v>0</v>
      </c>
      <c r="BR180" s="11">
        <v>0</v>
      </c>
      <c r="BS180" s="11">
        <v>0</v>
      </c>
      <c r="BT180" s="11">
        <v>0</v>
      </c>
      <c r="BU180" s="11">
        <v>0</v>
      </c>
      <c r="BV180" s="11">
        <v>0</v>
      </c>
      <c r="BW180" s="11">
        <v>0</v>
      </c>
      <c r="BX180" s="11">
        <v>0</v>
      </c>
      <c r="BY180" s="11">
        <v>0</v>
      </c>
      <c r="BZ180" s="11">
        <v>0</v>
      </c>
      <c r="CA180" s="16">
        <v>183737</v>
      </c>
      <c r="CB180" s="11">
        <f>SUM(CC180+CT180)</f>
        <v>57973</v>
      </c>
      <c r="CC180" s="11">
        <f>SUM(CD180+CG180+CL180)</f>
        <v>57973</v>
      </c>
      <c r="CD180" s="11">
        <f t="shared" si="285"/>
        <v>57973</v>
      </c>
      <c r="CE180" s="11">
        <v>0</v>
      </c>
      <c r="CF180" s="11">
        <v>57973</v>
      </c>
      <c r="CG180" s="11">
        <f>SUM(CH180:CK180)</f>
        <v>0</v>
      </c>
      <c r="CH180" s="11">
        <v>0</v>
      </c>
      <c r="CI180" s="11">
        <v>0</v>
      </c>
      <c r="CJ180" s="11">
        <v>0</v>
      </c>
      <c r="CK180" s="11">
        <v>0</v>
      </c>
      <c r="CL180" s="11">
        <f>SUM(CM180:CQ180)</f>
        <v>0</v>
      </c>
      <c r="CM180" s="11">
        <v>0</v>
      </c>
      <c r="CN180" s="11">
        <v>0</v>
      </c>
      <c r="CO180" s="11">
        <v>0</v>
      </c>
      <c r="CP180" s="11"/>
      <c r="CQ180" s="11">
        <v>0</v>
      </c>
      <c r="CR180" s="11">
        <v>0</v>
      </c>
      <c r="CS180" s="11">
        <v>0</v>
      </c>
      <c r="CT180" s="11">
        <v>0</v>
      </c>
      <c r="CU180" s="11">
        <f t="shared" si="286"/>
        <v>0</v>
      </c>
      <c r="CV180" s="11">
        <f t="shared" si="287"/>
        <v>0</v>
      </c>
      <c r="CW180" s="11">
        <v>0</v>
      </c>
      <c r="CX180" s="12">
        <v>0</v>
      </c>
    </row>
    <row r="181" spans="1:102" ht="15.75" x14ac:dyDescent="0.25">
      <c r="A181" s="13"/>
      <c r="B181" s="14" t="s">
        <v>1</v>
      </c>
      <c r="C181" s="14" t="s">
        <v>101</v>
      </c>
      <c r="D181" s="15" t="s">
        <v>325</v>
      </c>
      <c r="E181" s="10">
        <f>SUM(F181+CB181+CU181)</f>
        <v>24820491</v>
      </c>
      <c r="F181" s="11">
        <f>SUM(G181+BC181)</f>
        <v>24820491</v>
      </c>
      <c r="G181" s="11">
        <f>SUM(H181+I181+J181+Q181+T181+U181+V181+AF181+AE181)</f>
        <v>24820491</v>
      </c>
      <c r="H181" s="16">
        <f>14374891+921360</f>
        <v>15296251</v>
      </c>
      <c r="I181" s="16">
        <f>3399686+234904</f>
        <v>3634590</v>
      </c>
      <c r="J181" s="11">
        <f t="shared" si="279"/>
        <v>5035543</v>
      </c>
      <c r="K181" s="16">
        <v>4681330</v>
      </c>
      <c r="L181" s="16"/>
      <c r="M181" s="16"/>
      <c r="N181" s="16"/>
      <c r="O181" s="16">
        <v>354213</v>
      </c>
      <c r="P181" s="16"/>
      <c r="Q181" s="11">
        <f t="shared" si="280"/>
        <v>0</v>
      </c>
      <c r="R181" s="11">
        <v>0</v>
      </c>
      <c r="S181" s="11">
        <v>0</v>
      </c>
      <c r="T181" s="11">
        <v>0</v>
      </c>
      <c r="U181" s="16">
        <v>201878</v>
      </c>
      <c r="V181" s="11">
        <f t="shared" si="341"/>
        <v>608920</v>
      </c>
      <c r="W181" s="16"/>
      <c r="X181" s="16">
        <v>514434</v>
      </c>
      <c r="Y181" s="16">
        <v>51822</v>
      </c>
      <c r="Z181" s="16">
        <v>38647</v>
      </c>
      <c r="AA181" s="16">
        <v>444</v>
      </c>
      <c r="AB181" s="16"/>
      <c r="AC181" s="16"/>
      <c r="AD181" s="16">
        <v>3573</v>
      </c>
      <c r="AE181" s="11"/>
      <c r="AF181" s="11">
        <f>SUM(AG181:BB181)</f>
        <v>43309</v>
      </c>
      <c r="AG181" s="11">
        <v>0</v>
      </c>
      <c r="AH181" s="11">
        <v>0</v>
      </c>
      <c r="AI181" s="11">
        <v>0</v>
      </c>
      <c r="AJ181" s="11"/>
      <c r="AK181" s="11">
        <v>0</v>
      </c>
      <c r="AL181" s="11"/>
      <c r="AM181" s="11">
        <v>0</v>
      </c>
      <c r="AN181" s="11">
        <v>43309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/>
      <c r="AW181" s="11"/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f>SUM(BD181+BH181+BL181+BN181+BP181)</f>
        <v>0</v>
      </c>
      <c r="BD181" s="11">
        <f>SUM(BE181:BG181)</f>
        <v>0</v>
      </c>
      <c r="BE181" s="11">
        <v>0</v>
      </c>
      <c r="BF181" s="11">
        <v>0</v>
      </c>
      <c r="BG181" s="11">
        <v>0</v>
      </c>
      <c r="BH181" s="11">
        <f t="shared" si="282"/>
        <v>0</v>
      </c>
      <c r="BI181" s="11">
        <v>0</v>
      </c>
      <c r="BJ181" s="11">
        <v>0</v>
      </c>
      <c r="BK181" s="11">
        <v>0</v>
      </c>
      <c r="BL181" s="11">
        <v>0</v>
      </c>
      <c r="BM181" s="11">
        <v>0</v>
      </c>
      <c r="BN181" s="11">
        <f t="shared" si="283"/>
        <v>0</v>
      </c>
      <c r="BO181" s="11">
        <v>0</v>
      </c>
      <c r="BP181" s="11">
        <f t="shared" si="284"/>
        <v>0</v>
      </c>
      <c r="BQ181" s="11">
        <v>0</v>
      </c>
      <c r="BR181" s="11">
        <v>0</v>
      </c>
      <c r="BS181" s="11">
        <v>0</v>
      </c>
      <c r="BT181" s="11">
        <v>0</v>
      </c>
      <c r="BU181" s="11">
        <v>0</v>
      </c>
      <c r="BV181" s="11">
        <v>0</v>
      </c>
      <c r="BW181" s="11">
        <v>0</v>
      </c>
      <c r="BX181" s="11">
        <v>0</v>
      </c>
      <c r="BY181" s="11">
        <v>0</v>
      </c>
      <c r="BZ181" s="11">
        <v>0</v>
      </c>
      <c r="CA181" s="11">
        <v>0</v>
      </c>
      <c r="CB181" s="11">
        <f>SUM(CC181+CT181)</f>
        <v>0</v>
      </c>
      <c r="CC181" s="11">
        <f>SUM(CD181+CG181+CL181)</f>
        <v>0</v>
      </c>
      <c r="CD181" s="11">
        <f t="shared" si="285"/>
        <v>0</v>
      </c>
      <c r="CE181" s="11">
        <v>0</v>
      </c>
      <c r="CF181" s="11"/>
      <c r="CG181" s="11">
        <f>SUM(CH181:CK181)</f>
        <v>0</v>
      </c>
      <c r="CH181" s="11">
        <v>0</v>
      </c>
      <c r="CI181" s="11">
        <v>0</v>
      </c>
      <c r="CJ181" s="11">
        <v>0</v>
      </c>
      <c r="CK181" s="11">
        <v>0</v>
      </c>
      <c r="CL181" s="11">
        <f>SUM(CM181:CQ181)</f>
        <v>0</v>
      </c>
      <c r="CM181" s="11">
        <v>0</v>
      </c>
      <c r="CN181" s="11">
        <v>0</v>
      </c>
      <c r="CO181" s="11">
        <v>0</v>
      </c>
      <c r="CP181" s="11"/>
      <c r="CQ181" s="11">
        <v>0</v>
      </c>
      <c r="CR181" s="11">
        <v>0</v>
      </c>
      <c r="CS181" s="11">
        <v>0</v>
      </c>
      <c r="CT181" s="11">
        <v>0</v>
      </c>
      <c r="CU181" s="11">
        <f t="shared" si="286"/>
        <v>0</v>
      </c>
      <c r="CV181" s="11">
        <f t="shared" si="287"/>
        <v>0</v>
      </c>
      <c r="CW181" s="11">
        <v>0</v>
      </c>
      <c r="CX181" s="12">
        <v>0</v>
      </c>
    </row>
    <row r="182" spans="1:102" ht="31.5" x14ac:dyDescent="0.25">
      <c r="A182" s="7"/>
      <c r="B182" s="8" t="s">
        <v>326</v>
      </c>
      <c r="C182" s="8" t="s">
        <v>1</v>
      </c>
      <c r="D182" s="9" t="s">
        <v>327</v>
      </c>
      <c r="E182" s="10">
        <f>SUM(E183)</f>
        <v>27283746</v>
      </c>
      <c r="F182" s="11">
        <f t="shared" ref="F182:BV182" si="342">SUM(F183)</f>
        <v>27283746</v>
      </c>
      <c r="G182" s="11">
        <f t="shared" si="342"/>
        <v>27283746</v>
      </c>
      <c r="H182" s="11">
        <f t="shared" si="342"/>
        <v>0</v>
      </c>
      <c r="I182" s="11">
        <f t="shared" si="342"/>
        <v>0</v>
      </c>
      <c r="J182" s="11">
        <f t="shared" si="342"/>
        <v>22653568</v>
      </c>
      <c r="K182" s="11">
        <f t="shared" si="342"/>
        <v>22653568</v>
      </c>
      <c r="L182" s="11">
        <f t="shared" si="342"/>
        <v>0</v>
      </c>
      <c r="M182" s="11">
        <f t="shared" si="342"/>
        <v>0</v>
      </c>
      <c r="N182" s="11">
        <f t="shared" si="342"/>
        <v>0</v>
      </c>
      <c r="O182" s="11">
        <f t="shared" si="342"/>
        <v>0</v>
      </c>
      <c r="P182" s="11">
        <f t="shared" si="342"/>
        <v>0</v>
      </c>
      <c r="Q182" s="11">
        <f t="shared" si="342"/>
        <v>0</v>
      </c>
      <c r="R182" s="11">
        <f t="shared" si="342"/>
        <v>0</v>
      </c>
      <c r="S182" s="11">
        <f t="shared" si="342"/>
        <v>0</v>
      </c>
      <c r="T182" s="11">
        <f t="shared" si="342"/>
        <v>0</v>
      </c>
      <c r="U182" s="11">
        <f t="shared" si="342"/>
        <v>0</v>
      </c>
      <c r="V182" s="11">
        <f t="shared" si="342"/>
        <v>0</v>
      </c>
      <c r="W182" s="11">
        <f t="shared" si="342"/>
        <v>0</v>
      </c>
      <c r="X182" s="11">
        <f t="shared" si="342"/>
        <v>0</v>
      </c>
      <c r="Y182" s="11">
        <f t="shared" si="342"/>
        <v>0</v>
      </c>
      <c r="Z182" s="11">
        <f t="shared" si="342"/>
        <v>0</v>
      </c>
      <c r="AA182" s="11">
        <f t="shared" si="342"/>
        <v>0</v>
      </c>
      <c r="AB182" s="11">
        <f t="shared" si="342"/>
        <v>0</v>
      </c>
      <c r="AC182" s="11">
        <f t="shared" si="342"/>
        <v>0</v>
      </c>
      <c r="AD182" s="11">
        <f t="shared" si="342"/>
        <v>0</v>
      </c>
      <c r="AE182" s="11">
        <f t="shared" si="342"/>
        <v>0</v>
      </c>
      <c r="AF182" s="11">
        <f t="shared" si="342"/>
        <v>4630178</v>
      </c>
      <c r="AG182" s="11">
        <f t="shared" si="342"/>
        <v>0</v>
      </c>
      <c r="AH182" s="11">
        <f t="shared" si="342"/>
        <v>0</v>
      </c>
      <c r="AI182" s="11">
        <f t="shared" si="342"/>
        <v>0</v>
      </c>
      <c r="AJ182" s="11">
        <f t="shared" si="342"/>
        <v>0</v>
      </c>
      <c r="AK182" s="11">
        <f t="shared" si="342"/>
        <v>0</v>
      </c>
      <c r="AL182" s="11">
        <f t="shared" si="342"/>
        <v>0</v>
      </c>
      <c r="AM182" s="11">
        <f t="shared" si="342"/>
        <v>0</v>
      </c>
      <c r="AN182" s="11">
        <f t="shared" si="342"/>
        <v>0</v>
      </c>
      <c r="AO182" s="11">
        <f t="shared" si="342"/>
        <v>0</v>
      </c>
      <c r="AP182" s="11">
        <f t="shared" si="342"/>
        <v>0</v>
      </c>
      <c r="AQ182" s="11">
        <f t="shared" si="342"/>
        <v>0</v>
      </c>
      <c r="AR182" s="11">
        <f t="shared" si="342"/>
        <v>0</v>
      </c>
      <c r="AS182" s="11">
        <f t="shared" si="342"/>
        <v>0</v>
      </c>
      <c r="AT182" s="11">
        <f t="shared" si="342"/>
        <v>0</v>
      </c>
      <c r="AU182" s="11">
        <f t="shared" si="342"/>
        <v>0</v>
      </c>
      <c r="AV182" s="11"/>
      <c r="AW182" s="11"/>
      <c r="AX182" s="11">
        <f t="shared" si="342"/>
        <v>3137918</v>
      </c>
      <c r="AY182" s="11">
        <f t="shared" si="342"/>
        <v>0</v>
      </c>
      <c r="AZ182" s="11">
        <f t="shared" si="342"/>
        <v>0</v>
      </c>
      <c r="BA182" s="11">
        <f t="shared" si="342"/>
        <v>0</v>
      </c>
      <c r="BB182" s="11">
        <f t="shared" si="342"/>
        <v>1492260</v>
      </c>
      <c r="BC182" s="11">
        <f t="shared" si="342"/>
        <v>0</v>
      </c>
      <c r="BD182" s="11">
        <f t="shared" si="342"/>
        <v>0</v>
      </c>
      <c r="BE182" s="11">
        <f t="shared" si="342"/>
        <v>0</v>
      </c>
      <c r="BF182" s="11">
        <f t="shared" si="342"/>
        <v>0</v>
      </c>
      <c r="BG182" s="11">
        <f t="shared" si="342"/>
        <v>0</v>
      </c>
      <c r="BH182" s="11">
        <f t="shared" si="342"/>
        <v>0</v>
      </c>
      <c r="BI182" s="11">
        <f t="shared" si="342"/>
        <v>0</v>
      </c>
      <c r="BJ182" s="11">
        <f t="shared" si="342"/>
        <v>0</v>
      </c>
      <c r="BK182" s="11">
        <f t="shared" si="342"/>
        <v>0</v>
      </c>
      <c r="BL182" s="11">
        <f t="shared" si="342"/>
        <v>0</v>
      </c>
      <c r="BM182" s="11">
        <f t="shared" si="342"/>
        <v>0</v>
      </c>
      <c r="BN182" s="11">
        <f t="shared" si="342"/>
        <v>0</v>
      </c>
      <c r="BO182" s="11">
        <f t="shared" si="342"/>
        <v>0</v>
      </c>
      <c r="BP182" s="11">
        <f t="shared" si="342"/>
        <v>0</v>
      </c>
      <c r="BQ182" s="11">
        <f t="shared" si="342"/>
        <v>0</v>
      </c>
      <c r="BR182" s="11">
        <f t="shared" si="342"/>
        <v>0</v>
      </c>
      <c r="BS182" s="11">
        <f t="shared" si="342"/>
        <v>0</v>
      </c>
      <c r="BT182" s="11">
        <f t="shared" si="342"/>
        <v>0</v>
      </c>
      <c r="BU182" s="11">
        <f t="shared" si="342"/>
        <v>0</v>
      </c>
      <c r="BV182" s="11">
        <f t="shared" si="342"/>
        <v>0</v>
      </c>
      <c r="BW182" s="11">
        <f t="shared" ref="BW182:CX182" si="343">SUM(BW183)</f>
        <v>0</v>
      </c>
      <c r="BX182" s="11">
        <f t="shared" si="343"/>
        <v>0</v>
      </c>
      <c r="BY182" s="11">
        <f t="shared" si="343"/>
        <v>0</v>
      </c>
      <c r="BZ182" s="11">
        <f t="shared" si="343"/>
        <v>0</v>
      </c>
      <c r="CA182" s="11">
        <f t="shared" si="343"/>
        <v>0</v>
      </c>
      <c r="CB182" s="11">
        <f t="shared" si="343"/>
        <v>0</v>
      </c>
      <c r="CC182" s="11">
        <f t="shared" si="343"/>
        <v>0</v>
      </c>
      <c r="CD182" s="11">
        <f t="shared" si="343"/>
        <v>0</v>
      </c>
      <c r="CE182" s="11">
        <f t="shared" si="343"/>
        <v>0</v>
      </c>
      <c r="CF182" s="11">
        <f t="shared" si="343"/>
        <v>0</v>
      </c>
      <c r="CG182" s="11">
        <f t="shared" si="343"/>
        <v>0</v>
      </c>
      <c r="CH182" s="11">
        <f t="shared" si="343"/>
        <v>0</v>
      </c>
      <c r="CI182" s="11">
        <f t="shared" si="343"/>
        <v>0</v>
      </c>
      <c r="CJ182" s="11">
        <f t="shared" si="343"/>
        <v>0</v>
      </c>
      <c r="CK182" s="11">
        <f t="shared" si="343"/>
        <v>0</v>
      </c>
      <c r="CL182" s="11">
        <f t="shared" si="343"/>
        <v>0</v>
      </c>
      <c r="CM182" s="11">
        <f t="shared" si="343"/>
        <v>0</v>
      </c>
      <c r="CN182" s="11">
        <f t="shared" si="343"/>
        <v>0</v>
      </c>
      <c r="CO182" s="11">
        <f t="shared" si="343"/>
        <v>0</v>
      </c>
      <c r="CP182" s="11"/>
      <c r="CQ182" s="11">
        <f t="shared" si="343"/>
        <v>0</v>
      </c>
      <c r="CR182" s="11">
        <f t="shared" si="343"/>
        <v>0</v>
      </c>
      <c r="CS182" s="11">
        <f t="shared" si="343"/>
        <v>0</v>
      </c>
      <c r="CT182" s="11">
        <f t="shared" si="343"/>
        <v>0</v>
      </c>
      <c r="CU182" s="11">
        <f t="shared" si="343"/>
        <v>0</v>
      </c>
      <c r="CV182" s="11">
        <f t="shared" si="343"/>
        <v>0</v>
      </c>
      <c r="CW182" s="11">
        <f t="shared" si="343"/>
        <v>0</v>
      </c>
      <c r="CX182" s="12">
        <f t="shared" si="343"/>
        <v>0</v>
      </c>
    </row>
    <row r="183" spans="1:102" ht="31.5" x14ac:dyDescent="0.25">
      <c r="A183" s="13"/>
      <c r="B183" s="14" t="s">
        <v>1</v>
      </c>
      <c r="C183" s="14" t="s">
        <v>101</v>
      </c>
      <c r="D183" s="15" t="s">
        <v>328</v>
      </c>
      <c r="E183" s="10">
        <f>SUM(F183+CB183+CU183)</f>
        <v>27283746</v>
      </c>
      <c r="F183" s="11">
        <f>SUM(G183+BC183)</f>
        <v>27283746</v>
      </c>
      <c r="G183" s="11">
        <f>SUM(H183+I183+J183+Q183+T183+U183+V183+AF183+AE183)</f>
        <v>27283746</v>
      </c>
      <c r="H183" s="11">
        <v>0</v>
      </c>
      <c r="I183" s="11">
        <v>0</v>
      </c>
      <c r="J183" s="11">
        <f t="shared" si="279"/>
        <v>22653568</v>
      </c>
      <c r="K183" s="16">
        <v>22653568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f t="shared" si="280"/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f t="shared" ref="V183" si="344">SUM(W183:AD183)</f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6">
        <v>4630178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/>
      <c r="AW183" s="11"/>
      <c r="AX183" s="11">
        <v>3137918</v>
      </c>
      <c r="AY183" s="11">
        <v>0</v>
      </c>
      <c r="AZ183" s="11">
        <v>0</v>
      </c>
      <c r="BA183" s="11">
        <v>0</v>
      </c>
      <c r="BB183" s="16">
        <v>1492260</v>
      </c>
      <c r="BC183" s="11">
        <f>SUM(BD183+BH183+BL183+BN183+BP183)</f>
        <v>0</v>
      </c>
      <c r="BD183" s="11">
        <f>SUM(BE183:BG183)</f>
        <v>0</v>
      </c>
      <c r="BE183" s="11">
        <v>0</v>
      </c>
      <c r="BF183" s="11">
        <v>0</v>
      </c>
      <c r="BG183" s="11">
        <v>0</v>
      </c>
      <c r="BH183" s="11">
        <f t="shared" si="282"/>
        <v>0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f t="shared" si="283"/>
        <v>0</v>
      </c>
      <c r="BO183" s="11">
        <v>0</v>
      </c>
      <c r="BP183" s="11">
        <f t="shared" si="284"/>
        <v>0</v>
      </c>
      <c r="BQ183" s="11">
        <v>0</v>
      </c>
      <c r="BR183" s="11">
        <v>0</v>
      </c>
      <c r="BS183" s="11">
        <v>0</v>
      </c>
      <c r="BT183" s="11">
        <v>0</v>
      </c>
      <c r="BU183" s="11">
        <v>0</v>
      </c>
      <c r="BV183" s="11">
        <v>0</v>
      </c>
      <c r="BW183" s="11">
        <v>0</v>
      </c>
      <c r="BX183" s="11">
        <v>0</v>
      </c>
      <c r="BY183" s="11">
        <v>0</v>
      </c>
      <c r="BZ183" s="11">
        <v>0</v>
      </c>
      <c r="CA183" s="11">
        <v>0</v>
      </c>
      <c r="CB183" s="11">
        <f>SUM(CC183+CT183)</f>
        <v>0</v>
      </c>
      <c r="CC183" s="11">
        <f>SUM(CD183+CG183+CL183)</f>
        <v>0</v>
      </c>
      <c r="CD183" s="11">
        <f t="shared" si="285"/>
        <v>0</v>
      </c>
      <c r="CE183" s="11">
        <v>0</v>
      </c>
      <c r="CF183" s="11">
        <v>0</v>
      </c>
      <c r="CG183" s="11">
        <f>SUM(CH183:CK183)</f>
        <v>0</v>
      </c>
      <c r="CH183" s="11">
        <v>0</v>
      </c>
      <c r="CI183" s="11">
        <v>0</v>
      </c>
      <c r="CJ183" s="11">
        <v>0</v>
      </c>
      <c r="CK183" s="11">
        <v>0</v>
      </c>
      <c r="CL183" s="11">
        <f>SUM(CM183:CQ183)</f>
        <v>0</v>
      </c>
      <c r="CM183" s="11">
        <v>0</v>
      </c>
      <c r="CN183" s="11">
        <v>0</v>
      </c>
      <c r="CO183" s="11">
        <v>0</v>
      </c>
      <c r="CP183" s="11"/>
      <c r="CQ183" s="11">
        <v>0</v>
      </c>
      <c r="CR183" s="11">
        <v>0</v>
      </c>
      <c r="CS183" s="11">
        <v>0</v>
      </c>
      <c r="CT183" s="11">
        <v>0</v>
      </c>
      <c r="CU183" s="11">
        <f t="shared" si="286"/>
        <v>0</v>
      </c>
      <c r="CV183" s="11">
        <f t="shared" si="287"/>
        <v>0</v>
      </c>
      <c r="CW183" s="11">
        <v>0</v>
      </c>
      <c r="CX183" s="12">
        <v>0</v>
      </c>
    </row>
    <row r="184" spans="1:102" ht="31.5" x14ac:dyDescent="0.25">
      <c r="A184" s="7"/>
      <c r="B184" s="8" t="s">
        <v>329</v>
      </c>
      <c r="C184" s="8" t="s">
        <v>1</v>
      </c>
      <c r="D184" s="9" t="s">
        <v>330</v>
      </c>
      <c r="E184" s="10">
        <f t="shared" ref="E184:AL184" si="345">SUM(E185)</f>
        <v>2323041</v>
      </c>
      <c r="F184" s="11">
        <f t="shared" si="345"/>
        <v>2297345</v>
      </c>
      <c r="G184" s="11">
        <f t="shared" si="345"/>
        <v>2297345</v>
      </c>
      <c r="H184" s="11">
        <f t="shared" si="345"/>
        <v>1694714</v>
      </c>
      <c r="I184" s="11">
        <f t="shared" si="345"/>
        <v>388111</v>
      </c>
      <c r="J184" s="11">
        <f t="shared" si="345"/>
        <v>139553</v>
      </c>
      <c r="K184" s="11">
        <f t="shared" si="345"/>
        <v>0</v>
      </c>
      <c r="L184" s="11">
        <f t="shared" si="345"/>
        <v>0</v>
      </c>
      <c r="M184" s="11">
        <f t="shared" si="345"/>
        <v>0</v>
      </c>
      <c r="N184" s="11">
        <f t="shared" si="345"/>
        <v>0</v>
      </c>
      <c r="O184" s="11">
        <f t="shared" si="345"/>
        <v>132490</v>
      </c>
      <c r="P184" s="11">
        <f t="shared" si="345"/>
        <v>7063</v>
      </c>
      <c r="Q184" s="11">
        <f t="shared" si="345"/>
        <v>0</v>
      </c>
      <c r="R184" s="11">
        <f t="shared" si="345"/>
        <v>0</v>
      </c>
      <c r="S184" s="11">
        <f t="shared" si="345"/>
        <v>0</v>
      </c>
      <c r="T184" s="11">
        <f t="shared" si="345"/>
        <v>0</v>
      </c>
      <c r="U184" s="11">
        <f t="shared" si="345"/>
        <v>54966</v>
      </c>
      <c r="V184" s="11">
        <f t="shared" si="345"/>
        <v>0</v>
      </c>
      <c r="W184" s="11">
        <f t="shared" si="345"/>
        <v>0</v>
      </c>
      <c r="X184" s="11">
        <f t="shared" si="345"/>
        <v>0</v>
      </c>
      <c r="Y184" s="11">
        <f t="shared" si="345"/>
        <v>0</v>
      </c>
      <c r="Z184" s="11">
        <f t="shared" si="345"/>
        <v>0</v>
      </c>
      <c r="AA184" s="11">
        <f t="shared" si="345"/>
        <v>0</v>
      </c>
      <c r="AB184" s="11">
        <f t="shared" si="345"/>
        <v>0</v>
      </c>
      <c r="AC184" s="11">
        <f t="shared" si="345"/>
        <v>0</v>
      </c>
      <c r="AD184" s="11">
        <f t="shared" si="345"/>
        <v>0</v>
      </c>
      <c r="AE184" s="11">
        <f t="shared" si="345"/>
        <v>0</v>
      </c>
      <c r="AF184" s="11">
        <f t="shared" si="345"/>
        <v>20001</v>
      </c>
      <c r="AG184" s="11">
        <f t="shared" si="345"/>
        <v>0</v>
      </c>
      <c r="AH184" s="11">
        <f t="shared" si="345"/>
        <v>0</v>
      </c>
      <c r="AI184" s="11">
        <f t="shared" si="345"/>
        <v>0</v>
      </c>
      <c r="AJ184" s="11">
        <f t="shared" si="345"/>
        <v>0</v>
      </c>
      <c r="AK184" s="11">
        <f t="shared" si="345"/>
        <v>0</v>
      </c>
      <c r="AL184" s="11">
        <f t="shared" si="345"/>
        <v>625</v>
      </c>
      <c r="AM184" s="11">
        <f t="shared" ref="AM184:CX184" si="346">SUM(AM185)</f>
        <v>0</v>
      </c>
      <c r="AN184" s="11">
        <f t="shared" si="346"/>
        <v>4393</v>
      </c>
      <c r="AO184" s="11">
        <f t="shared" si="346"/>
        <v>11983</v>
      </c>
      <c r="AP184" s="11">
        <f t="shared" si="346"/>
        <v>0</v>
      </c>
      <c r="AQ184" s="11">
        <f t="shared" si="346"/>
        <v>0</v>
      </c>
      <c r="AR184" s="11">
        <f t="shared" si="346"/>
        <v>0</v>
      </c>
      <c r="AS184" s="11">
        <f t="shared" si="346"/>
        <v>0</v>
      </c>
      <c r="AT184" s="11">
        <f t="shared" si="346"/>
        <v>0</v>
      </c>
      <c r="AU184" s="11">
        <f t="shared" si="346"/>
        <v>0</v>
      </c>
      <c r="AV184" s="11"/>
      <c r="AW184" s="11"/>
      <c r="AX184" s="11">
        <f t="shared" si="346"/>
        <v>0</v>
      </c>
      <c r="AY184" s="11">
        <f t="shared" si="346"/>
        <v>0</v>
      </c>
      <c r="AZ184" s="11">
        <f t="shared" si="346"/>
        <v>0</v>
      </c>
      <c r="BA184" s="11">
        <f t="shared" si="346"/>
        <v>0</v>
      </c>
      <c r="BB184" s="11">
        <f t="shared" si="346"/>
        <v>3000</v>
      </c>
      <c r="BC184" s="11">
        <f t="shared" si="346"/>
        <v>0</v>
      </c>
      <c r="BD184" s="11">
        <f t="shared" si="346"/>
        <v>0</v>
      </c>
      <c r="BE184" s="11">
        <f t="shared" si="346"/>
        <v>0</v>
      </c>
      <c r="BF184" s="11">
        <f t="shared" si="346"/>
        <v>0</v>
      </c>
      <c r="BG184" s="11">
        <f t="shared" si="346"/>
        <v>0</v>
      </c>
      <c r="BH184" s="11">
        <f t="shared" si="346"/>
        <v>0</v>
      </c>
      <c r="BI184" s="11">
        <f t="shared" si="346"/>
        <v>0</v>
      </c>
      <c r="BJ184" s="11">
        <f t="shared" si="346"/>
        <v>0</v>
      </c>
      <c r="BK184" s="11">
        <f t="shared" si="346"/>
        <v>0</v>
      </c>
      <c r="BL184" s="11">
        <f t="shared" si="346"/>
        <v>0</v>
      </c>
      <c r="BM184" s="11">
        <f t="shared" si="346"/>
        <v>0</v>
      </c>
      <c r="BN184" s="11">
        <f t="shared" si="346"/>
        <v>0</v>
      </c>
      <c r="BO184" s="11">
        <f t="shared" si="346"/>
        <v>0</v>
      </c>
      <c r="BP184" s="11">
        <f t="shared" si="346"/>
        <v>0</v>
      </c>
      <c r="BQ184" s="11">
        <f t="shared" si="346"/>
        <v>0</v>
      </c>
      <c r="BR184" s="11">
        <f t="shared" si="346"/>
        <v>0</v>
      </c>
      <c r="BS184" s="11">
        <f t="shared" si="346"/>
        <v>0</v>
      </c>
      <c r="BT184" s="11">
        <f t="shared" si="346"/>
        <v>0</v>
      </c>
      <c r="BU184" s="11">
        <f t="shared" si="346"/>
        <v>0</v>
      </c>
      <c r="BV184" s="11">
        <f t="shared" si="346"/>
        <v>0</v>
      </c>
      <c r="BW184" s="11">
        <f t="shared" si="346"/>
        <v>0</v>
      </c>
      <c r="BX184" s="11">
        <f t="shared" si="346"/>
        <v>0</v>
      </c>
      <c r="BY184" s="11">
        <f t="shared" si="346"/>
        <v>0</v>
      </c>
      <c r="BZ184" s="11">
        <f t="shared" si="346"/>
        <v>0</v>
      </c>
      <c r="CA184" s="11">
        <f t="shared" si="346"/>
        <v>0</v>
      </c>
      <c r="CB184" s="11">
        <f t="shared" si="346"/>
        <v>25696</v>
      </c>
      <c r="CC184" s="11">
        <f t="shared" si="346"/>
        <v>25696</v>
      </c>
      <c r="CD184" s="11">
        <f t="shared" si="346"/>
        <v>25696</v>
      </c>
      <c r="CE184" s="11">
        <f t="shared" si="346"/>
        <v>0</v>
      </c>
      <c r="CF184" s="11">
        <f t="shared" si="346"/>
        <v>25696</v>
      </c>
      <c r="CG184" s="11">
        <f t="shared" si="346"/>
        <v>0</v>
      </c>
      <c r="CH184" s="11">
        <f t="shared" si="346"/>
        <v>0</v>
      </c>
      <c r="CI184" s="11">
        <f t="shared" si="346"/>
        <v>0</v>
      </c>
      <c r="CJ184" s="11">
        <f t="shared" si="346"/>
        <v>0</v>
      </c>
      <c r="CK184" s="11">
        <f t="shared" si="346"/>
        <v>0</v>
      </c>
      <c r="CL184" s="11">
        <f t="shared" si="346"/>
        <v>0</v>
      </c>
      <c r="CM184" s="11">
        <f t="shared" si="346"/>
        <v>0</v>
      </c>
      <c r="CN184" s="11">
        <f t="shared" si="346"/>
        <v>0</v>
      </c>
      <c r="CO184" s="11">
        <f t="shared" si="346"/>
        <v>0</v>
      </c>
      <c r="CP184" s="11"/>
      <c r="CQ184" s="11">
        <f t="shared" si="346"/>
        <v>0</v>
      </c>
      <c r="CR184" s="11">
        <f t="shared" si="346"/>
        <v>0</v>
      </c>
      <c r="CS184" s="11">
        <f t="shared" si="346"/>
        <v>0</v>
      </c>
      <c r="CT184" s="11">
        <f t="shared" si="346"/>
        <v>0</v>
      </c>
      <c r="CU184" s="11">
        <f t="shared" si="346"/>
        <v>0</v>
      </c>
      <c r="CV184" s="11">
        <f t="shared" si="346"/>
        <v>0</v>
      </c>
      <c r="CW184" s="11">
        <f t="shared" si="346"/>
        <v>0</v>
      </c>
      <c r="CX184" s="12">
        <f t="shared" si="346"/>
        <v>0</v>
      </c>
    </row>
    <row r="185" spans="1:102" ht="31.5" x14ac:dyDescent="0.25">
      <c r="A185" s="13" t="s">
        <v>1</v>
      </c>
      <c r="B185" s="14" t="s">
        <v>1</v>
      </c>
      <c r="C185" s="14" t="s">
        <v>101</v>
      </c>
      <c r="D185" s="15" t="s">
        <v>331</v>
      </c>
      <c r="E185" s="10">
        <f>SUM(F185+CB185+CU185)</f>
        <v>2323041</v>
      </c>
      <c r="F185" s="11">
        <f>SUM(G185+BC185)</f>
        <v>2297345</v>
      </c>
      <c r="G185" s="11">
        <f>SUM(H185+I185+J185+Q185+T185+U185+V185+AF185+AE185)</f>
        <v>2297345</v>
      </c>
      <c r="H185" s="16">
        <f>1608906+85808</f>
        <v>1694714</v>
      </c>
      <c r="I185" s="16">
        <f>366659+21452</f>
        <v>388111</v>
      </c>
      <c r="J185" s="11">
        <f t="shared" si="279"/>
        <v>139553</v>
      </c>
      <c r="K185" s="11">
        <v>0</v>
      </c>
      <c r="L185" s="11"/>
      <c r="M185" s="11">
        <v>0</v>
      </c>
      <c r="N185" s="11">
        <v>0</v>
      </c>
      <c r="O185" s="16">
        <v>132490</v>
      </c>
      <c r="P185" s="16">
        <v>7063</v>
      </c>
      <c r="Q185" s="11">
        <f t="shared" si="280"/>
        <v>0</v>
      </c>
      <c r="R185" s="11">
        <v>0</v>
      </c>
      <c r="S185" s="11">
        <v>0</v>
      </c>
      <c r="T185" s="11">
        <v>0</v>
      </c>
      <c r="U185" s="16">
        <v>54966</v>
      </c>
      <c r="V185" s="11">
        <f t="shared" ref="V185" si="347">SUM(W185:AD185)</f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f>SUM(AG185:BB185)</f>
        <v>20001</v>
      </c>
      <c r="AG185" s="11">
        <v>0</v>
      </c>
      <c r="AH185" s="11">
        <v>0</v>
      </c>
      <c r="AI185" s="11">
        <v>0</v>
      </c>
      <c r="AJ185" s="11"/>
      <c r="AK185" s="11">
        <v>0</v>
      </c>
      <c r="AL185" s="16">
        <v>625</v>
      </c>
      <c r="AM185" s="16"/>
      <c r="AN185" s="16">
        <v>4393</v>
      </c>
      <c r="AO185" s="16">
        <v>11983</v>
      </c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1">
        <v>0</v>
      </c>
      <c r="BA185" s="11">
        <v>0</v>
      </c>
      <c r="BB185" s="16">
        <v>3000</v>
      </c>
      <c r="BC185" s="11">
        <f>SUM(BD185+BH185+BL185+BN185+BP185)</f>
        <v>0</v>
      </c>
      <c r="BD185" s="11">
        <f>SUM(BE185:BG185)</f>
        <v>0</v>
      </c>
      <c r="BE185" s="11">
        <v>0</v>
      </c>
      <c r="BF185" s="11">
        <v>0</v>
      </c>
      <c r="BG185" s="11">
        <v>0</v>
      </c>
      <c r="BH185" s="11">
        <f t="shared" si="282"/>
        <v>0</v>
      </c>
      <c r="BI185" s="11">
        <v>0</v>
      </c>
      <c r="BJ185" s="11">
        <v>0</v>
      </c>
      <c r="BK185" s="11">
        <v>0</v>
      </c>
      <c r="BL185" s="11">
        <v>0</v>
      </c>
      <c r="BM185" s="11">
        <v>0</v>
      </c>
      <c r="BN185" s="11">
        <f t="shared" si="283"/>
        <v>0</v>
      </c>
      <c r="BO185" s="11">
        <v>0</v>
      </c>
      <c r="BP185" s="11">
        <f t="shared" si="284"/>
        <v>0</v>
      </c>
      <c r="BQ185" s="11">
        <v>0</v>
      </c>
      <c r="BR185" s="11">
        <v>0</v>
      </c>
      <c r="BS185" s="11">
        <v>0</v>
      </c>
      <c r="BT185" s="11">
        <v>0</v>
      </c>
      <c r="BU185" s="11">
        <v>0</v>
      </c>
      <c r="BV185" s="11">
        <v>0</v>
      </c>
      <c r="BW185" s="11">
        <v>0</v>
      </c>
      <c r="BX185" s="11">
        <v>0</v>
      </c>
      <c r="BY185" s="11">
        <v>0</v>
      </c>
      <c r="BZ185" s="11">
        <v>0</v>
      </c>
      <c r="CA185" s="11">
        <v>0</v>
      </c>
      <c r="CB185" s="11">
        <f>SUM(CC185+CT185)</f>
        <v>25696</v>
      </c>
      <c r="CC185" s="11">
        <f>SUM(CD185+CG185+CL185)</f>
        <v>25696</v>
      </c>
      <c r="CD185" s="11">
        <f t="shared" si="285"/>
        <v>25696</v>
      </c>
      <c r="CE185" s="11">
        <v>0</v>
      </c>
      <c r="CF185" s="16">
        <v>25696</v>
      </c>
      <c r="CG185" s="11">
        <f>SUM(CH185:CK185)</f>
        <v>0</v>
      </c>
      <c r="CH185" s="11">
        <v>0</v>
      </c>
      <c r="CI185" s="11">
        <v>0</v>
      </c>
      <c r="CJ185" s="11">
        <v>0</v>
      </c>
      <c r="CK185" s="11">
        <v>0</v>
      </c>
      <c r="CL185" s="11">
        <f>SUM(CM185:CQ185)</f>
        <v>0</v>
      </c>
      <c r="CM185" s="11">
        <v>0</v>
      </c>
      <c r="CN185" s="11">
        <v>0</v>
      </c>
      <c r="CO185" s="11">
        <v>0</v>
      </c>
      <c r="CP185" s="11"/>
      <c r="CQ185" s="11">
        <v>0</v>
      </c>
      <c r="CR185" s="11">
        <v>0</v>
      </c>
      <c r="CS185" s="11">
        <v>0</v>
      </c>
      <c r="CT185" s="11">
        <v>0</v>
      </c>
      <c r="CU185" s="11">
        <f t="shared" si="286"/>
        <v>0</v>
      </c>
      <c r="CV185" s="11">
        <f t="shared" si="287"/>
        <v>0</v>
      </c>
      <c r="CW185" s="11">
        <v>0</v>
      </c>
      <c r="CX185" s="12">
        <v>0</v>
      </c>
    </row>
    <row r="186" spans="1:102" ht="15.75" x14ac:dyDescent="0.25">
      <c r="A186" s="18" t="s">
        <v>332</v>
      </c>
      <c r="B186" s="19" t="s">
        <v>1</v>
      </c>
      <c r="C186" s="19" t="s">
        <v>1</v>
      </c>
      <c r="D186" s="20" t="s">
        <v>333</v>
      </c>
      <c r="E186" s="21">
        <f t="shared" ref="E186:BP186" si="348">SUM(E187+E188+E189+E193+E195+E197+E199+E201+E210)</f>
        <v>590878190</v>
      </c>
      <c r="F186" s="22">
        <f t="shared" si="348"/>
        <v>589958076</v>
      </c>
      <c r="G186" s="22">
        <f t="shared" si="348"/>
        <v>191402963</v>
      </c>
      <c r="H186" s="22">
        <f t="shared" si="348"/>
        <v>16765307</v>
      </c>
      <c r="I186" s="22">
        <f t="shared" si="348"/>
        <v>3676817</v>
      </c>
      <c r="J186" s="22">
        <f t="shared" si="348"/>
        <v>7861436</v>
      </c>
      <c r="K186" s="22">
        <f t="shared" si="348"/>
        <v>877627</v>
      </c>
      <c r="L186" s="22">
        <f t="shared" si="348"/>
        <v>1490914</v>
      </c>
      <c r="M186" s="22">
        <f t="shared" si="348"/>
        <v>4513206</v>
      </c>
      <c r="N186" s="22">
        <f t="shared" si="348"/>
        <v>0</v>
      </c>
      <c r="O186" s="22">
        <f t="shared" si="348"/>
        <v>913402</v>
      </c>
      <c r="P186" s="22">
        <f t="shared" si="348"/>
        <v>66287</v>
      </c>
      <c r="Q186" s="22">
        <f t="shared" si="348"/>
        <v>0</v>
      </c>
      <c r="R186" s="22">
        <f t="shared" si="348"/>
        <v>0</v>
      </c>
      <c r="S186" s="22">
        <f t="shared" si="348"/>
        <v>0</v>
      </c>
      <c r="T186" s="22">
        <f t="shared" si="348"/>
        <v>0</v>
      </c>
      <c r="U186" s="22">
        <f t="shared" si="348"/>
        <v>164900</v>
      </c>
      <c r="V186" s="22">
        <f t="shared" si="348"/>
        <v>161612846</v>
      </c>
      <c r="W186" s="22">
        <f t="shared" si="348"/>
        <v>67118</v>
      </c>
      <c r="X186" s="22">
        <f t="shared" si="348"/>
        <v>828849</v>
      </c>
      <c r="Y186" s="22">
        <f t="shared" si="348"/>
        <v>391880</v>
      </c>
      <c r="Z186" s="22">
        <f t="shared" si="348"/>
        <v>834161</v>
      </c>
      <c r="AA186" s="22">
        <f t="shared" si="348"/>
        <v>68943</v>
      </c>
      <c r="AB186" s="22">
        <f t="shared" si="348"/>
        <v>0</v>
      </c>
      <c r="AC186" s="22">
        <f t="shared" si="348"/>
        <v>159395606</v>
      </c>
      <c r="AD186" s="22">
        <f t="shared" si="348"/>
        <v>26289</v>
      </c>
      <c r="AE186" s="22">
        <f t="shared" si="348"/>
        <v>0</v>
      </c>
      <c r="AF186" s="22">
        <f t="shared" si="348"/>
        <v>1321657</v>
      </c>
      <c r="AG186" s="22">
        <f t="shared" si="348"/>
        <v>0</v>
      </c>
      <c r="AH186" s="22">
        <f t="shared" si="348"/>
        <v>0</v>
      </c>
      <c r="AI186" s="22">
        <f t="shared" si="348"/>
        <v>0</v>
      </c>
      <c r="AJ186" s="22">
        <f t="shared" si="348"/>
        <v>94184</v>
      </c>
      <c r="AK186" s="22">
        <f t="shared" si="348"/>
        <v>0</v>
      </c>
      <c r="AL186" s="22">
        <f t="shared" si="348"/>
        <v>6364</v>
      </c>
      <c r="AM186" s="22">
        <f t="shared" si="348"/>
        <v>0</v>
      </c>
      <c r="AN186" s="22">
        <f t="shared" si="348"/>
        <v>152318</v>
      </c>
      <c r="AO186" s="22">
        <f t="shared" si="348"/>
        <v>0</v>
      </c>
      <c r="AP186" s="22">
        <f t="shared" si="348"/>
        <v>0</v>
      </c>
      <c r="AQ186" s="22">
        <f t="shared" si="348"/>
        <v>260</v>
      </c>
      <c r="AR186" s="22">
        <f t="shared" si="348"/>
        <v>0</v>
      </c>
      <c r="AS186" s="22">
        <f t="shared" si="348"/>
        <v>0</v>
      </c>
      <c r="AT186" s="22">
        <f t="shared" si="348"/>
        <v>118457</v>
      </c>
      <c r="AU186" s="22">
        <f t="shared" si="348"/>
        <v>145000</v>
      </c>
      <c r="AV186" s="22"/>
      <c r="AW186" s="22"/>
      <c r="AX186" s="22">
        <f t="shared" si="348"/>
        <v>47595</v>
      </c>
      <c r="AY186" s="22">
        <f t="shared" si="348"/>
        <v>23367</v>
      </c>
      <c r="AZ186" s="22">
        <f t="shared" si="348"/>
        <v>0</v>
      </c>
      <c r="BA186" s="22">
        <f t="shared" si="348"/>
        <v>0</v>
      </c>
      <c r="BB186" s="22">
        <f t="shared" si="348"/>
        <v>734112</v>
      </c>
      <c r="BC186" s="22">
        <f t="shared" si="348"/>
        <v>398555113</v>
      </c>
      <c r="BD186" s="22">
        <f t="shared" si="348"/>
        <v>0</v>
      </c>
      <c r="BE186" s="22">
        <f t="shared" si="348"/>
        <v>0</v>
      </c>
      <c r="BF186" s="22">
        <f t="shared" si="348"/>
        <v>0</v>
      </c>
      <c r="BG186" s="22">
        <f t="shared" si="348"/>
        <v>0</v>
      </c>
      <c r="BH186" s="22">
        <f t="shared" si="348"/>
        <v>0</v>
      </c>
      <c r="BI186" s="22">
        <f t="shared" si="348"/>
        <v>0</v>
      </c>
      <c r="BJ186" s="22">
        <f t="shared" si="348"/>
        <v>0</v>
      </c>
      <c r="BK186" s="22">
        <f t="shared" si="348"/>
        <v>0</v>
      </c>
      <c r="BL186" s="22">
        <f t="shared" si="348"/>
        <v>0</v>
      </c>
      <c r="BM186" s="22">
        <f t="shared" si="348"/>
        <v>0</v>
      </c>
      <c r="BN186" s="22">
        <f t="shared" si="348"/>
        <v>0</v>
      </c>
      <c r="BO186" s="22">
        <f t="shared" si="348"/>
        <v>0</v>
      </c>
      <c r="BP186" s="22">
        <f t="shared" si="348"/>
        <v>398555113</v>
      </c>
      <c r="BQ186" s="22">
        <f t="shared" ref="BQ186:CX186" si="349">SUM(BQ187+BQ188+BQ189+BQ193+BQ195+BQ197+BQ199+BQ201+BQ210)</f>
        <v>57160403</v>
      </c>
      <c r="BR186" s="22">
        <f t="shared" si="349"/>
        <v>4586664</v>
      </c>
      <c r="BS186" s="22">
        <f t="shared" si="349"/>
        <v>0</v>
      </c>
      <c r="BT186" s="22">
        <f t="shared" si="349"/>
        <v>17279783</v>
      </c>
      <c r="BU186" s="22">
        <f t="shared" si="349"/>
        <v>100000</v>
      </c>
      <c r="BV186" s="22">
        <f t="shared" si="349"/>
        <v>0</v>
      </c>
      <c r="BW186" s="22">
        <f t="shared" si="349"/>
        <v>168818987</v>
      </c>
      <c r="BX186" s="22">
        <f t="shared" si="349"/>
        <v>0</v>
      </c>
      <c r="BY186" s="22">
        <f t="shared" si="349"/>
        <v>339880</v>
      </c>
      <c r="BZ186" s="22">
        <f t="shared" si="349"/>
        <v>141614616</v>
      </c>
      <c r="CA186" s="22">
        <f t="shared" si="349"/>
        <v>8654780</v>
      </c>
      <c r="CB186" s="22">
        <f t="shared" si="349"/>
        <v>920114</v>
      </c>
      <c r="CC186" s="22">
        <f t="shared" si="349"/>
        <v>920114</v>
      </c>
      <c r="CD186" s="22">
        <f t="shared" si="349"/>
        <v>300114</v>
      </c>
      <c r="CE186" s="22">
        <f t="shared" si="349"/>
        <v>0</v>
      </c>
      <c r="CF186" s="22">
        <f t="shared" si="349"/>
        <v>300114</v>
      </c>
      <c r="CG186" s="22">
        <f t="shared" si="349"/>
        <v>0</v>
      </c>
      <c r="CH186" s="22">
        <f t="shared" si="349"/>
        <v>0</v>
      </c>
      <c r="CI186" s="22">
        <f t="shared" si="349"/>
        <v>0</v>
      </c>
      <c r="CJ186" s="22">
        <f t="shared" si="349"/>
        <v>0</v>
      </c>
      <c r="CK186" s="22">
        <f t="shared" si="349"/>
        <v>0</v>
      </c>
      <c r="CL186" s="22">
        <f t="shared" si="349"/>
        <v>620000</v>
      </c>
      <c r="CM186" s="22">
        <f t="shared" si="349"/>
        <v>620000</v>
      </c>
      <c r="CN186" s="22">
        <f t="shared" si="349"/>
        <v>0</v>
      </c>
      <c r="CO186" s="22">
        <f t="shared" si="349"/>
        <v>0</v>
      </c>
      <c r="CP186" s="22"/>
      <c r="CQ186" s="22">
        <f t="shared" si="349"/>
        <v>0</v>
      </c>
      <c r="CR186" s="22">
        <f t="shared" si="349"/>
        <v>0</v>
      </c>
      <c r="CS186" s="22">
        <f t="shared" si="349"/>
        <v>0</v>
      </c>
      <c r="CT186" s="22">
        <f t="shared" si="349"/>
        <v>0</v>
      </c>
      <c r="CU186" s="22">
        <f t="shared" si="349"/>
        <v>0</v>
      </c>
      <c r="CV186" s="22">
        <f t="shared" si="349"/>
        <v>0</v>
      </c>
      <c r="CW186" s="22">
        <f t="shared" si="349"/>
        <v>0</v>
      </c>
      <c r="CX186" s="23">
        <f t="shared" si="349"/>
        <v>0</v>
      </c>
    </row>
    <row r="187" spans="1:102" ht="15.75" x14ac:dyDescent="0.25">
      <c r="A187" s="7"/>
      <c r="B187" s="8" t="s">
        <v>334</v>
      </c>
      <c r="C187" s="8" t="s">
        <v>1</v>
      </c>
      <c r="D187" s="9" t="s">
        <v>335</v>
      </c>
      <c r="E187" s="10">
        <f>SUM(F187+CB187+CU187)</f>
        <v>77151368</v>
      </c>
      <c r="F187" s="11">
        <f>SUM(G187+BC187)</f>
        <v>77151368</v>
      </c>
      <c r="G187" s="11">
        <f>SUM(H187+I187+J187+Q187+T187+U187+V187+AF187+AE187)</f>
        <v>0</v>
      </c>
      <c r="H187" s="11">
        <v>0</v>
      </c>
      <c r="I187" s="11">
        <v>0</v>
      </c>
      <c r="J187" s="11">
        <f t="shared" si="279"/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f t="shared" si="280"/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f t="shared" ref="V187:V188" si="350">SUM(W187:AD187)</f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f>SUM(AG187:BB187)</f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/>
      <c r="AW187" s="11"/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f>SUM(BD187+BH187+BL187+BN187+BP187)</f>
        <v>77151368</v>
      </c>
      <c r="BD187" s="11">
        <f>SUM(BE187:BG187)</f>
        <v>0</v>
      </c>
      <c r="BE187" s="11">
        <v>0</v>
      </c>
      <c r="BF187" s="11">
        <v>0</v>
      </c>
      <c r="BG187" s="11">
        <v>0</v>
      </c>
      <c r="BH187" s="11">
        <f t="shared" si="282"/>
        <v>0</v>
      </c>
      <c r="BI187" s="11">
        <v>0</v>
      </c>
      <c r="BJ187" s="11">
        <v>0</v>
      </c>
      <c r="BK187" s="11">
        <v>0</v>
      </c>
      <c r="BL187" s="11">
        <v>0</v>
      </c>
      <c r="BM187" s="11">
        <v>0</v>
      </c>
      <c r="BN187" s="11">
        <f t="shared" si="283"/>
        <v>0</v>
      </c>
      <c r="BO187" s="11">
        <v>0</v>
      </c>
      <c r="BP187" s="11">
        <f t="shared" si="284"/>
        <v>77151368</v>
      </c>
      <c r="BQ187" s="16">
        <f>51540872-6124306</f>
        <v>45416566</v>
      </c>
      <c r="BR187" s="11">
        <v>0</v>
      </c>
      <c r="BS187" s="11">
        <v>0</v>
      </c>
      <c r="BT187" s="11">
        <v>0</v>
      </c>
      <c r="BU187" s="11">
        <v>0</v>
      </c>
      <c r="BV187" s="11">
        <v>0</v>
      </c>
      <c r="BW187" s="11">
        <v>0</v>
      </c>
      <c r="BX187" s="11">
        <v>0</v>
      </c>
      <c r="BY187" s="11">
        <v>0</v>
      </c>
      <c r="BZ187" s="16">
        <f>35752671-4668036</f>
        <v>31084635</v>
      </c>
      <c r="CA187" s="16">
        <v>650167</v>
      </c>
      <c r="CB187" s="11">
        <f>SUM(CC187+CT187)</f>
        <v>0</v>
      </c>
      <c r="CC187" s="11">
        <f>SUM(CD187+CG187+CL187)</f>
        <v>0</v>
      </c>
      <c r="CD187" s="11">
        <f t="shared" si="285"/>
        <v>0</v>
      </c>
      <c r="CE187" s="11">
        <v>0</v>
      </c>
      <c r="CF187" s="11">
        <v>0</v>
      </c>
      <c r="CG187" s="11">
        <f>SUM(CH187:CK187)</f>
        <v>0</v>
      </c>
      <c r="CH187" s="11">
        <v>0</v>
      </c>
      <c r="CI187" s="11">
        <v>0</v>
      </c>
      <c r="CJ187" s="11">
        <v>0</v>
      </c>
      <c r="CK187" s="11">
        <v>0</v>
      </c>
      <c r="CL187" s="11">
        <f>SUM(CM187:CQ187)</f>
        <v>0</v>
      </c>
      <c r="CM187" s="11">
        <v>0</v>
      </c>
      <c r="CN187" s="11">
        <v>0</v>
      </c>
      <c r="CO187" s="11">
        <v>0</v>
      </c>
      <c r="CP187" s="11"/>
      <c r="CQ187" s="11">
        <v>0</v>
      </c>
      <c r="CR187" s="11">
        <v>0</v>
      </c>
      <c r="CS187" s="11">
        <v>0</v>
      </c>
      <c r="CT187" s="11">
        <v>0</v>
      </c>
      <c r="CU187" s="11">
        <f t="shared" si="286"/>
        <v>0</v>
      </c>
      <c r="CV187" s="11">
        <f t="shared" si="287"/>
        <v>0</v>
      </c>
      <c r="CW187" s="11">
        <v>0</v>
      </c>
      <c r="CX187" s="12">
        <v>0</v>
      </c>
    </row>
    <row r="188" spans="1:102" ht="31.5" x14ac:dyDescent="0.25">
      <c r="A188" s="7"/>
      <c r="B188" s="8" t="s">
        <v>336</v>
      </c>
      <c r="C188" s="8" t="s">
        <v>1</v>
      </c>
      <c r="D188" s="9" t="s">
        <v>337</v>
      </c>
      <c r="E188" s="10">
        <f>SUM(F188+CB188+CU188)</f>
        <v>14705468</v>
      </c>
      <c r="F188" s="11">
        <f>SUM(G188+BC188)</f>
        <v>14705468</v>
      </c>
      <c r="G188" s="11">
        <f>SUM(H188+I188+J188+Q188+T188+U188+V188+AF188+AE188)</f>
        <v>0</v>
      </c>
      <c r="H188" s="11">
        <v>0</v>
      </c>
      <c r="I188" s="11">
        <v>0</v>
      </c>
      <c r="J188" s="11">
        <f t="shared" si="279"/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f t="shared" si="280"/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f t="shared" si="350"/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f>SUM(AG188:BB188)</f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11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/>
      <c r="AW188" s="11"/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f>SUM(BD188+BH188+BL188+BN188+BP188)</f>
        <v>14705468</v>
      </c>
      <c r="BD188" s="11">
        <f>SUM(BE188:BG188)</f>
        <v>0</v>
      </c>
      <c r="BE188" s="11">
        <v>0</v>
      </c>
      <c r="BF188" s="11">
        <v>0</v>
      </c>
      <c r="BG188" s="11">
        <v>0</v>
      </c>
      <c r="BH188" s="11">
        <f t="shared" si="282"/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v>0</v>
      </c>
      <c r="BN188" s="11">
        <f t="shared" si="283"/>
        <v>0</v>
      </c>
      <c r="BO188" s="11">
        <v>0</v>
      </c>
      <c r="BP188" s="11">
        <f t="shared" si="284"/>
        <v>14705468</v>
      </c>
      <c r="BQ188" s="16">
        <f>12668674-924837</f>
        <v>11743837</v>
      </c>
      <c r="BR188" s="11">
        <v>0</v>
      </c>
      <c r="BS188" s="11">
        <v>0</v>
      </c>
      <c r="BT188" s="11">
        <v>0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6">
        <f>3330900-667716</f>
        <v>2663184</v>
      </c>
      <c r="CA188" s="16">
        <v>298447</v>
      </c>
      <c r="CB188" s="11">
        <f>SUM(CC188+CT188)</f>
        <v>0</v>
      </c>
      <c r="CC188" s="11">
        <f>SUM(CD188+CG188+CL188)</f>
        <v>0</v>
      </c>
      <c r="CD188" s="11">
        <f t="shared" si="285"/>
        <v>0</v>
      </c>
      <c r="CE188" s="11">
        <v>0</v>
      </c>
      <c r="CF188" s="11">
        <v>0</v>
      </c>
      <c r="CG188" s="11">
        <f>SUM(CH188:CK188)</f>
        <v>0</v>
      </c>
      <c r="CH188" s="11">
        <v>0</v>
      </c>
      <c r="CI188" s="11">
        <v>0</v>
      </c>
      <c r="CJ188" s="11">
        <v>0</v>
      </c>
      <c r="CK188" s="11">
        <v>0</v>
      </c>
      <c r="CL188" s="11">
        <f>SUM(CM188:CQ188)</f>
        <v>0</v>
      </c>
      <c r="CM188" s="11">
        <v>0</v>
      </c>
      <c r="CN188" s="11">
        <v>0</v>
      </c>
      <c r="CO188" s="11">
        <v>0</v>
      </c>
      <c r="CP188" s="11"/>
      <c r="CQ188" s="11">
        <v>0</v>
      </c>
      <c r="CR188" s="11">
        <v>0</v>
      </c>
      <c r="CS188" s="11">
        <v>0</v>
      </c>
      <c r="CT188" s="11">
        <v>0</v>
      </c>
      <c r="CU188" s="11">
        <f t="shared" si="286"/>
        <v>0</v>
      </c>
      <c r="CV188" s="11">
        <f t="shared" si="287"/>
        <v>0</v>
      </c>
      <c r="CW188" s="11">
        <v>0</v>
      </c>
      <c r="CX188" s="12">
        <v>0</v>
      </c>
    </row>
    <row r="189" spans="1:102" ht="15.75" x14ac:dyDescent="0.25">
      <c r="A189" s="7"/>
      <c r="B189" s="8" t="s">
        <v>338</v>
      </c>
      <c r="C189" s="8" t="s">
        <v>1</v>
      </c>
      <c r="D189" s="9" t="s">
        <v>339</v>
      </c>
      <c r="E189" s="10">
        <f>SUM(E190:E192)</f>
        <v>29248591</v>
      </c>
      <c r="F189" s="11">
        <f t="shared" ref="F189:BV189" si="351">SUM(F190:F192)</f>
        <v>28990799</v>
      </c>
      <c r="G189" s="11">
        <f t="shared" si="351"/>
        <v>28990799</v>
      </c>
      <c r="H189" s="11">
        <f t="shared" si="351"/>
        <v>15131379</v>
      </c>
      <c r="I189" s="11">
        <f t="shared" si="351"/>
        <v>3443035</v>
      </c>
      <c r="J189" s="11">
        <f t="shared" si="351"/>
        <v>7531828</v>
      </c>
      <c r="K189" s="11">
        <f t="shared" si="351"/>
        <v>877627</v>
      </c>
      <c r="L189" s="11">
        <f t="shared" si="351"/>
        <v>1490914</v>
      </c>
      <c r="M189" s="11">
        <f t="shared" si="351"/>
        <v>4513206</v>
      </c>
      <c r="N189" s="11">
        <f t="shared" si="351"/>
        <v>0</v>
      </c>
      <c r="O189" s="11">
        <f t="shared" si="351"/>
        <v>597256</v>
      </c>
      <c r="P189" s="11">
        <f t="shared" si="351"/>
        <v>52825</v>
      </c>
      <c r="Q189" s="11">
        <f t="shared" si="351"/>
        <v>0</v>
      </c>
      <c r="R189" s="11">
        <f t="shared" si="351"/>
        <v>0</v>
      </c>
      <c r="S189" s="11">
        <f t="shared" si="351"/>
        <v>0</v>
      </c>
      <c r="T189" s="11">
        <f t="shared" si="351"/>
        <v>0</v>
      </c>
      <c r="U189" s="11">
        <f t="shared" si="351"/>
        <v>102427</v>
      </c>
      <c r="V189" s="11">
        <f t="shared" si="351"/>
        <v>2217240</v>
      </c>
      <c r="W189" s="11">
        <f t="shared" si="351"/>
        <v>67118</v>
      </c>
      <c r="X189" s="11">
        <f t="shared" si="351"/>
        <v>828849</v>
      </c>
      <c r="Y189" s="11">
        <f t="shared" si="351"/>
        <v>391880</v>
      </c>
      <c r="Z189" s="11">
        <f t="shared" si="351"/>
        <v>834161</v>
      </c>
      <c r="AA189" s="11">
        <f t="shared" si="351"/>
        <v>68943</v>
      </c>
      <c r="AB189" s="11">
        <f t="shared" si="351"/>
        <v>0</v>
      </c>
      <c r="AC189" s="11">
        <f t="shared" si="351"/>
        <v>0</v>
      </c>
      <c r="AD189" s="11">
        <f t="shared" si="351"/>
        <v>26289</v>
      </c>
      <c r="AE189" s="11">
        <f t="shared" si="351"/>
        <v>0</v>
      </c>
      <c r="AF189" s="11">
        <f t="shared" si="351"/>
        <v>564890</v>
      </c>
      <c r="AG189" s="11">
        <f t="shared" si="351"/>
        <v>0</v>
      </c>
      <c r="AH189" s="11">
        <f t="shared" si="351"/>
        <v>0</v>
      </c>
      <c r="AI189" s="11">
        <f t="shared" si="351"/>
        <v>0</v>
      </c>
      <c r="AJ189" s="11">
        <f t="shared" si="351"/>
        <v>94184</v>
      </c>
      <c r="AK189" s="11">
        <f t="shared" si="351"/>
        <v>0</v>
      </c>
      <c r="AL189" s="11">
        <f t="shared" si="351"/>
        <v>6364</v>
      </c>
      <c r="AM189" s="11">
        <f t="shared" si="351"/>
        <v>0</v>
      </c>
      <c r="AN189" s="11">
        <f t="shared" si="351"/>
        <v>152318</v>
      </c>
      <c r="AO189" s="11">
        <f t="shared" si="351"/>
        <v>0</v>
      </c>
      <c r="AP189" s="11">
        <f t="shared" si="351"/>
        <v>0</v>
      </c>
      <c r="AQ189" s="11">
        <f t="shared" si="351"/>
        <v>260</v>
      </c>
      <c r="AR189" s="11">
        <f>SUM(AR190:AR192)</f>
        <v>0</v>
      </c>
      <c r="AS189" s="11">
        <f t="shared" si="351"/>
        <v>0</v>
      </c>
      <c r="AT189" s="11">
        <f t="shared" si="351"/>
        <v>118457</v>
      </c>
      <c r="AU189" s="11">
        <f t="shared" si="351"/>
        <v>145000</v>
      </c>
      <c r="AV189" s="11"/>
      <c r="AW189" s="11"/>
      <c r="AX189" s="11">
        <f t="shared" si="351"/>
        <v>47595</v>
      </c>
      <c r="AY189" s="11">
        <f t="shared" si="351"/>
        <v>0</v>
      </c>
      <c r="AZ189" s="11">
        <f t="shared" si="351"/>
        <v>0</v>
      </c>
      <c r="BA189" s="11">
        <f t="shared" si="351"/>
        <v>0</v>
      </c>
      <c r="BB189" s="11">
        <f t="shared" si="351"/>
        <v>712</v>
      </c>
      <c r="BC189" s="11">
        <f t="shared" si="351"/>
        <v>0</v>
      </c>
      <c r="BD189" s="11">
        <f t="shared" si="351"/>
        <v>0</v>
      </c>
      <c r="BE189" s="11">
        <f t="shared" si="351"/>
        <v>0</v>
      </c>
      <c r="BF189" s="11">
        <f t="shared" si="351"/>
        <v>0</v>
      </c>
      <c r="BG189" s="11">
        <f t="shared" si="351"/>
        <v>0</v>
      </c>
      <c r="BH189" s="11">
        <f t="shared" si="351"/>
        <v>0</v>
      </c>
      <c r="BI189" s="11">
        <f t="shared" si="351"/>
        <v>0</v>
      </c>
      <c r="BJ189" s="11">
        <f t="shared" si="351"/>
        <v>0</v>
      </c>
      <c r="BK189" s="11">
        <f t="shared" si="351"/>
        <v>0</v>
      </c>
      <c r="BL189" s="11">
        <f t="shared" si="351"/>
        <v>0</v>
      </c>
      <c r="BM189" s="11">
        <f t="shared" si="351"/>
        <v>0</v>
      </c>
      <c r="BN189" s="11">
        <f t="shared" si="351"/>
        <v>0</v>
      </c>
      <c r="BO189" s="11">
        <f t="shared" si="351"/>
        <v>0</v>
      </c>
      <c r="BP189" s="11">
        <f t="shared" si="351"/>
        <v>0</v>
      </c>
      <c r="BQ189" s="11">
        <f t="shared" si="351"/>
        <v>0</v>
      </c>
      <c r="BR189" s="11">
        <f t="shared" si="351"/>
        <v>0</v>
      </c>
      <c r="BS189" s="11">
        <f t="shared" si="351"/>
        <v>0</v>
      </c>
      <c r="BT189" s="11">
        <f t="shared" si="351"/>
        <v>0</v>
      </c>
      <c r="BU189" s="11">
        <f t="shared" si="351"/>
        <v>0</v>
      </c>
      <c r="BV189" s="11">
        <f t="shared" si="351"/>
        <v>0</v>
      </c>
      <c r="BW189" s="11">
        <f t="shared" ref="BW189:CX189" si="352">SUM(BW190:BW192)</f>
        <v>0</v>
      </c>
      <c r="BX189" s="11">
        <f t="shared" si="352"/>
        <v>0</v>
      </c>
      <c r="BY189" s="11">
        <f t="shared" si="352"/>
        <v>0</v>
      </c>
      <c r="BZ189" s="11">
        <f t="shared" si="352"/>
        <v>0</v>
      </c>
      <c r="CA189" s="11">
        <f t="shared" si="352"/>
        <v>0</v>
      </c>
      <c r="CB189" s="11">
        <f t="shared" si="352"/>
        <v>257792</v>
      </c>
      <c r="CC189" s="11">
        <f t="shared" si="352"/>
        <v>257792</v>
      </c>
      <c r="CD189" s="11">
        <f t="shared" si="352"/>
        <v>257792</v>
      </c>
      <c r="CE189" s="11">
        <f t="shared" si="352"/>
        <v>0</v>
      </c>
      <c r="CF189" s="11">
        <f t="shared" si="352"/>
        <v>257792</v>
      </c>
      <c r="CG189" s="11">
        <f t="shared" si="352"/>
        <v>0</v>
      </c>
      <c r="CH189" s="11">
        <f t="shared" si="352"/>
        <v>0</v>
      </c>
      <c r="CI189" s="11">
        <f t="shared" si="352"/>
        <v>0</v>
      </c>
      <c r="CJ189" s="11">
        <f t="shared" si="352"/>
        <v>0</v>
      </c>
      <c r="CK189" s="11">
        <f t="shared" si="352"/>
        <v>0</v>
      </c>
      <c r="CL189" s="11">
        <f t="shared" si="352"/>
        <v>0</v>
      </c>
      <c r="CM189" s="11">
        <f t="shared" si="352"/>
        <v>0</v>
      </c>
      <c r="CN189" s="11">
        <f t="shared" si="352"/>
        <v>0</v>
      </c>
      <c r="CO189" s="11">
        <f t="shared" si="352"/>
        <v>0</v>
      </c>
      <c r="CP189" s="11"/>
      <c r="CQ189" s="11">
        <f t="shared" si="352"/>
        <v>0</v>
      </c>
      <c r="CR189" s="11">
        <f t="shared" si="352"/>
        <v>0</v>
      </c>
      <c r="CS189" s="11">
        <f t="shared" si="352"/>
        <v>0</v>
      </c>
      <c r="CT189" s="11">
        <f t="shared" si="352"/>
        <v>0</v>
      </c>
      <c r="CU189" s="11">
        <f t="shared" si="352"/>
        <v>0</v>
      </c>
      <c r="CV189" s="11">
        <f t="shared" si="352"/>
        <v>0</v>
      </c>
      <c r="CW189" s="11">
        <f t="shared" si="352"/>
        <v>0</v>
      </c>
      <c r="CX189" s="12">
        <f t="shared" si="352"/>
        <v>0</v>
      </c>
    </row>
    <row r="190" spans="1:102" ht="31.5" x14ac:dyDescent="0.25">
      <c r="A190" s="13"/>
      <c r="B190" s="14" t="s">
        <v>1</v>
      </c>
      <c r="C190" s="14" t="s">
        <v>99</v>
      </c>
      <c r="D190" s="15" t="s">
        <v>340</v>
      </c>
      <c r="E190" s="10">
        <f>SUM(F190+CB190+CU190)</f>
        <v>4826710</v>
      </c>
      <c r="F190" s="11">
        <f>SUM(G190+BC190)</f>
        <v>4775445</v>
      </c>
      <c r="G190" s="11">
        <f>SUM(H190+I190+J190+Q190+T190+U190+V190+AF190+AE190)</f>
        <v>4775445</v>
      </c>
      <c r="H190" s="16">
        <f>2776462+148078</f>
        <v>2924540</v>
      </c>
      <c r="I190" s="16">
        <f>646150+37019</f>
        <v>683169</v>
      </c>
      <c r="J190" s="11">
        <f t="shared" si="279"/>
        <v>896518</v>
      </c>
      <c r="K190" s="16">
        <v>128645</v>
      </c>
      <c r="L190" s="16">
        <v>87580</v>
      </c>
      <c r="M190" s="16">
        <v>537936</v>
      </c>
      <c r="N190" s="16"/>
      <c r="O190" s="16">
        <v>130196</v>
      </c>
      <c r="P190" s="16">
        <v>12161</v>
      </c>
      <c r="Q190" s="11">
        <f t="shared" si="280"/>
        <v>0</v>
      </c>
      <c r="R190" s="11">
        <v>0</v>
      </c>
      <c r="S190" s="11">
        <v>0</v>
      </c>
      <c r="T190" s="11">
        <v>0</v>
      </c>
      <c r="U190" s="16">
        <v>18068</v>
      </c>
      <c r="V190" s="11">
        <f t="shared" ref="V190:V192" si="353">SUM(W190:AD190)</f>
        <v>136678</v>
      </c>
      <c r="W190" s="16">
        <v>5364</v>
      </c>
      <c r="X190" s="16">
        <v>30791</v>
      </c>
      <c r="Y190" s="16">
        <v>43936</v>
      </c>
      <c r="Z190" s="16">
        <v>40356</v>
      </c>
      <c r="AA190" s="16">
        <v>6018</v>
      </c>
      <c r="AB190" s="16"/>
      <c r="AC190" s="16"/>
      <c r="AD190" s="16">
        <v>10213</v>
      </c>
      <c r="AE190" s="11"/>
      <c r="AF190" s="11">
        <f>SUM(AG190:BB190)</f>
        <v>116472</v>
      </c>
      <c r="AG190" s="11">
        <v>0</v>
      </c>
      <c r="AH190" s="11">
        <v>0</v>
      </c>
      <c r="AI190" s="11">
        <v>0</v>
      </c>
      <c r="AJ190" s="16">
        <v>7391</v>
      </c>
      <c r="AK190" s="16"/>
      <c r="AL190" s="16">
        <v>1591</v>
      </c>
      <c r="AM190" s="16"/>
      <c r="AN190" s="16">
        <v>30290</v>
      </c>
      <c r="AO190" s="16"/>
      <c r="AP190" s="16"/>
      <c r="AQ190" s="16"/>
      <c r="AR190" s="16"/>
      <c r="AS190" s="16"/>
      <c r="AT190" s="16">
        <v>19200</v>
      </c>
      <c r="AU190" s="16">
        <v>58000</v>
      </c>
      <c r="AV190" s="11"/>
      <c r="AW190" s="11"/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f>SUM(BD190+BH190+BL190+BN190+BP190)</f>
        <v>0</v>
      </c>
      <c r="BD190" s="11">
        <f>SUM(BE190:BG190)</f>
        <v>0</v>
      </c>
      <c r="BE190" s="11">
        <v>0</v>
      </c>
      <c r="BF190" s="11">
        <v>0</v>
      </c>
      <c r="BG190" s="11">
        <v>0</v>
      </c>
      <c r="BH190" s="11">
        <f t="shared" si="282"/>
        <v>0</v>
      </c>
      <c r="BI190" s="11">
        <v>0</v>
      </c>
      <c r="BJ190" s="11">
        <v>0</v>
      </c>
      <c r="BK190" s="11">
        <v>0</v>
      </c>
      <c r="BL190" s="11">
        <v>0</v>
      </c>
      <c r="BM190" s="11">
        <v>0</v>
      </c>
      <c r="BN190" s="11">
        <f t="shared" si="283"/>
        <v>0</v>
      </c>
      <c r="BO190" s="11">
        <v>0</v>
      </c>
      <c r="BP190" s="11">
        <f t="shared" si="284"/>
        <v>0</v>
      </c>
      <c r="BQ190" s="11">
        <v>0</v>
      </c>
      <c r="BR190" s="11">
        <v>0</v>
      </c>
      <c r="BS190" s="11">
        <v>0</v>
      </c>
      <c r="BT190" s="11">
        <v>0</v>
      </c>
      <c r="BU190" s="11">
        <v>0</v>
      </c>
      <c r="BV190" s="11">
        <v>0</v>
      </c>
      <c r="BW190" s="11">
        <v>0</v>
      </c>
      <c r="BX190" s="11">
        <v>0</v>
      </c>
      <c r="BY190" s="11">
        <v>0</v>
      </c>
      <c r="BZ190" s="11">
        <v>0</v>
      </c>
      <c r="CA190" s="11">
        <v>0</v>
      </c>
      <c r="CB190" s="11">
        <f>SUM(CC190+CT190)</f>
        <v>51265</v>
      </c>
      <c r="CC190" s="11">
        <f>SUM(CD190+CG190+CL190)</f>
        <v>51265</v>
      </c>
      <c r="CD190" s="11">
        <f t="shared" si="285"/>
        <v>51265</v>
      </c>
      <c r="CE190" s="11">
        <v>0</v>
      </c>
      <c r="CF190" s="16">
        <v>51265</v>
      </c>
      <c r="CG190" s="11">
        <f>SUM(CH190:CK190)</f>
        <v>0</v>
      </c>
      <c r="CH190" s="11">
        <v>0</v>
      </c>
      <c r="CI190" s="11">
        <v>0</v>
      </c>
      <c r="CJ190" s="11">
        <v>0</v>
      </c>
      <c r="CK190" s="11">
        <v>0</v>
      </c>
      <c r="CL190" s="11">
        <f>SUM(CM190:CQ190)</f>
        <v>0</v>
      </c>
      <c r="CM190" s="11">
        <v>0</v>
      </c>
      <c r="CN190" s="11">
        <v>0</v>
      </c>
      <c r="CO190" s="11">
        <v>0</v>
      </c>
      <c r="CP190" s="11"/>
      <c r="CQ190" s="11">
        <v>0</v>
      </c>
      <c r="CR190" s="11">
        <v>0</v>
      </c>
      <c r="CS190" s="11">
        <v>0</v>
      </c>
      <c r="CT190" s="11">
        <v>0</v>
      </c>
      <c r="CU190" s="11">
        <f t="shared" si="286"/>
        <v>0</v>
      </c>
      <c r="CV190" s="11">
        <f t="shared" si="287"/>
        <v>0</v>
      </c>
      <c r="CW190" s="11">
        <v>0</v>
      </c>
      <c r="CX190" s="12">
        <v>0</v>
      </c>
    </row>
    <row r="191" spans="1:102" ht="31.5" x14ac:dyDescent="0.25">
      <c r="A191" s="13"/>
      <c r="B191" s="14" t="s">
        <v>1</v>
      </c>
      <c r="C191" s="14" t="s">
        <v>99</v>
      </c>
      <c r="D191" s="15" t="s">
        <v>341</v>
      </c>
      <c r="E191" s="10">
        <f>SUM(F191+CB191+CU191)</f>
        <v>23706438</v>
      </c>
      <c r="F191" s="11">
        <f>SUM(G191+BC191)</f>
        <v>23499911</v>
      </c>
      <c r="G191" s="11">
        <f>SUM(H191+I191+J191+Q191+T191+U191+V191+AF191+AE191)</f>
        <v>23499911</v>
      </c>
      <c r="H191" s="16">
        <f>11060244+589880</f>
        <v>11650124</v>
      </c>
      <c r="I191" s="16">
        <f>2493914+147470</f>
        <v>2641384</v>
      </c>
      <c r="J191" s="11">
        <f t="shared" si="279"/>
        <v>6609927</v>
      </c>
      <c r="K191" s="16">
        <v>748982</v>
      </c>
      <c r="L191" s="16">
        <v>1403334</v>
      </c>
      <c r="M191" s="16">
        <v>3975270</v>
      </c>
      <c r="N191" s="16"/>
      <c r="O191" s="16">
        <v>441677</v>
      </c>
      <c r="P191" s="16">
        <v>40664</v>
      </c>
      <c r="Q191" s="11">
        <f t="shared" si="280"/>
        <v>0</v>
      </c>
      <c r="R191" s="11">
        <v>0</v>
      </c>
      <c r="S191" s="11">
        <v>0</v>
      </c>
      <c r="T191" s="11">
        <v>0</v>
      </c>
      <c r="U191" s="16">
        <v>73540</v>
      </c>
      <c r="V191" s="11">
        <f t="shared" si="353"/>
        <v>2076778</v>
      </c>
      <c r="W191" s="16">
        <v>61161</v>
      </c>
      <c r="X191" s="16">
        <v>795891</v>
      </c>
      <c r="Y191" s="16">
        <v>347264</v>
      </c>
      <c r="Z191" s="16">
        <v>793461</v>
      </c>
      <c r="AA191" s="16">
        <v>62925</v>
      </c>
      <c r="AB191" s="16"/>
      <c r="AC191" s="16"/>
      <c r="AD191" s="16">
        <v>16076</v>
      </c>
      <c r="AE191" s="11"/>
      <c r="AF191" s="11">
        <f>SUM(AG191:BB191)</f>
        <v>448158</v>
      </c>
      <c r="AG191" s="11">
        <v>0</v>
      </c>
      <c r="AH191" s="11">
        <v>0</v>
      </c>
      <c r="AI191" s="11">
        <v>0</v>
      </c>
      <c r="AJ191" s="16">
        <v>86793</v>
      </c>
      <c r="AK191" s="16"/>
      <c r="AL191" s="16">
        <v>4773</v>
      </c>
      <c r="AM191" s="16"/>
      <c r="AN191" s="16">
        <v>122028</v>
      </c>
      <c r="AO191" s="16"/>
      <c r="AP191" s="16"/>
      <c r="AQ191" s="16"/>
      <c r="AR191" s="16"/>
      <c r="AS191" s="16"/>
      <c r="AT191" s="16">
        <v>99257</v>
      </c>
      <c r="AU191" s="16">
        <v>87000</v>
      </c>
      <c r="AV191" s="11"/>
      <c r="AW191" s="11"/>
      <c r="AX191" s="16">
        <v>47595</v>
      </c>
      <c r="AY191" s="11">
        <v>0</v>
      </c>
      <c r="AZ191" s="11">
        <v>0</v>
      </c>
      <c r="BA191" s="11">
        <v>0</v>
      </c>
      <c r="BB191" s="16">
        <v>712</v>
      </c>
      <c r="BC191" s="11">
        <f>SUM(BD191+BH191+BL191+BN191+BP191)</f>
        <v>0</v>
      </c>
      <c r="BD191" s="11">
        <f>SUM(BE191:BG191)</f>
        <v>0</v>
      </c>
      <c r="BE191" s="11">
        <v>0</v>
      </c>
      <c r="BF191" s="11">
        <v>0</v>
      </c>
      <c r="BG191" s="11">
        <v>0</v>
      </c>
      <c r="BH191" s="11">
        <f t="shared" si="282"/>
        <v>0</v>
      </c>
      <c r="BI191" s="11">
        <v>0</v>
      </c>
      <c r="BJ191" s="11">
        <v>0</v>
      </c>
      <c r="BK191" s="11">
        <v>0</v>
      </c>
      <c r="BL191" s="11">
        <v>0</v>
      </c>
      <c r="BM191" s="11">
        <v>0</v>
      </c>
      <c r="BN191" s="11">
        <f t="shared" si="283"/>
        <v>0</v>
      </c>
      <c r="BO191" s="11">
        <v>0</v>
      </c>
      <c r="BP191" s="11">
        <f t="shared" si="284"/>
        <v>0</v>
      </c>
      <c r="BQ191" s="11">
        <v>0</v>
      </c>
      <c r="BR191" s="11">
        <v>0</v>
      </c>
      <c r="BS191" s="11">
        <v>0</v>
      </c>
      <c r="BT191" s="11">
        <v>0</v>
      </c>
      <c r="BU191" s="11">
        <v>0</v>
      </c>
      <c r="BV191" s="11">
        <v>0</v>
      </c>
      <c r="BW191" s="11">
        <v>0</v>
      </c>
      <c r="BX191" s="11">
        <v>0</v>
      </c>
      <c r="BY191" s="11">
        <v>0</v>
      </c>
      <c r="BZ191" s="11">
        <v>0</v>
      </c>
      <c r="CA191" s="11">
        <v>0</v>
      </c>
      <c r="CB191" s="11">
        <f>SUM(CC191+CT191)</f>
        <v>206527</v>
      </c>
      <c r="CC191" s="11">
        <f>SUM(CD191+CG191+CL191)</f>
        <v>206527</v>
      </c>
      <c r="CD191" s="11">
        <f t="shared" si="285"/>
        <v>206527</v>
      </c>
      <c r="CE191" s="11">
        <v>0</v>
      </c>
      <c r="CF191" s="16">
        <v>206527</v>
      </c>
      <c r="CG191" s="11">
        <f>SUM(CH191:CK191)</f>
        <v>0</v>
      </c>
      <c r="CH191" s="11">
        <v>0</v>
      </c>
      <c r="CI191" s="11">
        <v>0</v>
      </c>
      <c r="CJ191" s="11">
        <v>0</v>
      </c>
      <c r="CK191" s="11">
        <v>0</v>
      </c>
      <c r="CL191" s="11">
        <f>SUM(CM191:CQ191)</f>
        <v>0</v>
      </c>
      <c r="CM191" s="11">
        <v>0</v>
      </c>
      <c r="CN191" s="11">
        <v>0</v>
      </c>
      <c r="CO191" s="11">
        <v>0</v>
      </c>
      <c r="CP191" s="11"/>
      <c r="CQ191" s="11">
        <v>0</v>
      </c>
      <c r="CR191" s="11">
        <v>0</v>
      </c>
      <c r="CS191" s="11">
        <v>0</v>
      </c>
      <c r="CT191" s="11">
        <v>0</v>
      </c>
      <c r="CU191" s="11">
        <f t="shared" si="286"/>
        <v>0</v>
      </c>
      <c r="CV191" s="11">
        <f t="shared" si="287"/>
        <v>0</v>
      </c>
      <c r="CW191" s="11">
        <v>0</v>
      </c>
      <c r="CX191" s="12">
        <v>0</v>
      </c>
    </row>
    <row r="192" spans="1:102" ht="31.5" x14ac:dyDescent="0.25">
      <c r="A192" s="13"/>
      <c r="B192" s="14" t="s">
        <v>1</v>
      </c>
      <c r="C192" s="14" t="s">
        <v>99</v>
      </c>
      <c r="D192" s="15" t="s">
        <v>342</v>
      </c>
      <c r="E192" s="10">
        <f>SUM(F192+CB192+CU192)</f>
        <v>715443</v>
      </c>
      <c r="F192" s="11">
        <f>SUM(G192+BC192)</f>
        <v>715443</v>
      </c>
      <c r="G192" s="11">
        <f>SUM(H192+I192+J192+Q192+T192+U192+V192+AF192+AE192)</f>
        <v>715443</v>
      </c>
      <c r="H192" s="16">
        <f>528527+28188</f>
        <v>556715</v>
      </c>
      <c r="I192" s="16">
        <f>111435+7047</f>
        <v>118482</v>
      </c>
      <c r="J192" s="11">
        <f t="shared" si="279"/>
        <v>25383</v>
      </c>
      <c r="K192" s="16"/>
      <c r="L192" s="16"/>
      <c r="M192" s="16"/>
      <c r="N192" s="16"/>
      <c r="O192" s="16">
        <v>25383</v>
      </c>
      <c r="P192" s="16"/>
      <c r="Q192" s="11">
        <f t="shared" si="280"/>
        <v>0</v>
      </c>
      <c r="R192" s="11">
        <v>0</v>
      </c>
      <c r="S192" s="11">
        <v>0</v>
      </c>
      <c r="T192" s="11">
        <v>0</v>
      </c>
      <c r="U192" s="16">
        <v>10819</v>
      </c>
      <c r="V192" s="11">
        <f t="shared" si="353"/>
        <v>3784</v>
      </c>
      <c r="W192" s="16">
        <v>593</v>
      </c>
      <c r="X192" s="16">
        <v>2167</v>
      </c>
      <c r="Y192" s="16">
        <v>680</v>
      </c>
      <c r="Z192" s="16">
        <v>344</v>
      </c>
      <c r="AA192" s="16"/>
      <c r="AB192" s="16"/>
      <c r="AC192" s="16"/>
      <c r="AD192" s="16"/>
      <c r="AE192" s="11">
        <v>0</v>
      </c>
      <c r="AF192" s="11">
        <f>SUM(AG192:BB192)</f>
        <v>260</v>
      </c>
      <c r="AG192" s="11">
        <v>0</v>
      </c>
      <c r="AH192" s="11">
        <v>0</v>
      </c>
      <c r="AI192" s="11">
        <v>0</v>
      </c>
      <c r="AJ192" s="16"/>
      <c r="AK192" s="16"/>
      <c r="AL192" s="16"/>
      <c r="AM192" s="16"/>
      <c r="AN192" s="16"/>
      <c r="AO192" s="16"/>
      <c r="AP192" s="16"/>
      <c r="AQ192" s="16">
        <v>260</v>
      </c>
      <c r="AR192" s="16"/>
      <c r="AS192" s="16"/>
      <c r="AT192" s="16"/>
      <c r="AU192" s="16"/>
      <c r="AV192" s="11"/>
      <c r="AW192" s="11"/>
      <c r="AX192" s="11">
        <v>0</v>
      </c>
      <c r="AY192" s="11">
        <v>0</v>
      </c>
      <c r="AZ192" s="11">
        <v>0</v>
      </c>
      <c r="BA192" s="11">
        <v>0</v>
      </c>
      <c r="BB192" s="11"/>
      <c r="BC192" s="11">
        <f>SUM(BD192+BH192+BL192+BN192+BP192)</f>
        <v>0</v>
      </c>
      <c r="BD192" s="11">
        <f>SUM(BE192:BG192)</f>
        <v>0</v>
      </c>
      <c r="BE192" s="11">
        <v>0</v>
      </c>
      <c r="BF192" s="11">
        <v>0</v>
      </c>
      <c r="BG192" s="11">
        <v>0</v>
      </c>
      <c r="BH192" s="11">
        <f t="shared" si="282"/>
        <v>0</v>
      </c>
      <c r="BI192" s="11">
        <v>0</v>
      </c>
      <c r="BJ192" s="11">
        <v>0</v>
      </c>
      <c r="BK192" s="11">
        <v>0</v>
      </c>
      <c r="BL192" s="11">
        <v>0</v>
      </c>
      <c r="BM192" s="11">
        <v>0</v>
      </c>
      <c r="BN192" s="11">
        <f t="shared" si="283"/>
        <v>0</v>
      </c>
      <c r="BO192" s="11">
        <v>0</v>
      </c>
      <c r="BP192" s="11">
        <f t="shared" si="284"/>
        <v>0</v>
      </c>
      <c r="BQ192" s="11">
        <v>0</v>
      </c>
      <c r="BR192" s="11">
        <v>0</v>
      </c>
      <c r="BS192" s="11">
        <v>0</v>
      </c>
      <c r="BT192" s="11">
        <v>0</v>
      </c>
      <c r="BU192" s="11">
        <v>0</v>
      </c>
      <c r="BV192" s="11">
        <v>0</v>
      </c>
      <c r="BW192" s="11">
        <v>0</v>
      </c>
      <c r="BX192" s="11">
        <v>0</v>
      </c>
      <c r="BY192" s="11">
        <v>0</v>
      </c>
      <c r="BZ192" s="11">
        <v>0</v>
      </c>
      <c r="CA192" s="11">
        <v>0</v>
      </c>
      <c r="CB192" s="11">
        <f>SUM(CC192+CT192)</f>
        <v>0</v>
      </c>
      <c r="CC192" s="11">
        <f>SUM(CD192+CG192+CL192)</f>
        <v>0</v>
      </c>
      <c r="CD192" s="11">
        <f t="shared" si="285"/>
        <v>0</v>
      </c>
      <c r="CE192" s="11">
        <v>0</v>
      </c>
      <c r="CF192" s="16"/>
      <c r="CG192" s="11">
        <f>SUM(CH192:CK192)</f>
        <v>0</v>
      </c>
      <c r="CH192" s="11">
        <v>0</v>
      </c>
      <c r="CI192" s="11">
        <v>0</v>
      </c>
      <c r="CJ192" s="11">
        <v>0</v>
      </c>
      <c r="CK192" s="11">
        <v>0</v>
      </c>
      <c r="CL192" s="11">
        <f>SUM(CM192:CQ192)</f>
        <v>0</v>
      </c>
      <c r="CM192" s="11">
        <v>0</v>
      </c>
      <c r="CN192" s="11">
        <v>0</v>
      </c>
      <c r="CO192" s="11">
        <v>0</v>
      </c>
      <c r="CP192" s="11"/>
      <c r="CQ192" s="11">
        <v>0</v>
      </c>
      <c r="CR192" s="11">
        <v>0</v>
      </c>
      <c r="CS192" s="11">
        <v>0</v>
      </c>
      <c r="CT192" s="11">
        <v>0</v>
      </c>
      <c r="CU192" s="11">
        <f t="shared" si="286"/>
        <v>0</v>
      </c>
      <c r="CV192" s="11">
        <f t="shared" si="287"/>
        <v>0</v>
      </c>
      <c r="CW192" s="11">
        <v>0</v>
      </c>
      <c r="CX192" s="12">
        <v>0</v>
      </c>
    </row>
    <row r="193" spans="1:102" ht="31.5" x14ac:dyDescent="0.25">
      <c r="A193" s="7"/>
      <c r="B193" s="8" t="s">
        <v>343</v>
      </c>
      <c r="C193" s="8" t="s">
        <v>1</v>
      </c>
      <c r="D193" s="9" t="s">
        <v>17</v>
      </c>
      <c r="E193" s="10">
        <f>SUM(E194)</f>
        <v>201244051</v>
      </c>
      <c r="F193" s="11">
        <f t="shared" ref="F193:BV193" si="354">SUM(F194)</f>
        <v>201244051</v>
      </c>
      <c r="G193" s="11">
        <f t="shared" si="354"/>
        <v>0</v>
      </c>
      <c r="H193" s="11">
        <f t="shared" si="354"/>
        <v>0</v>
      </c>
      <c r="I193" s="11">
        <f t="shared" si="354"/>
        <v>0</v>
      </c>
      <c r="J193" s="11">
        <f t="shared" si="354"/>
        <v>0</v>
      </c>
      <c r="K193" s="11">
        <f t="shared" si="354"/>
        <v>0</v>
      </c>
      <c r="L193" s="11">
        <f t="shared" si="354"/>
        <v>0</v>
      </c>
      <c r="M193" s="11">
        <f t="shared" si="354"/>
        <v>0</v>
      </c>
      <c r="N193" s="11">
        <f t="shared" si="354"/>
        <v>0</v>
      </c>
      <c r="O193" s="11">
        <f t="shared" si="354"/>
        <v>0</v>
      </c>
      <c r="P193" s="11">
        <f t="shared" si="354"/>
        <v>0</v>
      </c>
      <c r="Q193" s="11">
        <f t="shared" si="354"/>
        <v>0</v>
      </c>
      <c r="R193" s="11">
        <f t="shared" si="354"/>
        <v>0</v>
      </c>
      <c r="S193" s="11">
        <f t="shared" si="354"/>
        <v>0</v>
      </c>
      <c r="T193" s="11">
        <f t="shared" si="354"/>
        <v>0</v>
      </c>
      <c r="U193" s="11">
        <f t="shared" si="354"/>
        <v>0</v>
      </c>
      <c r="V193" s="11">
        <f t="shared" si="354"/>
        <v>0</v>
      </c>
      <c r="W193" s="11">
        <f t="shared" si="354"/>
        <v>0</v>
      </c>
      <c r="X193" s="11">
        <f t="shared" si="354"/>
        <v>0</v>
      </c>
      <c r="Y193" s="11">
        <f t="shared" si="354"/>
        <v>0</v>
      </c>
      <c r="Z193" s="11">
        <f t="shared" si="354"/>
        <v>0</v>
      </c>
      <c r="AA193" s="11">
        <f t="shared" si="354"/>
        <v>0</v>
      </c>
      <c r="AB193" s="11">
        <f t="shared" si="354"/>
        <v>0</v>
      </c>
      <c r="AC193" s="11">
        <f t="shared" si="354"/>
        <v>0</v>
      </c>
      <c r="AD193" s="11">
        <f t="shared" si="354"/>
        <v>0</v>
      </c>
      <c r="AE193" s="11">
        <f t="shared" si="354"/>
        <v>0</v>
      </c>
      <c r="AF193" s="11">
        <f t="shared" si="354"/>
        <v>0</v>
      </c>
      <c r="AG193" s="11">
        <f t="shared" si="354"/>
        <v>0</v>
      </c>
      <c r="AH193" s="11">
        <f t="shared" si="354"/>
        <v>0</v>
      </c>
      <c r="AI193" s="11">
        <f t="shared" si="354"/>
        <v>0</v>
      </c>
      <c r="AJ193" s="11">
        <f t="shared" si="354"/>
        <v>0</v>
      </c>
      <c r="AK193" s="11">
        <f t="shared" si="354"/>
        <v>0</v>
      </c>
      <c r="AL193" s="11">
        <f t="shared" si="354"/>
        <v>0</v>
      </c>
      <c r="AM193" s="11">
        <f t="shared" si="354"/>
        <v>0</v>
      </c>
      <c r="AN193" s="11">
        <f t="shared" si="354"/>
        <v>0</v>
      </c>
      <c r="AO193" s="11">
        <f t="shared" si="354"/>
        <v>0</v>
      </c>
      <c r="AP193" s="11">
        <f t="shared" si="354"/>
        <v>0</v>
      </c>
      <c r="AQ193" s="11">
        <f t="shared" si="354"/>
        <v>0</v>
      </c>
      <c r="AR193" s="11">
        <f t="shared" si="354"/>
        <v>0</v>
      </c>
      <c r="AS193" s="11">
        <f t="shared" si="354"/>
        <v>0</v>
      </c>
      <c r="AT193" s="11">
        <f t="shared" si="354"/>
        <v>0</v>
      </c>
      <c r="AU193" s="11">
        <f t="shared" si="354"/>
        <v>0</v>
      </c>
      <c r="AV193" s="11"/>
      <c r="AW193" s="11"/>
      <c r="AX193" s="11">
        <f t="shared" si="354"/>
        <v>0</v>
      </c>
      <c r="AY193" s="11">
        <f t="shared" si="354"/>
        <v>0</v>
      </c>
      <c r="AZ193" s="11">
        <f t="shared" si="354"/>
        <v>0</v>
      </c>
      <c r="BA193" s="11">
        <f t="shared" si="354"/>
        <v>0</v>
      </c>
      <c r="BB193" s="11">
        <f t="shared" si="354"/>
        <v>0</v>
      </c>
      <c r="BC193" s="11">
        <f t="shared" si="354"/>
        <v>201244051</v>
      </c>
      <c r="BD193" s="11">
        <f t="shared" si="354"/>
        <v>0</v>
      </c>
      <c r="BE193" s="11">
        <f t="shared" si="354"/>
        <v>0</v>
      </c>
      <c r="BF193" s="11">
        <f t="shared" si="354"/>
        <v>0</v>
      </c>
      <c r="BG193" s="11">
        <f t="shared" si="354"/>
        <v>0</v>
      </c>
      <c r="BH193" s="11">
        <f t="shared" si="354"/>
        <v>0</v>
      </c>
      <c r="BI193" s="11">
        <f t="shared" si="354"/>
        <v>0</v>
      </c>
      <c r="BJ193" s="11">
        <f t="shared" si="354"/>
        <v>0</v>
      </c>
      <c r="BK193" s="11">
        <f t="shared" si="354"/>
        <v>0</v>
      </c>
      <c r="BL193" s="11">
        <f t="shared" si="354"/>
        <v>0</v>
      </c>
      <c r="BM193" s="11">
        <f t="shared" si="354"/>
        <v>0</v>
      </c>
      <c r="BN193" s="11">
        <f t="shared" si="354"/>
        <v>0</v>
      </c>
      <c r="BO193" s="11">
        <f t="shared" si="354"/>
        <v>0</v>
      </c>
      <c r="BP193" s="11">
        <f t="shared" si="354"/>
        <v>201244051</v>
      </c>
      <c r="BQ193" s="11">
        <f t="shared" si="354"/>
        <v>0</v>
      </c>
      <c r="BR193" s="11">
        <f t="shared" si="354"/>
        <v>0</v>
      </c>
      <c r="BS193" s="11">
        <f t="shared" si="354"/>
        <v>0</v>
      </c>
      <c r="BT193" s="11">
        <f t="shared" si="354"/>
        <v>0</v>
      </c>
      <c r="BU193" s="11">
        <f t="shared" si="354"/>
        <v>0</v>
      </c>
      <c r="BV193" s="11">
        <f t="shared" si="354"/>
        <v>0</v>
      </c>
      <c r="BW193" s="11">
        <f t="shared" ref="BW193:CX193" si="355">SUM(BW194)</f>
        <v>168818987</v>
      </c>
      <c r="BX193" s="11">
        <f t="shared" si="355"/>
        <v>0</v>
      </c>
      <c r="BY193" s="11">
        <f t="shared" si="355"/>
        <v>0</v>
      </c>
      <c r="BZ193" s="11">
        <f t="shared" si="355"/>
        <v>32425064</v>
      </c>
      <c r="CA193" s="11">
        <f t="shared" si="355"/>
        <v>0</v>
      </c>
      <c r="CB193" s="11">
        <f t="shared" si="355"/>
        <v>0</v>
      </c>
      <c r="CC193" s="11">
        <f t="shared" si="355"/>
        <v>0</v>
      </c>
      <c r="CD193" s="11">
        <f t="shared" si="355"/>
        <v>0</v>
      </c>
      <c r="CE193" s="11">
        <f t="shared" si="355"/>
        <v>0</v>
      </c>
      <c r="CF193" s="11">
        <f t="shared" si="355"/>
        <v>0</v>
      </c>
      <c r="CG193" s="11">
        <f t="shared" si="355"/>
        <v>0</v>
      </c>
      <c r="CH193" s="11">
        <f t="shared" si="355"/>
        <v>0</v>
      </c>
      <c r="CI193" s="11">
        <f t="shared" si="355"/>
        <v>0</v>
      </c>
      <c r="CJ193" s="11">
        <f t="shared" si="355"/>
        <v>0</v>
      </c>
      <c r="CK193" s="11">
        <f t="shared" si="355"/>
        <v>0</v>
      </c>
      <c r="CL193" s="11">
        <f t="shared" si="355"/>
        <v>0</v>
      </c>
      <c r="CM193" s="11">
        <f t="shared" si="355"/>
        <v>0</v>
      </c>
      <c r="CN193" s="11">
        <f t="shared" si="355"/>
        <v>0</v>
      </c>
      <c r="CO193" s="11">
        <f t="shared" si="355"/>
        <v>0</v>
      </c>
      <c r="CP193" s="11"/>
      <c r="CQ193" s="11">
        <f t="shared" si="355"/>
        <v>0</v>
      </c>
      <c r="CR193" s="11">
        <f t="shared" si="355"/>
        <v>0</v>
      </c>
      <c r="CS193" s="11">
        <f t="shared" si="355"/>
        <v>0</v>
      </c>
      <c r="CT193" s="11">
        <f t="shared" si="355"/>
        <v>0</v>
      </c>
      <c r="CU193" s="11">
        <f t="shared" si="355"/>
        <v>0</v>
      </c>
      <c r="CV193" s="11">
        <f t="shared" si="355"/>
        <v>0</v>
      </c>
      <c r="CW193" s="11">
        <f t="shared" si="355"/>
        <v>0</v>
      </c>
      <c r="CX193" s="12">
        <f t="shared" si="355"/>
        <v>0</v>
      </c>
    </row>
    <row r="194" spans="1:102" ht="31.5" x14ac:dyDescent="0.25">
      <c r="A194" s="13"/>
      <c r="B194" s="14" t="s">
        <v>1</v>
      </c>
      <c r="C194" s="14" t="s">
        <v>99</v>
      </c>
      <c r="D194" s="15" t="s">
        <v>344</v>
      </c>
      <c r="E194" s="10">
        <f>SUM(F194+CB194+CU194)</f>
        <v>201244051</v>
      </c>
      <c r="F194" s="11">
        <f>SUM(G194+BC194)</f>
        <v>201244051</v>
      </c>
      <c r="G194" s="11">
        <f>SUM(H194+I194+J194+Q194+T194+U194+V194+AF194+AE194)</f>
        <v>0</v>
      </c>
      <c r="H194" s="11">
        <v>0</v>
      </c>
      <c r="I194" s="11">
        <v>0</v>
      </c>
      <c r="J194" s="11">
        <f t="shared" si="279"/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f t="shared" si="280"/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f t="shared" ref="V194" si="356">SUM(W194:AD194)</f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f>SUM(AG194:BB194)</f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11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/>
      <c r="AW194" s="11"/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f>SUM(BD194+BH194+BL194+BN194+BP194)</f>
        <v>201244051</v>
      </c>
      <c r="BD194" s="11">
        <f>SUM(BE194:BG194)</f>
        <v>0</v>
      </c>
      <c r="BE194" s="11">
        <v>0</v>
      </c>
      <c r="BF194" s="11">
        <v>0</v>
      </c>
      <c r="BG194" s="11">
        <v>0</v>
      </c>
      <c r="BH194" s="11">
        <f t="shared" si="282"/>
        <v>0</v>
      </c>
      <c r="BI194" s="11">
        <v>0</v>
      </c>
      <c r="BJ194" s="11">
        <v>0</v>
      </c>
      <c r="BK194" s="11">
        <v>0</v>
      </c>
      <c r="BL194" s="11">
        <v>0</v>
      </c>
      <c r="BM194" s="11">
        <v>0</v>
      </c>
      <c r="BN194" s="11">
        <f t="shared" si="283"/>
        <v>0</v>
      </c>
      <c r="BO194" s="11">
        <v>0</v>
      </c>
      <c r="BP194" s="11">
        <f t="shared" si="284"/>
        <v>201244051</v>
      </c>
      <c r="BQ194" s="11">
        <v>0</v>
      </c>
      <c r="BR194" s="11">
        <v>0</v>
      </c>
      <c r="BS194" s="11">
        <v>0</v>
      </c>
      <c r="BT194" s="11">
        <v>0</v>
      </c>
      <c r="BU194" s="11">
        <v>0</v>
      </c>
      <c r="BV194" s="11">
        <v>0</v>
      </c>
      <c r="BW194" s="16">
        <f>176028444-7209457</f>
        <v>168818987</v>
      </c>
      <c r="BX194" s="11">
        <v>0</v>
      </c>
      <c r="BY194" s="11">
        <v>0</v>
      </c>
      <c r="BZ194" s="16">
        <f>30102149+2322915</f>
        <v>32425064</v>
      </c>
      <c r="CA194" s="11">
        <v>0</v>
      </c>
      <c r="CB194" s="11">
        <f>SUM(CC194+CT194)</f>
        <v>0</v>
      </c>
      <c r="CC194" s="11">
        <f>SUM(CD194+CG194+CL194)</f>
        <v>0</v>
      </c>
      <c r="CD194" s="11">
        <f t="shared" si="285"/>
        <v>0</v>
      </c>
      <c r="CE194" s="11">
        <v>0</v>
      </c>
      <c r="CF194" s="11">
        <v>0</v>
      </c>
      <c r="CG194" s="11">
        <f>SUM(CH194:CK194)</f>
        <v>0</v>
      </c>
      <c r="CH194" s="11">
        <v>0</v>
      </c>
      <c r="CI194" s="11">
        <v>0</v>
      </c>
      <c r="CJ194" s="11">
        <v>0</v>
      </c>
      <c r="CK194" s="11">
        <v>0</v>
      </c>
      <c r="CL194" s="11">
        <f>SUM(CM194:CQ194)</f>
        <v>0</v>
      </c>
      <c r="CM194" s="11">
        <v>0</v>
      </c>
      <c r="CN194" s="11">
        <v>0</v>
      </c>
      <c r="CO194" s="11">
        <v>0</v>
      </c>
      <c r="CP194" s="11"/>
      <c r="CQ194" s="11">
        <v>0</v>
      </c>
      <c r="CR194" s="11">
        <v>0</v>
      </c>
      <c r="CS194" s="11">
        <v>0</v>
      </c>
      <c r="CT194" s="11">
        <v>0</v>
      </c>
      <c r="CU194" s="11">
        <f t="shared" si="286"/>
        <v>0</v>
      </c>
      <c r="CV194" s="11">
        <f t="shared" si="287"/>
        <v>0</v>
      </c>
      <c r="CW194" s="11">
        <v>0</v>
      </c>
      <c r="CX194" s="12">
        <v>0</v>
      </c>
    </row>
    <row r="195" spans="1:102" ht="31.5" x14ac:dyDescent="0.25">
      <c r="A195" s="7"/>
      <c r="B195" s="8" t="s">
        <v>345</v>
      </c>
      <c r="C195" s="8" t="s">
        <v>1</v>
      </c>
      <c r="D195" s="9" t="s">
        <v>346</v>
      </c>
      <c r="E195" s="10">
        <f t="shared" ref="E195:AL195" si="357">SUM(E196)</f>
        <v>17279783</v>
      </c>
      <c r="F195" s="11">
        <f t="shared" si="357"/>
        <v>17279783</v>
      </c>
      <c r="G195" s="11">
        <f t="shared" si="357"/>
        <v>0</v>
      </c>
      <c r="H195" s="11">
        <f t="shared" si="357"/>
        <v>0</v>
      </c>
      <c r="I195" s="11">
        <f t="shared" si="357"/>
        <v>0</v>
      </c>
      <c r="J195" s="11">
        <f t="shared" si="357"/>
        <v>0</v>
      </c>
      <c r="K195" s="11">
        <f t="shared" si="357"/>
        <v>0</v>
      </c>
      <c r="L195" s="11">
        <f t="shared" si="357"/>
        <v>0</v>
      </c>
      <c r="M195" s="11">
        <f t="shared" si="357"/>
        <v>0</v>
      </c>
      <c r="N195" s="11">
        <f t="shared" si="357"/>
        <v>0</v>
      </c>
      <c r="O195" s="11">
        <f t="shared" si="357"/>
        <v>0</v>
      </c>
      <c r="P195" s="11">
        <f t="shared" si="357"/>
        <v>0</v>
      </c>
      <c r="Q195" s="11">
        <f t="shared" si="357"/>
        <v>0</v>
      </c>
      <c r="R195" s="11">
        <f t="shared" si="357"/>
        <v>0</v>
      </c>
      <c r="S195" s="11">
        <f t="shared" si="357"/>
        <v>0</v>
      </c>
      <c r="T195" s="11">
        <f t="shared" si="357"/>
        <v>0</v>
      </c>
      <c r="U195" s="11">
        <f t="shared" si="357"/>
        <v>0</v>
      </c>
      <c r="V195" s="11">
        <f t="shared" si="357"/>
        <v>0</v>
      </c>
      <c r="W195" s="11">
        <f t="shared" si="357"/>
        <v>0</v>
      </c>
      <c r="X195" s="11">
        <f t="shared" si="357"/>
        <v>0</v>
      </c>
      <c r="Y195" s="11">
        <f t="shared" si="357"/>
        <v>0</v>
      </c>
      <c r="Z195" s="11">
        <f t="shared" si="357"/>
        <v>0</v>
      </c>
      <c r="AA195" s="11">
        <f t="shared" si="357"/>
        <v>0</v>
      </c>
      <c r="AB195" s="11">
        <f t="shared" si="357"/>
        <v>0</v>
      </c>
      <c r="AC195" s="11">
        <f t="shared" si="357"/>
        <v>0</v>
      </c>
      <c r="AD195" s="11">
        <f t="shared" si="357"/>
        <v>0</v>
      </c>
      <c r="AE195" s="11">
        <f t="shared" si="357"/>
        <v>0</v>
      </c>
      <c r="AF195" s="11">
        <f t="shared" si="357"/>
        <v>0</v>
      </c>
      <c r="AG195" s="11">
        <f t="shared" si="357"/>
        <v>0</v>
      </c>
      <c r="AH195" s="11">
        <f t="shared" si="357"/>
        <v>0</v>
      </c>
      <c r="AI195" s="11">
        <f t="shared" si="357"/>
        <v>0</v>
      </c>
      <c r="AJ195" s="11">
        <f t="shared" si="357"/>
        <v>0</v>
      </c>
      <c r="AK195" s="11">
        <f t="shared" si="357"/>
        <v>0</v>
      </c>
      <c r="AL195" s="11">
        <f t="shared" si="357"/>
        <v>0</v>
      </c>
      <c r="AM195" s="11">
        <f t="shared" ref="AM195:CX195" si="358">SUM(AM196)</f>
        <v>0</v>
      </c>
      <c r="AN195" s="11">
        <f t="shared" si="358"/>
        <v>0</v>
      </c>
      <c r="AO195" s="11">
        <f t="shared" si="358"/>
        <v>0</v>
      </c>
      <c r="AP195" s="11">
        <f t="shared" si="358"/>
        <v>0</v>
      </c>
      <c r="AQ195" s="11">
        <f t="shared" si="358"/>
        <v>0</v>
      </c>
      <c r="AR195" s="11">
        <f t="shared" si="358"/>
        <v>0</v>
      </c>
      <c r="AS195" s="11">
        <f t="shared" si="358"/>
        <v>0</v>
      </c>
      <c r="AT195" s="11">
        <f t="shared" si="358"/>
        <v>0</v>
      </c>
      <c r="AU195" s="11">
        <f t="shared" si="358"/>
        <v>0</v>
      </c>
      <c r="AV195" s="11"/>
      <c r="AW195" s="11"/>
      <c r="AX195" s="11">
        <f t="shared" si="358"/>
        <v>0</v>
      </c>
      <c r="AY195" s="11">
        <f t="shared" si="358"/>
        <v>0</v>
      </c>
      <c r="AZ195" s="11">
        <f t="shared" si="358"/>
        <v>0</v>
      </c>
      <c r="BA195" s="11">
        <f t="shared" si="358"/>
        <v>0</v>
      </c>
      <c r="BB195" s="11">
        <f t="shared" si="358"/>
        <v>0</v>
      </c>
      <c r="BC195" s="11">
        <f t="shared" si="358"/>
        <v>17279783</v>
      </c>
      <c r="BD195" s="11">
        <f t="shared" si="358"/>
        <v>0</v>
      </c>
      <c r="BE195" s="11">
        <f t="shared" si="358"/>
        <v>0</v>
      </c>
      <c r="BF195" s="11">
        <f t="shared" si="358"/>
        <v>0</v>
      </c>
      <c r="BG195" s="11">
        <f t="shared" si="358"/>
        <v>0</v>
      </c>
      <c r="BH195" s="11">
        <f t="shared" si="358"/>
        <v>0</v>
      </c>
      <c r="BI195" s="11">
        <f t="shared" si="358"/>
        <v>0</v>
      </c>
      <c r="BJ195" s="11">
        <f t="shared" si="358"/>
        <v>0</v>
      </c>
      <c r="BK195" s="11">
        <f t="shared" si="358"/>
        <v>0</v>
      </c>
      <c r="BL195" s="11">
        <f t="shared" si="358"/>
        <v>0</v>
      </c>
      <c r="BM195" s="11">
        <f t="shared" si="358"/>
        <v>0</v>
      </c>
      <c r="BN195" s="11">
        <f t="shared" si="358"/>
        <v>0</v>
      </c>
      <c r="BO195" s="11">
        <f t="shared" si="358"/>
        <v>0</v>
      </c>
      <c r="BP195" s="11">
        <f t="shared" si="358"/>
        <v>17279783</v>
      </c>
      <c r="BQ195" s="11">
        <f t="shared" si="358"/>
        <v>0</v>
      </c>
      <c r="BR195" s="11">
        <f t="shared" si="358"/>
        <v>0</v>
      </c>
      <c r="BS195" s="11">
        <f t="shared" si="358"/>
        <v>0</v>
      </c>
      <c r="BT195" s="11">
        <f t="shared" si="358"/>
        <v>17279783</v>
      </c>
      <c r="BU195" s="11">
        <f t="shared" si="358"/>
        <v>0</v>
      </c>
      <c r="BV195" s="11">
        <f t="shared" si="358"/>
        <v>0</v>
      </c>
      <c r="BW195" s="11">
        <f t="shared" si="358"/>
        <v>0</v>
      </c>
      <c r="BX195" s="11">
        <f t="shared" si="358"/>
        <v>0</v>
      </c>
      <c r="BY195" s="11">
        <f t="shared" si="358"/>
        <v>0</v>
      </c>
      <c r="BZ195" s="11">
        <f t="shared" si="358"/>
        <v>0</v>
      </c>
      <c r="CA195" s="11">
        <f t="shared" si="358"/>
        <v>0</v>
      </c>
      <c r="CB195" s="11">
        <f t="shared" si="358"/>
        <v>0</v>
      </c>
      <c r="CC195" s="11">
        <f t="shared" si="358"/>
        <v>0</v>
      </c>
      <c r="CD195" s="11">
        <f t="shared" si="358"/>
        <v>0</v>
      </c>
      <c r="CE195" s="11">
        <f t="shared" si="358"/>
        <v>0</v>
      </c>
      <c r="CF195" s="11">
        <f t="shared" si="358"/>
        <v>0</v>
      </c>
      <c r="CG195" s="11">
        <f t="shared" si="358"/>
        <v>0</v>
      </c>
      <c r="CH195" s="11">
        <f t="shared" si="358"/>
        <v>0</v>
      </c>
      <c r="CI195" s="11">
        <f t="shared" si="358"/>
        <v>0</v>
      </c>
      <c r="CJ195" s="11">
        <f t="shared" si="358"/>
        <v>0</v>
      </c>
      <c r="CK195" s="11">
        <f t="shared" si="358"/>
        <v>0</v>
      </c>
      <c r="CL195" s="11">
        <f t="shared" si="358"/>
        <v>0</v>
      </c>
      <c r="CM195" s="11">
        <f t="shared" si="358"/>
        <v>0</v>
      </c>
      <c r="CN195" s="11">
        <f t="shared" si="358"/>
        <v>0</v>
      </c>
      <c r="CO195" s="11">
        <f t="shared" si="358"/>
        <v>0</v>
      </c>
      <c r="CP195" s="11"/>
      <c r="CQ195" s="11">
        <f t="shared" si="358"/>
        <v>0</v>
      </c>
      <c r="CR195" s="11">
        <f t="shared" si="358"/>
        <v>0</v>
      </c>
      <c r="CS195" s="11">
        <f t="shared" si="358"/>
        <v>0</v>
      </c>
      <c r="CT195" s="11">
        <f t="shared" si="358"/>
        <v>0</v>
      </c>
      <c r="CU195" s="11">
        <f t="shared" si="358"/>
        <v>0</v>
      </c>
      <c r="CV195" s="11">
        <f t="shared" si="358"/>
        <v>0</v>
      </c>
      <c r="CW195" s="11">
        <f t="shared" si="358"/>
        <v>0</v>
      </c>
      <c r="CX195" s="12">
        <f t="shared" si="358"/>
        <v>0</v>
      </c>
    </row>
    <row r="196" spans="1:102" ht="15.75" x14ac:dyDescent="0.25">
      <c r="A196" s="13"/>
      <c r="B196" s="14" t="s">
        <v>1</v>
      </c>
      <c r="C196" s="14" t="s">
        <v>125</v>
      </c>
      <c r="D196" s="15" t="s">
        <v>61</v>
      </c>
      <c r="E196" s="10">
        <f>SUM(F196+CB196+CU196)</f>
        <v>17279783</v>
      </c>
      <c r="F196" s="11">
        <f>SUM(G196+BC196)</f>
        <v>17279783</v>
      </c>
      <c r="G196" s="11">
        <f>SUM(H196+I196+J196+Q196+T196+U196+V196+AF196+AE196)</f>
        <v>0</v>
      </c>
      <c r="H196" s="11">
        <v>0</v>
      </c>
      <c r="I196" s="11">
        <v>0</v>
      </c>
      <c r="J196" s="11">
        <f t="shared" si="279"/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f t="shared" si="280"/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f t="shared" ref="V196" si="359">SUM(W196:AD196)</f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f>SUM(AG196:BB196)</f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/>
      <c r="AW196" s="11"/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f>SUM(BD196+BH196+BL196+BN196+BP196)</f>
        <v>17279783</v>
      </c>
      <c r="BD196" s="11">
        <f>SUM(BE196:BG196)</f>
        <v>0</v>
      </c>
      <c r="BE196" s="11">
        <v>0</v>
      </c>
      <c r="BF196" s="11">
        <v>0</v>
      </c>
      <c r="BG196" s="11">
        <v>0</v>
      </c>
      <c r="BH196" s="11">
        <f t="shared" si="282"/>
        <v>0</v>
      </c>
      <c r="BI196" s="11">
        <v>0</v>
      </c>
      <c r="BJ196" s="11">
        <v>0</v>
      </c>
      <c r="BK196" s="11">
        <v>0</v>
      </c>
      <c r="BL196" s="11">
        <v>0</v>
      </c>
      <c r="BM196" s="11">
        <v>0</v>
      </c>
      <c r="BN196" s="11">
        <f t="shared" si="283"/>
        <v>0</v>
      </c>
      <c r="BO196" s="11">
        <v>0</v>
      </c>
      <c r="BP196" s="11">
        <f t="shared" si="284"/>
        <v>17279783</v>
      </c>
      <c r="BQ196" s="11">
        <v>0</v>
      </c>
      <c r="BR196" s="11">
        <v>0</v>
      </c>
      <c r="BS196" s="11">
        <v>0</v>
      </c>
      <c r="BT196" s="16">
        <v>17279783</v>
      </c>
      <c r="BU196" s="11">
        <v>0</v>
      </c>
      <c r="BV196" s="11">
        <v>0</v>
      </c>
      <c r="BW196" s="11">
        <v>0</v>
      </c>
      <c r="BX196" s="11">
        <v>0</v>
      </c>
      <c r="BY196" s="11">
        <v>0</v>
      </c>
      <c r="BZ196" s="11">
        <v>0</v>
      </c>
      <c r="CA196" s="11">
        <v>0</v>
      </c>
      <c r="CB196" s="11">
        <f>SUM(CC196+CT196)</f>
        <v>0</v>
      </c>
      <c r="CC196" s="11">
        <f>SUM(CD196+CG196+CL196)</f>
        <v>0</v>
      </c>
      <c r="CD196" s="11">
        <f t="shared" si="285"/>
        <v>0</v>
      </c>
      <c r="CE196" s="11">
        <v>0</v>
      </c>
      <c r="CF196" s="11">
        <v>0</v>
      </c>
      <c r="CG196" s="11">
        <f>SUM(CH196:CK196)</f>
        <v>0</v>
      </c>
      <c r="CH196" s="11">
        <v>0</v>
      </c>
      <c r="CI196" s="11">
        <v>0</v>
      </c>
      <c r="CJ196" s="11">
        <v>0</v>
      </c>
      <c r="CK196" s="11">
        <v>0</v>
      </c>
      <c r="CL196" s="11">
        <f>SUM(CM196:CQ196)</f>
        <v>0</v>
      </c>
      <c r="CM196" s="11">
        <v>0</v>
      </c>
      <c r="CN196" s="11">
        <v>0</v>
      </c>
      <c r="CO196" s="11">
        <v>0</v>
      </c>
      <c r="CP196" s="11"/>
      <c r="CQ196" s="11">
        <v>0</v>
      </c>
      <c r="CR196" s="11">
        <v>0</v>
      </c>
      <c r="CS196" s="11">
        <v>0</v>
      </c>
      <c r="CT196" s="11">
        <v>0</v>
      </c>
      <c r="CU196" s="11">
        <f t="shared" si="286"/>
        <v>0</v>
      </c>
      <c r="CV196" s="11">
        <f t="shared" si="287"/>
        <v>0</v>
      </c>
      <c r="CW196" s="11">
        <v>0</v>
      </c>
      <c r="CX196" s="12">
        <v>0</v>
      </c>
    </row>
    <row r="197" spans="1:102" ht="31.5" x14ac:dyDescent="0.25">
      <c r="A197" s="7"/>
      <c r="B197" s="8" t="s">
        <v>347</v>
      </c>
      <c r="C197" s="8" t="s">
        <v>1</v>
      </c>
      <c r="D197" s="9" t="s">
        <v>348</v>
      </c>
      <c r="E197" s="10">
        <f t="shared" ref="E197:AL197" si="360">SUM(E198)</f>
        <v>100000</v>
      </c>
      <c r="F197" s="11">
        <f t="shared" si="360"/>
        <v>100000</v>
      </c>
      <c r="G197" s="11">
        <f t="shared" si="360"/>
        <v>0</v>
      </c>
      <c r="H197" s="11">
        <f t="shared" si="360"/>
        <v>0</v>
      </c>
      <c r="I197" s="11">
        <f t="shared" si="360"/>
        <v>0</v>
      </c>
      <c r="J197" s="11">
        <f t="shared" si="360"/>
        <v>0</v>
      </c>
      <c r="K197" s="11">
        <f t="shared" si="360"/>
        <v>0</v>
      </c>
      <c r="L197" s="11">
        <f t="shared" si="360"/>
        <v>0</v>
      </c>
      <c r="M197" s="11">
        <f t="shared" si="360"/>
        <v>0</v>
      </c>
      <c r="N197" s="11">
        <f t="shared" si="360"/>
        <v>0</v>
      </c>
      <c r="O197" s="11">
        <f t="shared" si="360"/>
        <v>0</v>
      </c>
      <c r="P197" s="11">
        <f t="shared" si="360"/>
        <v>0</v>
      </c>
      <c r="Q197" s="11">
        <f t="shared" si="360"/>
        <v>0</v>
      </c>
      <c r="R197" s="11">
        <f t="shared" si="360"/>
        <v>0</v>
      </c>
      <c r="S197" s="11">
        <f t="shared" si="360"/>
        <v>0</v>
      </c>
      <c r="T197" s="11">
        <f t="shared" si="360"/>
        <v>0</v>
      </c>
      <c r="U197" s="11">
        <f t="shared" si="360"/>
        <v>0</v>
      </c>
      <c r="V197" s="11">
        <f t="shared" si="360"/>
        <v>0</v>
      </c>
      <c r="W197" s="11">
        <f t="shared" si="360"/>
        <v>0</v>
      </c>
      <c r="X197" s="11">
        <f t="shared" si="360"/>
        <v>0</v>
      </c>
      <c r="Y197" s="11">
        <f t="shared" si="360"/>
        <v>0</v>
      </c>
      <c r="Z197" s="11">
        <f t="shared" si="360"/>
        <v>0</v>
      </c>
      <c r="AA197" s="11">
        <f t="shared" si="360"/>
        <v>0</v>
      </c>
      <c r="AB197" s="11">
        <f t="shared" si="360"/>
        <v>0</v>
      </c>
      <c r="AC197" s="11">
        <f t="shared" si="360"/>
        <v>0</v>
      </c>
      <c r="AD197" s="11">
        <f t="shared" si="360"/>
        <v>0</v>
      </c>
      <c r="AE197" s="11">
        <f t="shared" si="360"/>
        <v>0</v>
      </c>
      <c r="AF197" s="11">
        <f t="shared" si="360"/>
        <v>0</v>
      </c>
      <c r="AG197" s="11">
        <f t="shared" si="360"/>
        <v>0</v>
      </c>
      <c r="AH197" s="11">
        <f t="shared" si="360"/>
        <v>0</v>
      </c>
      <c r="AI197" s="11">
        <f t="shared" si="360"/>
        <v>0</v>
      </c>
      <c r="AJ197" s="11">
        <f t="shared" si="360"/>
        <v>0</v>
      </c>
      <c r="AK197" s="11">
        <f t="shared" si="360"/>
        <v>0</v>
      </c>
      <c r="AL197" s="11">
        <f t="shared" si="360"/>
        <v>0</v>
      </c>
      <c r="AM197" s="11">
        <f t="shared" ref="AM197:CX197" si="361">SUM(AM198)</f>
        <v>0</v>
      </c>
      <c r="AN197" s="11">
        <f t="shared" si="361"/>
        <v>0</v>
      </c>
      <c r="AO197" s="11">
        <f t="shared" si="361"/>
        <v>0</v>
      </c>
      <c r="AP197" s="11">
        <f t="shared" si="361"/>
        <v>0</v>
      </c>
      <c r="AQ197" s="11">
        <f t="shared" si="361"/>
        <v>0</v>
      </c>
      <c r="AR197" s="11">
        <f t="shared" si="361"/>
        <v>0</v>
      </c>
      <c r="AS197" s="11">
        <f t="shared" si="361"/>
        <v>0</v>
      </c>
      <c r="AT197" s="11">
        <f t="shared" si="361"/>
        <v>0</v>
      </c>
      <c r="AU197" s="11">
        <f t="shared" si="361"/>
        <v>0</v>
      </c>
      <c r="AV197" s="11"/>
      <c r="AW197" s="11"/>
      <c r="AX197" s="11">
        <f t="shared" si="361"/>
        <v>0</v>
      </c>
      <c r="AY197" s="11">
        <f t="shared" si="361"/>
        <v>0</v>
      </c>
      <c r="AZ197" s="11">
        <f t="shared" si="361"/>
        <v>0</v>
      </c>
      <c r="BA197" s="11">
        <f t="shared" si="361"/>
        <v>0</v>
      </c>
      <c r="BB197" s="11">
        <f t="shared" si="361"/>
        <v>0</v>
      </c>
      <c r="BC197" s="11">
        <f t="shared" si="361"/>
        <v>100000</v>
      </c>
      <c r="BD197" s="11">
        <f t="shared" si="361"/>
        <v>0</v>
      </c>
      <c r="BE197" s="11">
        <f t="shared" si="361"/>
        <v>0</v>
      </c>
      <c r="BF197" s="11">
        <f t="shared" si="361"/>
        <v>0</v>
      </c>
      <c r="BG197" s="11">
        <f t="shared" si="361"/>
        <v>0</v>
      </c>
      <c r="BH197" s="11">
        <f t="shared" si="361"/>
        <v>0</v>
      </c>
      <c r="BI197" s="11">
        <f t="shared" si="361"/>
        <v>0</v>
      </c>
      <c r="BJ197" s="11">
        <f t="shared" si="361"/>
        <v>0</v>
      </c>
      <c r="BK197" s="11">
        <f t="shared" si="361"/>
        <v>0</v>
      </c>
      <c r="BL197" s="11">
        <f t="shared" si="361"/>
        <v>0</v>
      </c>
      <c r="BM197" s="11">
        <f t="shared" si="361"/>
        <v>0</v>
      </c>
      <c r="BN197" s="11">
        <f t="shared" si="361"/>
        <v>0</v>
      </c>
      <c r="BO197" s="11">
        <f t="shared" si="361"/>
        <v>0</v>
      </c>
      <c r="BP197" s="11">
        <f t="shared" si="361"/>
        <v>100000</v>
      </c>
      <c r="BQ197" s="11">
        <f t="shared" si="361"/>
        <v>0</v>
      </c>
      <c r="BR197" s="11">
        <f t="shared" si="361"/>
        <v>0</v>
      </c>
      <c r="BS197" s="11">
        <f t="shared" si="361"/>
        <v>0</v>
      </c>
      <c r="BT197" s="11">
        <f t="shared" si="361"/>
        <v>0</v>
      </c>
      <c r="BU197" s="11">
        <f t="shared" si="361"/>
        <v>100000</v>
      </c>
      <c r="BV197" s="11">
        <f t="shared" si="361"/>
        <v>0</v>
      </c>
      <c r="BW197" s="11">
        <f t="shared" si="361"/>
        <v>0</v>
      </c>
      <c r="BX197" s="11">
        <f t="shared" si="361"/>
        <v>0</v>
      </c>
      <c r="BY197" s="11">
        <f t="shared" si="361"/>
        <v>0</v>
      </c>
      <c r="BZ197" s="11">
        <f t="shared" si="361"/>
        <v>0</v>
      </c>
      <c r="CA197" s="11">
        <f t="shared" si="361"/>
        <v>0</v>
      </c>
      <c r="CB197" s="11">
        <f t="shared" si="361"/>
        <v>0</v>
      </c>
      <c r="CC197" s="11">
        <f t="shared" si="361"/>
        <v>0</v>
      </c>
      <c r="CD197" s="11">
        <f t="shared" si="361"/>
        <v>0</v>
      </c>
      <c r="CE197" s="11">
        <f t="shared" si="361"/>
        <v>0</v>
      </c>
      <c r="CF197" s="11">
        <f t="shared" si="361"/>
        <v>0</v>
      </c>
      <c r="CG197" s="11">
        <f t="shared" si="361"/>
        <v>0</v>
      </c>
      <c r="CH197" s="11">
        <f t="shared" si="361"/>
        <v>0</v>
      </c>
      <c r="CI197" s="11">
        <f t="shared" si="361"/>
        <v>0</v>
      </c>
      <c r="CJ197" s="11">
        <f t="shared" si="361"/>
        <v>0</v>
      </c>
      <c r="CK197" s="11">
        <f t="shared" si="361"/>
        <v>0</v>
      </c>
      <c r="CL197" s="11">
        <f t="shared" si="361"/>
        <v>0</v>
      </c>
      <c r="CM197" s="11">
        <f t="shared" si="361"/>
        <v>0</v>
      </c>
      <c r="CN197" s="11">
        <f t="shared" si="361"/>
        <v>0</v>
      </c>
      <c r="CO197" s="11">
        <f t="shared" si="361"/>
        <v>0</v>
      </c>
      <c r="CP197" s="11"/>
      <c r="CQ197" s="11">
        <f t="shared" si="361"/>
        <v>0</v>
      </c>
      <c r="CR197" s="11">
        <f t="shared" si="361"/>
        <v>0</v>
      </c>
      <c r="CS197" s="11">
        <f t="shared" si="361"/>
        <v>0</v>
      </c>
      <c r="CT197" s="11">
        <f t="shared" si="361"/>
        <v>0</v>
      </c>
      <c r="CU197" s="11">
        <f t="shared" si="361"/>
        <v>0</v>
      </c>
      <c r="CV197" s="11">
        <f t="shared" si="361"/>
        <v>0</v>
      </c>
      <c r="CW197" s="11">
        <f t="shared" si="361"/>
        <v>0</v>
      </c>
      <c r="CX197" s="12">
        <f t="shared" si="361"/>
        <v>0</v>
      </c>
    </row>
    <row r="198" spans="1:102" ht="15.75" x14ac:dyDescent="0.25">
      <c r="A198" s="13"/>
      <c r="B198" s="14" t="s">
        <v>1</v>
      </c>
      <c r="C198" s="14" t="s">
        <v>125</v>
      </c>
      <c r="D198" s="15" t="s">
        <v>349</v>
      </c>
      <c r="E198" s="10">
        <f>SUM(F198+CB198+CU198)</f>
        <v>100000</v>
      </c>
      <c r="F198" s="11">
        <f>SUM(G198+BC198)</f>
        <v>100000</v>
      </c>
      <c r="G198" s="11">
        <f>SUM(H198+I198+J198+Q198+T198+U198+V198+AF198+AE198)</f>
        <v>0</v>
      </c>
      <c r="H198" s="11">
        <v>0</v>
      </c>
      <c r="I198" s="11">
        <v>0</v>
      </c>
      <c r="J198" s="11">
        <f t="shared" si="279"/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f t="shared" si="280"/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f t="shared" ref="V198" si="362">SUM(W198:AD198)</f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f>SUM(AG198:BB198)</f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/>
      <c r="AW198" s="11"/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f>SUM(BD198+BH198+BL198+BN198+BP198)</f>
        <v>100000</v>
      </c>
      <c r="BD198" s="11">
        <f>SUM(BE198:BG198)</f>
        <v>0</v>
      </c>
      <c r="BE198" s="11">
        <v>0</v>
      </c>
      <c r="BF198" s="11">
        <v>0</v>
      </c>
      <c r="BG198" s="11">
        <v>0</v>
      </c>
      <c r="BH198" s="11">
        <f t="shared" si="282"/>
        <v>0</v>
      </c>
      <c r="BI198" s="11">
        <v>0</v>
      </c>
      <c r="BJ198" s="11">
        <v>0</v>
      </c>
      <c r="BK198" s="11">
        <v>0</v>
      </c>
      <c r="BL198" s="11">
        <v>0</v>
      </c>
      <c r="BM198" s="11">
        <v>0</v>
      </c>
      <c r="BN198" s="11">
        <f t="shared" si="283"/>
        <v>0</v>
      </c>
      <c r="BO198" s="11">
        <v>0</v>
      </c>
      <c r="BP198" s="11">
        <f t="shared" si="284"/>
        <v>100000</v>
      </c>
      <c r="BQ198" s="11">
        <v>0</v>
      </c>
      <c r="BR198" s="11">
        <v>0</v>
      </c>
      <c r="BS198" s="11">
        <v>0</v>
      </c>
      <c r="BT198" s="11">
        <v>0</v>
      </c>
      <c r="BU198" s="11">
        <v>100000</v>
      </c>
      <c r="BV198" s="11">
        <v>0</v>
      </c>
      <c r="BW198" s="11">
        <v>0</v>
      </c>
      <c r="BX198" s="11">
        <v>0</v>
      </c>
      <c r="BY198" s="11">
        <v>0</v>
      </c>
      <c r="BZ198" s="11">
        <v>0</v>
      </c>
      <c r="CA198" s="11">
        <v>0</v>
      </c>
      <c r="CB198" s="11">
        <f>SUM(CC198+CT198)</f>
        <v>0</v>
      </c>
      <c r="CC198" s="11">
        <f>SUM(CD198+CG198+CL198)</f>
        <v>0</v>
      </c>
      <c r="CD198" s="11">
        <f t="shared" si="285"/>
        <v>0</v>
      </c>
      <c r="CE198" s="11">
        <v>0</v>
      </c>
      <c r="CF198" s="11">
        <v>0</v>
      </c>
      <c r="CG198" s="11">
        <f>SUM(CH198:CK198)</f>
        <v>0</v>
      </c>
      <c r="CH198" s="11">
        <v>0</v>
      </c>
      <c r="CI198" s="11">
        <v>0</v>
      </c>
      <c r="CJ198" s="11">
        <v>0</v>
      </c>
      <c r="CK198" s="11">
        <v>0</v>
      </c>
      <c r="CL198" s="11">
        <f>SUM(CM198:CQ198)</f>
        <v>0</v>
      </c>
      <c r="CM198" s="11">
        <v>0</v>
      </c>
      <c r="CN198" s="11">
        <v>0</v>
      </c>
      <c r="CO198" s="11">
        <v>0</v>
      </c>
      <c r="CP198" s="11"/>
      <c r="CQ198" s="11">
        <v>0</v>
      </c>
      <c r="CR198" s="11">
        <v>0</v>
      </c>
      <c r="CS198" s="11">
        <v>0</v>
      </c>
      <c r="CT198" s="11">
        <v>0</v>
      </c>
      <c r="CU198" s="11">
        <f t="shared" si="286"/>
        <v>0</v>
      </c>
      <c r="CV198" s="11">
        <f t="shared" si="287"/>
        <v>0</v>
      </c>
      <c r="CW198" s="11">
        <v>0</v>
      </c>
      <c r="CX198" s="12">
        <v>0</v>
      </c>
    </row>
    <row r="199" spans="1:102" ht="31.5" x14ac:dyDescent="0.25">
      <c r="A199" s="7"/>
      <c r="B199" s="8" t="s">
        <v>350</v>
      </c>
      <c r="C199" s="8" t="s">
        <v>1</v>
      </c>
      <c r="D199" s="9" t="s">
        <v>351</v>
      </c>
      <c r="E199" s="10">
        <f t="shared" ref="E199:AL199" si="363">SUM(E200)</f>
        <v>4586664</v>
      </c>
      <c r="F199" s="11">
        <f t="shared" si="363"/>
        <v>4586664</v>
      </c>
      <c r="G199" s="11">
        <f t="shared" si="363"/>
        <v>0</v>
      </c>
      <c r="H199" s="11">
        <f t="shared" si="363"/>
        <v>0</v>
      </c>
      <c r="I199" s="11">
        <f t="shared" si="363"/>
        <v>0</v>
      </c>
      <c r="J199" s="11">
        <f t="shared" si="363"/>
        <v>0</v>
      </c>
      <c r="K199" s="11">
        <f t="shared" si="363"/>
        <v>0</v>
      </c>
      <c r="L199" s="11">
        <f t="shared" si="363"/>
        <v>0</v>
      </c>
      <c r="M199" s="11">
        <f t="shared" si="363"/>
        <v>0</v>
      </c>
      <c r="N199" s="11">
        <f t="shared" si="363"/>
        <v>0</v>
      </c>
      <c r="O199" s="11">
        <f t="shared" si="363"/>
        <v>0</v>
      </c>
      <c r="P199" s="11">
        <f t="shared" si="363"/>
        <v>0</v>
      </c>
      <c r="Q199" s="11">
        <f t="shared" si="363"/>
        <v>0</v>
      </c>
      <c r="R199" s="11">
        <f t="shared" si="363"/>
        <v>0</v>
      </c>
      <c r="S199" s="11">
        <f t="shared" si="363"/>
        <v>0</v>
      </c>
      <c r="T199" s="11">
        <f t="shared" si="363"/>
        <v>0</v>
      </c>
      <c r="U199" s="11">
        <f t="shared" si="363"/>
        <v>0</v>
      </c>
      <c r="V199" s="11">
        <f t="shared" si="363"/>
        <v>0</v>
      </c>
      <c r="W199" s="11">
        <f t="shared" si="363"/>
        <v>0</v>
      </c>
      <c r="X199" s="11">
        <f t="shared" si="363"/>
        <v>0</v>
      </c>
      <c r="Y199" s="11">
        <f t="shared" si="363"/>
        <v>0</v>
      </c>
      <c r="Z199" s="11">
        <f t="shared" si="363"/>
        <v>0</v>
      </c>
      <c r="AA199" s="11">
        <f t="shared" si="363"/>
        <v>0</v>
      </c>
      <c r="AB199" s="11">
        <f t="shared" si="363"/>
        <v>0</v>
      </c>
      <c r="AC199" s="11">
        <f t="shared" si="363"/>
        <v>0</v>
      </c>
      <c r="AD199" s="11">
        <f t="shared" si="363"/>
        <v>0</v>
      </c>
      <c r="AE199" s="11">
        <f t="shared" si="363"/>
        <v>0</v>
      </c>
      <c r="AF199" s="11">
        <f t="shared" si="363"/>
        <v>0</v>
      </c>
      <c r="AG199" s="11">
        <f t="shared" si="363"/>
        <v>0</v>
      </c>
      <c r="AH199" s="11">
        <f t="shared" si="363"/>
        <v>0</v>
      </c>
      <c r="AI199" s="11">
        <f t="shared" si="363"/>
        <v>0</v>
      </c>
      <c r="AJ199" s="11">
        <f t="shared" si="363"/>
        <v>0</v>
      </c>
      <c r="AK199" s="11">
        <f t="shared" si="363"/>
        <v>0</v>
      </c>
      <c r="AL199" s="11">
        <f t="shared" si="363"/>
        <v>0</v>
      </c>
      <c r="AM199" s="11">
        <f t="shared" ref="AM199:CX199" si="364">SUM(AM200)</f>
        <v>0</v>
      </c>
      <c r="AN199" s="11">
        <f t="shared" si="364"/>
        <v>0</v>
      </c>
      <c r="AO199" s="11">
        <f t="shared" si="364"/>
        <v>0</v>
      </c>
      <c r="AP199" s="11">
        <f t="shared" si="364"/>
        <v>0</v>
      </c>
      <c r="AQ199" s="11">
        <f t="shared" si="364"/>
        <v>0</v>
      </c>
      <c r="AR199" s="11">
        <f t="shared" si="364"/>
        <v>0</v>
      </c>
      <c r="AS199" s="11">
        <f t="shared" si="364"/>
        <v>0</v>
      </c>
      <c r="AT199" s="11">
        <f t="shared" si="364"/>
        <v>0</v>
      </c>
      <c r="AU199" s="11">
        <f t="shared" si="364"/>
        <v>0</v>
      </c>
      <c r="AV199" s="11"/>
      <c r="AW199" s="11"/>
      <c r="AX199" s="11">
        <f t="shared" si="364"/>
        <v>0</v>
      </c>
      <c r="AY199" s="11">
        <f t="shared" si="364"/>
        <v>0</v>
      </c>
      <c r="AZ199" s="11">
        <f t="shared" si="364"/>
        <v>0</v>
      </c>
      <c r="BA199" s="11">
        <f t="shared" si="364"/>
        <v>0</v>
      </c>
      <c r="BB199" s="11">
        <f t="shared" si="364"/>
        <v>0</v>
      </c>
      <c r="BC199" s="11">
        <f t="shared" si="364"/>
        <v>4586664</v>
      </c>
      <c r="BD199" s="11">
        <f t="shared" si="364"/>
        <v>0</v>
      </c>
      <c r="BE199" s="11">
        <f t="shared" si="364"/>
        <v>0</v>
      </c>
      <c r="BF199" s="11">
        <f t="shared" si="364"/>
        <v>0</v>
      </c>
      <c r="BG199" s="11">
        <f t="shared" si="364"/>
        <v>0</v>
      </c>
      <c r="BH199" s="11">
        <f t="shared" si="364"/>
        <v>0</v>
      </c>
      <c r="BI199" s="11">
        <f t="shared" si="364"/>
        <v>0</v>
      </c>
      <c r="BJ199" s="11">
        <f t="shared" si="364"/>
        <v>0</v>
      </c>
      <c r="BK199" s="11">
        <f t="shared" si="364"/>
        <v>0</v>
      </c>
      <c r="BL199" s="11">
        <f t="shared" si="364"/>
        <v>0</v>
      </c>
      <c r="BM199" s="11">
        <f t="shared" si="364"/>
        <v>0</v>
      </c>
      <c r="BN199" s="11">
        <f t="shared" si="364"/>
        <v>0</v>
      </c>
      <c r="BO199" s="11">
        <f t="shared" si="364"/>
        <v>0</v>
      </c>
      <c r="BP199" s="11">
        <f t="shared" si="364"/>
        <v>4586664</v>
      </c>
      <c r="BQ199" s="11">
        <f t="shared" si="364"/>
        <v>0</v>
      </c>
      <c r="BR199" s="11">
        <f t="shared" si="364"/>
        <v>4586664</v>
      </c>
      <c r="BS199" s="11">
        <f t="shared" si="364"/>
        <v>0</v>
      </c>
      <c r="BT199" s="11">
        <f t="shared" si="364"/>
        <v>0</v>
      </c>
      <c r="BU199" s="11">
        <f t="shared" si="364"/>
        <v>0</v>
      </c>
      <c r="BV199" s="11">
        <f t="shared" si="364"/>
        <v>0</v>
      </c>
      <c r="BW199" s="11">
        <f t="shared" si="364"/>
        <v>0</v>
      </c>
      <c r="BX199" s="11">
        <f t="shared" si="364"/>
        <v>0</v>
      </c>
      <c r="BY199" s="11">
        <f t="shared" si="364"/>
        <v>0</v>
      </c>
      <c r="BZ199" s="11">
        <f t="shared" si="364"/>
        <v>0</v>
      </c>
      <c r="CA199" s="11">
        <f t="shared" si="364"/>
        <v>0</v>
      </c>
      <c r="CB199" s="11">
        <f t="shared" si="364"/>
        <v>0</v>
      </c>
      <c r="CC199" s="11">
        <f t="shared" si="364"/>
        <v>0</v>
      </c>
      <c r="CD199" s="11">
        <f t="shared" si="364"/>
        <v>0</v>
      </c>
      <c r="CE199" s="11">
        <f t="shared" si="364"/>
        <v>0</v>
      </c>
      <c r="CF199" s="11">
        <f t="shared" si="364"/>
        <v>0</v>
      </c>
      <c r="CG199" s="11">
        <f t="shared" si="364"/>
        <v>0</v>
      </c>
      <c r="CH199" s="11">
        <f t="shared" si="364"/>
        <v>0</v>
      </c>
      <c r="CI199" s="11">
        <f t="shared" si="364"/>
        <v>0</v>
      </c>
      <c r="CJ199" s="11">
        <f t="shared" si="364"/>
        <v>0</v>
      </c>
      <c r="CK199" s="11">
        <f t="shared" si="364"/>
        <v>0</v>
      </c>
      <c r="CL199" s="11">
        <f t="shared" si="364"/>
        <v>0</v>
      </c>
      <c r="CM199" s="11">
        <f t="shared" si="364"/>
        <v>0</v>
      </c>
      <c r="CN199" s="11">
        <f t="shared" si="364"/>
        <v>0</v>
      </c>
      <c r="CO199" s="11">
        <f t="shared" si="364"/>
        <v>0</v>
      </c>
      <c r="CP199" s="11"/>
      <c r="CQ199" s="11">
        <f t="shared" si="364"/>
        <v>0</v>
      </c>
      <c r="CR199" s="11">
        <f t="shared" si="364"/>
        <v>0</v>
      </c>
      <c r="CS199" s="11">
        <f t="shared" si="364"/>
        <v>0</v>
      </c>
      <c r="CT199" s="11">
        <f t="shared" si="364"/>
        <v>0</v>
      </c>
      <c r="CU199" s="11">
        <f t="shared" si="364"/>
        <v>0</v>
      </c>
      <c r="CV199" s="11">
        <f t="shared" si="364"/>
        <v>0</v>
      </c>
      <c r="CW199" s="11">
        <f t="shared" si="364"/>
        <v>0</v>
      </c>
      <c r="CX199" s="12">
        <f t="shared" si="364"/>
        <v>0</v>
      </c>
    </row>
    <row r="200" spans="1:102" ht="15.75" x14ac:dyDescent="0.25">
      <c r="A200" s="13"/>
      <c r="B200" s="14" t="s">
        <v>1</v>
      </c>
      <c r="C200" s="14" t="s">
        <v>99</v>
      </c>
      <c r="D200" s="15" t="s">
        <v>352</v>
      </c>
      <c r="E200" s="10">
        <f>SUM(F200+CB200+CU200)</f>
        <v>4586664</v>
      </c>
      <c r="F200" s="11">
        <f>SUM(G200+BC200)</f>
        <v>4586664</v>
      </c>
      <c r="G200" s="11">
        <f>SUM(H200+I200+J200+Q200+T200+U200+V200+AF200+AE200)</f>
        <v>0</v>
      </c>
      <c r="H200" s="11">
        <v>0</v>
      </c>
      <c r="I200" s="11">
        <v>0</v>
      </c>
      <c r="J200" s="11">
        <f t="shared" si="279"/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f t="shared" si="280"/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f t="shared" ref="V200" si="365">SUM(W200:AD200)</f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f>SUM(AG200:BB200)</f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/>
      <c r="AW200" s="11"/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f>SUM(BD200+BH200+BL200+BN200+BP200)</f>
        <v>4586664</v>
      </c>
      <c r="BD200" s="11">
        <f>SUM(BE200:BG200)</f>
        <v>0</v>
      </c>
      <c r="BE200" s="11">
        <v>0</v>
      </c>
      <c r="BF200" s="11">
        <v>0</v>
      </c>
      <c r="BG200" s="11">
        <v>0</v>
      </c>
      <c r="BH200" s="11">
        <f t="shared" si="282"/>
        <v>0</v>
      </c>
      <c r="BI200" s="11">
        <v>0</v>
      </c>
      <c r="BJ200" s="11">
        <v>0</v>
      </c>
      <c r="BK200" s="11">
        <v>0</v>
      </c>
      <c r="BL200" s="11">
        <v>0</v>
      </c>
      <c r="BM200" s="11">
        <v>0</v>
      </c>
      <c r="BN200" s="11">
        <f t="shared" si="283"/>
        <v>0</v>
      </c>
      <c r="BO200" s="11">
        <v>0</v>
      </c>
      <c r="BP200" s="11">
        <f t="shared" si="284"/>
        <v>4586664</v>
      </c>
      <c r="BQ200" s="11">
        <v>0</v>
      </c>
      <c r="BR200" s="16">
        <v>4586664</v>
      </c>
      <c r="BS200" s="11">
        <v>0</v>
      </c>
      <c r="BT200" s="11">
        <v>0</v>
      </c>
      <c r="BU200" s="11">
        <v>0</v>
      </c>
      <c r="BV200" s="11">
        <v>0</v>
      </c>
      <c r="BW200" s="11">
        <v>0</v>
      </c>
      <c r="BX200" s="11">
        <v>0</v>
      </c>
      <c r="BY200" s="11">
        <v>0</v>
      </c>
      <c r="BZ200" s="11">
        <v>0</v>
      </c>
      <c r="CA200" s="11">
        <v>0</v>
      </c>
      <c r="CB200" s="11">
        <f>SUM(CC200+CT200)</f>
        <v>0</v>
      </c>
      <c r="CC200" s="11">
        <f>SUM(CD200+CG200+CL200)</f>
        <v>0</v>
      </c>
      <c r="CD200" s="11">
        <f t="shared" si="285"/>
        <v>0</v>
      </c>
      <c r="CE200" s="11">
        <v>0</v>
      </c>
      <c r="CF200" s="11">
        <v>0</v>
      </c>
      <c r="CG200" s="11">
        <f>SUM(CH200:CK200)</f>
        <v>0</v>
      </c>
      <c r="CH200" s="11">
        <v>0</v>
      </c>
      <c r="CI200" s="11">
        <v>0</v>
      </c>
      <c r="CJ200" s="11">
        <v>0</v>
      </c>
      <c r="CK200" s="11">
        <v>0</v>
      </c>
      <c r="CL200" s="11">
        <f>SUM(CM200:CQ200)</f>
        <v>0</v>
      </c>
      <c r="CM200" s="11">
        <v>0</v>
      </c>
      <c r="CN200" s="11">
        <v>0</v>
      </c>
      <c r="CO200" s="11">
        <v>0</v>
      </c>
      <c r="CP200" s="11"/>
      <c r="CQ200" s="11">
        <v>0</v>
      </c>
      <c r="CR200" s="11">
        <v>0</v>
      </c>
      <c r="CS200" s="11">
        <v>0</v>
      </c>
      <c r="CT200" s="11">
        <v>0</v>
      </c>
      <c r="CU200" s="11">
        <f t="shared" si="286"/>
        <v>0</v>
      </c>
      <c r="CV200" s="11">
        <f t="shared" si="287"/>
        <v>0</v>
      </c>
      <c r="CW200" s="11">
        <v>0</v>
      </c>
      <c r="CX200" s="12">
        <v>0</v>
      </c>
    </row>
    <row r="201" spans="1:102" ht="31.5" x14ac:dyDescent="0.25">
      <c r="A201" s="7"/>
      <c r="B201" s="8" t="s">
        <v>353</v>
      </c>
      <c r="C201" s="8" t="s">
        <v>1</v>
      </c>
      <c r="D201" s="9" t="s">
        <v>354</v>
      </c>
      <c r="E201" s="10">
        <f t="shared" ref="E201:BP201" si="366">SUM(E202:E209)</f>
        <v>87166659</v>
      </c>
      <c r="F201" s="11">
        <f t="shared" si="366"/>
        <v>86504337</v>
      </c>
      <c r="G201" s="11">
        <f t="shared" si="366"/>
        <v>3016558</v>
      </c>
      <c r="H201" s="11">
        <f t="shared" si="366"/>
        <v>1633928</v>
      </c>
      <c r="I201" s="11">
        <f t="shared" si="366"/>
        <v>233782</v>
      </c>
      <c r="J201" s="11">
        <f t="shared" si="366"/>
        <v>329608</v>
      </c>
      <c r="K201" s="11">
        <f t="shared" si="366"/>
        <v>0</v>
      </c>
      <c r="L201" s="11">
        <f t="shared" si="366"/>
        <v>0</v>
      </c>
      <c r="M201" s="11">
        <f t="shared" si="366"/>
        <v>0</v>
      </c>
      <c r="N201" s="11">
        <f t="shared" si="366"/>
        <v>0</v>
      </c>
      <c r="O201" s="11">
        <f t="shared" si="366"/>
        <v>316146</v>
      </c>
      <c r="P201" s="11">
        <f t="shared" si="366"/>
        <v>13462</v>
      </c>
      <c r="Q201" s="11">
        <f t="shared" si="366"/>
        <v>0</v>
      </c>
      <c r="R201" s="11">
        <f t="shared" si="366"/>
        <v>0</v>
      </c>
      <c r="S201" s="11">
        <f t="shared" si="366"/>
        <v>0</v>
      </c>
      <c r="T201" s="11">
        <f t="shared" si="366"/>
        <v>0</v>
      </c>
      <c r="U201" s="11">
        <f t="shared" si="366"/>
        <v>62473</v>
      </c>
      <c r="V201" s="11">
        <f t="shared" si="366"/>
        <v>0</v>
      </c>
      <c r="W201" s="11">
        <f t="shared" si="366"/>
        <v>0</v>
      </c>
      <c r="X201" s="11">
        <f t="shared" si="366"/>
        <v>0</v>
      </c>
      <c r="Y201" s="11">
        <f t="shared" si="366"/>
        <v>0</v>
      </c>
      <c r="Z201" s="11">
        <f t="shared" si="366"/>
        <v>0</v>
      </c>
      <c r="AA201" s="11">
        <f t="shared" si="366"/>
        <v>0</v>
      </c>
      <c r="AB201" s="11">
        <f t="shared" si="366"/>
        <v>0</v>
      </c>
      <c r="AC201" s="11">
        <f t="shared" si="366"/>
        <v>0</v>
      </c>
      <c r="AD201" s="11">
        <f t="shared" si="366"/>
        <v>0</v>
      </c>
      <c r="AE201" s="11">
        <f t="shared" si="366"/>
        <v>0</v>
      </c>
      <c r="AF201" s="11">
        <f t="shared" si="366"/>
        <v>756767</v>
      </c>
      <c r="AG201" s="11">
        <f t="shared" si="366"/>
        <v>0</v>
      </c>
      <c r="AH201" s="11">
        <f t="shared" si="366"/>
        <v>0</v>
      </c>
      <c r="AI201" s="11">
        <f t="shared" si="366"/>
        <v>0</v>
      </c>
      <c r="AJ201" s="11">
        <f t="shared" si="366"/>
        <v>0</v>
      </c>
      <c r="AK201" s="11">
        <f t="shared" si="366"/>
        <v>0</v>
      </c>
      <c r="AL201" s="11">
        <f t="shared" si="366"/>
        <v>0</v>
      </c>
      <c r="AM201" s="11">
        <f t="shared" si="366"/>
        <v>0</v>
      </c>
      <c r="AN201" s="11">
        <f t="shared" si="366"/>
        <v>0</v>
      </c>
      <c r="AO201" s="11">
        <f t="shared" si="366"/>
        <v>0</v>
      </c>
      <c r="AP201" s="11">
        <f t="shared" si="366"/>
        <v>0</v>
      </c>
      <c r="AQ201" s="11">
        <f t="shared" si="366"/>
        <v>0</v>
      </c>
      <c r="AR201" s="11">
        <f t="shared" si="366"/>
        <v>0</v>
      </c>
      <c r="AS201" s="11">
        <f t="shared" si="366"/>
        <v>0</v>
      </c>
      <c r="AT201" s="11">
        <f t="shared" si="366"/>
        <v>0</v>
      </c>
      <c r="AU201" s="11">
        <f t="shared" si="366"/>
        <v>0</v>
      </c>
      <c r="AV201" s="11"/>
      <c r="AW201" s="11"/>
      <c r="AX201" s="11">
        <f t="shared" si="366"/>
        <v>0</v>
      </c>
      <c r="AY201" s="11">
        <f t="shared" si="366"/>
        <v>23367</v>
      </c>
      <c r="AZ201" s="11">
        <f t="shared" si="366"/>
        <v>0</v>
      </c>
      <c r="BA201" s="11">
        <f t="shared" si="366"/>
        <v>0</v>
      </c>
      <c r="BB201" s="11">
        <f t="shared" si="366"/>
        <v>733400</v>
      </c>
      <c r="BC201" s="11">
        <f t="shared" si="366"/>
        <v>83487779</v>
      </c>
      <c r="BD201" s="11">
        <f t="shared" si="366"/>
        <v>0</v>
      </c>
      <c r="BE201" s="11">
        <f t="shared" si="366"/>
        <v>0</v>
      </c>
      <c r="BF201" s="11">
        <f t="shared" si="366"/>
        <v>0</v>
      </c>
      <c r="BG201" s="11">
        <f t="shared" si="366"/>
        <v>0</v>
      </c>
      <c r="BH201" s="11">
        <f t="shared" si="366"/>
        <v>0</v>
      </c>
      <c r="BI201" s="11">
        <f t="shared" si="366"/>
        <v>0</v>
      </c>
      <c r="BJ201" s="11">
        <f t="shared" si="366"/>
        <v>0</v>
      </c>
      <c r="BK201" s="11">
        <f t="shared" si="366"/>
        <v>0</v>
      </c>
      <c r="BL201" s="11">
        <f t="shared" si="366"/>
        <v>0</v>
      </c>
      <c r="BM201" s="11">
        <f t="shared" si="366"/>
        <v>0</v>
      </c>
      <c r="BN201" s="11">
        <f t="shared" si="366"/>
        <v>0</v>
      </c>
      <c r="BO201" s="11">
        <f t="shared" si="366"/>
        <v>0</v>
      </c>
      <c r="BP201" s="11">
        <f t="shared" si="366"/>
        <v>83487779</v>
      </c>
      <c r="BQ201" s="11">
        <f t="shared" ref="BQ201:CX201" si="367">SUM(BQ202:BQ209)</f>
        <v>0</v>
      </c>
      <c r="BR201" s="11">
        <f t="shared" si="367"/>
        <v>0</v>
      </c>
      <c r="BS201" s="11">
        <f t="shared" si="367"/>
        <v>0</v>
      </c>
      <c r="BT201" s="11">
        <f t="shared" si="367"/>
        <v>0</v>
      </c>
      <c r="BU201" s="11">
        <f t="shared" si="367"/>
        <v>0</v>
      </c>
      <c r="BV201" s="11">
        <f t="shared" si="367"/>
        <v>0</v>
      </c>
      <c r="BW201" s="11">
        <f t="shared" si="367"/>
        <v>0</v>
      </c>
      <c r="BX201" s="11">
        <f t="shared" si="367"/>
        <v>0</v>
      </c>
      <c r="BY201" s="11">
        <f t="shared" si="367"/>
        <v>339880</v>
      </c>
      <c r="BZ201" s="11">
        <f t="shared" si="367"/>
        <v>75441733</v>
      </c>
      <c r="CA201" s="11">
        <f t="shared" si="367"/>
        <v>7706166</v>
      </c>
      <c r="CB201" s="11">
        <f t="shared" si="367"/>
        <v>662322</v>
      </c>
      <c r="CC201" s="11">
        <f t="shared" si="367"/>
        <v>662322</v>
      </c>
      <c r="CD201" s="11">
        <f t="shared" si="367"/>
        <v>42322</v>
      </c>
      <c r="CE201" s="11">
        <f t="shared" si="367"/>
        <v>0</v>
      </c>
      <c r="CF201" s="11">
        <f t="shared" si="367"/>
        <v>42322</v>
      </c>
      <c r="CG201" s="11">
        <f t="shared" si="367"/>
        <v>0</v>
      </c>
      <c r="CH201" s="11">
        <f t="shared" si="367"/>
        <v>0</v>
      </c>
      <c r="CI201" s="11">
        <f t="shared" si="367"/>
        <v>0</v>
      </c>
      <c r="CJ201" s="11">
        <f t="shared" si="367"/>
        <v>0</v>
      </c>
      <c r="CK201" s="11">
        <f t="shared" si="367"/>
        <v>0</v>
      </c>
      <c r="CL201" s="11">
        <f t="shared" si="367"/>
        <v>620000</v>
      </c>
      <c r="CM201" s="11">
        <f t="shared" si="367"/>
        <v>620000</v>
      </c>
      <c r="CN201" s="11">
        <f t="shared" si="367"/>
        <v>0</v>
      </c>
      <c r="CO201" s="11">
        <f t="shared" si="367"/>
        <v>0</v>
      </c>
      <c r="CP201" s="11"/>
      <c r="CQ201" s="11">
        <f t="shared" si="367"/>
        <v>0</v>
      </c>
      <c r="CR201" s="11">
        <f t="shared" si="367"/>
        <v>0</v>
      </c>
      <c r="CS201" s="11">
        <f t="shared" si="367"/>
        <v>0</v>
      </c>
      <c r="CT201" s="11">
        <f t="shared" si="367"/>
        <v>0</v>
      </c>
      <c r="CU201" s="11">
        <f t="shared" si="367"/>
        <v>0</v>
      </c>
      <c r="CV201" s="11">
        <f t="shared" si="367"/>
        <v>0</v>
      </c>
      <c r="CW201" s="11">
        <f t="shared" si="367"/>
        <v>0</v>
      </c>
      <c r="CX201" s="12">
        <f t="shared" si="367"/>
        <v>0</v>
      </c>
    </row>
    <row r="202" spans="1:102" ht="31.5" x14ac:dyDescent="0.25">
      <c r="A202" s="13" t="s">
        <v>1</v>
      </c>
      <c r="B202" s="14" t="s">
        <v>1</v>
      </c>
      <c r="C202" s="14" t="s">
        <v>89</v>
      </c>
      <c r="D202" s="15" t="s">
        <v>355</v>
      </c>
      <c r="E202" s="10">
        <f t="shared" ref="E202:E209" si="368">SUM(F202+CB202+CU202)</f>
        <v>1147194</v>
      </c>
      <c r="F202" s="11">
        <f t="shared" ref="F202:F209" si="369">SUM(G202+BC202)</f>
        <v>1147194</v>
      </c>
      <c r="G202" s="11">
        <f t="shared" ref="G202:G209" si="370">SUM(H202+I202+J202+Q202+T202+U202+V202+AF202+AE202)</f>
        <v>774783</v>
      </c>
      <c r="H202" s="16">
        <f>505282+26948</f>
        <v>532230</v>
      </c>
      <c r="I202" s="16">
        <f>122471+6737</f>
        <v>129208</v>
      </c>
      <c r="J202" s="11">
        <f t="shared" si="279"/>
        <v>113345</v>
      </c>
      <c r="K202" s="11">
        <v>0</v>
      </c>
      <c r="L202" s="11">
        <v>0</v>
      </c>
      <c r="M202" s="11">
        <v>0</v>
      </c>
      <c r="N202" s="11">
        <v>0</v>
      </c>
      <c r="O202" s="16">
        <v>113345</v>
      </c>
      <c r="P202" s="16"/>
      <c r="Q202" s="11">
        <f t="shared" si="280"/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f t="shared" ref="V202:V209" si="371">SUM(W202:AD202)</f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6"/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/>
      <c r="AW202" s="11"/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f t="shared" ref="BC202:BC209" si="372">SUM(BD202+BH202+BL202+BN202+BP202)</f>
        <v>372411</v>
      </c>
      <c r="BD202" s="11">
        <f t="shared" ref="BD202:BD209" si="373">SUM(BE202:BG202)</f>
        <v>0</v>
      </c>
      <c r="BE202" s="11">
        <v>0</v>
      </c>
      <c r="BF202" s="11">
        <v>0</v>
      </c>
      <c r="BG202" s="11">
        <v>0</v>
      </c>
      <c r="BH202" s="11">
        <f t="shared" si="282"/>
        <v>0</v>
      </c>
      <c r="BI202" s="11">
        <v>0</v>
      </c>
      <c r="BJ202" s="11">
        <v>0</v>
      </c>
      <c r="BK202" s="11">
        <v>0</v>
      </c>
      <c r="BL202" s="11">
        <v>0</v>
      </c>
      <c r="BM202" s="11">
        <v>0</v>
      </c>
      <c r="BN202" s="11">
        <f t="shared" si="283"/>
        <v>0</v>
      </c>
      <c r="BO202" s="11">
        <v>0</v>
      </c>
      <c r="BP202" s="11">
        <f t="shared" si="284"/>
        <v>372411</v>
      </c>
      <c r="BQ202" s="11">
        <v>0</v>
      </c>
      <c r="BR202" s="11">
        <v>0</v>
      </c>
      <c r="BS202" s="11">
        <v>0</v>
      </c>
      <c r="BT202" s="11">
        <v>0</v>
      </c>
      <c r="BU202" s="11">
        <v>0</v>
      </c>
      <c r="BV202" s="11">
        <v>0</v>
      </c>
      <c r="BW202" s="11">
        <v>0</v>
      </c>
      <c r="BX202" s="11">
        <v>0</v>
      </c>
      <c r="BY202" s="16"/>
      <c r="BZ202" s="16">
        <v>372411</v>
      </c>
      <c r="CA202" s="16"/>
      <c r="CB202" s="11">
        <f t="shared" ref="CB202:CB209" si="374">SUM(CC202+CT202)</f>
        <v>0</v>
      </c>
      <c r="CC202" s="11">
        <f t="shared" ref="CC202:CC209" si="375">SUM(CD202+CG202+CL202)</f>
        <v>0</v>
      </c>
      <c r="CD202" s="11">
        <f t="shared" si="285"/>
        <v>0</v>
      </c>
      <c r="CE202" s="11">
        <v>0</v>
      </c>
      <c r="CF202" s="11">
        <v>0</v>
      </c>
      <c r="CG202" s="11">
        <f t="shared" ref="CG202:CG209" si="376">SUM(CH202:CK202)</f>
        <v>0</v>
      </c>
      <c r="CH202" s="11">
        <v>0</v>
      </c>
      <c r="CI202" s="11">
        <v>0</v>
      </c>
      <c r="CJ202" s="11">
        <v>0</v>
      </c>
      <c r="CK202" s="11">
        <v>0</v>
      </c>
      <c r="CL202" s="11">
        <f t="shared" ref="CL202:CL209" si="377">SUM(CM202:CQ202)</f>
        <v>0</v>
      </c>
      <c r="CM202" s="11">
        <v>0</v>
      </c>
      <c r="CN202" s="11">
        <v>0</v>
      </c>
      <c r="CO202" s="11">
        <v>0</v>
      </c>
      <c r="CP202" s="11"/>
      <c r="CQ202" s="11">
        <v>0</v>
      </c>
      <c r="CR202" s="11">
        <v>0</v>
      </c>
      <c r="CS202" s="11">
        <v>0</v>
      </c>
      <c r="CT202" s="11">
        <v>0</v>
      </c>
      <c r="CU202" s="11">
        <f t="shared" si="286"/>
        <v>0</v>
      </c>
      <c r="CV202" s="11">
        <f t="shared" si="287"/>
        <v>0</v>
      </c>
      <c r="CW202" s="11">
        <v>0</v>
      </c>
      <c r="CX202" s="12">
        <v>0</v>
      </c>
    </row>
    <row r="203" spans="1:102" ht="31.5" x14ac:dyDescent="0.25">
      <c r="A203" s="13" t="s">
        <v>1</v>
      </c>
      <c r="B203" s="14" t="s">
        <v>1</v>
      </c>
      <c r="C203" s="14" t="s">
        <v>85</v>
      </c>
      <c r="D203" s="15" t="s">
        <v>356</v>
      </c>
      <c r="E203" s="10">
        <f t="shared" si="368"/>
        <v>1595743</v>
      </c>
      <c r="F203" s="11">
        <f t="shared" si="369"/>
        <v>1553421</v>
      </c>
      <c r="G203" s="11">
        <f t="shared" si="370"/>
        <v>795579</v>
      </c>
      <c r="H203" s="16">
        <f>447538+23869</f>
        <v>471407</v>
      </c>
      <c r="I203" s="16">
        <f>52931+5967</f>
        <v>58898</v>
      </c>
      <c r="J203" s="11">
        <f t="shared" si="279"/>
        <v>202801</v>
      </c>
      <c r="K203" s="11">
        <v>0</v>
      </c>
      <c r="L203" s="11">
        <v>0</v>
      </c>
      <c r="M203" s="11">
        <v>0</v>
      </c>
      <c r="N203" s="11">
        <v>0</v>
      </c>
      <c r="O203" s="16">
        <v>202801</v>
      </c>
      <c r="P203" s="11">
        <v>0</v>
      </c>
      <c r="Q203" s="11">
        <f t="shared" si="280"/>
        <v>0</v>
      </c>
      <c r="R203" s="11">
        <v>0</v>
      </c>
      <c r="S203" s="11">
        <v>0</v>
      </c>
      <c r="T203" s="11">
        <v>0</v>
      </c>
      <c r="U203" s="11">
        <v>62473</v>
      </c>
      <c r="V203" s="11">
        <f t="shared" si="371"/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6"/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/>
      <c r="AW203" s="11"/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f t="shared" si="372"/>
        <v>757842</v>
      </c>
      <c r="BD203" s="11">
        <f t="shared" si="373"/>
        <v>0</v>
      </c>
      <c r="BE203" s="11">
        <v>0</v>
      </c>
      <c r="BF203" s="11">
        <v>0</v>
      </c>
      <c r="BG203" s="11">
        <v>0</v>
      </c>
      <c r="BH203" s="11">
        <f t="shared" si="282"/>
        <v>0</v>
      </c>
      <c r="BI203" s="11">
        <v>0</v>
      </c>
      <c r="BJ203" s="11">
        <v>0</v>
      </c>
      <c r="BK203" s="11">
        <v>0</v>
      </c>
      <c r="BL203" s="11">
        <v>0</v>
      </c>
      <c r="BM203" s="11">
        <v>0</v>
      </c>
      <c r="BN203" s="11">
        <f t="shared" si="283"/>
        <v>0</v>
      </c>
      <c r="BO203" s="11">
        <v>0</v>
      </c>
      <c r="BP203" s="11">
        <f t="shared" si="284"/>
        <v>757842</v>
      </c>
      <c r="BQ203" s="11">
        <v>0</v>
      </c>
      <c r="BR203" s="11">
        <v>0</v>
      </c>
      <c r="BS203" s="11">
        <v>0</v>
      </c>
      <c r="BT203" s="11">
        <v>0</v>
      </c>
      <c r="BU203" s="11">
        <v>0</v>
      </c>
      <c r="BV203" s="11">
        <v>0</v>
      </c>
      <c r="BW203" s="11">
        <v>0</v>
      </c>
      <c r="BX203" s="11">
        <v>0</v>
      </c>
      <c r="BY203" s="16"/>
      <c r="BZ203" s="16">
        <v>757842</v>
      </c>
      <c r="CA203" s="16"/>
      <c r="CB203" s="11">
        <f t="shared" si="374"/>
        <v>42322</v>
      </c>
      <c r="CC203" s="11">
        <f t="shared" si="375"/>
        <v>42322</v>
      </c>
      <c r="CD203" s="11">
        <f t="shared" si="285"/>
        <v>42322</v>
      </c>
      <c r="CE203" s="11">
        <v>0</v>
      </c>
      <c r="CF203" s="11">
        <v>42322</v>
      </c>
      <c r="CG203" s="11">
        <f t="shared" si="376"/>
        <v>0</v>
      </c>
      <c r="CH203" s="11">
        <v>0</v>
      </c>
      <c r="CI203" s="11">
        <v>0</v>
      </c>
      <c r="CJ203" s="11">
        <v>0</v>
      </c>
      <c r="CK203" s="11">
        <v>0</v>
      </c>
      <c r="CL203" s="11">
        <f t="shared" si="377"/>
        <v>0</v>
      </c>
      <c r="CM203" s="11">
        <v>0</v>
      </c>
      <c r="CN203" s="11">
        <v>0</v>
      </c>
      <c r="CO203" s="11">
        <v>0</v>
      </c>
      <c r="CP203" s="11"/>
      <c r="CQ203" s="11">
        <v>0</v>
      </c>
      <c r="CR203" s="11">
        <v>0</v>
      </c>
      <c r="CS203" s="11">
        <v>0</v>
      </c>
      <c r="CT203" s="11">
        <v>0</v>
      </c>
      <c r="CU203" s="11">
        <f t="shared" si="286"/>
        <v>0</v>
      </c>
      <c r="CV203" s="11">
        <f t="shared" si="287"/>
        <v>0</v>
      </c>
      <c r="CW203" s="11">
        <v>0</v>
      </c>
      <c r="CX203" s="12">
        <v>0</v>
      </c>
    </row>
    <row r="204" spans="1:102" ht="31.5" x14ac:dyDescent="0.25">
      <c r="A204" s="13" t="s">
        <v>1</v>
      </c>
      <c r="B204" s="14" t="s">
        <v>1</v>
      </c>
      <c r="C204" s="14" t="s">
        <v>99</v>
      </c>
      <c r="D204" s="15" t="s">
        <v>357</v>
      </c>
      <c r="E204" s="10">
        <f t="shared" si="368"/>
        <v>15377617</v>
      </c>
      <c r="F204" s="11">
        <f t="shared" si="369"/>
        <v>15377617</v>
      </c>
      <c r="G204" s="11">
        <f t="shared" si="370"/>
        <v>733400</v>
      </c>
      <c r="H204" s="16"/>
      <c r="I204" s="16"/>
      <c r="J204" s="11">
        <f>SUM(K204:P204)</f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f>SUM(R204:S204)</f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f t="shared" si="371"/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6">
        <v>733400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11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/>
      <c r="AW204" s="11"/>
      <c r="AX204" s="11">
        <v>0</v>
      </c>
      <c r="AY204" s="11">
        <v>0</v>
      </c>
      <c r="AZ204" s="11">
        <v>0</v>
      </c>
      <c r="BA204" s="11">
        <v>0</v>
      </c>
      <c r="BB204" s="16">
        <v>733400</v>
      </c>
      <c r="BC204" s="11">
        <f t="shared" si="372"/>
        <v>14644217</v>
      </c>
      <c r="BD204" s="11">
        <f t="shared" si="373"/>
        <v>0</v>
      </c>
      <c r="BE204" s="11">
        <v>0</v>
      </c>
      <c r="BF204" s="11">
        <v>0</v>
      </c>
      <c r="BG204" s="11">
        <v>0</v>
      </c>
      <c r="BH204" s="11">
        <f>SUM(BJ204:BK204)</f>
        <v>0</v>
      </c>
      <c r="BI204" s="11">
        <v>0</v>
      </c>
      <c r="BJ204" s="11">
        <v>0</v>
      </c>
      <c r="BK204" s="11">
        <v>0</v>
      </c>
      <c r="BL204" s="11">
        <v>0</v>
      </c>
      <c r="BM204" s="11">
        <v>0</v>
      </c>
      <c r="BN204" s="11">
        <f>SUM(BO204)</f>
        <v>0</v>
      </c>
      <c r="BO204" s="11">
        <v>0</v>
      </c>
      <c r="BP204" s="11">
        <f>SUM(BQ204:CA204)</f>
        <v>14644217</v>
      </c>
      <c r="BQ204" s="11">
        <v>0</v>
      </c>
      <c r="BR204" s="11">
        <v>0</v>
      </c>
      <c r="BS204" s="11">
        <v>0</v>
      </c>
      <c r="BT204" s="11">
        <v>0</v>
      </c>
      <c r="BU204" s="11">
        <v>0</v>
      </c>
      <c r="BV204" s="11">
        <v>0</v>
      </c>
      <c r="BW204" s="11">
        <v>0</v>
      </c>
      <c r="BX204" s="11">
        <v>0</v>
      </c>
      <c r="BY204" s="16">
        <v>339880</v>
      </c>
      <c r="BZ204" s="16">
        <f>7579580-511787</f>
        <v>7067793</v>
      </c>
      <c r="CA204" s="16">
        <v>7236544</v>
      </c>
      <c r="CB204" s="11">
        <f t="shared" si="374"/>
        <v>0</v>
      </c>
      <c r="CC204" s="11">
        <f t="shared" si="375"/>
        <v>0</v>
      </c>
      <c r="CD204" s="11">
        <f>SUM(CE204:CF204)</f>
        <v>0</v>
      </c>
      <c r="CE204" s="11">
        <v>0</v>
      </c>
      <c r="CF204" s="11">
        <v>0</v>
      </c>
      <c r="CG204" s="11">
        <f t="shared" si="376"/>
        <v>0</v>
      </c>
      <c r="CH204" s="11">
        <v>0</v>
      </c>
      <c r="CI204" s="11">
        <v>0</v>
      </c>
      <c r="CJ204" s="11">
        <v>0</v>
      </c>
      <c r="CK204" s="11">
        <v>0</v>
      </c>
      <c r="CL204" s="11">
        <f t="shared" si="377"/>
        <v>0</v>
      </c>
      <c r="CM204" s="11">
        <v>0</v>
      </c>
      <c r="CN204" s="11">
        <v>0</v>
      </c>
      <c r="CO204" s="11">
        <v>0</v>
      </c>
      <c r="CP204" s="11"/>
      <c r="CQ204" s="11">
        <v>0</v>
      </c>
      <c r="CR204" s="11">
        <v>0</v>
      </c>
      <c r="CS204" s="11">
        <v>0</v>
      </c>
      <c r="CT204" s="11">
        <v>0</v>
      </c>
      <c r="CU204" s="11">
        <f>SUM(CV204)</f>
        <v>0</v>
      </c>
      <c r="CV204" s="11">
        <f>SUM(CW204:CX204)</f>
        <v>0</v>
      </c>
      <c r="CW204" s="11">
        <v>0</v>
      </c>
      <c r="CX204" s="12">
        <v>0</v>
      </c>
    </row>
    <row r="205" spans="1:102" ht="15.75" x14ac:dyDescent="0.25">
      <c r="A205" s="13" t="s">
        <v>1</v>
      </c>
      <c r="B205" s="14" t="s">
        <v>1</v>
      </c>
      <c r="C205" s="14" t="s">
        <v>99</v>
      </c>
      <c r="D205" s="15" t="s">
        <v>358</v>
      </c>
      <c r="E205" s="10">
        <f t="shared" si="368"/>
        <v>61272667</v>
      </c>
      <c r="F205" s="11">
        <f t="shared" si="369"/>
        <v>61272667</v>
      </c>
      <c r="G205" s="11">
        <f t="shared" si="370"/>
        <v>0</v>
      </c>
      <c r="H205" s="16"/>
      <c r="I205" s="16"/>
      <c r="J205" s="11">
        <f t="shared" si="279"/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f t="shared" si="280"/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f t="shared" si="371"/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6"/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/>
      <c r="AW205" s="11"/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f t="shared" si="372"/>
        <v>61272667</v>
      </c>
      <c r="BD205" s="11">
        <f t="shared" si="373"/>
        <v>0</v>
      </c>
      <c r="BE205" s="11">
        <v>0</v>
      </c>
      <c r="BF205" s="11">
        <v>0</v>
      </c>
      <c r="BG205" s="11">
        <v>0</v>
      </c>
      <c r="BH205" s="11">
        <f t="shared" si="282"/>
        <v>0</v>
      </c>
      <c r="BI205" s="11">
        <v>0</v>
      </c>
      <c r="BJ205" s="11">
        <v>0</v>
      </c>
      <c r="BK205" s="11">
        <v>0</v>
      </c>
      <c r="BL205" s="11">
        <v>0</v>
      </c>
      <c r="BM205" s="11">
        <v>0</v>
      </c>
      <c r="BN205" s="11">
        <f t="shared" si="283"/>
        <v>0</v>
      </c>
      <c r="BO205" s="11">
        <v>0</v>
      </c>
      <c r="BP205" s="11">
        <f t="shared" si="284"/>
        <v>61272667</v>
      </c>
      <c r="BQ205" s="11">
        <v>0</v>
      </c>
      <c r="BR205" s="11">
        <v>0</v>
      </c>
      <c r="BS205" s="11">
        <v>0</v>
      </c>
      <c r="BT205" s="11">
        <v>0</v>
      </c>
      <c r="BU205" s="11">
        <v>0</v>
      </c>
      <c r="BV205" s="11">
        <v>0</v>
      </c>
      <c r="BW205" s="11">
        <v>0</v>
      </c>
      <c r="BX205" s="11">
        <v>0</v>
      </c>
      <c r="BY205" s="16"/>
      <c r="BZ205" s="16">
        <f>52833879+8221102</f>
        <v>61054981</v>
      </c>
      <c r="CA205" s="16">
        <v>217686</v>
      </c>
      <c r="CB205" s="11">
        <f t="shared" si="374"/>
        <v>0</v>
      </c>
      <c r="CC205" s="11">
        <f t="shared" si="375"/>
        <v>0</v>
      </c>
      <c r="CD205" s="11">
        <f t="shared" si="285"/>
        <v>0</v>
      </c>
      <c r="CE205" s="11">
        <v>0</v>
      </c>
      <c r="CF205" s="11">
        <v>0</v>
      </c>
      <c r="CG205" s="11">
        <f t="shared" si="376"/>
        <v>0</v>
      </c>
      <c r="CH205" s="11">
        <v>0</v>
      </c>
      <c r="CI205" s="11">
        <v>0</v>
      </c>
      <c r="CJ205" s="11">
        <v>0</v>
      </c>
      <c r="CK205" s="11">
        <v>0</v>
      </c>
      <c r="CL205" s="11">
        <f t="shared" si="377"/>
        <v>0</v>
      </c>
      <c r="CM205" s="11">
        <v>0</v>
      </c>
      <c r="CN205" s="11">
        <v>0</v>
      </c>
      <c r="CO205" s="11">
        <v>0</v>
      </c>
      <c r="CP205" s="11"/>
      <c r="CQ205" s="11">
        <v>0</v>
      </c>
      <c r="CR205" s="11">
        <v>0</v>
      </c>
      <c r="CS205" s="11">
        <v>0</v>
      </c>
      <c r="CT205" s="11">
        <v>0</v>
      </c>
      <c r="CU205" s="11">
        <f t="shared" si="286"/>
        <v>0</v>
      </c>
      <c r="CV205" s="11">
        <f t="shared" si="287"/>
        <v>0</v>
      </c>
      <c r="CW205" s="11">
        <v>0</v>
      </c>
      <c r="CX205" s="12">
        <v>0</v>
      </c>
    </row>
    <row r="206" spans="1:102" ht="31.5" x14ac:dyDescent="0.25">
      <c r="A206" s="13" t="s">
        <v>1</v>
      </c>
      <c r="B206" s="14" t="s">
        <v>1</v>
      </c>
      <c r="C206" s="14" t="s">
        <v>99</v>
      </c>
      <c r="D206" s="15" t="s">
        <v>359</v>
      </c>
      <c r="E206" s="10">
        <f t="shared" si="368"/>
        <v>6188706</v>
      </c>
      <c r="F206" s="11">
        <f t="shared" si="369"/>
        <v>6188706</v>
      </c>
      <c r="G206" s="11">
        <f t="shared" si="370"/>
        <v>0</v>
      </c>
      <c r="H206" s="16"/>
      <c r="I206" s="16"/>
      <c r="J206" s="11">
        <f>SUM(K206:P206)</f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f>SUM(R206:S206)</f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f t="shared" si="371"/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6"/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/>
      <c r="AW206" s="11"/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f t="shared" si="372"/>
        <v>6188706</v>
      </c>
      <c r="BD206" s="11">
        <f t="shared" si="373"/>
        <v>0</v>
      </c>
      <c r="BE206" s="11">
        <v>0</v>
      </c>
      <c r="BF206" s="11">
        <v>0</v>
      </c>
      <c r="BG206" s="11">
        <v>0</v>
      </c>
      <c r="BH206" s="11">
        <f>SUM(BJ206:BK206)</f>
        <v>0</v>
      </c>
      <c r="BI206" s="11">
        <v>0</v>
      </c>
      <c r="BJ206" s="11">
        <v>0</v>
      </c>
      <c r="BK206" s="11">
        <v>0</v>
      </c>
      <c r="BL206" s="11">
        <v>0</v>
      </c>
      <c r="BM206" s="11">
        <v>0</v>
      </c>
      <c r="BN206" s="11">
        <f>SUM(BO206)</f>
        <v>0</v>
      </c>
      <c r="BO206" s="11">
        <v>0</v>
      </c>
      <c r="BP206" s="11">
        <f>SUM(BQ206:CA206)</f>
        <v>6188706</v>
      </c>
      <c r="BQ206" s="11">
        <v>0</v>
      </c>
      <c r="BR206" s="11">
        <v>0</v>
      </c>
      <c r="BS206" s="11">
        <v>0</v>
      </c>
      <c r="BT206" s="11">
        <v>0</v>
      </c>
      <c r="BU206" s="11">
        <v>0</v>
      </c>
      <c r="BV206" s="11">
        <v>0</v>
      </c>
      <c r="BW206" s="11">
        <v>0</v>
      </c>
      <c r="BX206" s="11">
        <v>0</v>
      </c>
      <c r="BY206" s="16"/>
      <c r="BZ206" s="16">
        <f>6936360-747654</f>
        <v>6188706</v>
      </c>
      <c r="CA206" s="16">
        <v>0</v>
      </c>
      <c r="CB206" s="11">
        <f t="shared" si="374"/>
        <v>0</v>
      </c>
      <c r="CC206" s="11">
        <f t="shared" si="375"/>
        <v>0</v>
      </c>
      <c r="CD206" s="11">
        <f>SUM(CE206:CF206)</f>
        <v>0</v>
      </c>
      <c r="CE206" s="11">
        <v>0</v>
      </c>
      <c r="CF206" s="11">
        <v>0</v>
      </c>
      <c r="CG206" s="11">
        <f t="shared" si="376"/>
        <v>0</v>
      </c>
      <c r="CH206" s="11">
        <v>0</v>
      </c>
      <c r="CI206" s="11">
        <v>0</v>
      </c>
      <c r="CJ206" s="11">
        <v>0</v>
      </c>
      <c r="CK206" s="11">
        <v>0</v>
      </c>
      <c r="CL206" s="11">
        <f t="shared" si="377"/>
        <v>0</v>
      </c>
      <c r="CM206" s="11">
        <v>0</v>
      </c>
      <c r="CN206" s="11">
        <v>0</v>
      </c>
      <c r="CO206" s="11">
        <v>0</v>
      </c>
      <c r="CP206" s="11"/>
      <c r="CQ206" s="11">
        <v>0</v>
      </c>
      <c r="CR206" s="11">
        <v>0</v>
      </c>
      <c r="CS206" s="11">
        <v>0</v>
      </c>
      <c r="CT206" s="11">
        <v>0</v>
      </c>
      <c r="CU206" s="11">
        <f>SUM(CV206)</f>
        <v>0</v>
      </c>
      <c r="CV206" s="11">
        <f>SUM(CW206:CX206)</f>
        <v>0</v>
      </c>
      <c r="CW206" s="11">
        <v>0</v>
      </c>
      <c r="CX206" s="12">
        <v>0</v>
      </c>
    </row>
    <row r="207" spans="1:102" ht="15.75" x14ac:dyDescent="0.25">
      <c r="A207" s="13" t="s">
        <v>1</v>
      </c>
      <c r="B207" s="14" t="s">
        <v>1</v>
      </c>
      <c r="C207" s="14" t="s">
        <v>99</v>
      </c>
      <c r="D207" s="15" t="s">
        <v>360</v>
      </c>
      <c r="E207" s="10">
        <f t="shared" si="368"/>
        <v>251936</v>
      </c>
      <c r="F207" s="11">
        <f t="shared" si="369"/>
        <v>251936</v>
      </c>
      <c r="G207" s="11">
        <f t="shared" si="370"/>
        <v>0</v>
      </c>
      <c r="H207" s="16"/>
      <c r="I207" s="16"/>
      <c r="J207" s="11">
        <f>SUM(K207:P207)</f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f>SUM(R207:S207)</f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f t="shared" si="371"/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6"/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/>
      <c r="AW207" s="11"/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f t="shared" si="372"/>
        <v>251936</v>
      </c>
      <c r="BD207" s="11">
        <f t="shared" si="373"/>
        <v>0</v>
      </c>
      <c r="BE207" s="11">
        <v>0</v>
      </c>
      <c r="BF207" s="11">
        <v>0</v>
      </c>
      <c r="BG207" s="11">
        <v>0</v>
      </c>
      <c r="BH207" s="11">
        <f>SUM(BJ207:BK207)</f>
        <v>0</v>
      </c>
      <c r="BI207" s="11">
        <v>0</v>
      </c>
      <c r="BJ207" s="11">
        <v>0</v>
      </c>
      <c r="BK207" s="11">
        <v>0</v>
      </c>
      <c r="BL207" s="11">
        <v>0</v>
      </c>
      <c r="BM207" s="11">
        <v>0</v>
      </c>
      <c r="BN207" s="11">
        <f>SUM(BO207)</f>
        <v>0</v>
      </c>
      <c r="BO207" s="11">
        <v>0</v>
      </c>
      <c r="BP207" s="11">
        <f>SUM(BQ207:CA207)</f>
        <v>251936</v>
      </c>
      <c r="BQ207" s="11">
        <v>0</v>
      </c>
      <c r="BR207" s="11">
        <v>0</v>
      </c>
      <c r="BS207" s="11">
        <v>0</v>
      </c>
      <c r="BT207" s="11">
        <v>0</v>
      </c>
      <c r="BU207" s="11">
        <v>0</v>
      </c>
      <c r="BV207" s="11">
        <v>0</v>
      </c>
      <c r="BW207" s="11">
        <v>0</v>
      </c>
      <c r="BX207" s="11">
        <v>0</v>
      </c>
      <c r="BY207" s="16"/>
      <c r="BZ207" s="16"/>
      <c r="CA207" s="16">
        <f>357298-105362</f>
        <v>251936</v>
      </c>
      <c r="CB207" s="11">
        <f t="shared" si="374"/>
        <v>0</v>
      </c>
      <c r="CC207" s="11">
        <f t="shared" si="375"/>
        <v>0</v>
      </c>
      <c r="CD207" s="11">
        <f>SUM(CE207:CF207)</f>
        <v>0</v>
      </c>
      <c r="CE207" s="11">
        <v>0</v>
      </c>
      <c r="CF207" s="11">
        <v>0</v>
      </c>
      <c r="CG207" s="11">
        <f t="shared" si="376"/>
        <v>0</v>
      </c>
      <c r="CH207" s="11">
        <v>0</v>
      </c>
      <c r="CI207" s="11">
        <v>0</v>
      </c>
      <c r="CJ207" s="11">
        <v>0</v>
      </c>
      <c r="CK207" s="11">
        <v>0</v>
      </c>
      <c r="CL207" s="11">
        <f t="shared" si="377"/>
        <v>0</v>
      </c>
      <c r="CM207" s="11">
        <v>0</v>
      </c>
      <c r="CN207" s="11">
        <v>0</v>
      </c>
      <c r="CO207" s="11">
        <v>0</v>
      </c>
      <c r="CP207" s="11"/>
      <c r="CQ207" s="11">
        <v>0</v>
      </c>
      <c r="CR207" s="11">
        <v>0</v>
      </c>
      <c r="CS207" s="11">
        <v>0</v>
      </c>
      <c r="CT207" s="11">
        <v>0</v>
      </c>
      <c r="CU207" s="11">
        <f>SUM(CV207)</f>
        <v>0</v>
      </c>
      <c r="CV207" s="11">
        <f>SUM(CW207:CX207)</f>
        <v>0</v>
      </c>
      <c r="CW207" s="11">
        <v>0</v>
      </c>
      <c r="CX207" s="12">
        <v>0</v>
      </c>
    </row>
    <row r="208" spans="1:102" ht="15.75" x14ac:dyDescent="0.25">
      <c r="A208" s="13" t="s">
        <v>1</v>
      </c>
      <c r="B208" s="14" t="s">
        <v>1</v>
      </c>
      <c r="C208" s="14" t="s">
        <v>212</v>
      </c>
      <c r="D208" s="15" t="s">
        <v>225</v>
      </c>
      <c r="E208" s="10">
        <f t="shared" si="368"/>
        <v>712796</v>
      </c>
      <c r="F208" s="11">
        <f t="shared" si="369"/>
        <v>712796</v>
      </c>
      <c r="G208" s="11">
        <f t="shared" si="370"/>
        <v>712796</v>
      </c>
      <c r="H208" s="16">
        <f>598377+31914</f>
        <v>630291</v>
      </c>
      <c r="I208" s="16">
        <f>37698+7978</f>
        <v>45676</v>
      </c>
      <c r="J208" s="11">
        <f t="shared" ref="J208" si="378">SUM(K208:P208)</f>
        <v>13462</v>
      </c>
      <c r="K208" s="11">
        <v>0</v>
      </c>
      <c r="L208" s="11"/>
      <c r="M208" s="11">
        <v>0</v>
      </c>
      <c r="N208" s="11">
        <v>0</v>
      </c>
      <c r="O208" s="11">
        <v>0</v>
      </c>
      <c r="P208" s="16">
        <v>13462</v>
      </c>
      <c r="Q208" s="11">
        <f t="shared" ref="Q208" si="379">SUM(R208:S208)</f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f t="shared" si="371"/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6">
        <v>23367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>
        <v>0</v>
      </c>
      <c r="AN208" s="11"/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/>
      <c r="AW208" s="11"/>
      <c r="AX208" s="11">
        <v>0</v>
      </c>
      <c r="AY208" s="11">
        <v>23367</v>
      </c>
      <c r="AZ208" s="11">
        <v>0</v>
      </c>
      <c r="BA208" s="11">
        <v>0</v>
      </c>
      <c r="BB208" s="11">
        <v>0</v>
      </c>
      <c r="BC208" s="11">
        <f t="shared" si="372"/>
        <v>0</v>
      </c>
      <c r="BD208" s="11">
        <f t="shared" si="373"/>
        <v>0</v>
      </c>
      <c r="BE208" s="11">
        <v>0</v>
      </c>
      <c r="BF208" s="11">
        <v>0</v>
      </c>
      <c r="BG208" s="11">
        <v>0</v>
      </c>
      <c r="BH208" s="11">
        <f t="shared" ref="BH208" si="380">SUM(BJ208:BK208)</f>
        <v>0</v>
      </c>
      <c r="BI208" s="11">
        <v>0</v>
      </c>
      <c r="BJ208" s="11">
        <v>0</v>
      </c>
      <c r="BK208" s="11">
        <v>0</v>
      </c>
      <c r="BL208" s="11">
        <v>0</v>
      </c>
      <c r="BM208" s="11">
        <v>0</v>
      </c>
      <c r="BN208" s="11">
        <f t="shared" ref="BN208" si="381">SUM(BO208)</f>
        <v>0</v>
      </c>
      <c r="BO208" s="11">
        <v>0</v>
      </c>
      <c r="BP208" s="11">
        <f t="shared" ref="BP208" si="382">SUM(BQ208:CA208)</f>
        <v>0</v>
      </c>
      <c r="BQ208" s="11">
        <v>0</v>
      </c>
      <c r="BR208" s="11">
        <v>0</v>
      </c>
      <c r="BS208" s="11">
        <v>0</v>
      </c>
      <c r="BT208" s="11">
        <v>0</v>
      </c>
      <c r="BU208" s="11">
        <v>0</v>
      </c>
      <c r="BV208" s="11">
        <v>0</v>
      </c>
      <c r="BW208" s="11">
        <v>0</v>
      </c>
      <c r="BX208" s="11">
        <v>0</v>
      </c>
      <c r="BY208" s="16"/>
      <c r="BZ208" s="16"/>
      <c r="CA208" s="16"/>
      <c r="CB208" s="11">
        <f t="shared" si="374"/>
        <v>0</v>
      </c>
      <c r="CC208" s="11">
        <f t="shared" si="375"/>
        <v>0</v>
      </c>
      <c r="CD208" s="11">
        <f t="shared" ref="CD208" si="383">SUM(CE208:CF208)</f>
        <v>0</v>
      </c>
      <c r="CE208" s="11">
        <v>0</v>
      </c>
      <c r="CF208" s="11"/>
      <c r="CG208" s="11">
        <f t="shared" si="376"/>
        <v>0</v>
      </c>
      <c r="CH208" s="11">
        <v>0</v>
      </c>
      <c r="CI208" s="11">
        <v>0</v>
      </c>
      <c r="CJ208" s="11">
        <v>0</v>
      </c>
      <c r="CK208" s="11">
        <v>0</v>
      </c>
      <c r="CL208" s="11">
        <f t="shared" si="377"/>
        <v>0</v>
      </c>
      <c r="CM208" s="11">
        <v>0</v>
      </c>
      <c r="CN208" s="11">
        <v>0</v>
      </c>
      <c r="CO208" s="11">
        <v>0</v>
      </c>
      <c r="CP208" s="11"/>
      <c r="CQ208" s="11">
        <v>0</v>
      </c>
      <c r="CR208" s="11">
        <v>0</v>
      </c>
      <c r="CS208" s="11">
        <v>0</v>
      </c>
      <c r="CT208" s="11">
        <v>0</v>
      </c>
      <c r="CU208" s="11">
        <f t="shared" ref="CU208" si="384">SUM(CV208)</f>
        <v>0</v>
      </c>
      <c r="CV208" s="11">
        <f t="shared" ref="CV208" si="385">SUM(CW208:CX208)</f>
        <v>0</v>
      </c>
      <c r="CW208" s="11">
        <v>0</v>
      </c>
      <c r="CX208" s="12">
        <v>0</v>
      </c>
    </row>
    <row r="209" spans="1:102" ht="31.5" x14ac:dyDescent="0.25">
      <c r="A209" s="13" t="s">
        <v>1</v>
      </c>
      <c r="B209" s="14" t="s">
        <v>1</v>
      </c>
      <c r="C209" s="14" t="s">
        <v>361</v>
      </c>
      <c r="D209" s="15" t="s">
        <v>472</v>
      </c>
      <c r="E209" s="10">
        <f t="shared" si="368"/>
        <v>620000</v>
      </c>
      <c r="F209" s="11">
        <f t="shared" si="369"/>
        <v>0</v>
      </c>
      <c r="G209" s="11">
        <f t="shared" si="370"/>
        <v>0</v>
      </c>
      <c r="H209" s="16"/>
      <c r="I209" s="16"/>
      <c r="J209" s="11">
        <f t="shared" si="279"/>
        <v>0</v>
      </c>
      <c r="K209" s="11">
        <v>0</v>
      </c>
      <c r="L209" s="11"/>
      <c r="M209" s="11">
        <v>0</v>
      </c>
      <c r="N209" s="11">
        <v>0</v>
      </c>
      <c r="O209" s="11">
        <v>0</v>
      </c>
      <c r="P209" s="11">
        <v>0</v>
      </c>
      <c r="Q209" s="11">
        <f t="shared" si="280"/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f t="shared" si="371"/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6"/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/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/>
      <c r="AW209" s="11"/>
      <c r="AX209" s="11">
        <v>0</v>
      </c>
      <c r="AY209" s="11"/>
      <c r="AZ209" s="11">
        <v>0</v>
      </c>
      <c r="BA209" s="11">
        <v>0</v>
      </c>
      <c r="BB209" s="11">
        <v>0</v>
      </c>
      <c r="BC209" s="11">
        <f t="shared" si="372"/>
        <v>0</v>
      </c>
      <c r="BD209" s="11">
        <f t="shared" si="373"/>
        <v>0</v>
      </c>
      <c r="BE209" s="11">
        <v>0</v>
      </c>
      <c r="BF209" s="11">
        <v>0</v>
      </c>
      <c r="BG209" s="11">
        <v>0</v>
      </c>
      <c r="BH209" s="11">
        <f t="shared" si="282"/>
        <v>0</v>
      </c>
      <c r="BI209" s="11">
        <v>0</v>
      </c>
      <c r="BJ209" s="11">
        <v>0</v>
      </c>
      <c r="BK209" s="11">
        <v>0</v>
      </c>
      <c r="BL209" s="11">
        <v>0</v>
      </c>
      <c r="BM209" s="11">
        <v>0</v>
      </c>
      <c r="BN209" s="11">
        <f t="shared" si="283"/>
        <v>0</v>
      </c>
      <c r="BO209" s="11">
        <v>0</v>
      </c>
      <c r="BP209" s="11">
        <f t="shared" si="284"/>
        <v>0</v>
      </c>
      <c r="BQ209" s="11">
        <v>0</v>
      </c>
      <c r="BR209" s="11">
        <v>0</v>
      </c>
      <c r="BS209" s="11">
        <v>0</v>
      </c>
      <c r="BT209" s="11">
        <v>0</v>
      </c>
      <c r="BU209" s="11">
        <v>0</v>
      </c>
      <c r="BV209" s="11">
        <v>0</v>
      </c>
      <c r="BW209" s="11">
        <v>0</v>
      </c>
      <c r="BX209" s="11">
        <v>0</v>
      </c>
      <c r="BY209" s="16"/>
      <c r="BZ209" s="16"/>
      <c r="CA209" s="16"/>
      <c r="CB209" s="11">
        <f t="shared" si="374"/>
        <v>620000</v>
      </c>
      <c r="CC209" s="11">
        <f t="shared" si="375"/>
        <v>620000</v>
      </c>
      <c r="CD209" s="11">
        <f t="shared" si="285"/>
        <v>0</v>
      </c>
      <c r="CE209" s="11">
        <v>0</v>
      </c>
      <c r="CF209" s="11"/>
      <c r="CG209" s="11">
        <f t="shared" si="376"/>
        <v>0</v>
      </c>
      <c r="CH209" s="11">
        <v>0</v>
      </c>
      <c r="CI209" s="11">
        <v>0</v>
      </c>
      <c r="CJ209" s="11">
        <v>0</v>
      </c>
      <c r="CK209" s="11">
        <v>0</v>
      </c>
      <c r="CL209" s="11">
        <f t="shared" si="377"/>
        <v>620000</v>
      </c>
      <c r="CM209" s="11">
        <v>620000</v>
      </c>
      <c r="CN209" s="11">
        <v>0</v>
      </c>
      <c r="CO209" s="11">
        <v>0</v>
      </c>
      <c r="CP209" s="11"/>
      <c r="CQ209" s="11">
        <v>0</v>
      </c>
      <c r="CR209" s="11">
        <v>0</v>
      </c>
      <c r="CS209" s="11">
        <v>0</v>
      </c>
      <c r="CT209" s="11">
        <v>0</v>
      </c>
      <c r="CU209" s="11">
        <f t="shared" si="286"/>
        <v>0</v>
      </c>
      <c r="CV209" s="11">
        <f t="shared" si="287"/>
        <v>0</v>
      </c>
      <c r="CW209" s="11">
        <v>0</v>
      </c>
      <c r="CX209" s="12">
        <v>0</v>
      </c>
    </row>
    <row r="210" spans="1:102" ht="31.5" x14ac:dyDescent="0.25">
      <c r="A210" s="7"/>
      <c r="B210" s="8" t="s">
        <v>362</v>
      </c>
      <c r="C210" s="8" t="s">
        <v>1</v>
      </c>
      <c r="D210" s="9" t="s">
        <v>473</v>
      </c>
      <c r="E210" s="10">
        <f t="shared" ref="E210:AU210" si="386">SUM(E211:E221)</f>
        <v>159395606</v>
      </c>
      <c r="F210" s="11">
        <f t="shared" si="386"/>
        <v>159395606</v>
      </c>
      <c r="G210" s="11">
        <f t="shared" si="386"/>
        <v>159395606</v>
      </c>
      <c r="H210" s="11">
        <f t="shared" si="386"/>
        <v>0</v>
      </c>
      <c r="I210" s="11">
        <f t="shared" si="386"/>
        <v>0</v>
      </c>
      <c r="J210" s="11">
        <f t="shared" si="386"/>
        <v>0</v>
      </c>
      <c r="K210" s="11">
        <f t="shared" si="386"/>
        <v>0</v>
      </c>
      <c r="L210" s="11">
        <f t="shared" si="386"/>
        <v>0</v>
      </c>
      <c r="M210" s="11">
        <f t="shared" si="386"/>
        <v>0</v>
      </c>
      <c r="N210" s="11">
        <f t="shared" si="386"/>
        <v>0</v>
      </c>
      <c r="O210" s="11">
        <f t="shared" si="386"/>
        <v>0</v>
      </c>
      <c r="P210" s="11">
        <f t="shared" si="386"/>
        <v>0</v>
      </c>
      <c r="Q210" s="11">
        <f t="shared" si="386"/>
        <v>0</v>
      </c>
      <c r="R210" s="11">
        <f t="shared" si="386"/>
        <v>0</v>
      </c>
      <c r="S210" s="11">
        <f t="shared" si="386"/>
        <v>0</v>
      </c>
      <c r="T210" s="11">
        <f t="shared" si="386"/>
        <v>0</v>
      </c>
      <c r="U210" s="11">
        <f t="shared" si="386"/>
        <v>0</v>
      </c>
      <c r="V210" s="11">
        <f t="shared" si="386"/>
        <v>159395606</v>
      </c>
      <c r="W210" s="11">
        <f t="shared" si="386"/>
        <v>0</v>
      </c>
      <c r="X210" s="11">
        <f t="shared" si="386"/>
        <v>0</v>
      </c>
      <c r="Y210" s="11">
        <f t="shared" si="386"/>
        <v>0</v>
      </c>
      <c r="Z210" s="11">
        <f t="shared" si="386"/>
        <v>0</v>
      </c>
      <c r="AA210" s="11">
        <f t="shared" si="386"/>
        <v>0</v>
      </c>
      <c r="AB210" s="11">
        <f t="shared" si="386"/>
        <v>0</v>
      </c>
      <c r="AC210" s="11">
        <f t="shared" si="386"/>
        <v>159395606</v>
      </c>
      <c r="AD210" s="11">
        <f t="shared" si="386"/>
        <v>0</v>
      </c>
      <c r="AE210" s="11">
        <f t="shared" si="386"/>
        <v>0</v>
      </c>
      <c r="AF210" s="11">
        <f t="shared" si="386"/>
        <v>0</v>
      </c>
      <c r="AG210" s="11">
        <f t="shared" si="386"/>
        <v>0</v>
      </c>
      <c r="AH210" s="11">
        <f t="shared" si="386"/>
        <v>0</v>
      </c>
      <c r="AI210" s="11">
        <f t="shared" si="386"/>
        <v>0</v>
      </c>
      <c r="AJ210" s="11">
        <f t="shared" si="386"/>
        <v>0</v>
      </c>
      <c r="AK210" s="11">
        <f t="shared" si="386"/>
        <v>0</v>
      </c>
      <c r="AL210" s="11">
        <f t="shared" si="386"/>
        <v>0</v>
      </c>
      <c r="AM210" s="11">
        <f t="shared" si="386"/>
        <v>0</v>
      </c>
      <c r="AN210" s="11">
        <f t="shared" si="386"/>
        <v>0</v>
      </c>
      <c r="AO210" s="11">
        <f t="shared" si="386"/>
        <v>0</v>
      </c>
      <c r="AP210" s="11">
        <f t="shared" si="386"/>
        <v>0</v>
      </c>
      <c r="AQ210" s="11">
        <f t="shared" si="386"/>
        <v>0</v>
      </c>
      <c r="AR210" s="11">
        <f t="shared" si="386"/>
        <v>0</v>
      </c>
      <c r="AS210" s="11">
        <f t="shared" si="386"/>
        <v>0</v>
      </c>
      <c r="AT210" s="11">
        <f t="shared" si="386"/>
        <v>0</v>
      </c>
      <c r="AU210" s="11">
        <f t="shared" si="386"/>
        <v>0</v>
      </c>
      <c r="AV210" s="11"/>
      <c r="AW210" s="11"/>
      <c r="AX210" s="11">
        <f t="shared" ref="AX210:CO210" si="387">SUM(AX211:AX221)</f>
        <v>0</v>
      </c>
      <c r="AY210" s="11">
        <f t="shared" si="387"/>
        <v>0</v>
      </c>
      <c r="AZ210" s="11">
        <f t="shared" si="387"/>
        <v>0</v>
      </c>
      <c r="BA210" s="11">
        <f t="shared" si="387"/>
        <v>0</v>
      </c>
      <c r="BB210" s="11">
        <f t="shared" si="387"/>
        <v>0</v>
      </c>
      <c r="BC210" s="11">
        <f t="shared" si="387"/>
        <v>0</v>
      </c>
      <c r="BD210" s="11">
        <f t="shared" si="387"/>
        <v>0</v>
      </c>
      <c r="BE210" s="11">
        <f t="shared" si="387"/>
        <v>0</v>
      </c>
      <c r="BF210" s="11">
        <f t="shared" si="387"/>
        <v>0</v>
      </c>
      <c r="BG210" s="11">
        <f t="shared" si="387"/>
        <v>0</v>
      </c>
      <c r="BH210" s="11">
        <f t="shared" si="387"/>
        <v>0</v>
      </c>
      <c r="BI210" s="11">
        <f t="shared" si="387"/>
        <v>0</v>
      </c>
      <c r="BJ210" s="11">
        <f t="shared" si="387"/>
        <v>0</v>
      </c>
      <c r="BK210" s="11">
        <f t="shared" si="387"/>
        <v>0</v>
      </c>
      <c r="BL210" s="11">
        <f t="shared" si="387"/>
        <v>0</v>
      </c>
      <c r="BM210" s="11">
        <f t="shared" si="387"/>
        <v>0</v>
      </c>
      <c r="BN210" s="11">
        <f t="shared" si="387"/>
        <v>0</v>
      </c>
      <c r="BO210" s="11">
        <f t="shared" si="387"/>
        <v>0</v>
      </c>
      <c r="BP210" s="11">
        <f t="shared" si="387"/>
        <v>0</v>
      </c>
      <c r="BQ210" s="11">
        <f t="shared" si="387"/>
        <v>0</v>
      </c>
      <c r="BR210" s="11">
        <f t="shared" si="387"/>
        <v>0</v>
      </c>
      <c r="BS210" s="11">
        <f t="shared" si="387"/>
        <v>0</v>
      </c>
      <c r="BT210" s="11">
        <f t="shared" si="387"/>
        <v>0</v>
      </c>
      <c r="BU210" s="11">
        <f t="shared" si="387"/>
        <v>0</v>
      </c>
      <c r="BV210" s="11">
        <f t="shared" si="387"/>
        <v>0</v>
      </c>
      <c r="BW210" s="11">
        <f t="shared" si="387"/>
        <v>0</v>
      </c>
      <c r="BX210" s="11">
        <f t="shared" si="387"/>
        <v>0</v>
      </c>
      <c r="BY210" s="11">
        <f t="shared" si="387"/>
        <v>0</v>
      </c>
      <c r="BZ210" s="11">
        <f t="shared" si="387"/>
        <v>0</v>
      </c>
      <c r="CA210" s="11">
        <f t="shared" si="387"/>
        <v>0</v>
      </c>
      <c r="CB210" s="11">
        <f t="shared" si="387"/>
        <v>0</v>
      </c>
      <c r="CC210" s="11">
        <f t="shared" si="387"/>
        <v>0</v>
      </c>
      <c r="CD210" s="11">
        <f t="shared" si="387"/>
        <v>0</v>
      </c>
      <c r="CE210" s="11">
        <f t="shared" si="387"/>
        <v>0</v>
      </c>
      <c r="CF210" s="11">
        <f t="shared" si="387"/>
        <v>0</v>
      </c>
      <c r="CG210" s="11">
        <f t="shared" si="387"/>
        <v>0</v>
      </c>
      <c r="CH210" s="11">
        <f t="shared" si="387"/>
        <v>0</v>
      </c>
      <c r="CI210" s="11">
        <f t="shared" si="387"/>
        <v>0</v>
      </c>
      <c r="CJ210" s="11">
        <f t="shared" si="387"/>
        <v>0</v>
      </c>
      <c r="CK210" s="11">
        <f t="shared" si="387"/>
        <v>0</v>
      </c>
      <c r="CL210" s="11">
        <f t="shared" si="387"/>
        <v>0</v>
      </c>
      <c r="CM210" s="11">
        <f t="shared" si="387"/>
        <v>0</v>
      </c>
      <c r="CN210" s="11">
        <f t="shared" si="387"/>
        <v>0</v>
      </c>
      <c r="CO210" s="11">
        <f t="shared" si="387"/>
        <v>0</v>
      </c>
      <c r="CP210" s="11"/>
      <c r="CQ210" s="11">
        <f t="shared" ref="CQ210:CX210" si="388">SUM(CQ211:CQ221)</f>
        <v>0</v>
      </c>
      <c r="CR210" s="11">
        <f t="shared" si="388"/>
        <v>0</v>
      </c>
      <c r="CS210" s="11">
        <f t="shared" si="388"/>
        <v>0</v>
      </c>
      <c r="CT210" s="11">
        <f t="shared" si="388"/>
        <v>0</v>
      </c>
      <c r="CU210" s="11">
        <f t="shared" si="388"/>
        <v>0</v>
      </c>
      <c r="CV210" s="11">
        <f t="shared" si="388"/>
        <v>0</v>
      </c>
      <c r="CW210" s="11">
        <f t="shared" si="388"/>
        <v>0</v>
      </c>
      <c r="CX210" s="12">
        <f t="shared" si="388"/>
        <v>0</v>
      </c>
    </row>
    <row r="211" spans="1:102" ht="31.5" x14ac:dyDescent="0.25">
      <c r="A211" s="13" t="s">
        <v>1</v>
      </c>
      <c r="B211" s="14" t="s">
        <v>1</v>
      </c>
      <c r="C211" s="26" t="s">
        <v>97</v>
      </c>
      <c r="D211" s="25" t="s">
        <v>474</v>
      </c>
      <c r="E211" s="10">
        <f t="shared" ref="E211:E221" si="389">SUM(F211+CB211+CU211)</f>
        <v>126786693</v>
      </c>
      <c r="F211" s="11">
        <f t="shared" ref="F211:F221" si="390">SUM(G211+BC211)</f>
        <v>126786693</v>
      </c>
      <c r="G211" s="11">
        <f t="shared" ref="G211:G221" si="391">SUM(H211+I211+J211+Q211+T211+U211+V211+AF211+AE211)</f>
        <v>126786693</v>
      </c>
      <c r="H211" s="11">
        <v>0</v>
      </c>
      <c r="I211" s="11">
        <v>0</v>
      </c>
      <c r="J211" s="11">
        <f t="shared" ref="J211:J221" si="392">SUM(K211:P211)</f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f t="shared" ref="Q211:Q221" si="393">SUM(R211:S211)</f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f t="shared" ref="V211:V221" si="394">SUM(W211:AD211)</f>
        <v>126786693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6">
        <v>126786693</v>
      </c>
      <c r="AD211" s="11">
        <v>0</v>
      </c>
      <c r="AE211" s="11">
        <v>0</v>
      </c>
      <c r="AF211" s="11">
        <f t="shared" ref="AF211:AF221" si="395">SUM(AG211:BB211)</f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/>
      <c r="AW211" s="11"/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f t="shared" ref="BC211:BC221" si="396">SUM(BD211+BH211+BL211+BN211+BP211)</f>
        <v>0</v>
      </c>
      <c r="BD211" s="11">
        <f t="shared" ref="BD211:BD221" si="397">SUM(BE211:BG211)</f>
        <v>0</v>
      </c>
      <c r="BE211" s="11">
        <v>0</v>
      </c>
      <c r="BF211" s="11">
        <v>0</v>
      </c>
      <c r="BG211" s="11">
        <v>0</v>
      </c>
      <c r="BH211" s="11">
        <f t="shared" ref="BH211:BH221" si="398">SUM(BJ211:BK211)</f>
        <v>0</v>
      </c>
      <c r="BI211" s="11">
        <v>0</v>
      </c>
      <c r="BJ211" s="11">
        <v>0</v>
      </c>
      <c r="BK211" s="11">
        <v>0</v>
      </c>
      <c r="BL211" s="11">
        <v>0</v>
      </c>
      <c r="BM211" s="11">
        <v>0</v>
      </c>
      <c r="BN211" s="11">
        <f t="shared" ref="BN211:BN221" si="399">SUM(BO211)</f>
        <v>0</v>
      </c>
      <c r="BO211" s="11">
        <v>0</v>
      </c>
      <c r="BP211" s="11">
        <f t="shared" ref="BP211:BP221" si="400">SUM(BQ211:CA211)</f>
        <v>0</v>
      </c>
      <c r="BQ211" s="11">
        <v>0</v>
      </c>
      <c r="BR211" s="11">
        <v>0</v>
      </c>
      <c r="BS211" s="11">
        <v>0</v>
      </c>
      <c r="BT211" s="11">
        <v>0</v>
      </c>
      <c r="BU211" s="11">
        <v>0</v>
      </c>
      <c r="BV211" s="11">
        <v>0</v>
      </c>
      <c r="BW211" s="11">
        <v>0</v>
      </c>
      <c r="BX211" s="11">
        <v>0</v>
      </c>
      <c r="BY211" s="11">
        <v>0</v>
      </c>
      <c r="BZ211" s="11">
        <v>0</v>
      </c>
      <c r="CA211" s="11">
        <v>0</v>
      </c>
      <c r="CB211" s="11">
        <f t="shared" ref="CB211:CB221" si="401">SUM(CC211+CT211)</f>
        <v>0</v>
      </c>
      <c r="CC211" s="11">
        <f t="shared" ref="CC211:CC221" si="402">SUM(CD211+CG211+CL211)</f>
        <v>0</v>
      </c>
      <c r="CD211" s="11">
        <f t="shared" ref="CD211:CD221" si="403">SUM(CE211:CF211)</f>
        <v>0</v>
      </c>
      <c r="CE211" s="11">
        <v>0</v>
      </c>
      <c r="CF211" s="11">
        <v>0</v>
      </c>
      <c r="CG211" s="11">
        <f t="shared" ref="CG211:CG221" si="404">SUM(CH211:CK211)</f>
        <v>0</v>
      </c>
      <c r="CH211" s="11">
        <v>0</v>
      </c>
      <c r="CI211" s="11">
        <v>0</v>
      </c>
      <c r="CJ211" s="11">
        <v>0</v>
      </c>
      <c r="CK211" s="11">
        <v>0</v>
      </c>
      <c r="CL211" s="11">
        <f t="shared" ref="CL211:CL221" si="405">SUM(CM211:CQ211)</f>
        <v>0</v>
      </c>
      <c r="CM211" s="11">
        <v>0</v>
      </c>
      <c r="CN211" s="11">
        <v>0</v>
      </c>
      <c r="CO211" s="11">
        <v>0</v>
      </c>
      <c r="CP211" s="11"/>
      <c r="CQ211" s="11">
        <v>0</v>
      </c>
      <c r="CR211" s="11">
        <v>0</v>
      </c>
      <c r="CS211" s="11">
        <v>0</v>
      </c>
      <c r="CT211" s="11">
        <v>0</v>
      </c>
      <c r="CU211" s="11">
        <f t="shared" ref="CU211:CU221" si="406">SUM(CV211)</f>
        <v>0</v>
      </c>
      <c r="CV211" s="11">
        <f t="shared" ref="CV211:CV221" si="407">SUM(CW211:CX211)</f>
        <v>0</v>
      </c>
      <c r="CW211" s="11">
        <v>0</v>
      </c>
      <c r="CX211" s="12">
        <v>0</v>
      </c>
    </row>
    <row r="212" spans="1:102" ht="31.5" x14ac:dyDescent="0.25">
      <c r="A212" s="13" t="s">
        <v>1</v>
      </c>
      <c r="B212" s="14" t="s">
        <v>1</v>
      </c>
      <c r="C212" s="26" t="s">
        <v>117</v>
      </c>
      <c r="D212" s="25" t="s">
        <v>475</v>
      </c>
      <c r="E212" s="10">
        <f t="shared" si="389"/>
        <v>0</v>
      </c>
      <c r="F212" s="11">
        <f t="shared" si="390"/>
        <v>0</v>
      </c>
      <c r="G212" s="11">
        <f t="shared" si="391"/>
        <v>0</v>
      </c>
      <c r="H212" s="11">
        <v>0</v>
      </c>
      <c r="I212" s="11">
        <v>0</v>
      </c>
      <c r="J212" s="11">
        <f t="shared" si="392"/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f t="shared" si="393"/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f t="shared" si="394"/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6">
        <f>1662029-1662029</f>
        <v>0</v>
      </c>
      <c r="AD212" s="11">
        <v>0</v>
      </c>
      <c r="AE212" s="11">
        <v>0</v>
      </c>
      <c r="AF212" s="11">
        <f t="shared" si="395"/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11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/>
      <c r="AW212" s="11"/>
      <c r="AX212" s="11">
        <v>0</v>
      </c>
      <c r="AY212" s="11">
        <v>0</v>
      </c>
      <c r="AZ212" s="11">
        <v>0</v>
      </c>
      <c r="BA212" s="11">
        <v>0</v>
      </c>
      <c r="BB212" s="11">
        <v>0</v>
      </c>
      <c r="BC212" s="11">
        <f t="shared" si="396"/>
        <v>0</v>
      </c>
      <c r="BD212" s="11">
        <f t="shared" si="397"/>
        <v>0</v>
      </c>
      <c r="BE212" s="11">
        <v>0</v>
      </c>
      <c r="BF212" s="11">
        <v>0</v>
      </c>
      <c r="BG212" s="11">
        <v>0</v>
      </c>
      <c r="BH212" s="11">
        <f t="shared" si="398"/>
        <v>0</v>
      </c>
      <c r="BI212" s="11">
        <v>0</v>
      </c>
      <c r="BJ212" s="11">
        <v>0</v>
      </c>
      <c r="BK212" s="11">
        <v>0</v>
      </c>
      <c r="BL212" s="11">
        <v>0</v>
      </c>
      <c r="BM212" s="11">
        <v>0</v>
      </c>
      <c r="BN212" s="11">
        <f t="shared" si="399"/>
        <v>0</v>
      </c>
      <c r="BO212" s="11">
        <v>0</v>
      </c>
      <c r="BP212" s="11">
        <f t="shared" si="400"/>
        <v>0</v>
      </c>
      <c r="BQ212" s="11">
        <v>0</v>
      </c>
      <c r="BR212" s="11">
        <v>0</v>
      </c>
      <c r="BS212" s="11">
        <v>0</v>
      </c>
      <c r="BT212" s="11">
        <v>0</v>
      </c>
      <c r="BU212" s="11">
        <v>0</v>
      </c>
      <c r="BV212" s="11">
        <v>0</v>
      </c>
      <c r="BW212" s="11">
        <v>0</v>
      </c>
      <c r="BX212" s="11">
        <v>0</v>
      </c>
      <c r="BY212" s="11">
        <v>0</v>
      </c>
      <c r="BZ212" s="11">
        <v>0</v>
      </c>
      <c r="CA212" s="11">
        <v>0</v>
      </c>
      <c r="CB212" s="11">
        <f t="shared" si="401"/>
        <v>0</v>
      </c>
      <c r="CC212" s="11">
        <f t="shared" si="402"/>
        <v>0</v>
      </c>
      <c r="CD212" s="11">
        <f t="shared" si="403"/>
        <v>0</v>
      </c>
      <c r="CE212" s="11">
        <v>0</v>
      </c>
      <c r="CF212" s="11">
        <v>0</v>
      </c>
      <c r="CG212" s="11">
        <f t="shared" si="404"/>
        <v>0</v>
      </c>
      <c r="CH212" s="11">
        <v>0</v>
      </c>
      <c r="CI212" s="11">
        <v>0</v>
      </c>
      <c r="CJ212" s="11">
        <v>0</v>
      </c>
      <c r="CK212" s="11">
        <v>0</v>
      </c>
      <c r="CL212" s="11">
        <f t="shared" si="405"/>
        <v>0</v>
      </c>
      <c r="CM212" s="11">
        <v>0</v>
      </c>
      <c r="CN212" s="11">
        <v>0</v>
      </c>
      <c r="CO212" s="11">
        <v>0</v>
      </c>
      <c r="CP212" s="11"/>
      <c r="CQ212" s="11">
        <v>0</v>
      </c>
      <c r="CR212" s="11">
        <v>0</v>
      </c>
      <c r="CS212" s="11">
        <v>0</v>
      </c>
      <c r="CT212" s="11">
        <v>0</v>
      </c>
      <c r="CU212" s="11">
        <f t="shared" si="406"/>
        <v>0</v>
      </c>
      <c r="CV212" s="11">
        <f t="shared" si="407"/>
        <v>0</v>
      </c>
      <c r="CW212" s="11">
        <v>0</v>
      </c>
      <c r="CX212" s="12">
        <v>0</v>
      </c>
    </row>
    <row r="213" spans="1:102" ht="15.75" x14ac:dyDescent="0.25">
      <c r="A213" s="13" t="s">
        <v>1</v>
      </c>
      <c r="B213" s="14" t="s">
        <v>1</v>
      </c>
      <c r="C213" s="26" t="s">
        <v>363</v>
      </c>
      <c r="D213" s="25" t="s">
        <v>476</v>
      </c>
      <c r="E213" s="10">
        <f t="shared" si="389"/>
        <v>18325032</v>
      </c>
      <c r="F213" s="11">
        <f t="shared" si="390"/>
        <v>18325032</v>
      </c>
      <c r="G213" s="11">
        <f t="shared" si="391"/>
        <v>18325032</v>
      </c>
      <c r="H213" s="11">
        <v>0</v>
      </c>
      <c r="I213" s="11">
        <v>0</v>
      </c>
      <c r="J213" s="11">
        <f t="shared" si="392"/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f t="shared" si="393"/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f t="shared" si="394"/>
        <v>18325032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6">
        <v>18325032</v>
      </c>
      <c r="AD213" s="11">
        <v>0</v>
      </c>
      <c r="AE213" s="11">
        <v>0</v>
      </c>
      <c r="AF213" s="11">
        <f t="shared" si="395"/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/>
      <c r="AW213" s="11"/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f t="shared" si="396"/>
        <v>0</v>
      </c>
      <c r="BD213" s="11">
        <f t="shared" si="397"/>
        <v>0</v>
      </c>
      <c r="BE213" s="11">
        <v>0</v>
      </c>
      <c r="BF213" s="11">
        <v>0</v>
      </c>
      <c r="BG213" s="11">
        <v>0</v>
      </c>
      <c r="BH213" s="11">
        <f t="shared" si="398"/>
        <v>0</v>
      </c>
      <c r="BI213" s="11">
        <v>0</v>
      </c>
      <c r="BJ213" s="11">
        <v>0</v>
      </c>
      <c r="BK213" s="11">
        <v>0</v>
      </c>
      <c r="BL213" s="11">
        <v>0</v>
      </c>
      <c r="BM213" s="11">
        <v>0</v>
      </c>
      <c r="BN213" s="11">
        <f t="shared" si="399"/>
        <v>0</v>
      </c>
      <c r="BO213" s="11">
        <v>0</v>
      </c>
      <c r="BP213" s="11">
        <f t="shared" si="400"/>
        <v>0</v>
      </c>
      <c r="BQ213" s="11">
        <v>0</v>
      </c>
      <c r="BR213" s="11">
        <v>0</v>
      </c>
      <c r="BS213" s="11">
        <v>0</v>
      </c>
      <c r="BT213" s="11">
        <v>0</v>
      </c>
      <c r="BU213" s="11">
        <v>0</v>
      </c>
      <c r="BV213" s="11">
        <v>0</v>
      </c>
      <c r="BW213" s="11">
        <v>0</v>
      </c>
      <c r="BX213" s="11">
        <v>0</v>
      </c>
      <c r="BY213" s="11">
        <v>0</v>
      </c>
      <c r="BZ213" s="11">
        <v>0</v>
      </c>
      <c r="CA213" s="11">
        <v>0</v>
      </c>
      <c r="CB213" s="11">
        <f t="shared" si="401"/>
        <v>0</v>
      </c>
      <c r="CC213" s="11">
        <f t="shared" si="402"/>
        <v>0</v>
      </c>
      <c r="CD213" s="11">
        <f t="shared" si="403"/>
        <v>0</v>
      </c>
      <c r="CE213" s="11">
        <v>0</v>
      </c>
      <c r="CF213" s="11">
        <v>0</v>
      </c>
      <c r="CG213" s="11">
        <f t="shared" si="404"/>
        <v>0</v>
      </c>
      <c r="CH213" s="11">
        <v>0</v>
      </c>
      <c r="CI213" s="11">
        <v>0</v>
      </c>
      <c r="CJ213" s="11">
        <v>0</v>
      </c>
      <c r="CK213" s="11">
        <v>0</v>
      </c>
      <c r="CL213" s="11">
        <f t="shared" si="405"/>
        <v>0</v>
      </c>
      <c r="CM213" s="11">
        <v>0</v>
      </c>
      <c r="CN213" s="11">
        <v>0</v>
      </c>
      <c r="CO213" s="11">
        <v>0</v>
      </c>
      <c r="CP213" s="11"/>
      <c r="CQ213" s="11">
        <v>0</v>
      </c>
      <c r="CR213" s="11">
        <v>0</v>
      </c>
      <c r="CS213" s="11">
        <v>0</v>
      </c>
      <c r="CT213" s="11">
        <v>0</v>
      </c>
      <c r="CU213" s="11">
        <f t="shared" si="406"/>
        <v>0</v>
      </c>
      <c r="CV213" s="11">
        <f t="shared" si="407"/>
        <v>0</v>
      </c>
      <c r="CW213" s="11">
        <v>0</v>
      </c>
      <c r="CX213" s="12">
        <v>0</v>
      </c>
    </row>
    <row r="214" spans="1:102" ht="31.5" x14ac:dyDescent="0.25">
      <c r="A214" s="13" t="s">
        <v>1</v>
      </c>
      <c r="B214" s="14" t="s">
        <v>1</v>
      </c>
      <c r="C214" s="26" t="s">
        <v>363</v>
      </c>
      <c r="D214" s="25" t="s">
        <v>477</v>
      </c>
      <c r="E214" s="10">
        <f t="shared" si="389"/>
        <v>822440</v>
      </c>
      <c r="F214" s="11">
        <f t="shared" si="390"/>
        <v>822440</v>
      </c>
      <c r="G214" s="11">
        <f t="shared" si="391"/>
        <v>822440</v>
      </c>
      <c r="H214" s="11">
        <v>0</v>
      </c>
      <c r="I214" s="11">
        <v>0</v>
      </c>
      <c r="J214" s="11">
        <f t="shared" si="392"/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f t="shared" si="393"/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f t="shared" si="394"/>
        <v>822440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6">
        <v>822440</v>
      </c>
      <c r="AD214" s="11">
        <v>0</v>
      </c>
      <c r="AE214" s="11">
        <v>0</v>
      </c>
      <c r="AF214" s="11">
        <f t="shared" si="395"/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11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/>
      <c r="AW214" s="11"/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f t="shared" si="396"/>
        <v>0</v>
      </c>
      <c r="BD214" s="11">
        <f t="shared" si="397"/>
        <v>0</v>
      </c>
      <c r="BE214" s="11">
        <v>0</v>
      </c>
      <c r="BF214" s="11">
        <v>0</v>
      </c>
      <c r="BG214" s="11">
        <v>0</v>
      </c>
      <c r="BH214" s="11">
        <f t="shared" si="398"/>
        <v>0</v>
      </c>
      <c r="BI214" s="11">
        <v>0</v>
      </c>
      <c r="BJ214" s="11">
        <v>0</v>
      </c>
      <c r="BK214" s="11">
        <v>0</v>
      </c>
      <c r="BL214" s="11">
        <v>0</v>
      </c>
      <c r="BM214" s="11">
        <v>0</v>
      </c>
      <c r="BN214" s="11">
        <f t="shared" si="399"/>
        <v>0</v>
      </c>
      <c r="BO214" s="11">
        <v>0</v>
      </c>
      <c r="BP214" s="11">
        <f t="shared" si="400"/>
        <v>0</v>
      </c>
      <c r="BQ214" s="11">
        <v>0</v>
      </c>
      <c r="BR214" s="11">
        <v>0</v>
      </c>
      <c r="BS214" s="11">
        <v>0</v>
      </c>
      <c r="BT214" s="11">
        <v>0</v>
      </c>
      <c r="BU214" s="11">
        <v>0</v>
      </c>
      <c r="BV214" s="11">
        <v>0</v>
      </c>
      <c r="BW214" s="11">
        <v>0</v>
      </c>
      <c r="BX214" s="11">
        <v>0</v>
      </c>
      <c r="BY214" s="11">
        <v>0</v>
      </c>
      <c r="BZ214" s="11">
        <v>0</v>
      </c>
      <c r="CA214" s="11">
        <v>0</v>
      </c>
      <c r="CB214" s="11">
        <f t="shared" si="401"/>
        <v>0</v>
      </c>
      <c r="CC214" s="11">
        <f t="shared" si="402"/>
        <v>0</v>
      </c>
      <c r="CD214" s="11">
        <f t="shared" si="403"/>
        <v>0</v>
      </c>
      <c r="CE214" s="11">
        <v>0</v>
      </c>
      <c r="CF214" s="11">
        <v>0</v>
      </c>
      <c r="CG214" s="11">
        <f t="shared" si="404"/>
        <v>0</v>
      </c>
      <c r="CH214" s="11">
        <v>0</v>
      </c>
      <c r="CI214" s="11">
        <v>0</v>
      </c>
      <c r="CJ214" s="11">
        <v>0</v>
      </c>
      <c r="CK214" s="11">
        <v>0</v>
      </c>
      <c r="CL214" s="11">
        <f t="shared" si="405"/>
        <v>0</v>
      </c>
      <c r="CM214" s="11">
        <v>0</v>
      </c>
      <c r="CN214" s="11">
        <v>0</v>
      </c>
      <c r="CO214" s="11">
        <v>0</v>
      </c>
      <c r="CP214" s="11"/>
      <c r="CQ214" s="11">
        <v>0</v>
      </c>
      <c r="CR214" s="11">
        <v>0</v>
      </c>
      <c r="CS214" s="11">
        <v>0</v>
      </c>
      <c r="CT214" s="11">
        <v>0</v>
      </c>
      <c r="CU214" s="11">
        <f t="shared" si="406"/>
        <v>0</v>
      </c>
      <c r="CV214" s="11">
        <f t="shared" si="407"/>
        <v>0</v>
      </c>
      <c r="CW214" s="11">
        <v>0</v>
      </c>
      <c r="CX214" s="12">
        <v>0</v>
      </c>
    </row>
    <row r="215" spans="1:102" ht="31.5" x14ac:dyDescent="0.25">
      <c r="A215" s="13" t="s">
        <v>1</v>
      </c>
      <c r="B215" s="14" t="s">
        <v>1</v>
      </c>
      <c r="C215" s="26" t="s">
        <v>363</v>
      </c>
      <c r="D215" s="25" t="s">
        <v>478</v>
      </c>
      <c r="E215" s="10">
        <f t="shared" si="389"/>
        <v>581348</v>
      </c>
      <c r="F215" s="11">
        <f t="shared" si="390"/>
        <v>581348</v>
      </c>
      <c r="G215" s="11">
        <f t="shared" si="391"/>
        <v>581348</v>
      </c>
      <c r="H215" s="11">
        <v>0</v>
      </c>
      <c r="I215" s="11">
        <v>0</v>
      </c>
      <c r="J215" s="11">
        <f t="shared" si="392"/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f t="shared" si="393"/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f t="shared" si="394"/>
        <v>581348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6">
        <v>581348</v>
      </c>
      <c r="AD215" s="11">
        <v>0</v>
      </c>
      <c r="AE215" s="11">
        <v>0</v>
      </c>
      <c r="AF215" s="11">
        <f t="shared" si="395"/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/>
      <c r="AW215" s="11"/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f t="shared" si="396"/>
        <v>0</v>
      </c>
      <c r="BD215" s="11">
        <f t="shared" si="397"/>
        <v>0</v>
      </c>
      <c r="BE215" s="11">
        <v>0</v>
      </c>
      <c r="BF215" s="11">
        <v>0</v>
      </c>
      <c r="BG215" s="11">
        <v>0</v>
      </c>
      <c r="BH215" s="11">
        <f t="shared" si="398"/>
        <v>0</v>
      </c>
      <c r="BI215" s="11">
        <v>0</v>
      </c>
      <c r="BJ215" s="11">
        <v>0</v>
      </c>
      <c r="BK215" s="11">
        <v>0</v>
      </c>
      <c r="BL215" s="11">
        <v>0</v>
      </c>
      <c r="BM215" s="11">
        <v>0</v>
      </c>
      <c r="BN215" s="11">
        <f t="shared" si="399"/>
        <v>0</v>
      </c>
      <c r="BO215" s="11">
        <v>0</v>
      </c>
      <c r="BP215" s="11">
        <f t="shared" si="400"/>
        <v>0</v>
      </c>
      <c r="BQ215" s="11">
        <v>0</v>
      </c>
      <c r="BR215" s="11">
        <v>0</v>
      </c>
      <c r="BS215" s="11">
        <v>0</v>
      </c>
      <c r="BT215" s="11">
        <v>0</v>
      </c>
      <c r="BU215" s="11">
        <v>0</v>
      </c>
      <c r="BV215" s="11">
        <v>0</v>
      </c>
      <c r="BW215" s="11">
        <v>0</v>
      </c>
      <c r="BX215" s="11">
        <v>0</v>
      </c>
      <c r="BY215" s="11">
        <v>0</v>
      </c>
      <c r="BZ215" s="11">
        <v>0</v>
      </c>
      <c r="CA215" s="11">
        <v>0</v>
      </c>
      <c r="CB215" s="11">
        <f t="shared" si="401"/>
        <v>0</v>
      </c>
      <c r="CC215" s="11">
        <f t="shared" si="402"/>
        <v>0</v>
      </c>
      <c r="CD215" s="11">
        <f t="shared" si="403"/>
        <v>0</v>
      </c>
      <c r="CE215" s="11">
        <v>0</v>
      </c>
      <c r="CF215" s="11">
        <v>0</v>
      </c>
      <c r="CG215" s="11">
        <f t="shared" si="404"/>
        <v>0</v>
      </c>
      <c r="CH215" s="11">
        <v>0</v>
      </c>
      <c r="CI215" s="11">
        <v>0</v>
      </c>
      <c r="CJ215" s="11">
        <v>0</v>
      </c>
      <c r="CK215" s="11">
        <v>0</v>
      </c>
      <c r="CL215" s="11">
        <f t="shared" si="405"/>
        <v>0</v>
      </c>
      <c r="CM215" s="11">
        <v>0</v>
      </c>
      <c r="CN215" s="11">
        <v>0</v>
      </c>
      <c r="CO215" s="11">
        <v>0</v>
      </c>
      <c r="CP215" s="11"/>
      <c r="CQ215" s="11">
        <v>0</v>
      </c>
      <c r="CR215" s="11">
        <v>0</v>
      </c>
      <c r="CS215" s="11">
        <v>0</v>
      </c>
      <c r="CT215" s="11">
        <v>0</v>
      </c>
      <c r="CU215" s="11">
        <f t="shared" si="406"/>
        <v>0</v>
      </c>
      <c r="CV215" s="11">
        <f t="shared" si="407"/>
        <v>0</v>
      </c>
      <c r="CW215" s="11">
        <v>0</v>
      </c>
      <c r="CX215" s="12">
        <v>0</v>
      </c>
    </row>
    <row r="216" spans="1:102" ht="15.75" x14ac:dyDescent="0.25">
      <c r="A216" s="13" t="s">
        <v>1</v>
      </c>
      <c r="B216" s="14" t="s">
        <v>1</v>
      </c>
      <c r="C216" s="26" t="s">
        <v>363</v>
      </c>
      <c r="D216" s="25" t="s">
        <v>479</v>
      </c>
      <c r="E216" s="10">
        <f t="shared" si="389"/>
        <v>1383709</v>
      </c>
      <c r="F216" s="11">
        <f t="shared" si="390"/>
        <v>1383709</v>
      </c>
      <c r="G216" s="11">
        <f t="shared" si="391"/>
        <v>1383709</v>
      </c>
      <c r="H216" s="11">
        <v>0</v>
      </c>
      <c r="I216" s="11">
        <v>0</v>
      </c>
      <c r="J216" s="11">
        <f t="shared" si="392"/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f t="shared" si="393"/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f t="shared" si="394"/>
        <v>1383709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6">
        <v>1383709</v>
      </c>
      <c r="AD216" s="11">
        <v>0</v>
      </c>
      <c r="AE216" s="11">
        <v>0</v>
      </c>
      <c r="AF216" s="11">
        <f t="shared" si="395"/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11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/>
      <c r="AW216" s="11"/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f t="shared" si="396"/>
        <v>0</v>
      </c>
      <c r="BD216" s="11">
        <f t="shared" si="397"/>
        <v>0</v>
      </c>
      <c r="BE216" s="11">
        <v>0</v>
      </c>
      <c r="BF216" s="11">
        <v>0</v>
      </c>
      <c r="BG216" s="11">
        <v>0</v>
      </c>
      <c r="BH216" s="11">
        <f t="shared" si="398"/>
        <v>0</v>
      </c>
      <c r="BI216" s="11">
        <v>0</v>
      </c>
      <c r="BJ216" s="11">
        <v>0</v>
      </c>
      <c r="BK216" s="11">
        <v>0</v>
      </c>
      <c r="BL216" s="11">
        <v>0</v>
      </c>
      <c r="BM216" s="11">
        <v>0</v>
      </c>
      <c r="BN216" s="11">
        <f t="shared" si="399"/>
        <v>0</v>
      </c>
      <c r="BO216" s="11">
        <v>0</v>
      </c>
      <c r="BP216" s="11">
        <f t="shared" si="400"/>
        <v>0</v>
      </c>
      <c r="BQ216" s="11">
        <v>0</v>
      </c>
      <c r="BR216" s="11">
        <v>0</v>
      </c>
      <c r="BS216" s="11">
        <v>0</v>
      </c>
      <c r="BT216" s="11">
        <v>0</v>
      </c>
      <c r="BU216" s="11">
        <v>0</v>
      </c>
      <c r="BV216" s="11">
        <v>0</v>
      </c>
      <c r="BW216" s="11">
        <v>0</v>
      </c>
      <c r="BX216" s="11">
        <v>0</v>
      </c>
      <c r="BY216" s="11">
        <v>0</v>
      </c>
      <c r="BZ216" s="11">
        <v>0</v>
      </c>
      <c r="CA216" s="11">
        <v>0</v>
      </c>
      <c r="CB216" s="11">
        <f t="shared" si="401"/>
        <v>0</v>
      </c>
      <c r="CC216" s="11">
        <f t="shared" si="402"/>
        <v>0</v>
      </c>
      <c r="CD216" s="11">
        <f t="shared" si="403"/>
        <v>0</v>
      </c>
      <c r="CE216" s="11">
        <v>0</v>
      </c>
      <c r="CF216" s="11">
        <v>0</v>
      </c>
      <c r="CG216" s="11">
        <f t="shared" si="404"/>
        <v>0</v>
      </c>
      <c r="CH216" s="11">
        <v>0</v>
      </c>
      <c r="CI216" s="11">
        <v>0</v>
      </c>
      <c r="CJ216" s="11">
        <v>0</v>
      </c>
      <c r="CK216" s="11">
        <v>0</v>
      </c>
      <c r="CL216" s="11">
        <f t="shared" si="405"/>
        <v>0</v>
      </c>
      <c r="CM216" s="11">
        <v>0</v>
      </c>
      <c r="CN216" s="11">
        <v>0</v>
      </c>
      <c r="CO216" s="11">
        <v>0</v>
      </c>
      <c r="CP216" s="11"/>
      <c r="CQ216" s="11">
        <v>0</v>
      </c>
      <c r="CR216" s="11">
        <v>0</v>
      </c>
      <c r="CS216" s="11">
        <v>0</v>
      </c>
      <c r="CT216" s="11">
        <v>0</v>
      </c>
      <c r="CU216" s="11">
        <f t="shared" si="406"/>
        <v>0</v>
      </c>
      <c r="CV216" s="11">
        <f t="shared" si="407"/>
        <v>0</v>
      </c>
      <c r="CW216" s="11">
        <v>0</v>
      </c>
      <c r="CX216" s="12">
        <v>0</v>
      </c>
    </row>
    <row r="217" spans="1:102" ht="15.75" x14ac:dyDescent="0.25">
      <c r="A217" s="13" t="s">
        <v>1</v>
      </c>
      <c r="B217" s="14" t="s">
        <v>1</v>
      </c>
      <c r="C217" s="26" t="s">
        <v>363</v>
      </c>
      <c r="D217" s="25" t="s">
        <v>480</v>
      </c>
      <c r="E217" s="10">
        <f t="shared" si="389"/>
        <v>277694</v>
      </c>
      <c r="F217" s="11">
        <f t="shared" si="390"/>
        <v>277694</v>
      </c>
      <c r="G217" s="11">
        <f t="shared" si="391"/>
        <v>277694</v>
      </c>
      <c r="H217" s="11">
        <v>0</v>
      </c>
      <c r="I217" s="11">
        <v>0</v>
      </c>
      <c r="J217" s="11">
        <f t="shared" si="392"/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f t="shared" si="393"/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f t="shared" si="394"/>
        <v>277694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6">
        <v>277694</v>
      </c>
      <c r="AD217" s="11">
        <v>0</v>
      </c>
      <c r="AE217" s="11">
        <v>0</v>
      </c>
      <c r="AF217" s="11">
        <f t="shared" si="395"/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/>
      <c r="AW217" s="11"/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f t="shared" si="396"/>
        <v>0</v>
      </c>
      <c r="BD217" s="11">
        <f t="shared" si="397"/>
        <v>0</v>
      </c>
      <c r="BE217" s="11">
        <v>0</v>
      </c>
      <c r="BF217" s="11">
        <v>0</v>
      </c>
      <c r="BG217" s="11">
        <v>0</v>
      </c>
      <c r="BH217" s="11">
        <f t="shared" si="398"/>
        <v>0</v>
      </c>
      <c r="BI217" s="11">
        <v>0</v>
      </c>
      <c r="BJ217" s="11">
        <v>0</v>
      </c>
      <c r="BK217" s="11">
        <v>0</v>
      </c>
      <c r="BL217" s="11">
        <v>0</v>
      </c>
      <c r="BM217" s="11">
        <v>0</v>
      </c>
      <c r="BN217" s="11">
        <f t="shared" si="399"/>
        <v>0</v>
      </c>
      <c r="BO217" s="11">
        <v>0</v>
      </c>
      <c r="BP217" s="11">
        <f t="shared" si="400"/>
        <v>0</v>
      </c>
      <c r="BQ217" s="11">
        <v>0</v>
      </c>
      <c r="BR217" s="11">
        <v>0</v>
      </c>
      <c r="BS217" s="11">
        <v>0</v>
      </c>
      <c r="BT217" s="11">
        <v>0</v>
      </c>
      <c r="BU217" s="11">
        <v>0</v>
      </c>
      <c r="BV217" s="11">
        <v>0</v>
      </c>
      <c r="BW217" s="11">
        <v>0</v>
      </c>
      <c r="BX217" s="11">
        <v>0</v>
      </c>
      <c r="BY217" s="11">
        <v>0</v>
      </c>
      <c r="BZ217" s="11">
        <v>0</v>
      </c>
      <c r="CA217" s="11">
        <v>0</v>
      </c>
      <c r="CB217" s="11">
        <f t="shared" si="401"/>
        <v>0</v>
      </c>
      <c r="CC217" s="11">
        <f t="shared" si="402"/>
        <v>0</v>
      </c>
      <c r="CD217" s="11">
        <f t="shared" si="403"/>
        <v>0</v>
      </c>
      <c r="CE217" s="11">
        <v>0</v>
      </c>
      <c r="CF217" s="11">
        <v>0</v>
      </c>
      <c r="CG217" s="11">
        <f t="shared" si="404"/>
        <v>0</v>
      </c>
      <c r="CH217" s="11">
        <v>0</v>
      </c>
      <c r="CI217" s="11">
        <v>0</v>
      </c>
      <c r="CJ217" s="11">
        <v>0</v>
      </c>
      <c r="CK217" s="11">
        <v>0</v>
      </c>
      <c r="CL217" s="11">
        <f t="shared" si="405"/>
        <v>0</v>
      </c>
      <c r="CM217" s="11">
        <v>0</v>
      </c>
      <c r="CN217" s="11">
        <v>0</v>
      </c>
      <c r="CO217" s="11">
        <v>0</v>
      </c>
      <c r="CP217" s="11"/>
      <c r="CQ217" s="11">
        <v>0</v>
      </c>
      <c r="CR217" s="11">
        <v>0</v>
      </c>
      <c r="CS217" s="11">
        <v>0</v>
      </c>
      <c r="CT217" s="11">
        <v>0</v>
      </c>
      <c r="CU217" s="11">
        <f t="shared" si="406"/>
        <v>0</v>
      </c>
      <c r="CV217" s="11">
        <f t="shared" si="407"/>
        <v>0</v>
      </c>
      <c r="CW217" s="11">
        <v>0</v>
      </c>
      <c r="CX217" s="12">
        <v>0</v>
      </c>
    </row>
    <row r="218" spans="1:102" ht="15.75" x14ac:dyDescent="0.25">
      <c r="A218" s="13" t="s">
        <v>1</v>
      </c>
      <c r="B218" s="14" t="s">
        <v>1</v>
      </c>
      <c r="C218" s="26" t="s">
        <v>363</v>
      </c>
      <c r="D218" s="25" t="s">
        <v>481</v>
      </c>
      <c r="E218" s="10">
        <f t="shared" si="389"/>
        <v>3520537</v>
      </c>
      <c r="F218" s="11">
        <f t="shared" si="390"/>
        <v>3520537</v>
      </c>
      <c r="G218" s="11">
        <f t="shared" si="391"/>
        <v>3520537</v>
      </c>
      <c r="H218" s="11">
        <v>0</v>
      </c>
      <c r="I218" s="11">
        <v>0</v>
      </c>
      <c r="J218" s="11">
        <f t="shared" si="392"/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f t="shared" si="393"/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f t="shared" si="394"/>
        <v>3520537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6">
        <v>3520537</v>
      </c>
      <c r="AD218" s="11">
        <v>0</v>
      </c>
      <c r="AE218" s="11">
        <v>0</v>
      </c>
      <c r="AF218" s="11">
        <f t="shared" si="395"/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/>
      <c r="AW218" s="11"/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f t="shared" si="396"/>
        <v>0</v>
      </c>
      <c r="BD218" s="11">
        <f t="shared" si="397"/>
        <v>0</v>
      </c>
      <c r="BE218" s="11">
        <v>0</v>
      </c>
      <c r="BF218" s="11">
        <v>0</v>
      </c>
      <c r="BG218" s="11">
        <v>0</v>
      </c>
      <c r="BH218" s="11">
        <f t="shared" si="398"/>
        <v>0</v>
      </c>
      <c r="BI218" s="11">
        <v>0</v>
      </c>
      <c r="BJ218" s="11">
        <v>0</v>
      </c>
      <c r="BK218" s="11">
        <v>0</v>
      </c>
      <c r="BL218" s="11">
        <v>0</v>
      </c>
      <c r="BM218" s="11">
        <v>0</v>
      </c>
      <c r="BN218" s="11">
        <f t="shared" si="399"/>
        <v>0</v>
      </c>
      <c r="BO218" s="11">
        <v>0</v>
      </c>
      <c r="BP218" s="11">
        <f t="shared" si="400"/>
        <v>0</v>
      </c>
      <c r="BQ218" s="11">
        <v>0</v>
      </c>
      <c r="BR218" s="11">
        <v>0</v>
      </c>
      <c r="BS218" s="11">
        <v>0</v>
      </c>
      <c r="BT218" s="11">
        <v>0</v>
      </c>
      <c r="BU218" s="11">
        <v>0</v>
      </c>
      <c r="BV218" s="11">
        <v>0</v>
      </c>
      <c r="BW218" s="11">
        <v>0</v>
      </c>
      <c r="BX218" s="11">
        <v>0</v>
      </c>
      <c r="BY218" s="11">
        <v>0</v>
      </c>
      <c r="BZ218" s="11">
        <v>0</v>
      </c>
      <c r="CA218" s="11">
        <v>0</v>
      </c>
      <c r="CB218" s="11">
        <f t="shared" si="401"/>
        <v>0</v>
      </c>
      <c r="CC218" s="11">
        <f t="shared" si="402"/>
        <v>0</v>
      </c>
      <c r="CD218" s="11">
        <f t="shared" si="403"/>
        <v>0</v>
      </c>
      <c r="CE218" s="11">
        <v>0</v>
      </c>
      <c r="CF218" s="11">
        <v>0</v>
      </c>
      <c r="CG218" s="11">
        <f t="shared" si="404"/>
        <v>0</v>
      </c>
      <c r="CH218" s="11">
        <v>0</v>
      </c>
      <c r="CI218" s="11">
        <v>0</v>
      </c>
      <c r="CJ218" s="11">
        <v>0</v>
      </c>
      <c r="CK218" s="11">
        <v>0</v>
      </c>
      <c r="CL218" s="11">
        <f t="shared" si="405"/>
        <v>0</v>
      </c>
      <c r="CM218" s="11">
        <v>0</v>
      </c>
      <c r="CN218" s="11">
        <v>0</v>
      </c>
      <c r="CO218" s="11">
        <v>0</v>
      </c>
      <c r="CP218" s="11"/>
      <c r="CQ218" s="11">
        <v>0</v>
      </c>
      <c r="CR218" s="11">
        <v>0</v>
      </c>
      <c r="CS218" s="11">
        <v>0</v>
      </c>
      <c r="CT218" s="11">
        <v>0</v>
      </c>
      <c r="CU218" s="11">
        <f t="shared" si="406"/>
        <v>0</v>
      </c>
      <c r="CV218" s="11">
        <f t="shared" si="407"/>
        <v>0</v>
      </c>
      <c r="CW218" s="11">
        <v>0</v>
      </c>
      <c r="CX218" s="12">
        <v>0</v>
      </c>
    </row>
    <row r="219" spans="1:102" ht="31.5" x14ac:dyDescent="0.25">
      <c r="A219" s="13" t="s">
        <v>1</v>
      </c>
      <c r="B219" s="14" t="s">
        <v>1</v>
      </c>
      <c r="C219" s="26" t="s">
        <v>363</v>
      </c>
      <c r="D219" s="25" t="s">
        <v>482</v>
      </c>
      <c r="E219" s="10">
        <f t="shared" si="389"/>
        <v>764426</v>
      </c>
      <c r="F219" s="11">
        <f t="shared" si="390"/>
        <v>764426</v>
      </c>
      <c r="G219" s="11">
        <f t="shared" si="391"/>
        <v>764426</v>
      </c>
      <c r="H219" s="11">
        <v>0</v>
      </c>
      <c r="I219" s="11">
        <v>0</v>
      </c>
      <c r="J219" s="11">
        <f t="shared" si="392"/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f t="shared" si="393"/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f t="shared" si="394"/>
        <v>764426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6">
        <v>764426</v>
      </c>
      <c r="AD219" s="11">
        <v>0</v>
      </c>
      <c r="AE219" s="11">
        <v>0</v>
      </c>
      <c r="AF219" s="11">
        <f t="shared" si="395"/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/>
      <c r="AW219" s="11"/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f t="shared" si="396"/>
        <v>0</v>
      </c>
      <c r="BD219" s="11">
        <f t="shared" si="397"/>
        <v>0</v>
      </c>
      <c r="BE219" s="11">
        <v>0</v>
      </c>
      <c r="BF219" s="11">
        <v>0</v>
      </c>
      <c r="BG219" s="11">
        <v>0</v>
      </c>
      <c r="BH219" s="11">
        <f t="shared" si="398"/>
        <v>0</v>
      </c>
      <c r="BI219" s="11">
        <v>0</v>
      </c>
      <c r="BJ219" s="11">
        <v>0</v>
      </c>
      <c r="BK219" s="11">
        <v>0</v>
      </c>
      <c r="BL219" s="11">
        <v>0</v>
      </c>
      <c r="BM219" s="11">
        <v>0</v>
      </c>
      <c r="BN219" s="11">
        <f t="shared" si="399"/>
        <v>0</v>
      </c>
      <c r="BO219" s="11">
        <v>0</v>
      </c>
      <c r="BP219" s="11">
        <f t="shared" si="400"/>
        <v>0</v>
      </c>
      <c r="BQ219" s="11">
        <v>0</v>
      </c>
      <c r="BR219" s="11">
        <v>0</v>
      </c>
      <c r="BS219" s="11">
        <v>0</v>
      </c>
      <c r="BT219" s="11">
        <v>0</v>
      </c>
      <c r="BU219" s="11">
        <v>0</v>
      </c>
      <c r="BV219" s="11">
        <v>0</v>
      </c>
      <c r="BW219" s="11">
        <v>0</v>
      </c>
      <c r="BX219" s="11">
        <v>0</v>
      </c>
      <c r="BY219" s="11">
        <v>0</v>
      </c>
      <c r="BZ219" s="11">
        <v>0</v>
      </c>
      <c r="CA219" s="11">
        <v>0</v>
      </c>
      <c r="CB219" s="11">
        <f t="shared" si="401"/>
        <v>0</v>
      </c>
      <c r="CC219" s="11">
        <f t="shared" si="402"/>
        <v>0</v>
      </c>
      <c r="CD219" s="11">
        <f t="shared" si="403"/>
        <v>0</v>
      </c>
      <c r="CE219" s="11">
        <v>0</v>
      </c>
      <c r="CF219" s="11">
        <v>0</v>
      </c>
      <c r="CG219" s="11">
        <f t="shared" si="404"/>
        <v>0</v>
      </c>
      <c r="CH219" s="11">
        <v>0</v>
      </c>
      <c r="CI219" s="11">
        <v>0</v>
      </c>
      <c r="CJ219" s="11">
        <v>0</v>
      </c>
      <c r="CK219" s="11">
        <v>0</v>
      </c>
      <c r="CL219" s="11">
        <f t="shared" si="405"/>
        <v>0</v>
      </c>
      <c r="CM219" s="11">
        <v>0</v>
      </c>
      <c r="CN219" s="11">
        <v>0</v>
      </c>
      <c r="CO219" s="11">
        <v>0</v>
      </c>
      <c r="CP219" s="11"/>
      <c r="CQ219" s="11">
        <v>0</v>
      </c>
      <c r="CR219" s="11">
        <v>0</v>
      </c>
      <c r="CS219" s="11">
        <v>0</v>
      </c>
      <c r="CT219" s="11">
        <v>0</v>
      </c>
      <c r="CU219" s="11">
        <f t="shared" si="406"/>
        <v>0</v>
      </c>
      <c r="CV219" s="11">
        <f t="shared" si="407"/>
        <v>0</v>
      </c>
      <c r="CW219" s="11">
        <v>0</v>
      </c>
      <c r="CX219" s="12">
        <v>0</v>
      </c>
    </row>
    <row r="220" spans="1:102" ht="31.5" x14ac:dyDescent="0.25">
      <c r="A220" s="13"/>
      <c r="B220" s="14"/>
      <c r="C220" s="26" t="s">
        <v>363</v>
      </c>
      <c r="D220" s="25" t="s">
        <v>483</v>
      </c>
      <c r="E220" s="10">
        <f t="shared" ref="E220" si="408">SUM(F220+CB220+CU220)</f>
        <v>5271698</v>
      </c>
      <c r="F220" s="11">
        <f t="shared" ref="F220" si="409">SUM(G220+BC220)</f>
        <v>5271698</v>
      </c>
      <c r="G220" s="11">
        <f t="shared" ref="G220" si="410">SUM(H220+I220+J220+Q220+T220+U220+V220+AF220+AE220)</f>
        <v>5271698</v>
      </c>
      <c r="H220" s="11">
        <v>0</v>
      </c>
      <c r="I220" s="11">
        <v>0</v>
      </c>
      <c r="J220" s="11">
        <f t="shared" ref="J220" si="411">SUM(K220:P220)</f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f t="shared" ref="Q220" si="412">SUM(R220:S220)</f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f t="shared" ref="V220" si="413">SUM(W220:AD220)</f>
        <v>5271698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6">
        <v>5271698</v>
      </c>
      <c r="AD220" s="11">
        <v>0</v>
      </c>
      <c r="AE220" s="11">
        <v>0</v>
      </c>
      <c r="AF220" s="11">
        <f t="shared" ref="AF220" si="414">SUM(AG220:BB220)</f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/>
      <c r="AW220" s="11"/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f t="shared" ref="BC220" si="415">SUM(BD220+BH220+BL220+BN220+BP220)</f>
        <v>0</v>
      </c>
      <c r="BD220" s="11">
        <f t="shared" ref="BD220" si="416">SUM(BE220:BG220)</f>
        <v>0</v>
      </c>
      <c r="BE220" s="11">
        <v>0</v>
      </c>
      <c r="BF220" s="11">
        <v>0</v>
      </c>
      <c r="BG220" s="11">
        <v>0</v>
      </c>
      <c r="BH220" s="11">
        <f t="shared" ref="BH220" si="417">SUM(BJ220:BK220)</f>
        <v>0</v>
      </c>
      <c r="BI220" s="11">
        <v>0</v>
      </c>
      <c r="BJ220" s="11">
        <v>0</v>
      </c>
      <c r="BK220" s="11">
        <v>0</v>
      </c>
      <c r="BL220" s="11">
        <v>0</v>
      </c>
      <c r="BM220" s="11">
        <v>0</v>
      </c>
      <c r="BN220" s="11">
        <f t="shared" ref="BN220" si="418">SUM(BO220)</f>
        <v>0</v>
      </c>
      <c r="BO220" s="11">
        <v>0</v>
      </c>
      <c r="BP220" s="11">
        <f t="shared" ref="BP220" si="419">SUM(BQ220:CA220)</f>
        <v>0</v>
      </c>
      <c r="BQ220" s="11">
        <v>0</v>
      </c>
      <c r="BR220" s="11">
        <v>0</v>
      </c>
      <c r="BS220" s="11">
        <v>0</v>
      </c>
      <c r="BT220" s="11">
        <v>0</v>
      </c>
      <c r="BU220" s="11">
        <v>0</v>
      </c>
      <c r="BV220" s="11">
        <v>0</v>
      </c>
      <c r="BW220" s="11">
        <v>0</v>
      </c>
      <c r="BX220" s="11">
        <v>0</v>
      </c>
      <c r="BY220" s="11">
        <v>0</v>
      </c>
      <c r="BZ220" s="11">
        <v>0</v>
      </c>
      <c r="CA220" s="11">
        <v>0</v>
      </c>
      <c r="CB220" s="11">
        <f t="shared" ref="CB220" si="420">SUM(CC220+CT220)</f>
        <v>0</v>
      </c>
      <c r="CC220" s="11">
        <f t="shared" ref="CC220" si="421">SUM(CD220+CG220+CL220)</f>
        <v>0</v>
      </c>
      <c r="CD220" s="11">
        <f t="shared" ref="CD220" si="422">SUM(CE220:CF220)</f>
        <v>0</v>
      </c>
      <c r="CE220" s="11">
        <v>0</v>
      </c>
      <c r="CF220" s="11">
        <v>0</v>
      </c>
      <c r="CG220" s="11">
        <f t="shared" ref="CG220" si="423">SUM(CH220:CK220)</f>
        <v>0</v>
      </c>
      <c r="CH220" s="11">
        <v>0</v>
      </c>
      <c r="CI220" s="11">
        <v>0</v>
      </c>
      <c r="CJ220" s="11">
        <v>0</v>
      </c>
      <c r="CK220" s="11">
        <v>0</v>
      </c>
      <c r="CL220" s="11">
        <f t="shared" ref="CL220" si="424">SUM(CM220:CQ220)</f>
        <v>0</v>
      </c>
      <c r="CM220" s="11">
        <v>0</v>
      </c>
      <c r="CN220" s="11">
        <v>0</v>
      </c>
      <c r="CO220" s="11">
        <v>0</v>
      </c>
      <c r="CP220" s="11"/>
      <c r="CQ220" s="11">
        <v>0</v>
      </c>
      <c r="CR220" s="11">
        <v>0</v>
      </c>
      <c r="CS220" s="11">
        <v>0</v>
      </c>
      <c r="CT220" s="11">
        <v>0</v>
      </c>
      <c r="CU220" s="11">
        <f t="shared" ref="CU220" si="425">SUM(CV220)</f>
        <v>0</v>
      </c>
      <c r="CV220" s="11">
        <f t="shared" ref="CV220" si="426">SUM(CW220:CX220)</f>
        <v>0</v>
      </c>
      <c r="CW220" s="11">
        <v>0</v>
      </c>
      <c r="CX220" s="12">
        <v>0</v>
      </c>
    </row>
    <row r="221" spans="1:102" ht="47.25" x14ac:dyDescent="0.25">
      <c r="A221" s="13" t="s">
        <v>1</v>
      </c>
      <c r="B221" s="14" t="s">
        <v>1</v>
      </c>
      <c r="C221" s="46" t="s">
        <v>129</v>
      </c>
      <c r="D221" s="45" t="s">
        <v>364</v>
      </c>
      <c r="E221" s="10">
        <f t="shared" si="389"/>
        <v>1662029</v>
      </c>
      <c r="F221" s="11">
        <f t="shared" si="390"/>
        <v>1662029</v>
      </c>
      <c r="G221" s="11">
        <f t="shared" si="391"/>
        <v>1662029</v>
      </c>
      <c r="H221" s="11">
        <v>0</v>
      </c>
      <c r="I221" s="11">
        <v>0</v>
      </c>
      <c r="J221" s="11">
        <f t="shared" si="392"/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f t="shared" si="393"/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f t="shared" si="394"/>
        <v>1662029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16">
        <f>0+1662029</f>
        <v>1662029</v>
      </c>
      <c r="AD221" s="11">
        <v>0</v>
      </c>
      <c r="AE221" s="11">
        <v>0</v>
      </c>
      <c r="AF221" s="11">
        <f t="shared" si="395"/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/>
      <c r="AW221" s="11"/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f t="shared" si="396"/>
        <v>0</v>
      </c>
      <c r="BD221" s="11">
        <f t="shared" si="397"/>
        <v>0</v>
      </c>
      <c r="BE221" s="11">
        <v>0</v>
      </c>
      <c r="BF221" s="11">
        <v>0</v>
      </c>
      <c r="BG221" s="11">
        <v>0</v>
      </c>
      <c r="BH221" s="11">
        <f t="shared" si="398"/>
        <v>0</v>
      </c>
      <c r="BI221" s="11">
        <v>0</v>
      </c>
      <c r="BJ221" s="11">
        <v>0</v>
      </c>
      <c r="BK221" s="11">
        <v>0</v>
      </c>
      <c r="BL221" s="11">
        <v>0</v>
      </c>
      <c r="BM221" s="11">
        <v>0</v>
      </c>
      <c r="BN221" s="11">
        <f t="shared" si="399"/>
        <v>0</v>
      </c>
      <c r="BO221" s="11">
        <v>0</v>
      </c>
      <c r="BP221" s="11">
        <f t="shared" si="400"/>
        <v>0</v>
      </c>
      <c r="BQ221" s="11">
        <v>0</v>
      </c>
      <c r="BR221" s="11">
        <v>0</v>
      </c>
      <c r="BS221" s="11">
        <v>0</v>
      </c>
      <c r="BT221" s="11">
        <v>0</v>
      </c>
      <c r="BU221" s="11">
        <v>0</v>
      </c>
      <c r="BV221" s="11">
        <v>0</v>
      </c>
      <c r="BW221" s="11">
        <v>0</v>
      </c>
      <c r="BX221" s="11">
        <v>0</v>
      </c>
      <c r="BY221" s="11">
        <v>0</v>
      </c>
      <c r="BZ221" s="11">
        <v>0</v>
      </c>
      <c r="CA221" s="11">
        <v>0</v>
      </c>
      <c r="CB221" s="11">
        <f t="shared" si="401"/>
        <v>0</v>
      </c>
      <c r="CC221" s="11">
        <f t="shared" si="402"/>
        <v>0</v>
      </c>
      <c r="CD221" s="11">
        <f t="shared" si="403"/>
        <v>0</v>
      </c>
      <c r="CE221" s="11">
        <v>0</v>
      </c>
      <c r="CF221" s="11">
        <v>0</v>
      </c>
      <c r="CG221" s="11">
        <f t="shared" si="404"/>
        <v>0</v>
      </c>
      <c r="CH221" s="11">
        <v>0</v>
      </c>
      <c r="CI221" s="11">
        <v>0</v>
      </c>
      <c r="CJ221" s="11">
        <v>0</v>
      </c>
      <c r="CK221" s="11">
        <v>0</v>
      </c>
      <c r="CL221" s="11">
        <f t="shared" si="405"/>
        <v>0</v>
      </c>
      <c r="CM221" s="11">
        <v>0</v>
      </c>
      <c r="CN221" s="11">
        <v>0</v>
      </c>
      <c r="CO221" s="11">
        <v>0</v>
      </c>
      <c r="CP221" s="11"/>
      <c r="CQ221" s="11">
        <v>0</v>
      </c>
      <c r="CR221" s="11">
        <v>0</v>
      </c>
      <c r="CS221" s="11">
        <v>0</v>
      </c>
      <c r="CT221" s="11">
        <v>0</v>
      </c>
      <c r="CU221" s="11">
        <f t="shared" si="406"/>
        <v>0</v>
      </c>
      <c r="CV221" s="11">
        <f t="shared" si="407"/>
        <v>0</v>
      </c>
      <c r="CW221" s="11">
        <v>0</v>
      </c>
      <c r="CX221" s="12">
        <v>0</v>
      </c>
    </row>
    <row r="222" spans="1:102" ht="31.5" x14ac:dyDescent="0.25">
      <c r="A222" s="18" t="s">
        <v>365</v>
      </c>
      <c r="B222" s="19" t="s">
        <v>1</v>
      </c>
      <c r="C222" s="19" t="s">
        <v>1</v>
      </c>
      <c r="D222" s="20" t="s">
        <v>366</v>
      </c>
      <c r="E222" s="21">
        <f>SUM(E223)</f>
        <v>4000</v>
      </c>
      <c r="F222" s="22">
        <f t="shared" ref="F222:BV226" si="427">SUM(F223)</f>
        <v>0</v>
      </c>
      <c r="G222" s="22">
        <f t="shared" si="427"/>
        <v>0</v>
      </c>
      <c r="H222" s="22">
        <f t="shared" si="427"/>
        <v>0</v>
      </c>
      <c r="I222" s="22">
        <f t="shared" si="427"/>
        <v>0</v>
      </c>
      <c r="J222" s="22">
        <f t="shared" si="427"/>
        <v>0</v>
      </c>
      <c r="K222" s="22">
        <f t="shared" si="427"/>
        <v>0</v>
      </c>
      <c r="L222" s="22">
        <f t="shared" si="427"/>
        <v>0</v>
      </c>
      <c r="M222" s="22">
        <f t="shared" si="427"/>
        <v>0</v>
      </c>
      <c r="N222" s="22">
        <f t="shared" si="427"/>
        <v>0</v>
      </c>
      <c r="O222" s="22">
        <f t="shared" si="427"/>
        <v>0</v>
      </c>
      <c r="P222" s="22">
        <f t="shared" si="427"/>
        <v>0</v>
      </c>
      <c r="Q222" s="22">
        <f t="shared" si="427"/>
        <v>0</v>
      </c>
      <c r="R222" s="22">
        <f t="shared" si="427"/>
        <v>0</v>
      </c>
      <c r="S222" s="22">
        <f t="shared" si="427"/>
        <v>0</v>
      </c>
      <c r="T222" s="22">
        <f t="shared" si="427"/>
        <v>0</v>
      </c>
      <c r="U222" s="22">
        <f t="shared" si="427"/>
        <v>0</v>
      </c>
      <c r="V222" s="22">
        <f t="shared" si="427"/>
        <v>0</v>
      </c>
      <c r="W222" s="22">
        <f t="shared" si="427"/>
        <v>0</v>
      </c>
      <c r="X222" s="22">
        <f t="shared" si="427"/>
        <v>0</v>
      </c>
      <c r="Y222" s="22">
        <f t="shared" si="427"/>
        <v>0</v>
      </c>
      <c r="Z222" s="22">
        <f t="shared" si="427"/>
        <v>0</v>
      </c>
      <c r="AA222" s="22">
        <f t="shared" si="427"/>
        <v>0</v>
      </c>
      <c r="AB222" s="22">
        <f t="shared" si="427"/>
        <v>0</v>
      </c>
      <c r="AC222" s="22">
        <f t="shared" si="427"/>
        <v>0</v>
      </c>
      <c r="AD222" s="22">
        <f t="shared" si="427"/>
        <v>0</v>
      </c>
      <c r="AE222" s="22">
        <f t="shared" si="427"/>
        <v>0</v>
      </c>
      <c r="AF222" s="22">
        <f t="shared" si="427"/>
        <v>0</v>
      </c>
      <c r="AG222" s="22">
        <f t="shared" si="427"/>
        <v>0</v>
      </c>
      <c r="AH222" s="22">
        <f t="shared" si="427"/>
        <v>0</v>
      </c>
      <c r="AI222" s="22">
        <f t="shared" si="427"/>
        <v>0</v>
      </c>
      <c r="AJ222" s="22">
        <f t="shared" si="427"/>
        <v>0</v>
      </c>
      <c r="AK222" s="22">
        <f t="shared" si="427"/>
        <v>0</v>
      </c>
      <c r="AL222" s="22">
        <f t="shared" si="427"/>
        <v>0</v>
      </c>
      <c r="AM222" s="22">
        <f t="shared" si="427"/>
        <v>0</v>
      </c>
      <c r="AN222" s="22">
        <f t="shared" si="427"/>
        <v>0</v>
      </c>
      <c r="AO222" s="22">
        <f t="shared" si="427"/>
        <v>0</v>
      </c>
      <c r="AP222" s="22">
        <f t="shared" si="427"/>
        <v>0</v>
      </c>
      <c r="AQ222" s="22">
        <f t="shared" si="427"/>
        <v>0</v>
      </c>
      <c r="AR222" s="22">
        <f>SUM(AR223)</f>
        <v>0</v>
      </c>
      <c r="AS222" s="22">
        <f t="shared" si="427"/>
        <v>0</v>
      </c>
      <c r="AT222" s="22">
        <f t="shared" si="427"/>
        <v>0</v>
      </c>
      <c r="AU222" s="22">
        <f t="shared" si="427"/>
        <v>0</v>
      </c>
      <c r="AV222" s="22"/>
      <c r="AW222" s="22"/>
      <c r="AX222" s="22">
        <f t="shared" si="427"/>
        <v>0</v>
      </c>
      <c r="AY222" s="22">
        <f t="shared" si="427"/>
        <v>0</v>
      </c>
      <c r="AZ222" s="22">
        <f t="shared" si="427"/>
        <v>0</v>
      </c>
      <c r="BA222" s="22">
        <f>SUM(BA223)</f>
        <v>0</v>
      </c>
      <c r="BB222" s="22">
        <f t="shared" si="427"/>
        <v>0</v>
      </c>
      <c r="BC222" s="22">
        <f t="shared" si="427"/>
        <v>0</v>
      </c>
      <c r="BD222" s="22">
        <f t="shared" si="427"/>
        <v>0</v>
      </c>
      <c r="BE222" s="22">
        <f t="shared" si="427"/>
        <v>0</v>
      </c>
      <c r="BF222" s="22">
        <f t="shared" si="427"/>
        <v>0</v>
      </c>
      <c r="BG222" s="22">
        <f t="shared" si="427"/>
        <v>0</v>
      </c>
      <c r="BH222" s="22">
        <f t="shared" si="427"/>
        <v>0</v>
      </c>
      <c r="BI222" s="22">
        <f t="shared" si="427"/>
        <v>0</v>
      </c>
      <c r="BJ222" s="22">
        <f t="shared" si="427"/>
        <v>0</v>
      </c>
      <c r="BK222" s="22">
        <f t="shared" si="427"/>
        <v>0</v>
      </c>
      <c r="BL222" s="22">
        <f t="shared" si="427"/>
        <v>0</v>
      </c>
      <c r="BM222" s="22">
        <f t="shared" si="427"/>
        <v>0</v>
      </c>
      <c r="BN222" s="22">
        <f t="shared" si="427"/>
        <v>0</v>
      </c>
      <c r="BO222" s="22">
        <f t="shared" si="427"/>
        <v>0</v>
      </c>
      <c r="BP222" s="22">
        <f t="shared" si="427"/>
        <v>0</v>
      </c>
      <c r="BQ222" s="22">
        <f t="shared" si="427"/>
        <v>0</v>
      </c>
      <c r="BR222" s="22">
        <f t="shared" si="427"/>
        <v>0</v>
      </c>
      <c r="BS222" s="22">
        <f t="shared" si="427"/>
        <v>0</v>
      </c>
      <c r="BT222" s="22">
        <f t="shared" si="427"/>
        <v>0</v>
      </c>
      <c r="BU222" s="22">
        <f t="shared" si="427"/>
        <v>0</v>
      </c>
      <c r="BV222" s="22">
        <f t="shared" si="427"/>
        <v>0</v>
      </c>
      <c r="BW222" s="22">
        <f t="shared" ref="BW222:CX226" si="428">SUM(BW223)</f>
        <v>0</v>
      </c>
      <c r="BX222" s="22">
        <f t="shared" si="428"/>
        <v>0</v>
      </c>
      <c r="BY222" s="22">
        <f t="shared" si="428"/>
        <v>0</v>
      </c>
      <c r="BZ222" s="22">
        <f t="shared" si="428"/>
        <v>0</v>
      </c>
      <c r="CA222" s="22">
        <f t="shared" si="428"/>
        <v>0</v>
      </c>
      <c r="CB222" s="22">
        <f t="shared" si="428"/>
        <v>0</v>
      </c>
      <c r="CC222" s="22">
        <f t="shared" si="428"/>
        <v>0</v>
      </c>
      <c r="CD222" s="22">
        <f t="shared" si="428"/>
        <v>0</v>
      </c>
      <c r="CE222" s="22">
        <f t="shared" si="428"/>
        <v>0</v>
      </c>
      <c r="CF222" s="22">
        <f t="shared" si="428"/>
        <v>0</v>
      </c>
      <c r="CG222" s="22">
        <f t="shared" si="428"/>
        <v>0</v>
      </c>
      <c r="CH222" s="22">
        <f t="shared" si="428"/>
        <v>0</v>
      </c>
      <c r="CI222" s="22">
        <f t="shared" si="428"/>
        <v>0</v>
      </c>
      <c r="CJ222" s="22">
        <f t="shared" si="428"/>
        <v>0</v>
      </c>
      <c r="CK222" s="22">
        <f t="shared" si="428"/>
        <v>0</v>
      </c>
      <c r="CL222" s="22">
        <f t="shared" si="428"/>
        <v>0</v>
      </c>
      <c r="CM222" s="22">
        <f t="shared" si="428"/>
        <v>0</v>
      </c>
      <c r="CN222" s="22">
        <f t="shared" si="428"/>
        <v>0</v>
      </c>
      <c r="CO222" s="22">
        <f t="shared" si="428"/>
        <v>0</v>
      </c>
      <c r="CP222" s="22"/>
      <c r="CQ222" s="22">
        <f t="shared" si="428"/>
        <v>0</v>
      </c>
      <c r="CR222" s="22">
        <f t="shared" si="428"/>
        <v>0</v>
      </c>
      <c r="CS222" s="22">
        <f t="shared" si="428"/>
        <v>0</v>
      </c>
      <c r="CT222" s="22">
        <f t="shared" si="428"/>
        <v>0</v>
      </c>
      <c r="CU222" s="22">
        <f t="shared" si="428"/>
        <v>4000</v>
      </c>
      <c r="CV222" s="22">
        <f t="shared" si="428"/>
        <v>4000</v>
      </c>
      <c r="CW222" s="22">
        <f t="shared" si="428"/>
        <v>4000</v>
      </c>
      <c r="CX222" s="23">
        <f t="shared" si="428"/>
        <v>0</v>
      </c>
    </row>
    <row r="223" spans="1:102" ht="15.75" x14ac:dyDescent="0.25">
      <c r="A223" s="7"/>
      <c r="B223" s="8" t="s">
        <v>367</v>
      </c>
      <c r="C223" s="8" t="s">
        <v>1</v>
      </c>
      <c r="D223" s="9" t="s">
        <v>368</v>
      </c>
      <c r="E223" s="10">
        <f>SUM(E224)</f>
        <v>4000</v>
      </c>
      <c r="F223" s="11">
        <f t="shared" si="427"/>
        <v>0</v>
      </c>
      <c r="G223" s="11">
        <f t="shared" si="427"/>
        <v>0</v>
      </c>
      <c r="H223" s="11">
        <f t="shared" si="427"/>
        <v>0</v>
      </c>
      <c r="I223" s="11">
        <f t="shared" si="427"/>
        <v>0</v>
      </c>
      <c r="J223" s="11">
        <f t="shared" si="427"/>
        <v>0</v>
      </c>
      <c r="K223" s="11">
        <f t="shared" si="427"/>
        <v>0</v>
      </c>
      <c r="L223" s="11">
        <f t="shared" si="427"/>
        <v>0</v>
      </c>
      <c r="M223" s="11">
        <f t="shared" si="427"/>
        <v>0</v>
      </c>
      <c r="N223" s="11">
        <f t="shared" si="427"/>
        <v>0</v>
      </c>
      <c r="O223" s="11">
        <f t="shared" si="427"/>
        <v>0</v>
      </c>
      <c r="P223" s="11">
        <f t="shared" si="427"/>
        <v>0</v>
      </c>
      <c r="Q223" s="11">
        <f t="shared" si="427"/>
        <v>0</v>
      </c>
      <c r="R223" s="11">
        <f t="shared" si="427"/>
        <v>0</v>
      </c>
      <c r="S223" s="11">
        <f t="shared" si="427"/>
        <v>0</v>
      </c>
      <c r="T223" s="11">
        <f t="shared" si="427"/>
        <v>0</v>
      </c>
      <c r="U223" s="11">
        <f t="shared" si="427"/>
        <v>0</v>
      </c>
      <c r="V223" s="11">
        <f t="shared" si="427"/>
        <v>0</v>
      </c>
      <c r="W223" s="11">
        <f t="shared" si="427"/>
        <v>0</v>
      </c>
      <c r="X223" s="11">
        <f t="shared" si="427"/>
        <v>0</v>
      </c>
      <c r="Y223" s="11">
        <f t="shared" si="427"/>
        <v>0</v>
      </c>
      <c r="Z223" s="11">
        <f t="shared" si="427"/>
        <v>0</v>
      </c>
      <c r="AA223" s="11">
        <f t="shared" si="427"/>
        <v>0</v>
      </c>
      <c r="AB223" s="11">
        <f t="shared" si="427"/>
        <v>0</v>
      </c>
      <c r="AC223" s="11">
        <f t="shared" si="427"/>
        <v>0</v>
      </c>
      <c r="AD223" s="11">
        <f t="shared" si="427"/>
        <v>0</v>
      </c>
      <c r="AE223" s="11">
        <f t="shared" si="427"/>
        <v>0</v>
      </c>
      <c r="AF223" s="11">
        <f t="shared" si="427"/>
        <v>0</v>
      </c>
      <c r="AG223" s="11">
        <f t="shared" si="427"/>
        <v>0</v>
      </c>
      <c r="AH223" s="11">
        <f t="shared" si="427"/>
        <v>0</v>
      </c>
      <c r="AI223" s="11">
        <f t="shared" si="427"/>
        <v>0</v>
      </c>
      <c r="AJ223" s="11">
        <f t="shared" si="427"/>
        <v>0</v>
      </c>
      <c r="AK223" s="11">
        <f t="shared" si="427"/>
        <v>0</v>
      </c>
      <c r="AL223" s="11">
        <f t="shared" si="427"/>
        <v>0</v>
      </c>
      <c r="AM223" s="11">
        <f t="shared" si="427"/>
        <v>0</v>
      </c>
      <c r="AN223" s="11">
        <f t="shared" si="427"/>
        <v>0</v>
      </c>
      <c r="AO223" s="11">
        <f t="shared" si="427"/>
        <v>0</v>
      </c>
      <c r="AP223" s="11">
        <f t="shared" si="427"/>
        <v>0</v>
      </c>
      <c r="AQ223" s="11">
        <f t="shared" si="427"/>
        <v>0</v>
      </c>
      <c r="AR223" s="11">
        <f>SUM(AR224)</f>
        <v>0</v>
      </c>
      <c r="AS223" s="11">
        <f t="shared" si="427"/>
        <v>0</v>
      </c>
      <c r="AT223" s="11">
        <f t="shared" si="427"/>
        <v>0</v>
      </c>
      <c r="AU223" s="11">
        <f t="shared" si="427"/>
        <v>0</v>
      </c>
      <c r="AV223" s="11"/>
      <c r="AW223" s="11"/>
      <c r="AX223" s="11">
        <f t="shared" si="427"/>
        <v>0</v>
      </c>
      <c r="AY223" s="11">
        <f t="shared" si="427"/>
        <v>0</v>
      </c>
      <c r="AZ223" s="11">
        <f t="shared" si="427"/>
        <v>0</v>
      </c>
      <c r="BA223" s="11">
        <f>SUM(BA224)</f>
        <v>0</v>
      </c>
      <c r="BB223" s="11">
        <f t="shared" si="427"/>
        <v>0</v>
      </c>
      <c r="BC223" s="11">
        <f t="shared" si="427"/>
        <v>0</v>
      </c>
      <c r="BD223" s="11">
        <f t="shared" si="427"/>
        <v>0</v>
      </c>
      <c r="BE223" s="11">
        <f t="shared" si="427"/>
        <v>0</v>
      </c>
      <c r="BF223" s="11">
        <f t="shared" si="427"/>
        <v>0</v>
      </c>
      <c r="BG223" s="11">
        <f t="shared" si="427"/>
        <v>0</v>
      </c>
      <c r="BH223" s="11">
        <f t="shared" si="427"/>
        <v>0</v>
      </c>
      <c r="BI223" s="11">
        <f t="shared" si="427"/>
        <v>0</v>
      </c>
      <c r="BJ223" s="11">
        <f t="shared" si="427"/>
        <v>0</v>
      </c>
      <c r="BK223" s="11">
        <f t="shared" si="427"/>
        <v>0</v>
      </c>
      <c r="BL223" s="11">
        <f t="shared" si="427"/>
        <v>0</v>
      </c>
      <c r="BM223" s="11">
        <f t="shared" si="427"/>
        <v>0</v>
      </c>
      <c r="BN223" s="11">
        <f t="shared" si="427"/>
        <v>0</v>
      </c>
      <c r="BO223" s="11">
        <f t="shared" si="427"/>
        <v>0</v>
      </c>
      <c r="BP223" s="11">
        <f t="shared" si="427"/>
        <v>0</v>
      </c>
      <c r="BQ223" s="11">
        <f t="shared" si="427"/>
        <v>0</v>
      </c>
      <c r="BR223" s="11">
        <f t="shared" si="427"/>
        <v>0</v>
      </c>
      <c r="BS223" s="11">
        <f t="shared" si="427"/>
        <v>0</v>
      </c>
      <c r="BT223" s="11">
        <f t="shared" si="427"/>
        <v>0</v>
      </c>
      <c r="BU223" s="11">
        <f t="shared" si="427"/>
        <v>0</v>
      </c>
      <c r="BV223" s="11">
        <f t="shared" si="427"/>
        <v>0</v>
      </c>
      <c r="BW223" s="11">
        <f t="shared" si="428"/>
        <v>0</v>
      </c>
      <c r="BX223" s="11">
        <f t="shared" si="428"/>
        <v>0</v>
      </c>
      <c r="BY223" s="11">
        <f t="shared" si="428"/>
        <v>0</v>
      </c>
      <c r="BZ223" s="11">
        <f t="shared" si="428"/>
        <v>0</v>
      </c>
      <c r="CA223" s="11">
        <f t="shared" si="428"/>
        <v>0</v>
      </c>
      <c r="CB223" s="11">
        <f t="shared" si="428"/>
        <v>0</v>
      </c>
      <c r="CC223" s="11">
        <f t="shared" si="428"/>
        <v>0</v>
      </c>
      <c r="CD223" s="11">
        <f t="shared" si="428"/>
        <v>0</v>
      </c>
      <c r="CE223" s="11">
        <f t="shared" si="428"/>
        <v>0</v>
      </c>
      <c r="CF223" s="11">
        <f t="shared" si="428"/>
        <v>0</v>
      </c>
      <c r="CG223" s="11">
        <f t="shared" si="428"/>
        <v>0</v>
      </c>
      <c r="CH223" s="11">
        <f t="shared" si="428"/>
        <v>0</v>
      </c>
      <c r="CI223" s="11">
        <f t="shared" si="428"/>
        <v>0</v>
      </c>
      <c r="CJ223" s="11">
        <f t="shared" si="428"/>
        <v>0</v>
      </c>
      <c r="CK223" s="11">
        <f t="shared" si="428"/>
        <v>0</v>
      </c>
      <c r="CL223" s="11">
        <f t="shared" si="428"/>
        <v>0</v>
      </c>
      <c r="CM223" s="11">
        <f t="shared" si="428"/>
        <v>0</v>
      </c>
      <c r="CN223" s="11">
        <f t="shared" si="428"/>
        <v>0</v>
      </c>
      <c r="CO223" s="11">
        <f t="shared" si="428"/>
        <v>0</v>
      </c>
      <c r="CP223" s="11"/>
      <c r="CQ223" s="11">
        <f t="shared" si="428"/>
        <v>0</v>
      </c>
      <c r="CR223" s="11">
        <f t="shared" si="428"/>
        <v>0</v>
      </c>
      <c r="CS223" s="11">
        <f t="shared" si="428"/>
        <v>0</v>
      </c>
      <c r="CT223" s="11">
        <f t="shared" si="428"/>
        <v>0</v>
      </c>
      <c r="CU223" s="11">
        <f t="shared" si="428"/>
        <v>4000</v>
      </c>
      <c r="CV223" s="11">
        <f t="shared" si="428"/>
        <v>4000</v>
      </c>
      <c r="CW223" s="11">
        <f t="shared" si="428"/>
        <v>4000</v>
      </c>
      <c r="CX223" s="12">
        <f t="shared" si="428"/>
        <v>0</v>
      </c>
    </row>
    <row r="224" spans="1:102" ht="15.75" x14ac:dyDescent="0.25">
      <c r="A224" s="13" t="s">
        <v>1</v>
      </c>
      <c r="B224" s="14" t="s">
        <v>1</v>
      </c>
      <c r="C224" s="14" t="s">
        <v>125</v>
      </c>
      <c r="D224" s="15" t="s">
        <v>368</v>
      </c>
      <c r="E224" s="10">
        <f>SUM(F224+CB224+CU224)</f>
        <v>4000</v>
      </c>
      <c r="F224" s="11">
        <f>SUM(G224+BC224)</f>
        <v>0</v>
      </c>
      <c r="G224" s="11">
        <f>SUM(H224+I224+J224+Q224+T224+U224+V224+AF224+AE224)</f>
        <v>0</v>
      </c>
      <c r="H224" s="11">
        <v>0</v>
      </c>
      <c r="I224" s="11">
        <v>0</v>
      </c>
      <c r="J224" s="11">
        <f t="shared" si="279"/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f t="shared" si="280"/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f t="shared" ref="V224" si="429">SUM(W224:AD224)</f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f>SUM(AG224:BB224)</f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11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/>
      <c r="AW224" s="11"/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f>SUM(BD224+BH224+BL224+BN224+BP224)</f>
        <v>0</v>
      </c>
      <c r="BD224" s="11">
        <f>SUM(BE224:BG224)</f>
        <v>0</v>
      </c>
      <c r="BE224" s="11">
        <v>0</v>
      </c>
      <c r="BF224" s="11">
        <v>0</v>
      </c>
      <c r="BG224" s="11">
        <v>0</v>
      </c>
      <c r="BH224" s="11">
        <f t="shared" si="282"/>
        <v>0</v>
      </c>
      <c r="BI224" s="11">
        <v>0</v>
      </c>
      <c r="BJ224" s="11">
        <v>0</v>
      </c>
      <c r="BK224" s="11">
        <v>0</v>
      </c>
      <c r="BL224" s="11">
        <v>0</v>
      </c>
      <c r="BM224" s="11">
        <v>0</v>
      </c>
      <c r="BN224" s="11">
        <f t="shared" si="283"/>
        <v>0</v>
      </c>
      <c r="BO224" s="11">
        <v>0</v>
      </c>
      <c r="BP224" s="11">
        <f t="shared" si="284"/>
        <v>0</v>
      </c>
      <c r="BQ224" s="11">
        <v>0</v>
      </c>
      <c r="BR224" s="11">
        <v>0</v>
      </c>
      <c r="BS224" s="11">
        <v>0</v>
      </c>
      <c r="BT224" s="11">
        <v>0</v>
      </c>
      <c r="BU224" s="11">
        <v>0</v>
      </c>
      <c r="BV224" s="11">
        <v>0</v>
      </c>
      <c r="BW224" s="11">
        <v>0</v>
      </c>
      <c r="BX224" s="11">
        <v>0</v>
      </c>
      <c r="BY224" s="11">
        <v>0</v>
      </c>
      <c r="BZ224" s="11">
        <v>0</v>
      </c>
      <c r="CA224" s="11">
        <v>0</v>
      </c>
      <c r="CB224" s="11">
        <f>SUM(CC224+CT224)</f>
        <v>0</v>
      </c>
      <c r="CC224" s="11">
        <f>SUM(CD224+CG224+CL224)</f>
        <v>0</v>
      </c>
      <c r="CD224" s="11">
        <f t="shared" si="285"/>
        <v>0</v>
      </c>
      <c r="CE224" s="11">
        <v>0</v>
      </c>
      <c r="CF224" s="11">
        <v>0</v>
      </c>
      <c r="CG224" s="11">
        <f>SUM(CH224:CK224)</f>
        <v>0</v>
      </c>
      <c r="CH224" s="11">
        <v>0</v>
      </c>
      <c r="CI224" s="11">
        <v>0</v>
      </c>
      <c r="CJ224" s="11">
        <v>0</v>
      </c>
      <c r="CK224" s="11">
        <v>0</v>
      </c>
      <c r="CL224" s="11">
        <f>SUM(CM224:CQ224)</f>
        <v>0</v>
      </c>
      <c r="CM224" s="11">
        <v>0</v>
      </c>
      <c r="CN224" s="11">
        <v>0</v>
      </c>
      <c r="CO224" s="11">
        <v>0</v>
      </c>
      <c r="CP224" s="11"/>
      <c r="CQ224" s="11">
        <v>0</v>
      </c>
      <c r="CR224" s="11">
        <v>0</v>
      </c>
      <c r="CS224" s="11">
        <v>0</v>
      </c>
      <c r="CT224" s="11">
        <v>0</v>
      </c>
      <c r="CU224" s="11">
        <f t="shared" si="286"/>
        <v>4000</v>
      </c>
      <c r="CV224" s="11">
        <f t="shared" si="287"/>
        <v>4000</v>
      </c>
      <c r="CW224" s="11">
        <v>4000</v>
      </c>
      <c r="CX224" s="12">
        <v>0</v>
      </c>
    </row>
    <row r="225" spans="1:102" ht="31.5" hidden="1" x14ac:dyDescent="0.25">
      <c r="A225" s="18" t="s">
        <v>484</v>
      </c>
      <c r="B225" s="19" t="s">
        <v>1</v>
      </c>
      <c r="C225" s="19" t="s">
        <v>1</v>
      </c>
      <c r="D225" s="20" t="s">
        <v>485</v>
      </c>
      <c r="E225" s="21">
        <f>SUM(E226)</f>
        <v>0</v>
      </c>
      <c r="F225" s="22">
        <f t="shared" si="427"/>
        <v>0</v>
      </c>
      <c r="G225" s="22">
        <f t="shared" si="427"/>
        <v>0</v>
      </c>
      <c r="H225" s="22">
        <f t="shared" si="427"/>
        <v>0</v>
      </c>
      <c r="I225" s="22">
        <f t="shared" si="427"/>
        <v>0</v>
      </c>
      <c r="J225" s="22">
        <f t="shared" si="427"/>
        <v>0</v>
      </c>
      <c r="K225" s="22">
        <f t="shared" si="427"/>
        <v>0</v>
      </c>
      <c r="L225" s="22">
        <f t="shared" si="427"/>
        <v>0</v>
      </c>
      <c r="M225" s="22">
        <f t="shared" si="427"/>
        <v>0</v>
      </c>
      <c r="N225" s="22">
        <f t="shared" si="427"/>
        <v>0</v>
      </c>
      <c r="O225" s="22">
        <f t="shared" si="427"/>
        <v>0</v>
      </c>
      <c r="P225" s="22">
        <f t="shared" si="427"/>
        <v>0</v>
      </c>
      <c r="Q225" s="22">
        <f t="shared" si="427"/>
        <v>0</v>
      </c>
      <c r="R225" s="22">
        <f t="shared" si="427"/>
        <v>0</v>
      </c>
      <c r="S225" s="22">
        <f t="shared" si="427"/>
        <v>0</v>
      </c>
      <c r="T225" s="22">
        <f t="shared" si="427"/>
        <v>0</v>
      </c>
      <c r="U225" s="22">
        <f t="shared" si="427"/>
        <v>0</v>
      </c>
      <c r="V225" s="22">
        <f t="shared" si="427"/>
        <v>0</v>
      </c>
      <c r="W225" s="22">
        <f t="shared" si="427"/>
        <v>0</v>
      </c>
      <c r="X225" s="22">
        <f t="shared" si="427"/>
        <v>0</v>
      </c>
      <c r="Y225" s="22">
        <f t="shared" si="427"/>
        <v>0</v>
      </c>
      <c r="Z225" s="22">
        <f t="shared" si="427"/>
        <v>0</v>
      </c>
      <c r="AA225" s="22">
        <f t="shared" si="427"/>
        <v>0</v>
      </c>
      <c r="AB225" s="22">
        <f t="shared" si="427"/>
        <v>0</v>
      </c>
      <c r="AC225" s="22">
        <f t="shared" si="427"/>
        <v>0</v>
      </c>
      <c r="AD225" s="22">
        <f t="shared" si="427"/>
        <v>0</v>
      </c>
      <c r="AE225" s="22">
        <f t="shared" si="427"/>
        <v>0</v>
      </c>
      <c r="AF225" s="22">
        <f t="shared" si="427"/>
        <v>0</v>
      </c>
      <c r="AG225" s="22">
        <f t="shared" si="427"/>
        <v>0</v>
      </c>
      <c r="AH225" s="22">
        <f t="shared" si="427"/>
        <v>0</v>
      </c>
      <c r="AI225" s="22">
        <f t="shared" si="427"/>
        <v>0</v>
      </c>
      <c r="AJ225" s="22">
        <f t="shared" si="427"/>
        <v>0</v>
      </c>
      <c r="AK225" s="22">
        <f t="shared" si="427"/>
        <v>0</v>
      </c>
      <c r="AL225" s="22">
        <f t="shared" si="427"/>
        <v>0</v>
      </c>
      <c r="AM225" s="22">
        <f t="shared" si="427"/>
        <v>0</v>
      </c>
      <c r="AN225" s="22">
        <f t="shared" si="427"/>
        <v>0</v>
      </c>
      <c r="AO225" s="22">
        <f t="shared" si="427"/>
        <v>0</v>
      </c>
      <c r="AP225" s="22">
        <f t="shared" si="427"/>
        <v>0</v>
      </c>
      <c r="AQ225" s="22">
        <f t="shared" si="427"/>
        <v>0</v>
      </c>
      <c r="AR225" s="22">
        <f>SUM(AR226)</f>
        <v>0</v>
      </c>
      <c r="AS225" s="22">
        <f t="shared" si="427"/>
        <v>0</v>
      </c>
      <c r="AT225" s="22">
        <f t="shared" si="427"/>
        <v>0</v>
      </c>
      <c r="AU225" s="22">
        <f t="shared" si="427"/>
        <v>0</v>
      </c>
      <c r="AV225" s="22"/>
      <c r="AW225" s="22"/>
      <c r="AX225" s="22">
        <f t="shared" si="427"/>
        <v>0</v>
      </c>
      <c r="AY225" s="22">
        <f t="shared" si="427"/>
        <v>0</v>
      </c>
      <c r="AZ225" s="22">
        <f t="shared" si="427"/>
        <v>0</v>
      </c>
      <c r="BA225" s="22">
        <f>SUM(BA226)</f>
        <v>0</v>
      </c>
      <c r="BB225" s="22">
        <f t="shared" si="427"/>
        <v>0</v>
      </c>
      <c r="BC225" s="22">
        <f t="shared" si="427"/>
        <v>0</v>
      </c>
      <c r="BD225" s="22">
        <f t="shared" si="427"/>
        <v>0</v>
      </c>
      <c r="BE225" s="22">
        <f t="shared" si="427"/>
        <v>0</v>
      </c>
      <c r="BF225" s="22">
        <f t="shared" si="427"/>
        <v>0</v>
      </c>
      <c r="BG225" s="22">
        <f t="shared" si="427"/>
        <v>0</v>
      </c>
      <c r="BH225" s="22">
        <f t="shared" si="427"/>
        <v>0</v>
      </c>
      <c r="BI225" s="22">
        <f t="shared" si="427"/>
        <v>0</v>
      </c>
      <c r="BJ225" s="22">
        <f t="shared" si="427"/>
        <v>0</v>
      </c>
      <c r="BK225" s="22">
        <f t="shared" si="427"/>
        <v>0</v>
      </c>
      <c r="BL225" s="22">
        <f t="shared" si="427"/>
        <v>0</v>
      </c>
      <c r="BM225" s="22">
        <f t="shared" si="427"/>
        <v>0</v>
      </c>
      <c r="BN225" s="22">
        <f t="shared" si="427"/>
        <v>0</v>
      </c>
      <c r="BO225" s="22">
        <f t="shared" si="427"/>
        <v>0</v>
      </c>
      <c r="BP225" s="22">
        <f t="shared" si="427"/>
        <v>0</v>
      </c>
      <c r="BQ225" s="22">
        <f t="shared" si="427"/>
        <v>0</v>
      </c>
      <c r="BR225" s="22">
        <f t="shared" si="427"/>
        <v>0</v>
      </c>
      <c r="BS225" s="22">
        <f t="shared" si="427"/>
        <v>0</v>
      </c>
      <c r="BT225" s="22">
        <f t="shared" si="427"/>
        <v>0</v>
      </c>
      <c r="BU225" s="22">
        <f t="shared" si="427"/>
        <v>0</v>
      </c>
      <c r="BV225" s="22">
        <f t="shared" si="427"/>
        <v>0</v>
      </c>
      <c r="BW225" s="22">
        <f t="shared" si="428"/>
        <v>0</v>
      </c>
      <c r="BX225" s="22">
        <f t="shared" si="428"/>
        <v>0</v>
      </c>
      <c r="BY225" s="22">
        <f t="shared" si="428"/>
        <v>0</v>
      </c>
      <c r="BZ225" s="22">
        <f t="shared" si="428"/>
        <v>0</v>
      </c>
      <c r="CA225" s="22">
        <f t="shared" si="428"/>
        <v>0</v>
      </c>
      <c r="CB225" s="22">
        <f t="shared" si="428"/>
        <v>0</v>
      </c>
      <c r="CC225" s="22">
        <f t="shared" si="428"/>
        <v>0</v>
      </c>
      <c r="CD225" s="22">
        <f t="shared" si="428"/>
        <v>0</v>
      </c>
      <c r="CE225" s="22">
        <f t="shared" si="428"/>
        <v>0</v>
      </c>
      <c r="CF225" s="22">
        <f t="shared" si="428"/>
        <v>0</v>
      </c>
      <c r="CG225" s="22">
        <f t="shared" si="428"/>
        <v>0</v>
      </c>
      <c r="CH225" s="22">
        <f t="shared" si="428"/>
        <v>0</v>
      </c>
      <c r="CI225" s="22">
        <f t="shared" si="428"/>
        <v>0</v>
      </c>
      <c r="CJ225" s="22">
        <f t="shared" si="428"/>
        <v>0</v>
      </c>
      <c r="CK225" s="22">
        <f t="shared" si="428"/>
        <v>0</v>
      </c>
      <c r="CL225" s="22">
        <f t="shared" si="428"/>
        <v>0</v>
      </c>
      <c r="CM225" s="22">
        <f t="shared" si="428"/>
        <v>0</v>
      </c>
      <c r="CN225" s="22">
        <f t="shared" si="428"/>
        <v>0</v>
      </c>
      <c r="CO225" s="22">
        <f t="shared" si="428"/>
        <v>0</v>
      </c>
      <c r="CP225" s="22"/>
      <c r="CQ225" s="22">
        <f t="shared" si="428"/>
        <v>0</v>
      </c>
      <c r="CR225" s="22">
        <f t="shared" si="428"/>
        <v>0</v>
      </c>
      <c r="CS225" s="22">
        <f t="shared" si="428"/>
        <v>0</v>
      </c>
      <c r="CT225" s="22">
        <f t="shared" si="428"/>
        <v>0</v>
      </c>
      <c r="CU225" s="22">
        <f t="shared" si="428"/>
        <v>0</v>
      </c>
      <c r="CV225" s="22">
        <f t="shared" si="428"/>
        <v>0</v>
      </c>
      <c r="CW225" s="22">
        <f t="shared" si="428"/>
        <v>0</v>
      </c>
      <c r="CX225" s="23">
        <f t="shared" si="428"/>
        <v>0</v>
      </c>
    </row>
    <row r="226" spans="1:102" ht="15.75" hidden="1" x14ac:dyDescent="0.25">
      <c r="A226" s="7"/>
      <c r="B226" s="8" t="s">
        <v>486</v>
      </c>
      <c r="C226" s="8" t="s">
        <v>1</v>
      </c>
      <c r="D226" s="9" t="s">
        <v>487</v>
      </c>
      <c r="E226" s="10">
        <f>SUM(E227)</f>
        <v>0</v>
      </c>
      <c r="F226" s="11">
        <f t="shared" si="427"/>
        <v>0</v>
      </c>
      <c r="G226" s="11">
        <f t="shared" si="427"/>
        <v>0</v>
      </c>
      <c r="H226" s="11">
        <f t="shared" si="427"/>
        <v>0</v>
      </c>
      <c r="I226" s="11">
        <f t="shared" si="427"/>
        <v>0</v>
      </c>
      <c r="J226" s="11">
        <f t="shared" si="427"/>
        <v>0</v>
      </c>
      <c r="K226" s="11">
        <f t="shared" si="427"/>
        <v>0</v>
      </c>
      <c r="L226" s="11">
        <f t="shared" si="427"/>
        <v>0</v>
      </c>
      <c r="M226" s="11">
        <f t="shared" si="427"/>
        <v>0</v>
      </c>
      <c r="N226" s="11">
        <f t="shared" si="427"/>
        <v>0</v>
      </c>
      <c r="O226" s="11">
        <f t="shared" si="427"/>
        <v>0</v>
      </c>
      <c r="P226" s="11">
        <f t="shared" si="427"/>
        <v>0</v>
      </c>
      <c r="Q226" s="11">
        <f t="shared" si="427"/>
        <v>0</v>
      </c>
      <c r="R226" s="11">
        <f t="shared" si="427"/>
        <v>0</v>
      </c>
      <c r="S226" s="11">
        <f t="shared" si="427"/>
        <v>0</v>
      </c>
      <c r="T226" s="11">
        <f t="shared" si="427"/>
        <v>0</v>
      </c>
      <c r="U226" s="11">
        <f t="shared" si="427"/>
        <v>0</v>
      </c>
      <c r="V226" s="11">
        <f t="shared" si="427"/>
        <v>0</v>
      </c>
      <c r="W226" s="11">
        <f t="shared" si="427"/>
        <v>0</v>
      </c>
      <c r="X226" s="11">
        <f t="shared" si="427"/>
        <v>0</v>
      </c>
      <c r="Y226" s="11">
        <f t="shared" si="427"/>
        <v>0</v>
      </c>
      <c r="Z226" s="11">
        <f t="shared" si="427"/>
        <v>0</v>
      </c>
      <c r="AA226" s="11">
        <f t="shared" si="427"/>
        <v>0</v>
      </c>
      <c r="AB226" s="11">
        <f t="shared" si="427"/>
        <v>0</v>
      </c>
      <c r="AC226" s="11">
        <f t="shared" si="427"/>
        <v>0</v>
      </c>
      <c r="AD226" s="11">
        <f t="shared" si="427"/>
        <v>0</v>
      </c>
      <c r="AE226" s="11">
        <f t="shared" si="427"/>
        <v>0</v>
      </c>
      <c r="AF226" s="11">
        <f t="shared" si="427"/>
        <v>0</v>
      </c>
      <c r="AG226" s="11">
        <f t="shared" si="427"/>
        <v>0</v>
      </c>
      <c r="AH226" s="11">
        <f t="shared" si="427"/>
        <v>0</v>
      </c>
      <c r="AI226" s="11">
        <f t="shared" si="427"/>
        <v>0</v>
      </c>
      <c r="AJ226" s="11">
        <f t="shared" si="427"/>
        <v>0</v>
      </c>
      <c r="AK226" s="11">
        <f t="shared" si="427"/>
        <v>0</v>
      </c>
      <c r="AL226" s="11">
        <f t="shared" si="427"/>
        <v>0</v>
      </c>
      <c r="AM226" s="11">
        <f t="shared" si="427"/>
        <v>0</v>
      </c>
      <c r="AN226" s="11">
        <f t="shared" si="427"/>
        <v>0</v>
      </c>
      <c r="AO226" s="11">
        <f t="shared" si="427"/>
        <v>0</v>
      </c>
      <c r="AP226" s="11">
        <f t="shared" si="427"/>
        <v>0</v>
      </c>
      <c r="AQ226" s="11">
        <f t="shared" si="427"/>
        <v>0</v>
      </c>
      <c r="AR226" s="11">
        <f>SUM(AR227)</f>
        <v>0</v>
      </c>
      <c r="AS226" s="11">
        <f t="shared" si="427"/>
        <v>0</v>
      </c>
      <c r="AT226" s="11">
        <f t="shared" si="427"/>
        <v>0</v>
      </c>
      <c r="AU226" s="11">
        <f t="shared" si="427"/>
        <v>0</v>
      </c>
      <c r="AV226" s="11"/>
      <c r="AW226" s="11"/>
      <c r="AX226" s="11">
        <f t="shared" si="427"/>
        <v>0</v>
      </c>
      <c r="AY226" s="11">
        <f t="shared" si="427"/>
        <v>0</v>
      </c>
      <c r="AZ226" s="11">
        <f t="shared" si="427"/>
        <v>0</v>
      </c>
      <c r="BA226" s="11">
        <f>SUM(BA227)</f>
        <v>0</v>
      </c>
      <c r="BB226" s="11">
        <f t="shared" si="427"/>
        <v>0</v>
      </c>
      <c r="BC226" s="11">
        <f t="shared" si="427"/>
        <v>0</v>
      </c>
      <c r="BD226" s="11">
        <f t="shared" si="427"/>
        <v>0</v>
      </c>
      <c r="BE226" s="11">
        <f t="shared" si="427"/>
        <v>0</v>
      </c>
      <c r="BF226" s="11">
        <f t="shared" si="427"/>
        <v>0</v>
      </c>
      <c r="BG226" s="11">
        <f t="shared" si="427"/>
        <v>0</v>
      </c>
      <c r="BH226" s="11">
        <f t="shared" si="427"/>
        <v>0</v>
      </c>
      <c r="BI226" s="11">
        <f t="shared" si="427"/>
        <v>0</v>
      </c>
      <c r="BJ226" s="11">
        <f t="shared" si="427"/>
        <v>0</v>
      </c>
      <c r="BK226" s="11">
        <f t="shared" si="427"/>
        <v>0</v>
      </c>
      <c r="BL226" s="11">
        <f t="shared" si="427"/>
        <v>0</v>
      </c>
      <c r="BM226" s="11">
        <f t="shared" si="427"/>
        <v>0</v>
      </c>
      <c r="BN226" s="11">
        <f t="shared" si="427"/>
        <v>0</v>
      </c>
      <c r="BO226" s="11">
        <f t="shared" si="427"/>
        <v>0</v>
      </c>
      <c r="BP226" s="11">
        <f t="shared" si="427"/>
        <v>0</v>
      </c>
      <c r="BQ226" s="11">
        <f t="shared" si="427"/>
        <v>0</v>
      </c>
      <c r="BR226" s="11">
        <f t="shared" ref="BR226:BU226" si="430">SUM(BR227)</f>
        <v>0</v>
      </c>
      <c r="BS226" s="11">
        <f t="shared" si="430"/>
        <v>0</v>
      </c>
      <c r="BT226" s="11">
        <f t="shared" si="430"/>
        <v>0</v>
      </c>
      <c r="BU226" s="11">
        <f t="shared" si="430"/>
        <v>0</v>
      </c>
      <c r="BV226" s="11">
        <f>SUM(BV227)</f>
        <v>0</v>
      </c>
      <c r="BW226" s="11">
        <f t="shared" si="428"/>
        <v>0</v>
      </c>
      <c r="BX226" s="11">
        <f t="shared" si="428"/>
        <v>0</v>
      </c>
      <c r="BY226" s="11">
        <f t="shared" si="428"/>
        <v>0</v>
      </c>
      <c r="BZ226" s="11">
        <f t="shared" si="428"/>
        <v>0</v>
      </c>
      <c r="CA226" s="11">
        <f t="shared" si="428"/>
        <v>0</v>
      </c>
      <c r="CB226" s="11">
        <f t="shared" si="428"/>
        <v>0</v>
      </c>
      <c r="CC226" s="11">
        <f t="shared" si="428"/>
        <v>0</v>
      </c>
      <c r="CD226" s="11">
        <f t="shared" si="428"/>
        <v>0</v>
      </c>
      <c r="CE226" s="11">
        <f t="shared" si="428"/>
        <v>0</v>
      </c>
      <c r="CF226" s="11">
        <f t="shared" si="428"/>
        <v>0</v>
      </c>
      <c r="CG226" s="11">
        <f t="shared" si="428"/>
        <v>0</v>
      </c>
      <c r="CH226" s="11">
        <f t="shared" si="428"/>
        <v>0</v>
      </c>
      <c r="CI226" s="11">
        <f t="shared" si="428"/>
        <v>0</v>
      </c>
      <c r="CJ226" s="11">
        <f t="shared" si="428"/>
        <v>0</v>
      </c>
      <c r="CK226" s="11">
        <f t="shared" si="428"/>
        <v>0</v>
      </c>
      <c r="CL226" s="11">
        <f t="shared" si="428"/>
        <v>0</v>
      </c>
      <c r="CM226" s="11">
        <f t="shared" si="428"/>
        <v>0</v>
      </c>
      <c r="CN226" s="11">
        <f t="shared" si="428"/>
        <v>0</v>
      </c>
      <c r="CO226" s="11">
        <f t="shared" si="428"/>
        <v>0</v>
      </c>
      <c r="CP226" s="11"/>
      <c r="CQ226" s="11">
        <f t="shared" si="428"/>
        <v>0</v>
      </c>
      <c r="CR226" s="11">
        <f t="shared" si="428"/>
        <v>0</v>
      </c>
      <c r="CS226" s="11">
        <f t="shared" si="428"/>
        <v>0</v>
      </c>
      <c r="CT226" s="11">
        <f t="shared" si="428"/>
        <v>0</v>
      </c>
      <c r="CU226" s="11">
        <f t="shared" si="428"/>
        <v>0</v>
      </c>
      <c r="CV226" s="11">
        <f t="shared" si="428"/>
        <v>0</v>
      </c>
      <c r="CW226" s="11">
        <f t="shared" si="428"/>
        <v>0</v>
      </c>
      <c r="CX226" s="12">
        <f t="shared" si="428"/>
        <v>0</v>
      </c>
    </row>
    <row r="227" spans="1:102" ht="15.75" hidden="1" x14ac:dyDescent="0.25">
      <c r="A227" s="13" t="s">
        <v>1</v>
      </c>
      <c r="B227" s="14" t="s">
        <v>1</v>
      </c>
      <c r="C227" s="14" t="s">
        <v>123</v>
      </c>
      <c r="D227" s="15" t="s">
        <v>487</v>
      </c>
      <c r="E227" s="10">
        <f>SUM(F227+CB227+CU227)</f>
        <v>0</v>
      </c>
      <c r="F227" s="11">
        <f>SUM(G227+BC227)</f>
        <v>0</v>
      </c>
      <c r="G227" s="11">
        <f>SUM(H227+I227+J227+Q227+T227+U227+V227+AF227+AE227)</f>
        <v>0</v>
      </c>
      <c r="H227" s="11">
        <v>0</v>
      </c>
      <c r="I227" s="11">
        <v>0</v>
      </c>
      <c r="J227" s="11">
        <f>SUM(K227:P227)</f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f>SUM(R227:S227)</f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f t="shared" ref="V227" si="431">SUM(W227:AD227)</f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f>SUM(AG227:BB227)</f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/>
      <c r="AW227" s="11"/>
      <c r="AX227" s="11">
        <v>0</v>
      </c>
      <c r="AY227" s="11">
        <v>0</v>
      </c>
      <c r="AZ227" s="11">
        <v>0</v>
      </c>
      <c r="BA227" s="11">
        <v>0</v>
      </c>
      <c r="BB227" s="11"/>
      <c r="BC227" s="11">
        <f>SUM(BD227+BH227+BL227+BN227+BP227)</f>
        <v>0</v>
      </c>
      <c r="BD227" s="11">
        <f>SUM(BE227:BG227)</f>
        <v>0</v>
      </c>
      <c r="BE227" s="11">
        <v>0</v>
      </c>
      <c r="BF227" s="11">
        <v>0</v>
      </c>
      <c r="BG227" s="11">
        <v>0</v>
      </c>
      <c r="BH227" s="11">
        <f>SUM(BJ227:BK227)</f>
        <v>0</v>
      </c>
      <c r="BI227" s="11">
        <v>0</v>
      </c>
      <c r="BJ227" s="11">
        <v>0</v>
      </c>
      <c r="BK227" s="11">
        <v>0</v>
      </c>
      <c r="BL227" s="11">
        <v>0</v>
      </c>
      <c r="BM227" s="11">
        <v>0</v>
      </c>
      <c r="BN227" s="11">
        <f>SUM(BO227)</f>
        <v>0</v>
      </c>
      <c r="BO227" s="11">
        <v>0</v>
      </c>
      <c r="BP227" s="11">
        <f>SUM(BQ227:CA227)</f>
        <v>0</v>
      </c>
      <c r="BQ227" s="11">
        <v>0</v>
      </c>
      <c r="BR227" s="11">
        <v>0</v>
      </c>
      <c r="BS227" s="11">
        <v>0</v>
      </c>
      <c r="BT227" s="11">
        <v>0</v>
      </c>
      <c r="BU227" s="11">
        <v>0</v>
      </c>
      <c r="BV227" s="11">
        <v>0</v>
      </c>
      <c r="BW227" s="11">
        <v>0</v>
      </c>
      <c r="BX227" s="11">
        <v>0</v>
      </c>
      <c r="BY227" s="11">
        <v>0</v>
      </c>
      <c r="BZ227" s="11">
        <v>0</v>
      </c>
      <c r="CA227" s="11">
        <v>0</v>
      </c>
      <c r="CB227" s="11">
        <f>SUM(CC227+CT227+CR227)</f>
        <v>0</v>
      </c>
      <c r="CC227" s="11">
        <f>SUM(CD227+CG227+CL227)</f>
        <v>0</v>
      </c>
      <c r="CD227" s="11">
        <f>SUM(CE227:CF227)</f>
        <v>0</v>
      </c>
      <c r="CE227" s="11">
        <v>0</v>
      </c>
      <c r="CF227" s="11">
        <v>0</v>
      </c>
      <c r="CG227" s="11">
        <f>SUM(CH227:CK227)</f>
        <v>0</v>
      </c>
      <c r="CH227" s="11">
        <v>0</v>
      </c>
      <c r="CI227" s="11">
        <v>0</v>
      </c>
      <c r="CJ227" s="11">
        <v>0</v>
      </c>
      <c r="CK227" s="11">
        <v>0</v>
      </c>
      <c r="CL227" s="11">
        <f>SUM(CM227:CQ227)</f>
        <v>0</v>
      </c>
      <c r="CM227" s="11">
        <v>0</v>
      </c>
      <c r="CN227" s="11">
        <v>0</v>
      </c>
      <c r="CO227" s="11">
        <v>0</v>
      </c>
      <c r="CP227" s="11"/>
      <c r="CQ227" s="11">
        <v>0</v>
      </c>
      <c r="CR227" s="11">
        <f>SUM(CS227)</f>
        <v>0</v>
      </c>
      <c r="CS227" s="11"/>
      <c r="CT227" s="11">
        <v>0</v>
      </c>
      <c r="CU227" s="11">
        <f>SUM(CV227)</f>
        <v>0</v>
      </c>
      <c r="CV227" s="11">
        <f>SUM(CW227:CX227)</f>
        <v>0</v>
      </c>
      <c r="CW227" s="11"/>
      <c r="CX227" s="12">
        <v>0</v>
      </c>
    </row>
    <row r="228" spans="1:102" ht="31.5" x14ac:dyDescent="0.25">
      <c r="A228" s="18" t="s">
        <v>369</v>
      </c>
      <c r="B228" s="19" t="s">
        <v>1</v>
      </c>
      <c r="C228" s="19" t="s">
        <v>1</v>
      </c>
      <c r="D228" s="20" t="s">
        <v>370</v>
      </c>
      <c r="E228" s="21">
        <f>SUM(E229)</f>
        <v>179934296</v>
      </c>
      <c r="F228" s="22">
        <f t="shared" ref="F228:BV228" si="432">SUM(F229)</f>
        <v>179934296</v>
      </c>
      <c r="G228" s="22">
        <f t="shared" si="432"/>
        <v>0</v>
      </c>
      <c r="H228" s="22">
        <f t="shared" si="432"/>
        <v>0</v>
      </c>
      <c r="I228" s="22">
        <f t="shared" si="432"/>
        <v>0</v>
      </c>
      <c r="J228" s="22">
        <f t="shared" si="432"/>
        <v>0</v>
      </c>
      <c r="K228" s="22">
        <f t="shared" si="432"/>
        <v>0</v>
      </c>
      <c r="L228" s="22">
        <f t="shared" si="432"/>
        <v>0</v>
      </c>
      <c r="M228" s="22">
        <f t="shared" si="432"/>
        <v>0</v>
      </c>
      <c r="N228" s="22">
        <f t="shared" si="432"/>
        <v>0</v>
      </c>
      <c r="O228" s="22">
        <f t="shared" si="432"/>
        <v>0</v>
      </c>
      <c r="P228" s="22">
        <f t="shared" si="432"/>
        <v>0</v>
      </c>
      <c r="Q228" s="22">
        <f t="shared" si="432"/>
        <v>0</v>
      </c>
      <c r="R228" s="22">
        <f t="shared" si="432"/>
        <v>0</v>
      </c>
      <c r="S228" s="22">
        <f t="shared" si="432"/>
        <v>0</v>
      </c>
      <c r="T228" s="22">
        <f t="shared" si="432"/>
        <v>0</v>
      </c>
      <c r="U228" s="22">
        <f t="shared" si="432"/>
        <v>0</v>
      </c>
      <c r="V228" s="22">
        <f t="shared" si="432"/>
        <v>0</v>
      </c>
      <c r="W228" s="22">
        <f t="shared" si="432"/>
        <v>0</v>
      </c>
      <c r="X228" s="22">
        <f t="shared" si="432"/>
        <v>0</v>
      </c>
      <c r="Y228" s="22">
        <f t="shared" si="432"/>
        <v>0</v>
      </c>
      <c r="Z228" s="22">
        <f t="shared" si="432"/>
        <v>0</v>
      </c>
      <c r="AA228" s="22">
        <f t="shared" si="432"/>
        <v>0</v>
      </c>
      <c r="AB228" s="22">
        <f t="shared" si="432"/>
        <v>0</v>
      </c>
      <c r="AC228" s="22">
        <f t="shared" si="432"/>
        <v>0</v>
      </c>
      <c r="AD228" s="22">
        <f t="shared" si="432"/>
        <v>0</v>
      </c>
      <c r="AE228" s="22">
        <f t="shared" si="432"/>
        <v>0</v>
      </c>
      <c r="AF228" s="22">
        <f t="shared" si="432"/>
        <v>0</v>
      </c>
      <c r="AG228" s="22">
        <f t="shared" si="432"/>
        <v>0</v>
      </c>
      <c r="AH228" s="22">
        <f t="shared" si="432"/>
        <v>0</v>
      </c>
      <c r="AI228" s="22">
        <f t="shared" si="432"/>
        <v>0</v>
      </c>
      <c r="AJ228" s="22">
        <f t="shared" si="432"/>
        <v>0</v>
      </c>
      <c r="AK228" s="22">
        <f t="shared" si="432"/>
        <v>0</v>
      </c>
      <c r="AL228" s="22">
        <f t="shared" si="432"/>
        <v>0</v>
      </c>
      <c r="AM228" s="22">
        <f t="shared" si="432"/>
        <v>0</v>
      </c>
      <c r="AN228" s="22">
        <f t="shared" si="432"/>
        <v>0</v>
      </c>
      <c r="AO228" s="22">
        <f t="shared" si="432"/>
        <v>0</v>
      </c>
      <c r="AP228" s="22">
        <f t="shared" si="432"/>
        <v>0</v>
      </c>
      <c r="AQ228" s="22">
        <f t="shared" si="432"/>
        <v>0</v>
      </c>
      <c r="AR228" s="22">
        <f t="shared" si="432"/>
        <v>0</v>
      </c>
      <c r="AS228" s="22">
        <f t="shared" si="432"/>
        <v>0</v>
      </c>
      <c r="AT228" s="22">
        <f t="shared" si="432"/>
        <v>0</v>
      </c>
      <c r="AU228" s="22">
        <f t="shared" si="432"/>
        <v>0</v>
      </c>
      <c r="AV228" s="22"/>
      <c r="AW228" s="22"/>
      <c r="AX228" s="22">
        <f t="shared" si="432"/>
        <v>0</v>
      </c>
      <c r="AY228" s="22">
        <f t="shared" si="432"/>
        <v>0</v>
      </c>
      <c r="AZ228" s="22">
        <f t="shared" si="432"/>
        <v>0</v>
      </c>
      <c r="BA228" s="22">
        <f t="shared" si="432"/>
        <v>0</v>
      </c>
      <c r="BB228" s="22">
        <f t="shared" si="432"/>
        <v>0</v>
      </c>
      <c r="BC228" s="22">
        <f t="shared" si="432"/>
        <v>179934296</v>
      </c>
      <c r="BD228" s="22">
        <f t="shared" si="432"/>
        <v>1784105</v>
      </c>
      <c r="BE228" s="22">
        <f t="shared" si="432"/>
        <v>1784105</v>
      </c>
      <c r="BF228" s="22">
        <f t="shared" si="432"/>
        <v>0</v>
      </c>
      <c r="BG228" s="22">
        <f t="shared" si="432"/>
        <v>0</v>
      </c>
      <c r="BH228" s="22">
        <f t="shared" si="432"/>
        <v>0</v>
      </c>
      <c r="BI228" s="22">
        <f t="shared" si="432"/>
        <v>0</v>
      </c>
      <c r="BJ228" s="22">
        <f t="shared" si="432"/>
        <v>0</v>
      </c>
      <c r="BK228" s="22">
        <f t="shared" si="432"/>
        <v>0</v>
      </c>
      <c r="BL228" s="22">
        <f t="shared" si="432"/>
        <v>178150191</v>
      </c>
      <c r="BM228" s="22">
        <f t="shared" si="432"/>
        <v>0</v>
      </c>
      <c r="BN228" s="22">
        <f t="shared" si="432"/>
        <v>0</v>
      </c>
      <c r="BO228" s="22">
        <f t="shared" si="432"/>
        <v>0</v>
      </c>
      <c r="BP228" s="22">
        <f t="shared" si="432"/>
        <v>0</v>
      </c>
      <c r="BQ228" s="22">
        <f t="shared" si="432"/>
        <v>0</v>
      </c>
      <c r="BR228" s="22">
        <f t="shared" si="432"/>
        <v>0</v>
      </c>
      <c r="BS228" s="22">
        <f t="shared" si="432"/>
        <v>0</v>
      </c>
      <c r="BT228" s="22">
        <f t="shared" si="432"/>
        <v>0</v>
      </c>
      <c r="BU228" s="22">
        <f t="shared" si="432"/>
        <v>0</v>
      </c>
      <c r="BV228" s="22">
        <f t="shared" si="432"/>
        <v>0</v>
      </c>
      <c r="BW228" s="22">
        <f t="shared" ref="BW228:CX228" si="433">SUM(BW229)</f>
        <v>0</v>
      </c>
      <c r="BX228" s="22">
        <f t="shared" si="433"/>
        <v>0</v>
      </c>
      <c r="BY228" s="22">
        <f t="shared" si="433"/>
        <v>0</v>
      </c>
      <c r="BZ228" s="22">
        <f t="shared" si="433"/>
        <v>0</v>
      </c>
      <c r="CA228" s="22">
        <f t="shared" si="433"/>
        <v>0</v>
      </c>
      <c r="CB228" s="22">
        <f t="shared" si="433"/>
        <v>0</v>
      </c>
      <c r="CC228" s="22">
        <f t="shared" si="433"/>
        <v>0</v>
      </c>
      <c r="CD228" s="22">
        <f t="shared" si="433"/>
        <v>0</v>
      </c>
      <c r="CE228" s="22">
        <f t="shared" si="433"/>
        <v>0</v>
      </c>
      <c r="CF228" s="22">
        <f t="shared" si="433"/>
        <v>0</v>
      </c>
      <c r="CG228" s="22">
        <f t="shared" si="433"/>
        <v>0</v>
      </c>
      <c r="CH228" s="22">
        <f t="shared" si="433"/>
        <v>0</v>
      </c>
      <c r="CI228" s="22">
        <f t="shared" si="433"/>
        <v>0</v>
      </c>
      <c r="CJ228" s="22">
        <f t="shared" si="433"/>
        <v>0</v>
      </c>
      <c r="CK228" s="22">
        <f t="shared" si="433"/>
        <v>0</v>
      </c>
      <c r="CL228" s="22">
        <f t="shared" si="433"/>
        <v>0</v>
      </c>
      <c r="CM228" s="22">
        <f t="shared" si="433"/>
        <v>0</v>
      </c>
      <c r="CN228" s="22">
        <f t="shared" si="433"/>
        <v>0</v>
      </c>
      <c r="CO228" s="22">
        <f t="shared" si="433"/>
        <v>0</v>
      </c>
      <c r="CP228" s="22"/>
      <c r="CQ228" s="22">
        <f t="shared" si="433"/>
        <v>0</v>
      </c>
      <c r="CR228" s="22">
        <f t="shared" si="433"/>
        <v>0</v>
      </c>
      <c r="CS228" s="22">
        <f t="shared" si="433"/>
        <v>0</v>
      </c>
      <c r="CT228" s="22">
        <f t="shared" si="433"/>
        <v>0</v>
      </c>
      <c r="CU228" s="22">
        <f t="shared" si="433"/>
        <v>0</v>
      </c>
      <c r="CV228" s="22">
        <f t="shared" si="433"/>
        <v>0</v>
      </c>
      <c r="CW228" s="22">
        <f t="shared" si="433"/>
        <v>0</v>
      </c>
      <c r="CX228" s="23">
        <f t="shared" si="433"/>
        <v>0</v>
      </c>
    </row>
    <row r="229" spans="1:102" ht="31.5" x14ac:dyDescent="0.25">
      <c r="A229" s="7"/>
      <c r="B229" s="8" t="s">
        <v>371</v>
      </c>
      <c r="C229" s="8" t="s">
        <v>1</v>
      </c>
      <c r="D229" s="9" t="s">
        <v>488</v>
      </c>
      <c r="E229" s="10">
        <f>SUM(E230:E231)</f>
        <v>179934296</v>
      </c>
      <c r="F229" s="11">
        <f t="shared" ref="F229:BV229" si="434">SUM(F230:F231)</f>
        <v>179934296</v>
      </c>
      <c r="G229" s="11">
        <f t="shared" si="434"/>
        <v>0</v>
      </c>
      <c r="H229" s="11">
        <f t="shared" si="434"/>
        <v>0</v>
      </c>
      <c r="I229" s="11">
        <f t="shared" si="434"/>
        <v>0</v>
      </c>
      <c r="J229" s="11">
        <f t="shared" si="434"/>
        <v>0</v>
      </c>
      <c r="K229" s="11">
        <f t="shared" si="434"/>
        <v>0</v>
      </c>
      <c r="L229" s="11">
        <f t="shared" si="434"/>
        <v>0</v>
      </c>
      <c r="M229" s="11">
        <f t="shared" si="434"/>
        <v>0</v>
      </c>
      <c r="N229" s="11">
        <f t="shared" si="434"/>
        <v>0</v>
      </c>
      <c r="O229" s="11">
        <f t="shared" si="434"/>
        <v>0</v>
      </c>
      <c r="P229" s="11">
        <f t="shared" si="434"/>
        <v>0</v>
      </c>
      <c r="Q229" s="11">
        <f t="shared" si="434"/>
        <v>0</v>
      </c>
      <c r="R229" s="11">
        <f t="shared" si="434"/>
        <v>0</v>
      </c>
      <c r="S229" s="11">
        <f t="shared" si="434"/>
        <v>0</v>
      </c>
      <c r="T229" s="11">
        <f t="shared" si="434"/>
        <v>0</v>
      </c>
      <c r="U229" s="11">
        <f t="shared" si="434"/>
        <v>0</v>
      </c>
      <c r="V229" s="11">
        <f t="shared" si="434"/>
        <v>0</v>
      </c>
      <c r="W229" s="11">
        <f t="shared" si="434"/>
        <v>0</v>
      </c>
      <c r="X229" s="11">
        <f t="shared" si="434"/>
        <v>0</v>
      </c>
      <c r="Y229" s="11">
        <f t="shared" si="434"/>
        <v>0</v>
      </c>
      <c r="Z229" s="11">
        <f t="shared" si="434"/>
        <v>0</v>
      </c>
      <c r="AA229" s="11">
        <f t="shared" si="434"/>
        <v>0</v>
      </c>
      <c r="AB229" s="11">
        <f t="shared" si="434"/>
        <v>0</v>
      </c>
      <c r="AC229" s="11">
        <f t="shared" si="434"/>
        <v>0</v>
      </c>
      <c r="AD229" s="11">
        <f t="shared" si="434"/>
        <v>0</v>
      </c>
      <c r="AE229" s="11">
        <f t="shared" si="434"/>
        <v>0</v>
      </c>
      <c r="AF229" s="11">
        <f t="shared" si="434"/>
        <v>0</v>
      </c>
      <c r="AG229" s="11">
        <f t="shared" si="434"/>
        <v>0</v>
      </c>
      <c r="AH229" s="11">
        <f t="shared" si="434"/>
        <v>0</v>
      </c>
      <c r="AI229" s="11">
        <f t="shared" si="434"/>
        <v>0</v>
      </c>
      <c r="AJ229" s="11">
        <f t="shared" si="434"/>
        <v>0</v>
      </c>
      <c r="AK229" s="11">
        <f t="shared" si="434"/>
        <v>0</v>
      </c>
      <c r="AL229" s="11">
        <f t="shared" si="434"/>
        <v>0</v>
      </c>
      <c r="AM229" s="11">
        <f t="shared" si="434"/>
        <v>0</v>
      </c>
      <c r="AN229" s="11">
        <f t="shared" si="434"/>
        <v>0</v>
      </c>
      <c r="AO229" s="11">
        <f t="shared" si="434"/>
        <v>0</v>
      </c>
      <c r="AP229" s="11">
        <f t="shared" si="434"/>
        <v>0</v>
      </c>
      <c r="AQ229" s="11">
        <f t="shared" si="434"/>
        <v>0</v>
      </c>
      <c r="AR229" s="11">
        <f>SUM(AR230:AR231)</f>
        <v>0</v>
      </c>
      <c r="AS229" s="11">
        <f t="shared" si="434"/>
        <v>0</v>
      </c>
      <c r="AT229" s="11">
        <f t="shared" si="434"/>
        <v>0</v>
      </c>
      <c r="AU229" s="11">
        <f t="shared" si="434"/>
        <v>0</v>
      </c>
      <c r="AV229" s="11"/>
      <c r="AW229" s="11"/>
      <c r="AX229" s="11">
        <f t="shared" si="434"/>
        <v>0</v>
      </c>
      <c r="AY229" s="11">
        <f t="shared" si="434"/>
        <v>0</v>
      </c>
      <c r="AZ229" s="11">
        <f t="shared" si="434"/>
        <v>0</v>
      </c>
      <c r="BA229" s="11">
        <f t="shared" si="434"/>
        <v>0</v>
      </c>
      <c r="BB229" s="11">
        <f t="shared" si="434"/>
        <v>0</v>
      </c>
      <c r="BC229" s="11">
        <f t="shared" si="434"/>
        <v>179934296</v>
      </c>
      <c r="BD229" s="11">
        <f t="shared" si="434"/>
        <v>1784105</v>
      </c>
      <c r="BE229" s="11">
        <f t="shared" si="434"/>
        <v>1784105</v>
      </c>
      <c r="BF229" s="11">
        <f t="shared" si="434"/>
        <v>0</v>
      </c>
      <c r="BG229" s="11">
        <f t="shared" si="434"/>
        <v>0</v>
      </c>
      <c r="BH229" s="11">
        <f t="shared" si="434"/>
        <v>0</v>
      </c>
      <c r="BI229" s="11">
        <f t="shared" si="434"/>
        <v>0</v>
      </c>
      <c r="BJ229" s="11">
        <f t="shared" si="434"/>
        <v>0</v>
      </c>
      <c r="BK229" s="11">
        <f t="shared" si="434"/>
        <v>0</v>
      </c>
      <c r="BL229" s="11">
        <f t="shared" si="434"/>
        <v>178150191</v>
      </c>
      <c r="BM229" s="11">
        <f t="shared" si="434"/>
        <v>0</v>
      </c>
      <c r="BN229" s="11">
        <f t="shared" si="434"/>
        <v>0</v>
      </c>
      <c r="BO229" s="11">
        <f t="shared" si="434"/>
        <v>0</v>
      </c>
      <c r="BP229" s="11">
        <f t="shared" si="434"/>
        <v>0</v>
      </c>
      <c r="BQ229" s="11">
        <f t="shared" si="434"/>
        <v>0</v>
      </c>
      <c r="BR229" s="11">
        <f t="shared" si="434"/>
        <v>0</v>
      </c>
      <c r="BS229" s="11">
        <f t="shared" si="434"/>
        <v>0</v>
      </c>
      <c r="BT229" s="11">
        <f t="shared" si="434"/>
        <v>0</v>
      </c>
      <c r="BU229" s="11">
        <f t="shared" si="434"/>
        <v>0</v>
      </c>
      <c r="BV229" s="11">
        <f t="shared" si="434"/>
        <v>0</v>
      </c>
      <c r="BW229" s="11">
        <f t="shared" ref="BW229:CX229" si="435">SUM(BW230:BW231)</f>
        <v>0</v>
      </c>
      <c r="BX229" s="11">
        <f t="shared" si="435"/>
        <v>0</v>
      </c>
      <c r="BY229" s="11">
        <f t="shared" si="435"/>
        <v>0</v>
      </c>
      <c r="BZ229" s="11">
        <f t="shared" si="435"/>
        <v>0</v>
      </c>
      <c r="CA229" s="11">
        <f t="shared" si="435"/>
        <v>0</v>
      </c>
      <c r="CB229" s="11">
        <f t="shared" si="435"/>
        <v>0</v>
      </c>
      <c r="CC229" s="11">
        <f t="shared" si="435"/>
        <v>0</v>
      </c>
      <c r="CD229" s="11">
        <f t="shared" si="435"/>
        <v>0</v>
      </c>
      <c r="CE229" s="11">
        <f t="shared" si="435"/>
        <v>0</v>
      </c>
      <c r="CF229" s="11">
        <f t="shared" si="435"/>
        <v>0</v>
      </c>
      <c r="CG229" s="11">
        <f t="shared" si="435"/>
        <v>0</v>
      </c>
      <c r="CH229" s="11">
        <f t="shared" si="435"/>
        <v>0</v>
      </c>
      <c r="CI229" s="11">
        <f t="shared" si="435"/>
        <v>0</v>
      </c>
      <c r="CJ229" s="11">
        <f t="shared" si="435"/>
        <v>0</v>
      </c>
      <c r="CK229" s="11">
        <f t="shared" si="435"/>
        <v>0</v>
      </c>
      <c r="CL229" s="11">
        <f t="shared" si="435"/>
        <v>0</v>
      </c>
      <c r="CM229" s="11">
        <f t="shared" si="435"/>
        <v>0</v>
      </c>
      <c r="CN229" s="11">
        <f t="shared" si="435"/>
        <v>0</v>
      </c>
      <c r="CO229" s="11">
        <f t="shared" si="435"/>
        <v>0</v>
      </c>
      <c r="CP229" s="11"/>
      <c r="CQ229" s="11">
        <f t="shared" si="435"/>
        <v>0</v>
      </c>
      <c r="CR229" s="11">
        <f t="shared" si="435"/>
        <v>0</v>
      </c>
      <c r="CS229" s="11">
        <f t="shared" si="435"/>
        <v>0</v>
      </c>
      <c r="CT229" s="11">
        <f t="shared" si="435"/>
        <v>0</v>
      </c>
      <c r="CU229" s="11">
        <f t="shared" si="435"/>
        <v>0</v>
      </c>
      <c r="CV229" s="11">
        <f t="shared" si="435"/>
        <v>0</v>
      </c>
      <c r="CW229" s="11">
        <f t="shared" si="435"/>
        <v>0</v>
      </c>
      <c r="CX229" s="12">
        <f t="shared" si="435"/>
        <v>0</v>
      </c>
    </row>
    <row r="230" spans="1:102" ht="31.5" x14ac:dyDescent="0.25">
      <c r="A230" s="13" t="s">
        <v>1</v>
      </c>
      <c r="B230" s="14" t="s">
        <v>1</v>
      </c>
      <c r="C230" s="26" t="s">
        <v>97</v>
      </c>
      <c r="D230" s="25" t="s">
        <v>372</v>
      </c>
      <c r="E230" s="10">
        <f>SUM(F230+CB230+CU230)</f>
        <v>1784105</v>
      </c>
      <c r="F230" s="11">
        <f>SUM(G230+BC230)</f>
        <v>1784105</v>
      </c>
      <c r="G230" s="11">
        <f>SUM(H230+I230+J230+Q230+T230+U230+V230+AF230+AE230)</f>
        <v>0</v>
      </c>
      <c r="H230" s="11">
        <v>0</v>
      </c>
      <c r="I230" s="11">
        <v>0</v>
      </c>
      <c r="J230" s="11">
        <f t="shared" si="279"/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f t="shared" si="280"/>
        <v>0</v>
      </c>
      <c r="R230" s="11">
        <v>0</v>
      </c>
      <c r="S230" s="11">
        <v>0</v>
      </c>
      <c r="T230" s="11">
        <v>0</v>
      </c>
      <c r="U230" s="11">
        <v>0</v>
      </c>
      <c r="V230" s="11">
        <f t="shared" ref="V230:V231" si="436">SUM(W230:AD230)</f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f>SUM(AG230:BB230)</f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11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/>
      <c r="AW230" s="11"/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f>SUM(BD230+BH230+BL230+BN230+BP230)</f>
        <v>1784105</v>
      </c>
      <c r="BD230" s="11">
        <f>SUM(BE230:BG230)</f>
        <v>1784105</v>
      </c>
      <c r="BE230" s="16">
        <v>1784105</v>
      </c>
      <c r="BF230" s="11">
        <v>0</v>
      </c>
      <c r="BG230" s="11">
        <v>0</v>
      </c>
      <c r="BH230" s="11">
        <f t="shared" si="282"/>
        <v>0</v>
      </c>
      <c r="BI230" s="11">
        <v>0</v>
      </c>
      <c r="BJ230" s="11">
        <v>0</v>
      </c>
      <c r="BK230" s="11">
        <v>0</v>
      </c>
      <c r="BL230" s="11"/>
      <c r="BM230" s="11">
        <v>0</v>
      </c>
      <c r="BN230" s="11">
        <f t="shared" si="283"/>
        <v>0</v>
      </c>
      <c r="BO230" s="11">
        <v>0</v>
      </c>
      <c r="BP230" s="11">
        <f t="shared" si="284"/>
        <v>0</v>
      </c>
      <c r="BQ230" s="11">
        <v>0</v>
      </c>
      <c r="BR230" s="11">
        <v>0</v>
      </c>
      <c r="BS230" s="11">
        <v>0</v>
      </c>
      <c r="BT230" s="11">
        <v>0</v>
      </c>
      <c r="BU230" s="11">
        <v>0</v>
      </c>
      <c r="BV230" s="11">
        <v>0</v>
      </c>
      <c r="BW230" s="11">
        <v>0</v>
      </c>
      <c r="BX230" s="11">
        <v>0</v>
      </c>
      <c r="BY230" s="11">
        <v>0</v>
      </c>
      <c r="BZ230" s="11">
        <v>0</v>
      </c>
      <c r="CA230" s="11">
        <v>0</v>
      </c>
      <c r="CB230" s="11">
        <f>SUM(CC230+CT230)</f>
        <v>0</v>
      </c>
      <c r="CC230" s="11">
        <f>SUM(CD230+CG230+CL230)</f>
        <v>0</v>
      </c>
      <c r="CD230" s="11">
        <f t="shared" si="285"/>
        <v>0</v>
      </c>
      <c r="CE230" s="11">
        <v>0</v>
      </c>
      <c r="CF230" s="11">
        <v>0</v>
      </c>
      <c r="CG230" s="11">
        <f>SUM(CH230:CK230)</f>
        <v>0</v>
      </c>
      <c r="CH230" s="11">
        <v>0</v>
      </c>
      <c r="CI230" s="11">
        <v>0</v>
      </c>
      <c r="CJ230" s="11">
        <v>0</v>
      </c>
      <c r="CK230" s="11">
        <v>0</v>
      </c>
      <c r="CL230" s="11">
        <f>SUM(CM230:CQ230)</f>
        <v>0</v>
      </c>
      <c r="CM230" s="11">
        <v>0</v>
      </c>
      <c r="CN230" s="11">
        <v>0</v>
      </c>
      <c r="CO230" s="11">
        <v>0</v>
      </c>
      <c r="CP230" s="11"/>
      <c r="CQ230" s="11">
        <v>0</v>
      </c>
      <c r="CR230" s="11">
        <v>0</v>
      </c>
      <c r="CS230" s="11">
        <v>0</v>
      </c>
      <c r="CT230" s="11">
        <v>0</v>
      </c>
      <c r="CU230" s="11">
        <f t="shared" si="286"/>
        <v>0</v>
      </c>
      <c r="CV230" s="11">
        <f t="shared" si="287"/>
        <v>0</v>
      </c>
      <c r="CW230" s="11">
        <v>0</v>
      </c>
      <c r="CX230" s="12">
        <v>0</v>
      </c>
    </row>
    <row r="231" spans="1:102" ht="31.5" x14ac:dyDescent="0.25">
      <c r="A231" s="13" t="s">
        <v>1</v>
      </c>
      <c r="B231" s="14" t="s">
        <v>1</v>
      </c>
      <c r="C231" s="26" t="s">
        <v>125</v>
      </c>
      <c r="D231" s="25" t="s">
        <v>373</v>
      </c>
      <c r="E231" s="10">
        <f>SUM(F231+CB231+CU231)</f>
        <v>178150191</v>
      </c>
      <c r="F231" s="11">
        <f>SUM(G231+BC231)</f>
        <v>178150191</v>
      </c>
      <c r="G231" s="11">
        <f>SUM(H231+I231+J231+Q231+T231+U231+V231+AF231+AE231)</f>
        <v>0</v>
      </c>
      <c r="H231" s="11">
        <v>0</v>
      </c>
      <c r="I231" s="11">
        <v>0</v>
      </c>
      <c r="J231" s="11">
        <f t="shared" si="279"/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f t="shared" si="280"/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f t="shared" si="436"/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f>SUM(AG231:BB231)</f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/>
      <c r="AW231" s="11"/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f>SUM(BD231+BH231+BL231+BN231+BP231)</f>
        <v>178150191</v>
      </c>
      <c r="BD231" s="11">
        <f>SUM(BE231:BG231)</f>
        <v>0</v>
      </c>
      <c r="BE231" s="11"/>
      <c r="BF231" s="11">
        <v>0</v>
      </c>
      <c r="BG231" s="11">
        <v>0</v>
      </c>
      <c r="BH231" s="11">
        <f t="shared" si="282"/>
        <v>0</v>
      </c>
      <c r="BI231" s="11">
        <v>0</v>
      </c>
      <c r="BJ231" s="11">
        <v>0</v>
      </c>
      <c r="BK231" s="11">
        <v>0</v>
      </c>
      <c r="BL231" s="16">
        <f>163197921+14952270</f>
        <v>178150191</v>
      </c>
      <c r="BM231" s="11">
        <v>0</v>
      </c>
      <c r="BN231" s="11">
        <f t="shared" si="283"/>
        <v>0</v>
      </c>
      <c r="BO231" s="11">
        <v>0</v>
      </c>
      <c r="BP231" s="11">
        <f t="shared" si="284"/>
        <v>0</v>
      </c>
      <c r="BQ231" s="11">
        <v>0</v>
      </c>
      <c r="BR231" s="11">
        <v>0</v>
      </c>
      <c r="BS231" s="11">
        <v>0</v>
      </c>
      <c r="BT231" s="11">
        <v>0</v>
      </c>
      <c r="BU231" s="11">
        <v>0</v>
      </c>
      <c r="BV231" s="11">
        <v>0</v>
      </c>
      <c r="BW231" s="11">
        <v>0</v>
      </c>
      <c r="BX231" s="11">
        <v>0</v>
      </c>
      <c r="BY231" s="11">
        <v>0</v>
      </c>
      <c r="BZ231" s="11">
        <v>0</v>
      </c>
      <c r="CA231" s="11">
        <v>0</v>
      </c>
      <c r="CB231" s="11">
        <f>SUM(CC231+CT231)</f>
        <v>0</v>
      </c>
      <c r="CC231" s="11">
        <f>SUM(CD231+CG231+CL231)</f>
        <v>0</v>
      </c>
      <c r="CD231" s="11">
        <f t="shared" si="285"/>
        <v>0</v>
      </c>
      <c r="CE231" s="11">
        <v>0</v>
      </c>
      <c r="CF231" s="11">
        <v>0</v>
      </c>
      <c r="CG231" s="11">
        <f>SUM(CH231:CK231)</f>
        <v>0</v>
      </c>
      <c r="CH231" s="11">
        <v>0</v>
      </c>
      <c r="CI231" s="11">
        <v>0</v>
      </c>
      <c r="CJ231" s="11">
        <v>0</v>
      </c>
      <c r="CK231" s="11">
        <v>0</v>
      </c>
      <c r="CL231" s="11">
        <f>SUM(CM231:CQ231)</f>
        <v>0</v>
      </c>
      <c r="CM231" s="11">
        <v>0</v>
      </c>
      <c r="CN231" s="11">
        <v>0</v>
      </c>
      <c r="CO231" s="11">
        <v>0</v>
      </c>
      <c r="CP231" s="11"/>
      <c r="CQ231" s="11">
        <v>0</v>
      </c>
      <c r="CR231" s="11">
        <v>0</v>
      </c>
      <c r="CS231" s="11">
        <v>0</v>
      </c>
      <c r="CT231" s="11">
        <v>0</v>
      </c>
      <c r="CU231" s="11">
        <f t="shared" si="286"/>
        <v>0</v>
      </c>
      <c r="CV231" s="11">
        <f t="shared" si="287"/>
        <v>0</v>
      </c>
      <c r="CW231" s="11">
        <v>0</v>
      </c>
      <c r="CX231" s="12">
        <v>0</v>
      </c>
    </row>
    <row r="232" spans="1:102" ht="15.75" x14ac:dyDescent="0.25">
      <c r="A232" s="18" t="s">
        <v>374</v>
      </c>
      <c r="B232" s="19" t="s">
        <v>1</v>
      </c>
      <c r="C232" s="19" t="s">
        <v>1</v>
      </c>
      <c r="D232" s="20" t="s">
        <v>375</v>
      </c>
      <c r="E232" s="21">
        <f t="shared" ref="E232:AJ232" si="437">SUM(E233+E235+E238+E279+E292+E294)</f>
        <v>357202247</v>
      </c>
      <c r="F232" s="22">
        <f t="shared" si="437"/>
        <v>271892838</v>
      </c>
      <c r="G232" s="22">
        <f t="shared" si="437"/>
        <v>262762672</v>
      </c>
      <c r="H232" s="22">
        <f t="shared" si="437"/>
        <v>97831639</v>
      </c>
      <c r="I232" s="22">
        <f t="shared" si="437"/>
        <v>19523139</v>
      </c>
      <c r="J232" s="22">
        <f t="shared" si="437"/>
        <v>52648700</v>
      </c>
      <c r="K232" s="22">
        <f t="shared" si="437"/>
        <v>22317465</v>
      </c>
      <c r="L232" s="22">
        <f t="shared" si="437"/>
        <v>2482200</v>
      </c>
      <c r="M232" s="22">
        <f t="shared" si="437"/>
        <v>2701787</v>
      </c>
      <c r="N232" s="22">
        <f t="shared" si="437"/>
        <v>3000</v>
      </c>
      <c r="O232" s="22">
        <f t="shared" si="437"/>
        <v>8843705</v>
      </c>
      <c r="P232" s="22">
        <f t="shared" si="437"/>
        <v>16300543</v>
      </c>
      <c r="Q232" s="22">
        <f t="shared" si="437"/>
        <v>888690</v>
      </c>
      <c r="R232" s="22">
        <f t="shared" si="437"/>
        <v>182015</v>
      </c>
      <c r="S232" s="22">
        <f t="shared" si="437"/>
        <v>706675</v>
      </c>
      <c r="T232" s="22">
        <f t="shared" si="437"/>
        <v>97055</v>
      </c>
      <c r="U232" s="22">
        <f t="shared" si="437"/>
        <v>1895406</v>
      </c>
      <c r="V232" s="22">
        <f t="shared" si="437"/>
        <v>10920897</v>
      </c>
      <c r="W232" s="22">
        <f t="shared" si="437"/>
        <v>2557882</v>
      </c>
      <c r="X232" s="22">
        <f t="shared" si="437"/>
        <v>3920537</v>
      </c>
      <c r="Y232" s="22">
        <f t="shared" si="437"/>
        <v>2098788</v>
      </c>
      <c r="Z232" s="22">
        <f t="shared" si="437"/>
        <v>1099747</v>
      </c>
      <c r="AA232" s="22">
        <f t="shared" si="437"/>
        <v>749639</v>
      </c>
      <c r="AB232" s="22">
        <f t="shared" si="437"/>
        <v>338164</v>
      </c>
      <c r="AC232" s="22">
        <f t="shared" si="437"/>
        <v>0</v>
      </c>
      <c r="AD232" s="22">
        <f t="shared" si="437"/>
        <v>156140</v>
      </c>
      <c r="AE232" s="22">
        <f t="shared" si="437"/>
        <v>0</v>
      </c>
      <c r="AF232" s="22">
        <f t="shared" si="437"/>
        <v>78957146</v>
      </c>
      <c r="AG232" s="22">
        <f t="shared" si="437"/>
        <v>483689</v>
      </c>
      <c r="AH232" s="22">
        <f t="shared" si="437"/>
        <v>0</v>
      </c>
      <c r="AI232" s="22">
        <f t="shared" si="437"/>
        <v>3223386</v>
      </c>
      <c r="AJ232" s="22">
        <f t="shared" si="437"/>
        <v>8054252</v>
      </c>
      <c r="AK232" s="22">
        <f t="shared" ref="AK232:BP232" si="438">SUM(AK233+AK235+AK238+AK279+AK292+AK294)</f>
        <v>815537</v>
      </c>
      <c r="AL232" s="22">
        <f t="shared" si="438"/>
        <v>1482824</v>
      </c>
      <c r="AM232" s="22">
        <f t="shared" si="438"/>
        <v>16582</v>
      </c>
      <c r="AN232" s="22">
        <f t="shared" si="438"/>
        <v>533047</v>
      </c>
      <c r="AO232" s="22">
        <f t="shared" si="438"/>
        <v>2905227</v>
      </c>
      <c r="AP232" s="22">
        <f t="shared" si="438"/>
        <v>16833</v>
      </c>
      <c r="AQ232" s="22">
        <f t="shared" si="438"/>
        <v>21850</v>
      </c>
      <c r="AR232" s="22">
        <f t="shared" si="438"/>
        <v>0</v>
      </c>
      <c r="AS232" s="22">
        <f t="shared" si="438"/>
        <v>7960120</v>
      </c>
      <c r="AT232" s="22">
        <f t="shared" si="438"/>
        <v>800061</v>
      </c>
      <c r="AU232" s="22">
        <f t="shared" si="438"/>
        <v>474147</v>
      </c>
      <c r="AV232" s="22">
        <f t="shared" si="438"/>
        <v>0</v>
      </c>
      <c r="AW232" s="22">
        <f t="shared" si="438"/>
        <v>5888</v>
      </c>
      <c r="AX232" s="22">
        <f t="shared" si="438"/>
        <v>59506</v>
      </c>
      <c r="AY232" s="22">
        <f t="shared" si="438"/>
        <v>1587686</v>
      </c>
      <c r="AZ232" s="22">
        <f t="shared" si="438"/>
        <v>0</v>
      </c>
      <c r="BA232" s="22">
        <f t="shared" si="438"/>
        <v>431880</v>
      </c>
      <c r="BB232" s="22">
        <f t="shared" si="438"/>
        <v>50084631</v>
      </c>
      <c r="BC232" s="22">
        <f t="shared" si="438"/>
        <v>9130166</v>
      </c>
      <c r="BD232" s="22">
        <f t="shared" si="438"/>
        <v>0</v>
      </c>
      <c r="BE232" s="22">
        <f t="shared" si="438"/>
        <v>0</v>
      </c>
      <c r="BF232" s="22">
        <f t="shared" si="438"/>
        <v>0</v>
      </c>
      <c r="BG232" s="22">
        <f t="shared" si="438"/>
        <v>0</v>
      </c>
      <c r="BH232" s="22">
        <f t="shared" si="438"/>
        <v>0</v>
      </c>
      <c r="BI232" s="22">
        <f t="shared" si="438"/>
        <v>0</v>
      </c>
      <c r="BJ232" s="22">
        <f t="shared" si="438"/>
        <v>0</v>
      </c>
      <c r="BK232" s="22">
        <f t="shared" si="438"/>
        <v>0</v>
      </c>
      <c r="BL232" s="22">
        <f t="shared" si="438"/>
        <v>9121332</v>
      </c>
      <c r="BM232" s="22">
        <f t="shared" si="438"/>
        <v>3999587</v>
      </c>
      <c r="BN232" s="22">
        <f t="shared" si="438"/>
        <v>0</v>
      </c>
      <c r="BO232" s="22">
        <f t="shared" si="438"/>
        <v>0</v>
      </c>
      <c r="BP232" s="22">
        <f t="shared" si="438"/>
        <v>8834</v>
      </c>
      <c r="BQ232" s="22">
        <f t="shared" ref="BQ232:CO232" si="439">SUM(BQ233+BQ235+BQ238+BQ279+BQ292+BQ294)</f>
        <v>0</v>
      </c>
      <c r="BR232" s="22">
        <f t="shared" si="439"/>
        <v>0</v>
      </c>
      <c r="BS232" s="22">
        <f t="shared" si="439"/>
        <v>5000</v>
      </c>
      <c r="BT232" s="22">
        <f t="shared" si="439"/>
        <v>0</v>
      </c>
      <c r="BU232" s="22">
        <f t="shared" si="439"/>
        <v>0</v>
      </c>
      <c r="BV232" s="22">
        <f t="shared" si="439"/>
        <v>0</v>
      </c>
      <c r="BW232" s="22">
        <f t="shared" si="439"/>
        <v>0</v>
      </c>
      <c r="BX232" s="22">
        <f t="shared" si="439"/>
        <v>0</v>
      </c>
      <c r="BY232" s="22">
        <f t="shared" si="439"/>
        <v>0</v>
      </c>
      <c r="BZ232" s="22">
        <f t="shared" si="439"/>
        <v>3834</v>
      </c>
      <c r="CA232" s="22">
        <f t="shared" si="439"/>
        <v>0</v>
      </c>
      <c r="CB232" s="22">
        <f t="shared" si="439"/>
        <v>85309409</v>
      </c>
      <c r="CC232" s="22">
        <f t="shared" si="439"/>
        <v>17736700</v>
      </c>
      <c r="CD232" s="22">
        <f t="shared" si="439"/>
        <v>11859023</v>
      </c>
      <c r="CE232" s="22">
        <f t="shared" si="439"/>
        <v>195000</v>
      </c>
      <c r="CF232" s="22">
        <f t="shared" si="439"/>
        <v>11664023</v>
      </c>
      <c r="CG232" s="22">
        <f t="shared" si="439"/>
        <v>1000000</v>
      </c>
      <c r="CH232" s="22">
        <f t="shared" si="439"/>
        <v>0</v>
      </c>
      <c r="CI232" s="22">
        <f t="shared" si="439"/>
        <v>0</v>
      </c>
      <c r="CJ232" s="22">
        <f t="shared" si="439"/>
        <v>1000000</v>
      </c>
      <c r="CK232" s="22">
        <f t="shared" si="439"/>
        <v>0</v>
      </c>
      <c r="CL232" s="22">
        <f t="shared" si="439"/>
        <v>4877677</v>
      </c>
      <c r="CM232" s="22">
        <f t="shared" si="439"/>
        <v>0</v>
      </c>
      <c r="CN232" s="22">
        <f t="shared" si="439"/>
        <v>3912055</v>
      </c>
      <c r="CO232" s="22">
        <f t="shared" si="439"/>
        <v>965622</v>
      </c>
      <c r="CP232" s="22"/>
      <c r="CQ232" s="22">
        <f t="shared" ref="CQ232:CX232" si="440">SUM(CQ233+CQ235+CQ238+CQ279+CQ292+CQ294)</f>
        <v>0</v>
      </c>
      <c r="CR232" s="22">
        <f t="shared" si="440"/>
        <v>0</v>
      </c>
      <c r="CS232" s="22">
        <f t="shared" si="440"/>
        <v>0</v>
      </c>
      <c r="CT232" s="22">
        <f t="shared" si="440"/>
        <v>67572709</v>
      </c>
      <c r="CU232" s="22">
        <f t="shared" si="440"/>
        <v>0</v>
      </c>
      <c r="CV232" s="22">
        <f t="shared" si="440"/>
        <v>0</v>
      </c>
      <c r="CW232" s="22">
        <f t="shared" si="440"/>
        <v>0</v>
      </c>
      <c r="CX232" s="23">
        <f t="shared" si="440"/>
        <v>0</v>
      </c>
    </row>
    <row r="233" spans="1:102" ht="15.75" x14ac:dyDescent="0.25">
      <c r="A233" s="7"/>
      <c r="B233" s="8" t="s">
        <v>376</v>
      </c>
      <c r="C233" s="8" t="s">
        <v>1</v>
      </c>
      <c r="D233" s="9" t="s">
        <v>377</v>
      </c>
      <c r="E233" s="10">
        <f>SUM(E234)</f>
        <v>11000000</v>
      </c>
      <c r="F233" s="11">
        <f t="shared" ref="F233:BV233" si="441">SUM(F234)</f>
        <v>0</v>
      </c>
      <c r="G233" s="11">
        <f t="shared" si="441"/>
        <v>0</v>
      </c>
      <c r="H233" s="11">
        <f t="shared" si="441"/>
        <v>0</v>
      </c>
      <c r="I233" s="11">
        <f t="shared" si="441"/>
        <v>0</v>
      </c>
      <c r="J233" s="11">
        <f t="shared" si="441"/>
        <v>0</v>
      </c>
      <c r="K233" s="11">
        <f t="shared" si="441"/>
        <v>0</v>
      </c>
      <c r="L233" s="11">
        <f t="shared" si="441"/>
        <v>0</v>
      </c>
      <c r="M233" s="11">
        <f t="shared" si="441"/>
        <v>0</v>
      </c>
      <c r="N233" s="11">
        <f t="shared" si="441"/>
        <v>0</v>
      </c>
      <c r="O233" s="11">
        <f t="shared" si="441"/>
        <v>0</v>
      </c>
      <c r="P233" s="11">
        <f t="shared" si="441"/>
        <v>0</v>
      </c>
      <c r="Q233" s="11">
        <f t="shared" si="441"/>
        <v>0</v>
      </c>
      <c r="R233" s="11">
        <f t="shared" si="441"/>
        <v>0</v>
      </c>
      <c r="S233" s="11">
        <f t="shared" si="441"/>
        <v>0</v>
      </c>
      <c r="T233" s="11">
        <f t="shared" si="441"/>
        <v>0</v>
      </c>
      <c r="U233" s="11">
        <f t="shared" si="441"/>
        <v>0</v>
      </c>
      <c r="V233" s="11">
        <f t="shared" si="441"/>
        <v>0</v>
      </c>
      <c r="W233" s="11">
        <f t="shared" si="441"/>
        <v>0</v>
      </c>
      <c r="X233" s="11">
        <f t="shared" si="441"/>
        <v>0</v>
      </c>
      <c r="Y233" s="11">
        <f t="shared" si="441"/>
        <v>0</v>
      </c>
      <c r="Z233" s="11">
        <f t="shared" si="441"/>
        <v>0</v>
      </c>
      <c r="AA233" s="11">
        <f t="shared" si="441"/>
        <v>0</v>
      </c>
      <c r="AB233" s="11">
        <f t="shared" si="441"/>
        <v>0</v>
      </c>
      <c r="AC233" s="11">
        <f t="shared" si="441"/>
        <v>0</v>
      </c>
      <c r="AD233" s="11">
        <f t="shared" si="441"/>
        <v>0</v>
      </c>
      <c r="AE233" s="11">
        <f t="shared" si="441"/>
        <v>0</v>
      </c>
      <c r="AF233" s="11">
        <f t="shared" si="441"/>
        <v>0</v>
      </c>
      <c r="AG233" s="11">
        <f t="shared" si="441"/>
        <v>0</v>
      </c>
      <c r="AH233" s="11">
        <f t="shared" si="441"/>
        <v>0</v>
      </c>
      <c r="AI233" s="11">
        <f t="shared" si="441"/>
        <v>0</v>
      </c>
      <c r="AJ233" s="11">
        <f t="shared" si="441"/>
        <v>0</v>
      </c>
      <c r="AK233" s="11">
        <f t="shared" si="441"/>
        <v>0</v>
      </c>
      <c r="AL233" s="11">
        <f t="shared" si="441"/>
        <v>0</v>
      </c>
      <c r="AM233" s="11">
        <f t="shared" si="441"/>
        <v>0</v>
      </c>
      <c r="AN233" s="11">
        <f t="shared" si="441"/>
        <v>0</v>
      </c>
      <c r="AO233" s="11">
        <f t="shared" si="441"/>
        <v>0</v>
      </c>
      <c r="AP233" s="11">
        <f t="shared" si="441"/>
        <v>0</v>
      </c>
      <c r="AQ233" s="11">
        <f t="shared" si="441"/>
        <v>0</v>
      </c>
      <c r="AR233" s="11">
        <f t="shared" si="441"/>
        <v>0</v>
      </c>
      <c r="AS233" s="11">
        <f t="shared" si="441"/>
        <v>0</v>
      </c>
      <c r="AT233" s="11">
        <f t="shared" si="441"/>
        <v>0</v>
      </c>
      <c r="AU233" s="11">
        <f t="shared" si="441"/>
        <v>0</v>
      </c>
      <c r="AV233" s="11"/>
      <c r="AW233" s="11"/>
      <c r="AX233" s="11">
        <f t="shared" si="441"/>
        <v>0</v>
      </c>
      <c r="AY233" s="11">
        <f t="shared" si="441"/>
        <v>0</v>
      </c>
      <c r="AZ233" s="11">
        <f t="shared" si="441"/>
        <v>0</v>
      </c>
      <c r="BA233" s="11">
        <f t="shared" si="441"/>
        <v>0</v>
      </c>
      <c r="BB233" s="11">
        <f t="shared" si="441"/>
        <v>0</v>
      </c>
      <c r="BC233" s="11">
        <f t="shared" si="441"/>
        <v>0</v>
      </c>
      <c r="BD233" s="11">
        <f t="shared" si="441"/>
        <v>0</v>
      </c>
      <c r="BE233" s="11">
        <f t="shared" si="441"/>
        <v>0</v>
      </c>
      <c r="BF233" s="11">
        <f t="shared" si="441"/>
        <v>0</v>
      </c>
      <c r="BG233" s="11">
        <f t="shared" si="441"/>
        <v>0</v>
      </c>
      <c r="BH233" s="11">
        <f t="shared" si="441"/>
        <v>0</v>
      </c>
      <c r="BI233" s="11">
        <f t="shared" si="441"/>
        <v>0</v>
      </c>
      <c r="BJ233" s="11">
        <f t="shared" si="441"/>
        <v>0</v>
      </c>
      <c r="BK233" s="11">
        <f t="shared" si="441"/>
        <v>0</v>
      </c>
      <c r="BL233" s="11">
        <f t="shared" si="441"/>
        <v>0</v>
      </c>
      <c r="BM233" s="11">
        <f t="shared" si="441"/>
        <v>0</v>
      </c>
      <c r="BN233" s="11">
        <f t="shared" si="441"/>
        <v>0</v>
      </c>
      <c r="BO233" s="11">
        <f t="shared" si="441"/>
        <v>0</v>
      </c>
      <c r="BP233" s="11">
        <f t="shared" si="441"/>
        <v>0</v>
      </c>
      <c r="BQ233" s="11">
        <f t="shared" si="441"/>
        <v>0</v>
      </c>
      <c r="BR233" s="11">
        <f t="shared" si="441"/>
        <v>0</v>
      </c>
      <c r="BS233" s="11">
        <f t="shared" si="441"/>
        <v>0</v>
      </c>
      <c r="BT233" s="11">
        <f t="shared" si="441"/>
        <v>0</v>
      </c>
      <c r="BU233" s="11">
        <f t="shared" si="441"/>
        <v>0</v>
      </c>
      <c r="BV233" s="11">
        <f t="shared" si="441"/>
        <v>0</v>
      </c>
      <c r="BW233" s="11">
        <f t="shared" ref="BW233:CX233" si="442">SUM(BW234)</f>
        <v>0</v>
      </c>
      <c r="BX233" s="11">
        <f t="shared" si="442"/>
        <v>0</v>
      </c>
      <c r="BY233" s="11">
        <f t="shared" si="442"/>
        <v>0</v>
      </c>
      <c r="BZ233" s="11">
        <f t="shared" si="442"/>
        <v>0</v>
      </c>
      <c r="CA233" s="11">
        <f t="shared" si="442"/>
        <v>0</v>
      </c>
      <c r="CB233" s="11">
        <f t="shared" si="442"/>
        <v>11000000</v>
      </c>
      <c r="CC233" s="11">
        <f t="shared" si="442"/>
        <v>0</v>
      </c>
      <c r="CD233" s="11">
        <f t="shared" si="442"/>
        <v>0</v>
      </c>
      <c r="CE233" s="11">
        <f t="shared" si="442"/>
        <v>0</v>
      </c>
      <c r="CF233" s="11">
        <f t="shared" si="442"/>
        <v>0</v>
      </c>
      <c r="CG233" s="11">
        <f t="shared" si="442"/>
        <v>0</v>
      </c>
      <c r="CH233" s="11">
        <f t="shared" si="442"/>
        <v>0</v>
      </c>
      <c r="CI233" s="11">
        <f t="shared" si="442"/>
        <v>0</v>
      </c>
      <c r="CJ233" s="11">
        <f t="shared" si="442"/>
        <v>0</v>
      </c>
      <c r="CK233" s="11">
        <f t="shared" si="442"/>
        <v>0</v>
      </c>
      <c r="CL233" s="11">
        <f t="shared" si="442"/>
        <v>0</v>
      </c>
      <c r="CM233" s="11">
        <f t="shared" si="442"/>
        <v>0</v>
      </c>
      <c r="CN233" s="11">
        <f t="shared" si="442"/>
        <v>0</v>
      </c>
      <c r="CO233" s="11">
        <f t="shared" si="442"/>
        <v>0</v>
      </c>
      <c r="CP233" s="11"/>
      <c r="CQ233" s="11">
        <f t="shared" si="442"/>
        <v>0</v>
      </c>
      <c r="CR233" s="11">
        <f t="shared" si="442"/>
        <v>0</v>
      </c>
      <c r="CS233" s="11">
        <f t="shared" si="442"/>
        <v>0</v>
      </c>
      <c r="CT233" s="11">
        <f t="shared" si="442"/>
        <v>11000000</v>
      </c>
      <c r="CU233" s="11">
        <f t="shared" si="442"/>
        <v>0</v>
      </c>
      <c r="CV233" s="11">
        <f t="shared" si="442"/>
        <v>0</v>
      </c>
      <c r="CW233" s="11">
        <f t="shared" si="442"/>
        <v>0</v>
      </c>
      <c r="CX233" s="12">
        <f t="shared" si="442"/>
        <v>0</v>
      </c>
    </row>
    <row r="234" spans="1:102" ht="15.75" x14ac:dyDescent="0.25">
      <c r="A234" s="13"/>
      <c r="B234" s="14" t="s">
        <v>1</v>
      </c>
      <c r="C234" s="14" t="s">
        <v>378</v>
      </c>
      <c r="D234" s="15" t="s">
        <v>377</v>
      </c>
      <c r="E234" s="10">
        <f>SUM(F234+CB234+CU234)</f>
        <v>11000000</v>
      </c>
      <c r="F234" s="11">
        <f>SUM(G234+BC234)</f>
        <v>0</v>
      </c>
      <c r="G234" s="11">
        <f>SUM(H234+I234+J234+Q234+T234+U234+V234+AF234+AE234)</f>
        <v>0</v>
      </c>
      <c r="H234" s="11">
        <v>0</v>
      </c>
      <c r="I234" s="11">
        <v>0</v>
      </c>
      <c r="J234" s="11">
        <f t="shared" si="279"/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f t="shared" si="280"/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f t="shared" ref="V234" si="443">SUM(W234:AD234)</f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f>SUM(AG234:BB234)</f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11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/>
      <c r="AW234" s="11"/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f>SUM(BD234+BH234+BL234+BN234+BP234)</f>
        <v>0</v>
      </c>
      <c r="BD234" s="11">
        <f>SUM(BE234:BG234)</f>
        <v>0</v>
      </c>
      <c r="BE234" s="11">
        <v>0</v>
      </c>
      <c r="BF234" s="11">
        <v>0</v>
      </c>
      <c r="BG234" s="11">
        <v>0</v>
      </c>
      <c r="BH234" s="11">
        <f t="shared" si="282"/>
        <v>0</v>
      </c>
      <c r="BI234" s="11">
        <v>0</v>
      </c>
      <c r="BJ234" s="11">
        <v>0</v>
      </c>
      <c r="BK234" s="11">
        <v>0</v>
      </c>
      <c r="BL234" s="11">
        <v>0</v>
      </c>
      <c r="BM234" s="11">
        <v>0</v>
      </c>
      <c r="BN234" s="11">
        <f t="shared" si="283"/>
        <v>0</v>
      </c>
      <c r="BO234" s="11">
        <v>0</v>
      </c>
      <c r="BP234" s="11">
        <f t="shared" si="284"/>
        <v>0</v>
      </c>
      <c r="BQ234" s="11">
        <v>0</v>
      </c>
      <c r="BR234" s="11">
        <v>0</v>
      </c>
      <c r="BS234" s="11">
        <v>0</v>
      </c>
      <c r="BT234" s="11">
        <v>0</v>
      </c>
      <c r="BU234" s="11">
        <v>0</v>
      </c>
      <c r="BV234" s="11">
        <v>0</v>
      </c>
      <c r="BW234" s="11">
        <v>0</v>
      </c>
      <c r="BX234" s="11">
        <v>0</v>
      </c>
      <c r="BY234" s="11">
        <v>0</v>
      </c>
      <c r="BZ234" s="11">
        <v>0</v>
      </c>
      <c r="CA234" s="11">
        <v>0</v>
      </c>
      <c r="CB234" s="11">
        <f>SUM(CC234+CT234)</f>
        <v>11000000</v>
      </c>
      <c r="CC234" s="11">
        <f>SUM(CD234+CG234+CL234)</f>
        <v>0</v>
      </c>
      <c r="CD234" s="11">
        <f t="shared" si="285"/>
        <v>0</v>
      </c>
      <c r="CE234" s="11">
        <v>0</v>
      </c>
      <c r="CF234" s="11">
        <v>0</v>
      </c>
      <c r="CG234" s="11">
        <f>SUM(CH234:CK234)</f>
        <v>0</v>
      </c>
      <c r="CH234" s="11">
        <v>0</v>
      </c>
      <c r="CI234" s="11">
        <v>0</v>
      </c>
      <c r="CJ234" s="11">
        <v>0</v>
      </c>
      <c r="CK234" s="11">
        <v>0</v>
      </c>
      <c r="CL234" s="11">
        <f>SUM(CM234:CQ234)</f>
        <v>0</v>
      </c>
      <c r="CM234" s="11">
        <v>0</v>
      </c>
      <c r="CN234" s="11">
        <v>0</v>
      </c>
      <c r="CO234" s="11">
        <v>0</v>
      </c>
      <c r="CP234" s="11"/>
      <c r="CQ234" s="11">
        <v>0</v>
      </c>
      <c r="CR234" s="11">
        <v>0</v>
      </c>
      <c r="CS234" s="11">
        <v>0</v>
      </c>
      <c r="CT234" s="11">
        <v>11000000</v>
      </c>
      <c r="CU234" s="11">
        <f t="shared" si="286"/>
        <v>0</v>
      </c>
      <c r="CV234" s="11">
        <f t="shared" si="287"/>
        <v>0</v>
      </c>
      <c r="CW234" s="11">
        <v>0</v>
      </c>
      <c r="CX234" s="12">
        <v>0</v>
      </c>
    </row>
    <row r="235" spans="1:102" ht="15.75" x14ac:dyDescent="0.25">
      <c r="A235" s="7"/>
      <c r="B235" s="8" t="s">
        <v>379</v>
      </c>
      <c r="C235" s="8" t="s">
        <v>1</v>
      </c>
      <c r="D235" s="9" t="s">
        <v>380</v>
      </c>
      <c r="E235" s="10">
        <f>SUM(E236:E237)</f>
        <v>9436316</v>
      </c>
      <c r="F235" s="11">
        <f t="shared" ref="F235:BV235" si="444">SUM(F236:F237)</f>
        <v>9420051</v>
      </c>
      <c r="G235" s="11">
        <f t="shared" si="444"/>
        <v>9416217</v>
      </c>
      <c r="H235" s="11">
        <f t="shared" si="444"/>
        <v>959098</v>
      </c>
      <c r="I235" s="11">
        <f t="shared" si="444"/>
        <v>233841</v>
      </c>
      <c r="J235" s="11">
        <f t="shared" si="444"/>
        <v>73332</v>
      </c>
      <c r="K235" s="11">
        <f t="shared" si="444"/>
        <v>0</v>
      </c>
      <c r="L235" s="11">
        <f t="shared" si="444"/>
        <v>0</v>
      </c>
      <c r="M235" s="11">
        <f t="shared" si="444"/>
        <v>0</v>
      </c>
      <c r="N235" s="11">
        <f t="shared" si="444"/>
        <v>0</v>
      </c>
      <c r="O235" s="11">
        <f t="shared" si="444"/>
        <v>55863</v>
      </c>
      <c r="P235" s="11">
        <f t="shared" si="444"/>
        <v>17469</v>
      </c>
      <c r="Q235" s="11">
        <f t="shared" si="444"/>
        <v>36271</v>
      </c>
      <c r="R235" s="11">
        <f t="shared" si="444"/>
        <v>0</v>
      </c>
      <c r="S235" s="11">
        <f t="shared" si="444"/>
        <v>36271</v>
      </c>
      <c r="T235" s="11">
        <f t="shared" si="444"/>
        <v>0</v>
      </c>
      <c r="U235" s="11">
        <f t="shared" si="444"/>
        <v>28146</v>
      </c>
      <c r="V235" s="11">
        <f t="shared" si="444"/>
        <v>59676</v>
      </c>
      <c r="W235" s="11">
        <f t="shared" si="444"/>
        <v>6200</v>
      </c>
      <c r="X235" s="11">
        <f t="shared" si="444"/>
        <v>38627</v>
      </c>
      <c r="Y235" s="11">
        <f t="shared" si="444"/>
        <v>13088</v>
      </c>
      <c r="Z235" s="11">
        <f t="shared" si="444"/>
        <v>1761</v>
      </c>
      <c r="AA235" s="11">
        <f t="shared" si="444"/>
        <v>0</v>
      </c>
      <c r="AB235" s="11">
        <f t="shared" si="444"/>
        <v>0</v>
      </c>
      <c r="AC235" s="11">
        <f t="shared" si="444"/>
        <v>0</v>
      </c>
      <c r="AD235" s="11">
        <f t="shared" si="444"/>
        <v>0</v>
      </c>
      <c r="AE235" s="11">
        <f t="shared" si="444"/>
        <v>0</v>
      </c>
      <c r="AF235" s="11">
        <f t="shared" si="444"/>
        <v>8025853</v>
      </c>
      <c r="AG235" s="11">
        <f t="shared" si="444"/>
        <v>0</v>
      </c>
      <c r="AH235" s="11">
        <f t="shared" si="444"/>
        <v>0</v>
      </c>
      <c r="AI235" s="11">
        <f t="shared" si="444"/>
        <v>2118</v>
      </c>
      <c r="AJ235" s="11">
        <f t="shared" si="444"/>
        <v>3854</v>
      </c>
      <c r="AK235" s="11">
        <f t="shared" si="444"/>
        <v>0</v>
      </c>
      <c r="AL235" s="11">
        <f t="shared" si="444"/>
        <v>374</v>
      </c>
      <c r="AM235" s="11">
        <f t="shared" si="444"/>
        <v>0</v>
      </c>
      <c r="AN235" s="11">
        <f t="shared" si="444"/>
        <v>0</v>
      </c>
      <c r="AO235" s="11">
        <f t="shared" si="444"/>
        <v>0</v>
      </c>
      <c r="AP235" s="11">
        <f t="shared" si="444"/>
        <v>6833</v>
      </c>
      <c r="AQ235" s="11">
        <f t="shared" si="444"/>
        <v>0</v>
      </c>
      <c r="AR235" s="11">
        <f>SUM(AR236:AR237)</f>
        <v>0</v>
      </c>
      <c r="AS235" s="11">
        <f t="shared" si="444"/>
        <v>0</v>
      </c>
      <c r="AT235" s="11">
        <f t="shared" si="444"/>
        <v>56117</v>
      </c>
      <c r="AU235" s="11">
        <f t="shared" si="444"/>
        <v>1760</v>
      </c>
      <c r="AV235" s="11"/>
      <c r="AW235" s="11"/>
      <c r="AX235" s="11">
        <f t="shared" si="444"/>
        <v>0</v>
      </c>
      <c r="AY235" s="11">
        <f t="shared" si="444"/>
        <v>0</v>
      </c>
      <c r="AZ235" s="11">
        <f t="shared" si="444"/>
        <v>0</v>
      </c>
      <c r="BA235" s="11">
        <f t="shared" si="444"/>
        <v>3660</v>
      </c>
      <c r="BB235" s="11">
        <f t="shared" si="444"/>
        <v>7951137</v>
      </c>
      <c r="BC235" s="11">
        <f t="shared" si="444"/>
        <v>3834</v>
      </c>
      <c r="BD235" s="11">
        <f t="shared" si="444"/>
        <v>0</v>
      </c>
      <c r="BE235" s="11">
        <f t="shared" si="444"/>
        <v>0</v>
      </c>
      <c r="BF235" s="11">
        <f t="shared" si="444"/>
        <v>0</v>
      </c>
      <c r="BG235" s="11">
        <f t="shared" si="444"/>
        <v>0</v>
      </c>
      <c r="BH235" s="11">
        <f t="shared" si="444"/>
        <v>0</v>
      </c>
      <c r="BI235" s="11">
        <f t="shared" si="444"/>
        <v>0</v>
      </c>
      <c r="BJ235" s="11">
        <f t="shared" si="444"/>
        <v>0</v>
      </c>
      <c r="BK235" s="11">
        <f t="shared" si="444"/>
        <v>0</v>
      </c>
      <c r="BL235" s="11">
        <f t="shared" si="444"/>
        <v>0</v>
      </c>
      <c r="BM235" s="11">
        <f t="shared" si="444"/>
        <v>0</v>
      </c>
      <c r="BN235" s="11">
        <f t="shared" si="444"/>
        <v>0</v>
      </c>
      <c r="BO235" s="11">
        <f t="shared" si="444"/>
        <v>0</v>
      </c>
      <c r="BP235" s="11">
        <f t="shared" si="444"/>
        <v>3834</v>
      </c>
      <c r="BQ235" s="11">
        <f t="shared" si="444"/>
        <v>0</v>
      </c>
      <c r="BR235" s="11">
        <f t="shared" si="444"/>
        <v>0</v>
      </c>
      <c r="BS235" s="11">
        <f t="shared" si="444"/>
        <v>0</v>
      </c>
      <c r="BT235" s="11">
        <f t="shared" si="444"/>
        <v>0</v>
      </c>
      <c r="BU235" s="11">
        <f t="shared" si="444"/>
        <v>0</v>
      </c>
      <c r="BV235" s="11">
        <f t="shared" si="444"/>
        <v>0</v>
      </c>
      <c r="BW235" s="11">
        <f t="shared" ref="BW235:CX235" si="445">SUM(BW236:BW237)</f>
        <v>0</v>
      </c>
      <c r="BX235" s="11">
        <f t="shared" si="445"/>
        <v>0</v>
      </c>
      <c r="BY235" s="11">
        <f t="shared" si="445"/>
        <v>0</v>
      </c>
      <c r="BZ235" s="11">
        <f t="shared" si="445"/>
        <v>3834</v>
      </c>
      <c r="CA235" s="11">
        <f t="shared" si="445"/>
        <v>0</v>
      </c>
      <c r="CB235" s="11">
        <f t="shared" si="445"/>
        <v>16265</v>
      </c>
      <c r="CC235" s="11">
        <f t="shared" si="445"/>
        <v>16265</v>
      </c>
      <c r="CD235" s="11">
        <f t="shared" si="445"/>
        <v>16265</v>
      </c>
      <c r="CE235" s="11">
        <f t="shared" si="445"/>
        <v>0</v>
      </c>
      <c r="CF235" s="11">
        <f t="shared" si="445"/>
        <v>16265</v>
      </c>
      <c r="CG235" s="11">
        <f t="shared" si="445"/>
        <v>0</v>
      </c>
      <c r="CH235" s="11">
        <f t="shared" si="445"/>
        <v>0</v>
      </c>
      <c r="CI235" s="11">
        <f t="shared" si="445"/>
        <v>0</v>
      </c>
      <c r="CJ235" s="11">
        <f t="shared" si="445"/>
        <v>0</v>
      </c>
      <c r="CK235" s="11">
        <f t="shared" si="445"/>
        <v>0</v>
      </c>
      <c r="CL235" s="11">
        <f t="shared" si="445"/>
        <v>0</v>
      </c>
      <c r="CM235" s="11">
        <f t="shared" si="445"/>
        <v>0</v>
      </c>
      <c r="CN235" s="11">
        <f t="shared" si="445"/>
        <v>0</v>
      </c>
      <c r="CO235" s="11">
        <f t="shared" si="445"/>
        <v>0</v>
      </c>
      <c r="CP235" s="11"/>
      <c r="CQ235" s="11">
        <f t="shared" si="445"/>
        <v>0</v>
      </c>
      <c r="CR235" s="11">
        <f t="shared" si="445"/>
        <v>0</v>
      </c>
      <c r="CS235" s="11">
        <f t="shared" si="445"/>
        <v>0</v>
      </c>
      <c r="CT235" s="11">
        <f t="shared" si="445"/>
        <v>0</v>
      </c>
      <c r="CU235" s="11">
        <f t="shared" si="445"/>
        <v>0</v>
      </c>
      <c r="CV235" s="11">
        <f t="shared" si="445"/>
        <v>0</v>
      </c>
      <c r="CW235" s="11">
        <f t="shared" si="445"/>
        <v>0</v>
      </c>
      <c r="CX235" s="12">
        <f t="shared" si="445"/>
        <v>0</v>
      </c>
    </row>
    <row r="236" spans="1:102" ht="15.75" x14ac:dyDescent="0.25">
      <c r="A236" s="13"/>
      <c r="B236" s="14" t="s">
        <v>1</v>
      </c>
      <c r="C236" s="14" t="s">
        <v>381</v>
      </c>
      <c r="D236" s="15" t="s">
        <v>382</v>
      </c>
      <c r="E236" s="10">
        <f>SUM(F236+CB236+CU236)</f>
        <v>7950660</v>
      </c>
      <c r="F236" s="11">
        <f>SUM(G236+BC236)</f>
        <v>7950660</v>
      </c>
      <c r="G236" s="11">
        <f>SUM(H236+I236+J236+Q236+T236+U236+V236+AF236+AE236)</f>
        <v>7950660</v>
      </c>
      <c r="H236" s="11">
        <v>0</v>
      </c>
      <c r="I236" s="11">
        <v>0</v>
      </c>
      <c r="J236" s="11">
        <f t="shared" ref="J236:J298" si="446">SUM(K236:P236)</f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f t="shared" ref="Q236:Q298" si="447">SUM(R236:S236)</f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f t="shared" ref="V236:V237" si="448">SUM(W236:AD236)</f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f>SUM(AG236:BB236)</f>
        <v>7950660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11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/>
      <c r="AW236" s="11"/>
      <c r="AX236" s="11">
        <v>0</v>
      </c>
      <c r="AY236" s="11">
        <v>0</v>
      </c>
      <c r="AZ236" s="11">
        <v>0</v>
      </c>
      <c r="BA236" s="11">
        <v>0</v>
      </c>
      <c r="BB236" s="11">
        <v>7950660</v>
      </c>
      <c r="BC236" s="11">
        <f>SUM(BD236+BH236+BL236+BN236+BP236)</f>
        <v>0</v>
      </c>
      <c r="BD236" s="11">
        <f>SUM(BE236:BG236)</f>
        <v>0</v>
      </c>
      <c r="BE236" s="11">
        <v>0</v>
      </c>
      <c r="BF236" s="11">
        <v>0</v>
      </c>
      <c r="BG236" s="11">
        <v>0</v>
      </c>
      <c r="BH236" s="11">
        <f t="shared" ref="BH236:BH298" si="449">SUM(BJ236:BK236)</f>
        <v>0</v>
      </c>
      <c r="BI236" s="11">
        <v>0</v>
      </c>
      <c r="BJ236" s="11">
        <v>0</v>
      </c>
      <c r="BK236" s="11">
        <v>0</v>
      </c>
      <c r="BL236" s="11">
        <v>0</v>
      </c>
      <c r="BM236" s="11">
        <v>0</v>
      </c>
      <c r="BN236" s="11">
        <f t="shared" ref="BN236:BN298" si="450">SUM(BO236)</f>
        <v>0</v>
      </c>
      <c r="BO236" s="11">
        <v>0</v>
      </c>
      <c r="BP236" s="11">
        <f t="shared" ref="BP236:BP298" si="451">SUM(BQ236:CA236)</f>
        <v>0</v>
      </c>
      <c r="BQ236" s="11">
        <v>0</v>
      </c>
      <c r="BR236" s="11">
        <v>0</v>
      </c>
      <c r="BS236" s="11">
        <v>0</v>
      </c>
      <c r="BT236" s="11">
        <v>0</v>
      </c>
      <c r="BU236" s="11">
        <v>0</v>
      </c>
      <c r="BV236" s="11">
        <v>0</v>
      </c>
      <c r="BW236" s="11">
        <v>0</v>
      </c>
      <c r="BX236" s="11">
        <v>0</v>
      </c>
      <c r="BY236" s="11">
        <v>0</v>
      </c>
      <c r="BZ236" s="11">
        <v>0</v>
      </c>
      <c r="CA236" s="11">
        <v>0</v>
      </c>
      <c r="CB236" s="11">
        <f>SUM(CC236+CT236)</f>
        <v>0</v>
      </c>
      <c r="CC236" s="11">
        <f>SUM(CD236+CG236+CL236)</f>
        <v>0</v>
      </c>
      <c r="CD236" s="11">
        <f t="shared" ref="CD236:CD298" si="452">SUM(CE236:CF236)</f>
        <v>0</v>
      </c>
      <c r="CE236" s="11">
        <v>0</v>
      </c>
      <c r="CF236" s="11">
        <v>0</v>
      </c>
      <c r="CG236" s="11">
        <f>SUM(CH236:CK236)</f>
        <v>0</v>
      </c>
      <c r="CH236" s="11">
        <v>0</v>
      </c>
      <c r="CI236" s="11">
        <v>0</v>
      </c>
      <c r="CJ236" s="11">
        <v>0</v>
      </c>
      <c r="CK236" s="11">
        <v>0</v>
      </c>
      <c r="CL236" s="11">
        <f>SUM(CM236:CQ236)</f>
        <v>0</v>
      </c>
      <c r="CM236" s="11">
        <v>0</v>
      </c>
      <c r="CN236" s="11">
        <v>0</v>
      </c>
      <c r="CO236" s="11">
        <v>0</v>
      </c>
      <c r="CP236" s="11"/>
      <c r="CQ236" s="11">
        <v>0</v>
      </c>
      <c r="CR236" s="11">
        <v>0</v>
      </c>
      <c r="CS236" s="11">
        <v>0</v>
      </c>
      <c r="CT236" s="11">
        <v>0</v>
      </c>
      <c r="CU236" s="11">
        <f t="shared" ref="CU236:CU298" si="453">SUM(CV236)</f>
        <v>0</v>
      </c>
      <c r="CV236" s="11">
        <f t="shared" ref="CV236:CV298" si="454">SUM(CW236:CX236)</f>
        <v>0</v>
      </c>
      <c r="CW236" s="11">
        <v>0</v>
      </c>
      <c r="CX236" s="12">
        <v>0</v>
      </c>
    </row>
    <row r="237" spans="1:102" ht="31.5" x14ac:dyDescent="0.25">
      <c r="A237" s="13"/>
      <c r="B237" s="14" t="s">
        <v>1</v>
      </c>
      <c r="C237" s="14" t="s">
        <v>381</v>
      </c>
      <c r="D237" s="15" t="s">
        <v>383</v>
      </c>
      <c r="E237" s="10">
        <f>SUM(F237+CB237+CU237)</f>
        <v>1485656</v>
      </c>
      <c r="F237" s="11">
        <f>SUM(G237+BC237)</f>
        <v>1469391</v>
      </c>
      <c r="G237" s="11">
        <f>SUM(H237+I237+J237+Q237+T237+U237+V237+AF237+AE237)</f>
        <v>1465557</v>
      </c>
      <c r="H237" s="16">
        <f>723925+215868+19305</f>
        <v>959098</v>
      </c>
      <c r="I237" s="16">
        <f>173320+55695+4826</f>
        <v>233841</v>
      </c>
      <c r="J237" s="11">
        <f t="shared" si="446"/>
        <v>73332</v>
      </c>
      <c r="K237" s="11">
        <v>0</v>
      </c>
      <c r="L237" s="11">
        <v>0</v>
      </c>
      <c r="M237" s="11">
        <v>0</v>
      </c>
      <c r="N237" s="11">
        <v>0</v>
      </c>
      <c r="O237" s="16">
        <v>55863</v>
      </c>
      <c r="P237" s="16">
        <v>17469</v>
      </c>
      <c r="Q237" s="11">
        <f t="shared" si="447"/>
        <v>36271</v>
      </c>
      <c r="R237" s="11">
        <v>0</v>
      </c>
      <c r="S237" s="11">
        <v>36271</v>
      </c>
      <c r="T237" s="11">
        <v>0</v>
      </c>
      <c r="U237" s="11">
        <v>28146</v>
      </c>
      <c r="V237" s="11">
        <f t="shared" si="448"/>
        <v>59676</v>
      </c>
      <c r="W237" s="11">
        <v>6200</v>
      </c>
      <c r="X237" s="16">
        <v>38627</v>
      </c>
      <c r="Y237" s="16">
        <v>13088</v>
      </c>
      <c r="Z237" s="16">
        <v>1761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f>SUM(AG237:BB237)</f>
        <v>75193</v>
      </c>
      <c r="AG237" s="11">
        <v>0</v>
      </c>
      <c r="AH237" s="11"/>
      <c r="AI237" s="11">
        <v>2118</v>
      </c>
      <c r="AJ237" s="11">
        <v>3854</v>
      </c>
      <c r="AK237" s="11">
        <v>0</v>
      </c>
      <c r="AL237" s="11">
        <v>374</v>
      </c>
      <c r="AM237" s="11">
        <v>0</v>
      </c>
      <c r="AN237" s="11"/>
      <c r="AO237" s="11">
        <v>0</v>
      </c>
      <c r="AP237" s="11">
        <v>6833</v>
      </c>
      <c r="AQ237" s="11">
        <v>0</v>
      </c>
      <c r="AR237" s="11">
        <v>0</v>
      </c>
      <c r="AS237" s="11">
        <v>0</v>
      </c>
      <c r="AT237" s="27">
        <v>56117</v>
      </c>
      <c r="AU237" s="27">
        <v>1760</v>
      </c>
      <c r="AV237" s="27"/>
      <c r="AW237" s="27"/>
      <c r="AX237" s="27">
        <v>0</v>
      </c>
      <c r="AY237" s="27">
        <f>0</f>
        <v>0</v>
      </c>
      <c r="AZ237" s="11">
        <v>0</v>
      </c>
      <c r="BA237" s="11">
        <v>3660</v>
      </c>
      <c r="BB237" s="11">
        <v>477</v>
      </c>
      <c r="BC237" s="11">
        <f>SUM(BD237+BH237+BL237+BN237+BP237)</f>
        <v>3834</v>
      </c>
      <c r="BD237" s="11">
        <f>SUM(BE237:BG237)</f>
        <v>0</v>
      </c>
      <c r="BE237" s="11">
        <v>0</v>
      </c>
      <c r="BF237" s="11">
        <v>0</v>
      </c>
      <c r="BG237" s="11">
        <v>0</v>
      </c>
      <c r="BH237" s="11">
        <f t="shared" si="449"/>
        <v>0</v>
      </c>
      <c r="BI237" s="11">
        <v>0</v>
      </c>
      <c r="BJ237" s="11">
        <v>0</v>
      </c>
      <c r="BK237" s="11">
        <v>0</v>
      </c>
      <c r="BL237" s="11">
        <v>0</v>
      </c>
      <c r="BM237" s="11">
        <v>0</v>
      </c>
      <c r="BN237" s="11">
        <f t="shared" si="450"/>
        <v>0</v>
      </c>
      <c r="BO237" s="11">
        <v>0</v>
      </c>
      <c r="BP237" s="11">
        <f t="shared" si="451"/>
        <v>3834</v>
      </c>
      <c r="BQ237" s="11">
        <v>0</v>
      </c>
      <c r="BR237" s="11">
        <v>0</v>
      </c>
      <c r="BS237" s="11">
        <v>0</v>
      </c>
      <c r="BT237" s="11">
        <v>0</v>
      </c>
      <c r="BU237" s="11">
        <v>0</v>
      </c>
      <c r="BV237" s="11">
        <v>0</v>
      </c>
      <c r="BW237" s="11">
        <v>0</v>
      </c>
      <c r="BX237" s="11">
        <v>0</v>
      </c>
      <c r="BY237" s="11">
        <v>0</v>
      </c>
      <c r="BZ237" s="11">
        <v>3834</v>
      </c>
      <c r="CA237" s="11">
        <v>0</v>
      </c>
      <c r="CB237" s="11">
        <f>SUM(CC237+CT237)</f>
        <v>16265</v>
      </c>
      <c r="CC237" s="11">
        <f>SUM(CD237+CG237+CL237)</f>
        <v>16265</v>
      </c>
      <c r="CD237" s="11">
        <f t="shared" si="452"/>
        <v>16265</v>
      </c>
      <c r="CE237" s="11">
        <v>0</v>
      </c>
      <c r="CF237" s="11">
        <v>16265</v>
      </c>
      <c r="CG237" s="11">
        <f>SUM(CH237:CK237)</f>
        <v>0</v>
      </c>
      <c r="CH237" s="11">
        <v>0</v>
      </c>
      <c r="CI237" s="11">
        <v>0</v>
      </c>
      <c r="CJ237" s="11">
        <v>0</v>
      </c>
      <c r="CK237" s="11">
        <v>0</v>
      </c>
      <c r="CL237" s="11">
        <f>SUM(CM237:CQ237)</f>
        <v>0</v>
      </c>
      <c r="CM237" s="11">
        <v>0</v>
      </c>
      <c r="CN237" s="11">
        <v>0</v>
      </c>
      <c r="CO237" s="11">
        <v>0</v>
      </c>
      <c r="CP237" s="11"/>
      <c r="CQ237" s="11">
        <v>0</v>
      </c>
      <c r="CR237" s="11">
        <v>0</v>
      </c>
      <c r="CS237" s="11">
        <v>0</v>
      </c>
      <c r="CT237" s="11">
        <v>0</v>
      </c>
      <c r="CU237" s="11">
        <f t="shared" si="453"/>
        <v>0</v>
      </c>
      <c r="CV237" s="11">
        <f t="shared" si="454"/>
        <v>0</v>
      </c>
      <c r="CW237" s="11">
        <v>0</v>
      </c>
      <c r="CX237" s="12">
        <v>0</v>
      </c>
    </row>
    <row r="238" spans="1:102" ht="31.5" x14ac:dyDescent="0.25">
      <c r="A238" s="7"/>
      <c r="B238" s="8" t="s">
        <v>384</v>
      </c>
      <c r="C238" s="8" t="s">
        <v>1</v>
      </c>
      <c r="D238" s="9" t="s">
        <v>385</v>
      </c>
      <c r="E238" s="10">
        <f t="shared" ref="E238:BP238" si="455">SUM(E239:E250)</f>
        <v>274170082</v>
      </c>
      <c r="F238" s="11">
        <f t="shared" si="455"/>
        <v>256449647</v>
      </c>
      <c r="G238" s="11">
        <f t="shared" si="455"/>
        <v>252445060</v>
      </c>
      <c r="H238" s="11">
        <f t="shared" si="455"/>
        <v>96872541</v>
      </c>
      <c r="I238" s="11">
        <f t="shared" si="455"/>
        <v>19289298</v>
      </c>
      <c r="J238" s="11">
        <f t="shared" si="455"/>
        <v>52575368</v>
      </c>
      <c r="K238" s="11">
        <f t="shared" si="455"/>
        <v>22317465</v>
      </c>
      <c r="L238" s="11">
        <f t="shared" si="455"/>
        <v>2482200</v>
      </c>
      <c r="M238" s="11">
        <f t="shared" si="455"/>
        <v>2701787</v>
      </c>
      <c r="N238" s="11">
        <f t="shared" si="455"/>
        <v>3000</v>
      </c>
      <c r="O238" s="11">
        <f t="shared" si="455"/>
        <v>8787842</v>
      </c>
      <c r="P238" s="11">
        <f t="shared" si="455"/>
        <v>16283074</v>
      </c>
      <c r="Q238" s="11">
        <f t="shared" si="455"/>
        <v>852419</v>
      </c>
      <c r="R238" s="11">
        <f t="shared" si="455"/>
        <v>182015</v>
      </c>
      <c r="S238" s="11">
        <f t="shared" si="455"/>
        <v>670404</v>
      </c>
      <c r="T238" s="11">
        <f t="shared" si="455"/>
        <v>97055</v>
      </c>
      <c r="U238" s="11">
        <f t="shared" si="455"/>
        <v>1867260</v>
      </c>
      <c r="V238" s="11">
        <f t="shared" si="455"/>
        <v>10861221</v>
      </c>
      <c r="W238" s="11">
        <f t="shared" si="455"/>
        <v>2551682</v>
      </c>
      <c r="X238" s="11">
        <f t="shared" si="455"/>
        <v>3881910</v>
      </c>
      <c r="Y238" s="11">
        <f t="shared" si="455"/>
        <v>2085700</v>
      </c>
      <c r="Z238" s="11">
        <f t="shared" si="455"/>
        <v>1097986</v>
      </c>
      <c r="AA238" s="11">
        <f t="shared" si="455"/>
        <v>749639</v>
      </c>
      <c r="AB238" s="11">
        <f t="shared" si="455"/>
        <v>338164</v>
      </c>
      <c r="AC238" s="11">
        <f t="shared" si="455"/>
        <v>0</v>
      </c>
      <c r="AD238" s="11">
        <f t="shared" si="455"/>
        <v>156140</v>
      </c>
      <c r="AE238" s="11">
        <f t="shared" si="455"/>
        <v>0</v>
      </c>
      <c r="AF238" s="11">
        <f t="shared" si="455"/>
        <v>70029898</v>
      </c>
      <c r="AG238" s="11">
        <f t="shared" si="455"/>
        <v>483689</v>
      </c>
      <c r="AH238" s="11">
        <f t="shared" si="455"/>
        <v>0</v>
      </c>
      <c r="AI238" s="11">
        <f t="shared" si="455"/>
        <v>3221268</v>
      </c>
      <c r="AJ238" s="11">
        <f t="shared" si="455"/>
        <v>8050398</v>
      </c>
      <c r="AK238" s="11">
        <f t="shared" si="455"/>
        <v>815537</v>
      </c>
      <c r="AL238" s="11">
        <f t="shared" si="455"/>
        <v>1482450</v>
      </c>
      <c r="AM238" s="11">
        <f t="shared" si="455"/>
        <v>16582</v>
      </c>
      <c r="AN238" s="11">
        <f t="shared" si="455"/>
        <v>533047</v>
      </c>
      <c r="AO238" s="11">
        <f t="shared" si="455"/>
        <v>2905227</v>
      </c>
      <c r="AP238" s="11">
        <f t="shared" si="455"/>
        <v>10000</v>
      </c>
      <c r="AQ238" s="11">
        <f t="shared" si="455"/>
        <v>21850</v>
      </c>
      <c r="AR238" s="11">
        <f t="shared" si="455"/>
        <v>0</v>
      </c>
      <c r="AS238" s="11">
        <f t="shared" si="455"/>
        <v>7960120</v>
      </c>
      <c r="AT238" s="11">
        <f t="shared" si="455"/>
        <v>743944</v>
      </c>
      <c r="AU238" s="11">
        <f t="shared" si="455"/>
        <v>472387</v>
      </c>
      <c r="AV238" s="11">
        <f t="shared" si="455"/>
        <v>0</v>
      </c>
      <c r="AW238" s="11">
        <f t="shared" si="455"/>
        <v>5888</v>
      </c>
      <c r="AX238" s="11">
        <f t="shared" si="455"/>
        <v>59506</v>
      </c>
      <c r="AY238" s="11">
        <f t="shared" si="455"/>
        <v>1587686</v>
      </c>
      <c r="AZ238" s="11">
        <f t="shared" si="455"/>
        <v>0</v>
      </c>
      <c r="BA238" s="11">
        <f t="shared" si="455"/>
        <v>428220</v>
      </c>
      <c r="BB238" s="11">
        <f t="shared" si="455"/>
        <v>41232099</v>
      </c>
      <c r="BC238" s="11">
        <f t="shared" si="455"/>
        <v>4004587</v>
      </c>
      <c r="BD238" s="11">
        <f t="shared" si="455"/>
        <v>0</v>
      </c>
      <c r="BE238" s="11">
        <f t="shared" si="455"/>
        <v>0</v>
      </c>
      <c r="BF238" s="11">
        <f t="shared" si="455"/>
        <v>0</v>
      </c>
      <c r="BG238" s="11">
        <f t="shared" si="455"/>
        <v>0</v>
      </c>
      <c r="BH238" s="11">
        <f t="shared" si="455"/>
        <v>0</v>
      </c>
      <c r="BI238" s="11">
        <f t="shared" si="455"/>
        <v>0</v>
      </c>
      <c r="BJ238" s="11">
        <f t="shared" si="455"/>
        <v>0</v>
      </c>
      <c r="BK238" s="11">
        <f t="shared" si="455"/>
        <v>0</v>
      </c>
      <c r="BL238" s="11">
        <f t="shared" si="455"/>
        <v>3999587</v>
      </c>
      <c r="BM238" s="11">
        <f t="shared" si="455"/>
        <v>3999587</v>
      </c>
      <c r="BN238" s="11">
        <f t="shared" si="455"/>
        <v>0</v>
      </c>
      <c r="BO238" s="11">
        <f t="shared" si="455"/>
        <v>0</v>
      </c>
      <c r="BP238" s="11">
        <f t="shared" si="455"/>
        <v>5000</v>
      </c>
      <c r="BQ238" s="11">
        <f t="shared" ref="BQ238:CO238" si="456">SUM(BQ239:BQ250)</f>
        <v>0</v>
      </c>
      <c r="BR238" s="11">
        <f t="shared" si="456"/>
        <v>0</v>
      </c>
      <c r="BS238" s="11">
        <f t="shared" si="456"/>
        <v>5000</v>
      </c>
      <c r="BT238" s="11">
        <f t="shared" si="456"/>
        <v>0</v>
      </c>
      <c r="BU238" s="11">
        <f t="shared" si="456"/>
        <v>0</v>
      </c>
      <c r="BV238" s="11">
        <f t="shared" si="456"/>
        <v>0</v>
      </c>
      <c r="BW238" s="11">
        <f t="shared" si="456"/>
        <v>0</v>
      </c>
      <c r="BX238" s="11">
        <f t="shared" si="456"/>
        <v>0</v>
      </c>
      <c r="BY238" s="11">
        <f t="shared" si="456"/>
        <v>0</v>
      </c>
      <c r="BZ238" s="11">
        <f t="shared" si="456"/>
        <v>0</v>
      </c>
      <c r="CA238" s="11">
        <f t="shared" si="456"/>
        <v>0</v>
      </c>
      <c r="CB238" s="11">
        <f t="shared" si="456"/>
        <v>17720435</v>
      </c>
      <c r="CC238" s="11">
        <f t="shared" si="456"/>
        <v>17720435</v>
      </c>
      <c r="CD238" s="11">
        <f t="shared" si="456"/>
        <v>11842758</v>
      </c>
      <c r="CE238" s="11">
        <f t="shared" si="456"/>
        <v>195000</v>
      </c>
      <c r="CF238" s="11">
        <f t="shared" si="456"/>
        <v>11647758</v>
      </c>
      <c r="CG238" s="11">
        <f t="shared" si="456"/>
        <v>1000000</v>
      </c>
      <c r="CH238" s="11">
        <f t="shared" si="456"/>
        <v>0</v>
      </c>
      <c r="CI238" s="11">
        <f t="shared" si="456"/>
        <v>0</v>
      </c>
      <c r="CJ238" s="11">
        <f t="shared" si="456"/>
        <v>1000000</v>
      </c>
      <c r="CK238" s="11">
        <f t="shared" si="456"/>
        <v>0</v>
      </c>
      <c r="CL238" s="11">
        <f t="shared" si="456"/>
        <v>4877677</v>
      </c>
      <c r="CM238" s="11">
        <f t="shared" si="456"/>
        <v>0</v>
      </c>
      <c r="CN238" s="11">
        <f t="shared" si="456"/>
        <v>3912055</v>
      </c>
      <c r="CO238" s="11">
        <f t="shared" si="456"/>
        <v>965622</v>
      </c>
      <c r="CP238" s="11"/>
      <c r="CQ238" s="11">
        <f t="shared" ref="CQ238:CX238" si="457">SUM(CQ239:CQ250)</f>
        <v>0</v>
      </c>
      <c r="CR238" s="11">
        <f t="shared" si="457"/>
        <v>0</v>
      </c>
      <c r="CS238" s="11">
        <f t="shared" si="457"/>
        <v>0</v>
      </c>
      <c r="CT238" s="11">
        <f t="shared" si="457"/>
        <v>0</v>
      </c>
      <c r="CU238" s="11">
        <f t="shared" si="457"/>
        <v>0</v>
      </c>
      <c r="CV238" s="11">
        <f t="shared" si="457"/>
        <v>0</v>
      </c>
      <c r="CW238" s="11">
        <f t="shared" si="457"/>
        <v>0</v>
      </c>
      <c r="CX238" s="12">
        <f t="shared" si="457"/>
        <v>0</v>
      </c>
    </row>
    <row r="239" spans="1:102" ht="31.5" x14ac:dyDescent="0.25">
      <c r="A239" s="13" t="s">
        <v>1</v>
      </c>
      <c r="B239" s="14" t="s">
        <v>1</v>
      </c>
      <c r="C239" s="14" t="s">
        <v>85</v>
      </c>
      <c r="D239" s="15" t="s">
        <v>386</v>
      </c>
      <c r="E239" s="10">
        <f t="shared" ref="E239:E249" si="458">SUM(F239+CB239+CU239)</f>
        <v>7952120</v>
      </c>
      <c r="F239" s="11">
        <f t="shared" ref="F239:F249" si="459">SUM(G239+BC239)</f>
        <v>7952120</v>
      </c>
      <c r="G239" s="11">
        <f t="shared" ref="G239:G249" si="460">SUM(H239+I239+J239+Q239+T239+U239+V239+AF239+AE239)</f>
        <v>7952120</v>
      </c>
      <c r="H239" s="11">
        <v>0</v>
      </c>
      <c r="I239" s="11">
        <v>0</v>
      </c>
      <c r="J239" s="11">
        <f t="shared" si="446"/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f t="shared" si="447"/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f t="shared" ref="V239:V249" si="461">SUM(W239:AD239)</f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f t="shared" ref="AF239:AF249" si="462">SUM(AG239:BB239)</f>
        <v>7952120</v>
      </c>
      <c r="AG239" s="11">
        <v>0</v>
      </c>
      <c r="AH239" s="11">
        <v>0</v>
      </c>
      <c r="AI239" s="11">
        <v>0</v>
      </c>
      <c r="AJ239" s="11">
        <v>0</v>
      </c>
      <c r="AK239" s="16"/>
      <c r="AL239" s="16"/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6">
        <v>7952120</v>
      </c>
      <c r="AT239" s="11">
        <v>0</v>
      </c>
      <c r="AU239" s="11">
        <v>0</v>
      </c>
      <c r="AV239" s="11"/>
      <c r="AW239" s="11"/>
      <c r="AX239" s="11">
        <v>0</v>
      </c>
      <c r="AY239" s="11">
        <v>0</v>
      </c>
      <c r="AZ239" s="11">
        <v>0</v>
      </c>
      <c r="BA239" s="11">
        <v>0</v>
      </c>
      <c r="BB239" s="16"/>
      <c r="BC239" s="11">
        <f t="shared" ref="BC239:BC249" si="463">SUM(BD239+BH239+BL239+BN239+BP239)</f>
        <v>0</v>
      </c>
      <c r="BD239" s="11">
        <f t="shared" ref="BD239:BD249" si="464">SUM(BE239:BG239)</f>
        <v>0</v>
      </c>
      <c r="BE239" s="11">
        <v>0</v>
      </c>
      <c r="BF239" s="11">
        <v>0</v>
      </c>
      <c r="BG239" s="11">
        <v>0</v>
      </c>
      <c r="BH239" s="11">
        <f t="shared" si="449"/>
        <v>0</v>
      </c>
      <c r="BI239" s="11">
        <v>0</v>
      </c>
      <c r="BJ239" s="11">
        <v>0</v>
      </c>
      <c r="BK239" s="11">
        <v>0</v>
      </c>
      <c r="BL239" s="11">
        <v>0</v>
      </c>
      <c r="BM239" s="11">
        <v>0</v>
      </c>
      <c r="BN239" s="11">
        <f t="shared" si="450"/>
        <v>0</v>
      </c>
      <c r="BO239" s="11">
        <v>0</v>
      </c>
      <c r="BP239" s="11">
        <f t="shared" si="451"/>
        <v>0</v>
      </c>
      <c r="BQ239" s="11">
        <v>0</v>
      </c>
      <c r="BR239" s="11">
        <v>0</v>
      </c>
      <c r="BS239" s="11">
        <v>0</v>
      </c>
      <c r="BT239" s="11">
        <v>0</v>
      </c>
      <c r="BU239" s="11">
        <v>0</v>
      </c>
      <c r="BV239" s="11">
        <v>0</v>
      </c>
      <c r="BW239" s="11">
        <v>0</v>
      </c>
      <c r="BX239" s="11">
        <v>0</v>
      </c>
      <c r="BY239" s="11">
        <v>0</v>
      </c>
      <c r="BZ239" s="11">
        <v>0</v>
      </c>
      <c r="CA239" s="11">
        <v>0</v>
      </c>
      <c r="CB239" s="11">
        <f t="shared" ref="CB239:CB249" si="465">SUM(CC239+CT239)</f>
        <v>0</v>
      </c>
      <c r="CC239" s="11">
        <f t="shared" ref="CC239:CC249" si="466">SUM(CD239+CG239+CL239)</f>
        <v>0</v>
      </c>
      <c r="CD239" s="11">
        <f t="shared" si="452"/>
        <v>0</v>
      </c>
      <c r="CE239" s="11">
        <v>0</v>
      </c>
      <c r="CF239" s="11">
        <v>0</v>
      </c>
      <c r="CG239" s="11">
        <f t="shared" ref="CG239:CG249" si="467">SUM(CH239:CK239)</f>
        <v>0</v>
      </c>
      <c r="CH239" s="11">
        <v>0</v>
      </c>
      <c r="CI239" s="11">
        <v>0</v>
      </c>
      <c r="CJ239" s="11">
        <v>0</v>
      </c>
      <c r="CK239" s="11">
        <v>0</v>
      </c>
      <c r="CL239" s="11">
        <f t="shared" ref="CL239:CL249" si="468">SUM(CM239:CQ239)</f>
        <v>0</v>
      </c>
      <c r="CM239" s="11">
        <v>0</v>
      </c>
      <c r="CN239" s="11">
        <v>0</v>
      </c>
      <c r="CO239" s="11">
        <v>0</v>
      </c>
      <c r="CP239" s="11"/>
      <c r="CQ239" s="11">
        <v>0</v>
      </c>
      <c r="CR239" s="11">
        <v>0</v>
      </c>
      <c r="CS239" s="11">
        <v>0</v>
      </c>
      <c r="CT239" s="11">
        <v>0</v>
      </c>
      <c r="CU239" s="11">
        <f t="shared" si="453"/>
        <v>0</v>
      </c>
      <c r="CV239" s="11">
        <f t="shared" si="454"/>
        <v>0</v>
      </c>
      <c r="CW239" s="11">
        <v>0</v>
      </c>
      <c r="CX239" s="12">
        <v>0</v>
      </c>
    </row>
    <row r="240" spans="1:102" ht="15.75" x14ac:dyDescent="0.25">
      <c r="A240" s="28" t="s">
        <v>1</v>
      </c>
      <c r="B240" s="29" t="s">
        <v>1</v>
      </c>
      <c r="C240" s="29" t="s">
        <v>97</v>
      </c>
      <c r="D240" s="30" t="s">
        <v>489</v>
      </c>
      <c r="E240" s="31">
        <f t="shared" si="458"/>
        <v>316326</v>
      </c>
      <c r="F240" s="27">
        <f t="shared" si="459"/>
        <v>0</v>
      </c>
      <c r="G240" s="11">
        <f t="shared" si="460"/>
        <v>0</v>
      </c>
      <c r="H240" s="27">
        <v>0</v>
      </c>
      <c r="I240" s="27">
        <v>0</v>
      </c>
      <c r="J240" s="27">
        <f t="shared" ref="J240" si="469">SUM(K240:P240)</f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f t="shared" si="447"/>
        <v>0</v>
      </c>
      <c r="R240" s="27">
        <v>0</v>
      </c>
      <c r="S240" s="27">
        <v>0</v>
      </c>
      <c r="T240" s="27">
        <v>0</v>
      </c>
      <c r="U240" s="27">
        <v>0</v>
      </c>
      <c r="V240" s="11">
        <f t="shared" si="461"/>
        <v>0</v>
      </c>
      <c r="W240" s="27">
        <v>0</v>
      </c>
      <c r="X240" s="27">
        <v>0</v>
      </c>
      <c r="Y240" s="27">
        <v>0</v>
      </c>
      <c r="Z240" s="27">
        <v>0</v>
      </c>
      <c r="AA240" s="27">
        <v>0</v>
      </c>
      <c r="AB240" s="27">
        <v>0</v>
      </c>
      <c r="AC240" s="27">
        <v>0</v>
      </c>
      <c r="AD240" s="27">
        <v>0</v>
      </c>
      <c r="AE240" s="27">
        <v>0</v>
      </c>
      <c r="AF240" s="27">
        <f t="shared" si="462"/>
        <v>0</v>
      </c>
      <c r="AG240" s="27">
        <v>0</v>
      </c>
      <c r="AH240" s="27">
        <v>0</v>
      </c>
      <c r="AI240" s="27">
        <v>0</v>
      </c>
      <c r="AJ240" s="27">
        <v>0</v>
      </c>
      <c r="AK240" s="32"/>
      <c r="AL240" s="32"/>
      <c r="AM240" s="27">
        <v>0</v>
      </c>
      <c r="AN240" s="27">
        <v>0</v>
      </c>
      <c r="AO240" s="27">
        <v>0</v>
      </c>
      <c r="AP240" s="27">
        <v>0</v>
      </c>
      <c r="AQ240" s="27">
        <v>0</v>
      </c>
      <c r="AR240" s="27">
        <v>0</v>
      </c>
      <c r="AS240" s="27">
        <v>0</v>
      </c>
      <c r="AT240" s="27">
        <v>0</v>
      </c>
      <c r="AU240" s="27">
        <v>0</v>
      </c>
      <c r="AV240" s="27"/>
      <c r="AW240" s="27"/>
      <c r="AX240" s="27">
        <v>0</v>
      </c>
      <c r="AY240" s="27">
        <v>0</v>
      </c>
      <c r="AZ240" s="27">
        <v>0</v>
      </c>
      <c r="BA240" s="27">
        <v>0</v>
      </c>
      <c r="BB240" s="32"/>
      <c r="BC240" s="27">
        <f t="shared" si="463"/>
        <v>0</v>
      </c>
      <c r="BD240" s="27">
        <f t="shared" si="464"/>
        <v>0</v>
      </c>
      <c r="BE240" s="27">
        <v>0</v>
      </c>
      <c r="BF240" s="27">
        <v>0</v>
      </c>
      <c r="BG240" s="27">
        <v>0</v>
      </c>
      <c r="BH240" s="27">
        <f t="shared" si="449"/>
        <v>0</v>
      </c>
      <c r="BI240" s="27">
        <v>0</v>
      </c>
      <c r="BJ240" s="27">
        <v>0</v>
      </c>
      <c r="BK240" s="27">
        <v>0</v>
      </c>
      <c r="BL240" s="27">
        <v>0</v>
      </c>
      <c r="BM240" s="27">
        <v>0</v>
      </c>
      <c r="BN240" s="27">
        <f t="shared" si="450"/>
        <v>0</v>
      </c>
      <c r="BO240" s="27">
        <v>0</v>
      </c>
      <c r="BP240" s="27">
        <f t="shared" si="451"/>
        <v>0</v>
      </c>
      <c r="BQ240" s="27">
        <v>0</v>
      </c>
      <c r="BR240" s="27">
        <v>0</v>
      </c>
      <c r="BS240" s="27">
        <v>0</v>
      </c>
      <c r="BT240" s="27">
        <v>0</v>
      </c>
      <c r="BU240" s="27">
        <v>0</v>
      </c>
      <c r="BV240" s="27">
        <v>0</v>
      </c>
      <c r="BW240" s="27">
        <v>0</v>
      </c>
      <c r="BX240" s="27">
        <v>0</v>
      </c>
      <c r="BY240" s="27">
        <v>0</v>
      </c>
      <c r="BZ240" s="27">
        <v>0</v>
      </c>
      <c r="CA240" s="27">
        <v>0</v>
      </c>
      <c r="CB240" s="27">
        <f t="shared" si="465"/>
        <v>316326</v>
      </c>
      <c r="CC240" s="27">
        <f t="shared" si="466"/>
        <v>316326</v>
      </c>
      <c r="CD240" s="27">
        <f t="shared" ref="CD240" si="470">SUM(CE240:CF240)</f>
        <v>316326</v>
      </c>
      <c r="CE240" s="27">
        <v>0</v>
      </c>
      <c r="CF240" s="27">
        <f>0+316326</f>
        <v>316326</v>
      </c>
      <c r="CG240" s="27">
        <f t="shared" si="467"/>
        <v>0</v>
      </c>
      <c r="CH240" s="27">
        <v>0</v>
      </c>
      <c r="CI240" s="27">
        <v>0</v>
      </c>
      <c r="CJ240" s="27">
        <v>0</v>
      </c>
      <c r="CK240" s="27">
        <v>0</v>
      </c>
      <c r="CL240" s="27">
        <f t="shared" si="468"/>
        <v>0</v>
      </c>
      <c r="CM240" s="27">
        <v>0</v>
      </c>
      <c r="CN240" s="27">
        <v>0</v>
      </c>
      <c r="CO240" s="27">
        <v>0</v>
      </c>
      <c r="CP240" s="27"/>
      <c r="CQ240" s="27">
        <v>0</v>
      </c>
      <c r="CR240" s="27">
        <v>0</v>
      </c>
      <c r="CS240" s="27">
        <v>0</v>
      </c>
      <c r="CT240" s="27">
        <v>0</v>
      </c>
      <c r="CU240" s="27">
        <f t="shared" ref="CU240" si="471">SUM(CV240)</f>
        <v>0</v>
      </c>
      <c r="CV240" s="27">
        <f t="shared" si="454"/>
        <v>0</v>
      </c>
      <c r="CW240" s="27">
        <v>0</v>
      </c>
      <c r="CX240" s="33">
        <v>0</v>
      </c>
    </row>
    <row r="241" spans="1:102" ht="15.75" x14ac:dyDescent="0.25">
      <c r="A241" s="28" t="s">
        <v>1</v>
      </c>
      <c r="B241" s="29" t="s">
        <v>1</v>
      </c>
      <c r="C241" s="29" t="s">
        <v>97</v>
      </c>
      <c r="D241" s="30" t="s">
        <v>387</v>
      </c>
      <c r="E241" s="31">
        <f t="shared" si="458"/>
        <v>6053337</v>
      </c>
      <c r="F241" s="27">
        <f t="shared" si="459"/>
        <v>6053337</v>
      </c>
      <c r="G241" s="11">
        <f t="shared" si="460"/>
        <v>6053337</v>
      </c>
      <c r="H241" s="27">
        <v>0</v>
      </c>
      <c r="I241" s="27">
        <v>0</v>
      </c>
      <c r="J241" s="27">
        <f t="shared" si="446"/>
        <v>0</v>
      </c>
      <c r="K241" s="27">
        <v>0</v>
      </c>
      <c r="L241" s="27">
        <v>0</v>
      </c>
      <c r="M241" s="27">
        <v>0</v>
      </c>
      <c r="N241" s="27">
        <v>0</v>
      </c>
      <c r="O241" s="27">
        <v>0</v>
      </c>
      <c r="P241" s="27">
        <v>0</v>
      </c>
      <c r="Q241" s="27">
        <f t="shared" si="447"/>
        <v>0</v>
      </c>
      <c r="R241" s="27">
        <v>0</v>
      </c>
      <c r="S241" s="27">
        <v>0</v>
      </c>
      <c r="T241" s="27">
        <v>0</v>
      </c>
      <c r="U241" s="27">
        <v>0</v>
      </c>
      <c r="V241" s="11">
        <f t="shared" si="461"/>
        <v>0</v>
      </c>
      <c r="W241" s="27">
        <v>0</v>
      </c>
      <c r="X241" s="27">
        <v>0</v>
      </c>
      <c r="Y241" s="27">
        <v>0</v>
      </c>
      <c r="Z241" s="27">
        <v>0</v>
      </c>
      <c r="AA241" s="27">
        <v>0</v>
      </c>
      <c r="AB241" s="27">
        <v>0</v>
      </c>
      <c r="AC241" s="27">
        <v>0</v>
      </c>
      <c r="AD241" s="27">
        <v>0</v>
      </c>
      <c r="AE241" s="27">
        <v>0</v>
      </c>
      <c r="AF241" s="27">
        <f t="shared" si="462"/>
        <v>6053337</v>
      </c>
      <c r="AG241" s="27">
        <v>0</v>
      </c>
      <c r="AH241" s="27">
        <v>0</v>
      </c>
      <c r="AI241" s="27">
        <v>0</v>
      </c>
      <c r="AJ241" s="27">
        <v>0</v>
      </c>
      <c r="AK241" s="32"/>
      <c r="AL241" s="32"/>
      <c r="AM241" s="27">
        <v>0</v>
      </c>
      <c r="AN241" s="27">
        <v>0</v>
      </c>
      <c r="AO241" s="27">
        <v>0</v>
      </c>
      <c r="AP241" s="27">
        <v>0</v>
      </c>
      <c r="AQ241" s="27">
        <v>0</v>
      </c>
      <c r="AR241" s="27">
        <v>0</v>
      </c>
      <c r="AS241" s="27">
        <v>0</v>
      </c>
      <c r="AT241" s="27">
        <v>0</v>
      </c>
      <c r="AU241" s="27">
        <v>0</v>
      </c>
      <c r="AV241" s="27"/>
      <c r="AW241" s="27"/>
      <c r="AX241" s="27">
        <v>0</v>
      </c>
      <c r="AY241" s="27">
        <v>0</v>
      </c>
      <c r="AZ241" s="27">
        <v>0</v>
      </c>
      <c r="BA241" s="27">
        <v>0</v>
      </c>
      <c r="BB241" s="32">
        <v>6053337</v>
      </c>
      <c r="BC241" s="27">
        <f t="shared" si="463"/>
        <v>0</v>
      </c>
      <c r="BD241" s="27">
        <f t="shared" si="464"/>
        <v>0</v>
      </c>
      <c r="BE241" s="27">
        <v>0</v>
      </c>
      <c r="BF241" s="27">
        <v>0</v>
      </c>
      <c r="BG241" s="27">
        <v>0</v>
      </c>
      <c r="BH241" s="27">
        <f t="shared" si="449"/>
        <v>0</v>
      </c>
      <c r="BI241" s="27">
        <v>0</v>
      </c>
      <c r="BJ241" s="27">
        <v>0</v>
      </c>
      <c r="BK241" s="27">
        <v>0</v>
      </c>
      <c r="BL241" s="27">
        <v>0</v>
      </c>
      <c r="BM241" s="27">
        <v>0</v>
      </c>
      <c r="BN241" s="27">
        <f t="shared" si="450"/>
        <v>0</v>
      </c>
      <c r="BO241" s="27">
        <v>0</v>
      </c>
      <c r="BP241" s="27">
        <f t="shared" si="451"/>
        <v>0</v>
      </c>
      <c r="BQ241" s="27">
        <v>0</v>
      </c>
      <c r="BR241" s="27">
        <v>0</v>
      </c>
      <c r="BS241" s="27">
        <v>0</v>
      </c>
      <c r="BT241" s="27">
        <v>0</v>
      </c>
      <c r="BU241" s="27">
        <v>0</v>
      </c>
      <c r="BV241" s="27">
        <v>0</v>
      </c>
      <c r="BW241" s="27">
        <v>0</v>
      </c>
      <c r="BX241" s="27">
        <v>0</v>
      </c>
      <c r="BY241" s="27">
        <v>0</v>
      </c>
      <c r="BZ241" s="27">
        <v>0</v>
      </c>
      <c r="CA241" s="27">
        <v>0</v>
      </c>
      <c r="CB241" s="27">
        <f t="shared" si="465"/>
        <v>0</v>
      </c>
      <c r="CC241" s="27">
        <f t="shared" si="466"/>
        <v>0</v>
      </c>
      <c r="CD241" s="27">
        <f t="shared" si="452"/>
        <v>0</v>
      </c>
      <c r="CE241" s="27">
        <v>0</v>
      </c>
      <c r="CF241" s="27">
        <v>0</v>
      </c>
      <c r="CG241" s="27">
        <f t="shared" si="467"/>
        <v>0</v>
      </c>
      <c r="CH241" s="27">
        <v>0</v>
      </c>
      <c r="CI241" s="27">
        <v>0</v>
      </c>
      <c r="CJ241" s="27">
        <v>0</v>
      </c>
      <c r="CK241" s="27">
        <v>0</v>
      </c>
      <c r="CL241" s="27">
        <f t="shared" si="468"/>
        <v>0</v>
      </c>
      <c r="CM241" s="27">
        <v>0</v>
      </c>
      <c r="CN241" s="27">
        <v>0</v>
      </c>
      <c r="CO241" s="27">
        <v>0</v>
      </c>
      <c r="CP241" s="27"/>
      <c r="CQ241" s="27">
        <v>0</v>
      </c>
      <c r="CR241" s="27">
        <v>0</v>
      </c>
      <c r="CS241" s="27">
        <v>0</v>
      </c>
      <c r="CT241" s="27">
        <v>0</v>
      </c>
      <c r="CU241" s="27">
        <f t="shared" si="453"/>
        <v>0</v>
      </c>
      <c r="CV241" s="27">
        <f t="shared" si="454"/>
        <v>0</v>
      </c>
      <c r="CW241" s="27">
        <v>0</v>
      </c>
      <c r="CX241" s="33">
        <v>0</v>
      </c>
    </row>
    <row r="242" spans="1:102" ht="15.75" x14ac:dyDescent="0.25">
      <c r="A242" s="28" t="s">
        <v>1</v>
      </c>
      <c r="B242" s="29" t="s">
        <v>1</v>
      </c>
      <c r="C242" s="34">
        <v>113</v>
      </c>
      <c r="D242" s="35" t="s">
        <v>388</v>
      </c>
      <c r="E242" s="31">
        <f t="shared" si="458"/>
        <v>9355298</v>
      </c>
      <c r="F242" s="27">
        <f t="shared" si="459"/>
        <v>9355298</v>
      </c>
      <c r="G242" s="27">
        <f t="shared" si="460"/>
        <v>9355298</v>
      </c>
      <c r="H242" s="27">
        <v>0</v>
      </c>
      <c r="I242" s="27">
        <v>0</v>
      </c>
      <c r="J242" s="27">
        <f t="shared" si="446"/>
        <v>0</v>
      </c>
      <c r="K242" s="27"/>
      <c r="L242" s="27">
        <v>0</v>
      </c>
      <c r="M242" s="27">
        <v>0</v>
      </c>
      <c r="N242" s="27">
        <v>0</v>
      </c>
      <c r="O242" s="27">
        <v>0</v>
      </c>
      <c r="P242" s="27">
        <v>0</v>
      </c>
      <c r="Q242" s="27">
        <f t="shared" si="447"/>
        <v>0</v>
      </c>
      <c r="R242" s="27">
        <v>0</v>
      </c>
      <c r="S242" s="27">
        <v>0</v>
      </c>
      <c r="T242" s="27">
        <v>0</v>
      </c>
      <c r="U242" s="27">
        <v>0</v>
      </c>
      <c r="V242" s="27">
        <f t="shared" si="461"/>
        <v>0</v>
      </c>
      <c r="W242" s="27">
        <v>0</v>
      </c>
      <c r="X242" s="27">
        <v>0</v>
      </c>
      <c r="Y242" s="27">
        <v>0</v>
      </c>
      <c r="Z242" s="27">
        <v>0</v>
      </c>
      <c r="AA242" s="27">
        <v>0</v>
      </c>
      <c r="AB242" s="27">
        <v>0</v>
      </c>
      <c r="AC242" s="27">
        <v>0</v>
      </c>
      <c r="AD242" s="27">
        <v>0</v>
      </c>
      <c r="AE242" s="27">
        <v>0</v>
      </c>
      <c r="AF242" s="27">
        <f t="shared" si="462"/>
        <v>9355298</v>
      </c>
      <c r="AG242" s="27">
        <v>0</v>
      </c>
      <c r="AH242" s="27">
        <v>0</v>
      </c>
      <c r="AI242" s="27">
        <v>0</v>
      </c>
      <c r="AJ242" s="27">
        <v>0</v>
      </c>
      <c r="AK242" s="32"/>
      <c r="AL242" s="32"/>
      <c r="AM242" s="27">
        <v>0</v>
      </c>
      <c r="AN242" s="27">
        <v>0</v>
      </c>
      <c r="AO242" s="27">
        <v>0</v>
      </c>
      <c r="AP242" s="27">
        <v>0</v>
      </c>
      <c r="AQ242" s="27">
        <v>0</v>
      </c>
      <c r="AR242" s="27">
        <v>0</v>
      </c>
      <c r="AS242" s="27">
        <v>0</v>
      </c>
      <c r="AT242" s="27">
        <v>0</v>
      </c>
      <c r="AU242" s="27">
        <v>0</v>
      </c>
      <c r="AV242" s="27"/>
      <c r="AW242" s="27"/>
      <c r="AX242" s="27">
        <v>0</v>
      </c>
      <c r="AY242" s="27">
        <v>0</v>
      </c>
      <c r="AZ242" s="27">
        <v>0</v>
      </c>
      <c r="BA242" s="27">
        <v>0</v>
      </c>
      <c r="BB242" s="32">
        <v>9355298</v>
      </c>
      <c r="BC242" s="27">
        <f t="shared" si="463"/>
        <v>0</v>
      </c>
      <c r="BD242" s="27">
        <f t="shared" si="464"/>
        <v>0</v>
      </c>
      <c r="BE242" s="27">
        <v>0</v>
      </c>
      <c r="BF242" s="27">
        <v>0</v>
      </c>
      <c r="BG242" s="27">
        <v>0</v>
      </c>
      <c r="BH242" s="27">
        <f t="shared" si="449"/>
        <v>0</v>
      </c>
      <c r="BI242" s="27">
        <v>0</v>
      </c>
      <c r="BJ242" s="27">
        <v>0</v>
      </c>
      <c r="BK242" s="27">
        <v>0</v>
      </c>
      <c r="BL242" s="27">
        <v>0</v>
      </c>
      <c r="BM242" s="27">
        <v>0</v>
      </c>
      <c r="BN242" s="27">
        <f t="shared" si="450"/>
        <v>0</v>
      </c>
      <c r="BO242" s="27">
        <v>0</v>
      </c>
      <c r="BP242" s="27">
        <f t="shared" si="451"/>
        <v>0</v>
      </c>
      <c r="BQ242" s="27">
        <v>0</v>
      </c>
      <c r="BR242" s="27">
        <v>0</v>
      </c>
      <c r="BS242" s="27">
        <v>0</v>
      </c>
      <c r="BT242" s="27">
        <v>0</v>
      </c>
      <c r="BU242" s="27">
        <v>0</v>
      </c>
      <c r="BV242" s="27">
        <v>0</v>
      </c>
      <c r="BW242" s="27">
        <v>0</v>
      </c>
      <c r="BX242" s="27">
        <v>0</v>
      </c>
      <c r="BY242" s="27">
        <v>0</v>
      </c>
      <c r="BZ242" s="27">
        <v>0</v>
      </c>
      <c r="CA242" s="27">
        <v>0</v>
      </c>
      <c r="CB242" s="27">
        <f t="shared" si="465"/>
        <v>0</v>
      </c>
      <c r="CC242" s="27">
        <f t="shared" si="466"/>
        <v>0</v>
      </c>
      <c r="CD242" s="27">
        <f t="shared" ref="CD242" si="472">SUM(CE242:CF242)</f>
        <v>0</v>
      </c>
      <c r="CE242" s="27">
        <v>0</v>
      </c>
      <c r="CF242" s="27">
        <v>0</v>
      </c>
      <c r="CG242" s="27">
        <f t="shared" si="467"/>
        <v>0</v>
      </c>
      <c r="CH242" s="27">
        <v>0</v>
      </c>
      <c r="CI242" s="27">
        <v>0</v>
      </c>
      <c r="CJ242" s="27">
        <v>0</v>
      </c>
      <c r="CK242" s="27">
        <v>0</v>
      </c>
      <c r="CL242" s="27">
        <f t="shared" si="468"/>
        <v>0</v>
      </c>
      <c r="CM242" s="27">
        <v>0</v>
      </c>
      <c r="CN242" s="27">
        <v>0</v>
      </c>
      <c r="CO242" s="27">
        <v>0</v>
      </c>
      <c r="CP242" s="27"/>
      <c r="CQ242" s="27">
        <v>0</v>
      </c>
      <c r="CR242" s="27">
        <v>0</v>
      </c>
      <c r="CS242" s="27">
        <v>0</v>
      </c>
      <c r="CT242" s="27">
        <v>0</v>
      </c>
      <c r="CU242" s="27">
        <f t="shared" ref="CU242" si="473">SUM(CV242)</f>
        <v>0</v>
      </c>
      <c r="CV242" s="27">
        <f t="shared" si="454"/>
        <v>0</v>
      </c>
      <c r="CW242" s="27">
        <v>0</v>
      </c>
      <c r="CX242" s="33">
        <v>0</v>
      </c>
    </row>
    <row r="243" spans="1:102" ht="31.5" x14ac:dyDescent="0.25">
      <c r="A243" s="28"/>
      <c r="B243" s="29"/>
      <c r="C243" s="14" t="s">
        <v>103</v>
      </c>
      <c r="D243" s="15" t="s">
        <v>389</v>
      </c>
      <c r="E243" s="31">
        <f t="shared" si="458"/>
        <v>597586</v>
      </c>
      <c r="F243" s="27">
        <f t="shared" si="459"/>
        <v>597586</v>
      </c>
      <c r="G243" s="11">
        <f t="shared" si="460"/>
        <v>597586</v>
      </c>
      <c r="H243" s="27"/>
      <c r="I243" s="27"/>
      <c r="J243" s="27">
        <f t="shared" si="446"/>
        <v>0</v>
      </c>
      <c r="K243" s="27">
        <v>0</v>
      </c>
      <c r="L243" s="27"/>
      <c r="M243" s="27">
        <v>0</v>
      </c>
      <c r="N243" s="27">
        <v>0</v>
      </c>
      <c r="O243" s="27"/>
      <c r="P243" s="27"/>
      <c r="Q243" s="27">
        <f t="shared" si="447"/>
        <v>0</v>
      </c>
      <c r="R243" s="27"/>
      <c r="S243" s="27"/>
      <c r="T243" s="27">
        <v>0</v>
      </c>
      <c r="U243" s="27"/>
      <c r="V243" s="11">
        <f t="shared" si="461"/>
        <v>0</v>
      </c>
      <c r="W243" s="27"/>
      <c r="X243" s="27"/>
      <c r="Y243" s="27"/>
      <c r="Z243" s="27"/>
      <c r="AA243" s="27"/>
      <c r="AB243" s="27">
        <v>0</v>
      </c>
      <c r="AC243" s="27">
        <v>0</v>
      </c>
      <c r="AD243" s="27"/>
      <c r="AE243" s="27"/>
      <c r="AF243" s="27">
        <f t="shared" si="462"/>
        <v>597586</v>
      </c>
      <c r="AG243" s="27">
        <v>0</v>
      </c>
      <c r="AH243" s="27"/>
      <c r="AI243" s="27"/>
      <c r="AJ243" s="27"/>
      <c r="AK243" s="32"/>
      <c r="AL243" s="32">
        <v>597586</v>
      </c>
      <c r="AM243" s="27"/>
      <c r="AN243" s="27"/>
      <c r="AO243" s="27"/>
      <c r="AP243" s="27"/>
      <c r="AQ243" s="27"/>
      <c r="AR243" s="27"/>
      <c r="AS243" s="27">
        <v>0</v>
      </c>
      <c r="AT243" s="27">
        <v>0</v>
      </c>
      <c r="AU243" s="27"/>
      <c r="AV243" s="27"/>
      <c r="AW243" s="27"/>
      <c r="AX243" s="27">
        <v>0</v>
      </c>
      <c r="AY243" s="27">
        <v>0</v>
      </c>
      <c r="AZ243" s="27">
        <v>0</v>
      </c>
      <c r="BA243" s="27"/>
      <c r="BB243" s="32"/>
      <c r="BC243" s="27">
        <f t="shared" si="463"/>
        <v>0</v>
      </c>
      <c r="BD243" s="27">
        <f t="shared" si="464"/>
        <v>0</v>
      </c>
      <c r="BE243" s="27">
        <v>0</v>
      </c>
      <c r="BF243" s="27">
        <v>0</v>
      </c>
      <c r="BG243" s="27">
        <v>0</v>
      </c>
      <c r="BH243" s="27">
        <f t="shared" si="449"/>
        <v>0</v>
      </c>
      <c r="BI243" s="27">
        <v>0</v>
      </c>
      <c r="BJ243" s="27">
        <v>0</v>
      </c>
      <c r="BK243" s="27">
        <v>0</v>
      </c>
      <c r="BL243" s="27">
        <v>0</v>
      </c>
      <c r="BM243" s="27">
        <v>0</v>
      </c>
      <c r="BN243" s="27">
        <f t="shared" si="450"/>
        <v>0</v>
      </c>
      <c r="BO243" s="27">
        <v>0</v>
      </c>
      <c r="BP243" s="27">
        <f t="shared" si="451"/>
        <v>0</v>
      </c>
      <c r="BQ243" s="27">
        <v>0</v>
      </c>
      <c r="BR243" s="27">
        <v>0</v>
      </c>
      <c r="BS243" s="27">
        <v>0</v>
      </c>
      <c r="BT243" s="27">
        <v>0</v>
      </c>
      <c r="BU243" s="27">
        <v>0</v>
      </c>
      <c r="BV243" s="27">
        <v>0</v>
      </c>
      <c r="BW243" s="27">
        <v>0</v>
      </c>
      <c r="BX243" s="27">
        <v>0</v>
      </c>
      <c r="BY243" s="27">
        <v>0</v>
      </c>
      <c r="BZ243" s="27"/>
      <c r="CA243" s="27">
        <v>0</v>
      </c>
      <c r="CB243" s="27">
        <f t="shared" si="465"/>
        <v>0</v>
      </c>
      <c r="CC243" s="27">
        <f t="shared" si="466"/>
        <v>0</v>
      </c>
      <c r="CD243" s="27">
        <f t="shared" si="452"/>
        <v>0</v>
      </c>
      <c r="CE243" s="27">
        <v>0</v>
      </c>
      <c r="CF243" s="27"/>
      <c r="CG243" s="27">
        <f t="shared" si="467"/>
        <v>0</v>
      </c>
      <c r="CH243" s="27">
        <v>0</v>
      </c>
      <c r="CI243" s="27">
        <v>0</v>
      </c>
      <c r="CJ243" s="27">
        <v>0</v>
      </c>
      <c r="CK243" s="27">
        <v>0</v>
      </c>
      <c r="CL243" s="27">
        <f t="shared" si="468"/>
        <v>0</v>
      </c>
      <c r="CM243" s="27">
        <v>0</v>
      </c>
      <c r="CN243" s="27">
        <v>0</v>
      </c>
      <c r="CO243" s="27"/>
      <c r="CP243" s="27"/>
      <c r="CQ243" s="27">
        <v>0</v>
      </c>
      <c r="CR243" s="27">
        <f>SUM(CS243)</f>
        <v>0</v>
      </c>
      <c r="CS243" s="27"/>
      <c r="CT243" s="27">
        <v>0</v>
      </c>
      <c r="CU243" s="27">
        <f t="shared" ref="CU243" si="474">SUM(CV243)</f>
        <v>0</v>
      </c>
      <c r="CV243" s="27">
        <f t="shared" si="454"/>
        <v>0</v>
      </c>
      <c r="CW243" s="27">
        <v>0</v>
      </c>
      <c r="CX243" s="33">
        <v>0</v>
      </c>
    </row>
    <row r="244" spans="1:102" ht="31.5" x14ac:dyDescent="0.25">
      <c r="A244" s="13" t="s">
        <v>1</v>
      </c>
      <c r="B244" s="14" t="s">
        <v>1</v>
      </c>
      <c r="C244" s="14" t="s">
        <v>109</v>
      </c>
      <c r="D244" s="15" t="s">
        <v>390</v>
      </c>
      <c r="E244" s="10">
        <f t="shared" si="458"/>
        <v>209607</v>
      </c>
      <c r="F244" s="11">
        <f t="shared" si="459"/>
        <v>209607</v>
      </c>
      <c r="G244" s="11">
        <f t="shared" si="460"/>
        <v>209607</v>
      </c>
      <c r="H244" s="11">
        <v>0</v>
      </c>
      <c r="I244" s="11">
        <v>0</v>
      </c>
      <c r="J244" s="11">
        <f>SUM(K244:P244)</f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f>SUM(R244:S244)</f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f t="shared" si="461"/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f t="shared" si="462"/>
        <v>209607</v>
      </c>
      <c r="AG244" s="11">
        <v>0</v>
      </c>
      <c r="AH244" s="11">
        <v>0</v>
      </c>
      <c r="AI244" s="11">
        <v>0</v>
      </c>
      <c r="AJ244" s="11">
        <v>0</v>
      </c>
      <c r="AK244" s="16"/>
      <c r="AL244" s="16"/>
      <c r="AM244" s="11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/>
      <c r="AW244" s="11"/>
      <c r="AX244" s="11">
        <v>0</v>
      </c>
      <c r="AY244" s="11">
        <v>0</v>
      </c>
      <c r="AZ244" s="11">
        <v>0</v>
      </c>
      <c r="BA244" s="11">
        <v>0</v>
      </c>
      <c r="BB244" s="16">
        <v>209607</v>
      </c>
      <c r="BC244" s="11">
        <f t="shared" si="463"/>
        <v>0</v>
      </c>
      <c r="BD244" s="11">
        <f t="shared" si="464"/>
        <v>0</v>
      </c>
      <c r="BE244" s="11">
        <v>0</v>
      </c>
      <c r="BF244" s="11">
        <v>0</v>
      </c>
      <c r="BG244" s="11">
        <v>0</v>
      </c>
      <c r="BH244" s="11">
        <f>SUM(BJ244:BK244)</f>
        <v>0</v>
      </c>
      <c r="BI244" s="11">
        <v>0</v>
      </c>
      <c r="BJ244" s="11">
        <v>0</v>
      </c>
      <c r="BK244" s="11">
        <v>0</v>
      </c>
      <c r="BL244" s="11">
        <v>0</v>
      </c>
      <c r="BM244" s="11">
        <v>0</v>
      </c>
      <c r="BN244" s="11">
        <f>SUM(BO244)</f>
        <v>0</v>
      </c>
      <c r="BO244" s="11">
        <v>0</v>
      </c>
      <c r="BP244" s="11">
        <f>SUM(BQ244:CA244)</f>
        <v>0</v>
      </c>
      <c r="BQ244" s="11">
        <v>0</v>
      </c>
      <c r="BR244" s="11">
        <v>0</v>
      </c>
      <c r="BS244" s="11">
        <v>0</v>
      </c>
      <c r="BT244" s="11">
        <v>0</v>
      </c>
      <c r="BU244" s="11">
        <v>0</v>
      </c>
      <c r="BV244" s="11">
        <v>0</v>
      </c>
      <c r="BW244" s="11">
        <v>0</v>
      </c>
      <c r="BX244" s="11">
        <v>0</v>
      </c>
      <c r="BY244" s="11">
        <v>0</v>
      </c>
      <c r="BZ244" s="11">
        <v>0</v>
      </c>
      <c r="CA244" s="11">
        <v>0</v>
      </c>
      <c r="CB244" s="11">
        <f t="shared" si="465"/>
        <v>0</v>
      </c>
      <c r="CC244" s="11">
        <f t="shared" si="466"/>
        <v>0</v>
      </c>
      <c r="CD244" s="11">
        <f>SUM(CE244:CF244)</f>
        <v>0</v>
      </c>
      <c r="CE244" s="11">
        <v>0</v>
      </c>
      <c r="CF244" s="11">
        <v>0</v>
      </c>
      <c r="CG244" s="11">
        <f t="shared" si="467"/>
        <v>0</v>
      </c>
      <c r="CH244" s="11">
        <v>0</v>
      </c>
      <c r="CI244" s="11">
        <v>0</v>
      </c>
      <c r="CJ244" s="11">
        <v>0</v>
      </c>
      <c r="CK244" s="11">
        <v>0</v>
      </c>
      <c r="CL244" s="11">
        <f t="shared" si="468"/>
        <v>0</v>
      </c>
      <c r="CM244" s="11">
        <v>0</v>
      </c>
      <c r="CN244" s="11">
        <v>0</v>
      </c>
      <c r="CO244" s="11">
        <v>0</v>
      </c>
      <c r="CP244" s="11"/>
      <c r="CQ244" s="11">
        <v>0</v>
      </c>
      <c r="CR244" s="11">
        <v>0</v>
      </c>
      <c r="CS244" s="11">
        <v>0</v>
      </c>
      <c r="CT244" s="11">
        <v>0</v>
      </c>
      <c r="CU244" s="11">
        <f>SUM(CV244)</f>
        <v>0</v>
      </c>
      <c r="CV244" s="11">
        <f>SUM(CW244:CX244)</f>
        <v>0</v>
      </c>
      <c r="CW244" s="11">
        <v>0</v>
      </c>
      <c r="CX244" s="12">
        <v>0</v>
      </c>
    </row>
    <row r="245" spans="1:102" ht="31.5" x14ac:dyDescent="0.25">
      <c r="A245" s="13" t="s">
        <v>1</v>
      </c>
      <c r="B245" s="14" t="s">
        <v>1</v>
      </c>
      <c r="C245" s="34" t="s">
        <v>109</v>
      </c>
      <c r="D245" s="35" t="s">
        <v>490</v>
      </c>
      <c r="E245" s="10">
        <f t="shared" si="458"/>
        <v>1000000</v>
      </c>
      <c r="F245" s="11">
        <f t="shared" si="459"/>
        <v>1000000</v>
      </c>
      <c r="G245" s="11">
        <f t="shared" si="460"/>
        <v>1000000</v>
      </c>
      <c r="H245" s="11">
        <v>0</v>
      </c>
      <c r="I245" s="11">
        <v>0</v>
      </c>
      <c r="J245" s="11">
        <f t="shared" si="446"/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f t="shared" si="447"/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f t="shared" si="461"/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f t="shared" si="462"/>
        <v>1000000</v>
      </c>
      <c r="AG245" s="11">
        <v>0</v>
      </c>
      <c r="AH245" s="11">
        <v>0</v>
      </c>
      <c r="AI245" s="11">
        <v>0</v>
      </c>
      <c r="AJ245" s="11">
        <v>0</v>
      </c>
      <c r="AK245" s="16"/>
      <c r="AL245" s="16"/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/>
      <c r="AW245" s="11"/>
      <c r="AX245" s="11">
        <v>0</v>
      </c>
      <c r="AY245" s="11">
        <v>0</v>
      </c>
      <c r="AZ245" s="11">
        <v>0</v>
      </c>
      <c r="BA245" s="11">
        <v>0</v>
      </c>
      <c r="BB245" s="16">
        <v>1000000</v>
      </c>
      <c r="BC245" s="11">
        <f t="shared" si="463"/>
        <v>0</v>
      </c>
      <c r="BD245" s="11">
        <f t="shared" si="464"/>
        <v>0</v>
      </c>
      <c r="BE245" s="11">
        <v>0</v>
      </c>
      <c r="BF245" s="11">
        <v>0</v>
      </c>
      <c r="BG245" s="11">
        <v>0</v>
      </c>
      <c r="BH245" s="11">
        <f t="shared" si="449"/>
        <v>0</v>
      </c>
      <c r="BI245" s="11">
        <v>0</v>
      </c>
      <c r="BJ245" s="11">
        <v>0</v>
      </c>
      <c r="BK245" s="11">
        <v>0</v>
      </c>
      <c r="BL245" s="11">
        <v>0</v>
      </c>
      <c r="BM245" s="11">
        <v>0</v>
      </c>
      <c r="BN245" s="11">
        <f t="shared" si="450"/>
        <v>0</v>
      </c>
      <c r="BO245" s="11">
        <v>0</v>
      </c>
      <c r="BP245" s="11">
        <f t="shared" si="451"/>
        <v>0</v>
      </c>
      <c r="BQ245" s="11">
        <v>0</v>
      </c>
      <c r="BR245" s="11">
        <v>0</v>
      </c>
      <c r="BS245" s="11">
        <v>0</v>
      </c>
      <c r="BT245" s="11">
        <v>0</v>
      </c>
      <c r="BU245" s="11">
        <v>0</v>
      </c>
      <c r="BV245" s="11">
        <v>0</v>
      </c>
      <c r="BW245" s="11">
        <v>0</v>
      </c>
      <c r="BX245" s="11">
        <v>0</v>
      </c>
      <c r="BY245" s="11">
        <v>0</v>
      </c>
      <c r="BZ245" s="11">
        <v>0</v>
      </c>
      <c r="CA245" s="11">
        <v>0</v>
      </c>
      <c r="CB245" s="11">
        <f t="shared" si="465"/>
        <v>0</v>
      </c>
      <c r="CC245" s="11">
        <f t="shared" si="466"/>
        <v>0</v>
      </c>
      <c r="CD245" s="11">
        <f t="shared" si="452"/>
        <v>0</v>
      </c>
      <c r="CE245" s="11"/>
      <c r="CF245" s="11">
        <v>0</v>
      </c>
      <c r="CG245" s="11">
        <f t="shared" si="467"/>
        <v>0</v>
      </c>
      <c r="CH245" s="11">
        <v>0</v>
      </c>
      <c r="CI245" s="11">
        <v>0</v>
      </c>
      <c r="CJ245" s="11">
        <v>0</v>
      </c>
      <c r="CK245" s="11">
        <v>0</v>
      </c>
      <c r="CL245" s="11">
        <f t="shared" si="468"/>
        <v>0</v>
      </c>
      <c r="CM245" s="11">
        <v>0</v>
      </c>
      <c r="CN245" s="11">
        <v>0</v>
      </c>
      <c r="CO245" s="11">
        <v>0</v>
      </c>
      <c r="CP245" s="11"/>
      <c r="CQ245" s="11">
        <v>0</v>
      </c>
      <c r="CR245" s="11">
        <v>0</v>
      </c>
      <c r="CS245" s="11">
        <v>0</v>
      </c>
      <c r="CT245" s="11">
        <v>0</v>
      </c>
      <c r="CU245" s="11">
        <f t="shared" si="453"/>
        <v>0</v>
      </c>
      <c r="CV245" s="11">
        <f t="shared" si="454"/>
        <v>0</v>
      </c>
      <c r="CW245" s="11">
        <v>0</v>
      </c>
      <c r="CX245" s="12">
        <v>0</v>
      </c>
    </row>
    <row r="246" spans="1:102" ht="31.5" x14ac:dyDescent="0.25">
      <c r="A246" s="13" t="s">
        <v>1</v>
      </c>
      <c r="B246" s="14" t="s">
        <v>1</v>
      </c>
      <c r="C246" s="26" t="s">
        <v>361</v>
      </c>
      <c r="D246" s="25" t="s">
        <v>491</v>
      </c>
      <c r="E246" s="10">
        <f t="shared" si="458"/>
        <v>33259</v>
      </c>
      <c r="F246" s="11">
        <f t="shared" si="459"/>
        <v>33259</v>
      </c>
      <c r="G246" s="11">
        <f t="shared" si="460"/>
        <v>33259</v>
      </c>
      <c r="H246" s="11">
        <v>0</v>
      </c>
      <c r="I246" s="11">
        <v>0</v>
      </c>
      <c r="J246" s="11">
        <f t="shared" ref="J246:J249" si="475">SUM(K246:P246)</f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f t="shared" si="447"/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f t="shared" si="461"/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f t="shared" si="462"/>
        <v>33259</v>
      </c>
      <c r="AG246" s="11">
        <v>0</v>
      </c>
      <c r="AH246" s="11">
        <v>0</v>
      </c>
      <c r="AI246" s="11">
        <v>0</v>
      </c>
      <c r="AJ246" s="11">
        <v>0</v>
      </c>
      <c r="AK246" s="16">
        <v>33259</v>
      </c>
      <c r="AL246" s="16"/>
      <c r="AM246" s="11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/>
      <c r="AW246" s="11"/>
      <c r="AX246" s="11">
        <v>0</v>
      </c>
      <c r="AY246" s="11">
        <v>0</v>
      </c>
      <c r="AZ246" s="11">
        <v>0</v>
      </c>
      <c r="BA246" s="11">
        <v>0</v>
      </c>
      <c r="BB246" s="16"/>
      <c r="BC246" s="11">
        <f t="shared" si="463"/>
        <v>0</v>
      </c>
      <c r="BD246" s="11">
        <f t="shared" si="464"/>
        <v>0</v>
      </c>
      <c r="BE246" s="11">
        <v>0</v>
      </c>
      <c r="BF246" s="11">
        <v>0</v>
      </c>
      <c r="BG246" s="11">
        <v>0</v>
      </c>
      <c r="BH246" s="11">
        <f t="shared" si="449"/>
        <v>0</v>
      </c>
      <c r="BI246" s="11">
        <v>0</v>
      </c>
      <c r="BJ246" s="11">
        <v>0</v>
      </c>
      <c r="BK246" s="11">
        <v>0</v>
      </c>
      <c r="BL246" s="11">
        <v>0</v>
      </c>
      <c r="BM246" s="11">
        <v>0</v>
      </c>
      <c r="BN246" s="11">
        <f t="shared" si="450"/>
        <v>0</v>
      </c>
      <c r="BO246" s="11">
        <v>0</v>
      </c>
      <c r="BP246" s="11">
        <f t="shared" si="451"/>
        <v>0</v>
      </c>
      <c r="BQ246" s="11">
        <v>0</v>
      </c>
      <c r="BR246" s="11">
        <v>0</v>
      </c>
      <c r="BS246" s="11">
        <v>0</v>
      </c>
      <c r="BT246" s="11">
        <v>0</v>
      </c>
      <c r="BU246" s="11">
        <v>0</v>
      </c>
      <c r="BV246" s="11">
        <v>0</v>
      </c>
      <c r="BW246" s="11">
        <v>0</v>
      </c>
      <c r="BX246" s="11">
        <v>0</v>
      </c>
      <c r="BY246" s="11">
        <v>0</v>
      </c>
      <c r="BZ246" s="11">
        <v>0</v>
      </c>
      <c r="CA246" s="11">
        <v>0</v>
      </c>
      <c r="CB246" s="11">
        <f t="shared" si="465"/>
        <v>0</v>
      </c>
      <c r="CC246" s="11">
        <f t="shared" si="466"/>
        <v>0</v>
      </c>
      <c r="CD246" s="11">
        <f t="shared" ref="CD246:CD249" si="476">SUM(CE246:CF246)</f>
        <v>0</v>
      </c>
      <c r="CE246" s="11">
        <v>0</v>
      </c>
      <c r="CF246" s="11">
        <v>0</v>
      </c>
      <c r="CG246" s="11">
        <f t="shared" si="467"/>
        <v>0</v>
      </c>
      <c r="CH246" s="11">
        <v>0</v>
      </c>
      <c r="CI246" s="11">
        <v>0</v>
      </c>
      <c r="CJ246" s="11">
        <v>0</v>
      </c>
      <c r="CK246" s="11">
        <v>0</v>
      </c>
      <c r="CL246" s="11">
        <f t="shared" si="468"/>
        <v>0</v>
      </c>
      <c r="CM246" s="11">
        <v>0</v>
      </c>
      <c r="CN246" s="11">
        <v>0</v>
      </c>
      <c r="CO246" s="11">
        <v>0</v>
      </c>
      <c r="CP246" s="11"/>
      <c r="CQ246" s="11">
        <v>0</v>
      </c>
      <c r="CR246" s="11">
        <v>0</v>
      </c>
      <c r="CS246" s="11">
        <v>0</v>
      </c>
      <c r="CT246" s="11">
        <v>0</v>
      </c>
      <c r="CU246" s="11">
        <f t="shared" si="453"/>
        <v>0</v>
      </c>
      <c r="CV246" s="11">
        <f t="shared" si="454"/>
        <v>0</v>
      </c>
      <c r="CW246" s="11">
        <v>0</v>
      </c>
      <c r="CX246" s="12">
        <v>0</v>
      </c>
    </row>
    <row r="247" spans="1:102" ht="31.5" x14ac:dyDescent="0.25">
      <c r="A247" s="13" t="s">
        <v>1</v>
      </c>
      <c r="B247" s="14" t="s">
        <v>1</v>
      </c>
      <c r="C247" s="29" t="s">
        <v>125</v>
      </c>
      <c r="D247" s="30" t="s">
        <v>492</v>
      </c>
      <c r="E247" s="10">
        <f t="shared" si="458"/>
        <v>3999587</v>
      </c>
      <c r="F247" s="11">
        <f t="shared" si="459"/>
        <v>3999587</v>
      </c>
      <c r="G247" s="11">
        <f t="shared" si="460"/>
        <v>0</v>
      </c>
      <c r="H247" s="11">
        <v>0</v>
      </c>
      <c r="I247" s="11">
        <v>0</v>
      </c>
      <c r="J247" s="11">
        <f t="shared" si="475"/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f>32507-32507</f>
        <v>0</v>
      </c>
      <c r="Q247" s="11">
        <f t="shared" si="447"/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f t="shared" si="461"/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f t="shared" si="462"/>
        <v>0</v>
      </c>
      <c r="AG247" s="11">
        <v>0</v>
      </c>
      <c r="AH247" s="11">
        <v>0</v>
      </c>
      <c r="AI247" s="11">
        <v>0</v>
      </c>
      <c r="AJ247" s="11">
        <v>0</v>
      </c>
      <c r="AK247" s="16"/>
      <c r="AL247" s="16"/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/>
      <c r="AW247" s="11"/>
      <c r="AX247" s="11">
        <v>0</v>
      </c>
      <c r="AY247" s="11">
        <v>0</v>
      </c>
      <c r="AZ247" s="11">
        <v>0</v>
      </c>
      <c r="BA247" s="11">
        <v>0</v>
      </c>
      <c r="BB247" s="16"/>
      <c r="BC247" s="11">
        <f t="shared" si="463"/>
        <v>3999587</v>
      </c>
      <c r="BD247" s="11">
        <f t="shared" si="464"/>
        <v>0</v>
      </c>
      <c r="BE247" s="11">
        <v>0</v>
      </c>
      <c r="BF247" s="11">
        <v>0</v>
      </c>
      <c r="BG247" s="11">
        <v>0</v>
      </c>
      <c r="BH247" s="11">
        <f t="shared" si="449"/>
        <v>0</v>
      </c>
      <c r="BI247" s="11">
        <v>0</v>
      </c>
      <c r="BJ247" s="11">
        <v>0</v>
      </c>
      <c r="BK247" s="11">
        <v>0</v>
      </c>
      <c r="BL247" s="11">
        <f>BM247</f>
        <v>3999587</v>
      </c>
      <c r="BM247" s="16">
        <v>3999587</v>
      </c>
      <c r="BN247" s="11">
        <f t="shared" si="450"/>
        <v>0</v>
      </c>
      <c r="BO247" s="11">
        <v>0</v>
      </c>
      <c r="BP247" s="11">
        <f t="shared" si="451"/>
        <v>0</v>
      </c>
      <c r="BQ247" s="11">
        <v>0</v>
      </c>
      <c r="BR247" s="11">
        <v>0</v>
      </c>
      <c r="BS247" s="11">
        <v>0</v>
      </c>
      <c r="BT247" s="11">
        <v>0</v>
      </c>
      <c r="BU247" s="11">
        <v>0</v>
      </c>
      <c r="BV247" s="11">
        <v>0</v>
      </c>
      <c r="BW247" s="11">
        <v>0</v>
      </c>
      <c r="BX247" s="11">
        <v>0</v>
      </c>
      <c r="BY247" s="11">
        <v>0</v>
      </c>
      <c r="BZ247" s="11">
        <v>0</v>
      </c>
      <c r="CA247" s="11">
        <v>0</v>
      </c>
      <c r="CB247" s="11">
        <f t="shared" si="465"/>
        <v>0</v>
      </c>
      <c r="CC247" s="11">
        <f t="shared" si="466"/>
        <v>0</v>
      </c>
      <c r="CD247" s="11">
        <f t="shared" si="476"/>
        <v>0</v>
      </c>
      <c r="CE247" s="11">
        <v>0</v>
      </c>
      <c r="CF247" s="11">
        <v>0</v>
      </c>
      <c r="CG247" s="11">
        <f t="shared" si="467"/>
        <v>0</v>
      </c>
      <c r="CH247" s="11">
        <v>0</v>
      </c>
      <c r="CI247" s="11">
        <v>0</v>
      </c>
      <c r="CJ247" s="11">
        <v>0</v>
      </c>
      <c r="CK247" s="11">
        <v>0</v>
      </c>
      <c r="CL247" s="11">
        <f t="shared" si="468"/>
        <v>0</v>
      </c>
      <c r="CM247" s="11">
        <v>0</v>
      </c>
      <c r="CN247" s="11">
        <v>0</v>
      </c>
      <c r="CO247" s="11">
        <v>0</v>
      </c>
      <c r="CP247" s="11"/>
      <c r="CQ247" s="11">
        <v>0</v>
      </c>
      <c r="CR247" s="11">
        <v>0</v>
      </c>
      <c r="CS247" s="11">
        <v>0</v>
      </c>
      <c r="CT247" s="11">
        <v>0</v>
      </c>
      <c r="CU247" s="11">
        <f t="shared" si="453"/>
        <v>0</v>
      </c>
      <c r="CV247" s="11">
        <f t="shared" si="454"/>
        <v>0</v>
      </c>
      <c r="CW247" s="11">
        <v>0</v>
      </c>
      <c r="CX247" s="12">
        <v>0</v>
      </c>
    </row>
    <row r="248" spans="1:102" ht="47.25" x14ac:dyDescent="0.25">
      <c r="A248" s="13" t="s">
        <v>1</v>
      </c>
      <c r="B248" s="14" t="s">
        <v>1</v>
      </c>
      <c r="C248" s="36" t="s">
        <v>125</v>
      </c>
      <c r="D248" s="37" t="s">
        <v>391</v>
      </c>
      <c r="E248" s="10">
        <f t="shared" si="458"/>
        <v>400000</v>
      </c>
      <c r="F248" s="11">
        <f t="shared" si="459"/>
        <v>0</v>
      </c>
      <c r="G248" s="11">
        <f t="shared" si="460"/>
        <v>0</v>
      </c>
      <c r="H248" s="11">
        <v>0</v>
      </c>
      <c r="I248" s="11">
        <v>0</v>
      </c>
      <c r="J248" s="11">
        <f t="shared" si="475"/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f t="shared" si="447"/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f t="shared" si="461"/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f t="shared" si="462"/>
        <v>0</v>
      </c>
      <c r="AG248" s="11">
        <v>0</v>
      </c>
      <c r="AH248" s="11">
        <v>0</v>
      </c>
      <c r="AI248" s="11">
        <v>0</v>
      </c>
      <c r="AJ248" s="11">
        <v>0</v>
      </c>
      <c r="AK248" s="16"/>
      <c r="AL248" s="16"/>
      <c r="AM248" s="11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/>
      <c r="AW248" s="11"/>
      <c r="AX248" s="11">
        <v>0</v>
      </c>
      <c r="AY248" s="11">
        <v>0</v>
      </c>
      <c r="AZ248" s="11">
        <v>0</v>
      </c>
      <c r="BA248" s="11">
        <v>0</v>
      </c>
      <c r="BB248" s="11"/>
      <c r="BC248" s="11">
        <f t="shared" si="463"/>
        <v>0</v>
      </c>
      <c r="BD248" s="11">
        <f t="shared" si="464"/>
        <v>0</v>
      </c>
      <c r="BE248" s="11">
        <v>0</v>
      </c>
      <c r="BF248" s="11">
        <v>0</v>
      </c>
      <c r="BG248" s="11">
        <v>0</v>
      </c>
      <c r="BH248" s="11">
        <f t="shared" si="449"/>
        <v>0</v>
      </c>
      <c r="BI248" s="11">
        <v>0</v>
      </c>
      <c r="BJ248" s="11">
        <v>0</v>
      </c>
      <c r="BK248" s="11">
        <v>0</v>
      </c>
      <c r="BL248" s="11">
        <v>0</v>
      </c>
      <c r="BM248" s="11">
        <v>0</v>
      </c>
      <c r="BN248" s="11">
        <f t="shared" si="450"/>
        <v>0</v>
      </c>
      <c r="BO248" s="11">
        <v>0</v>
      </c>
      <c r="BP248" s="11">
        <f t="shared" si="451"/>
        <v>0</v>
      </c>
      <c r="BQ248" s="11">
        <v>0</v>
      </c>
      <c r="BR248" s="11">
        <v>0</v>
      </c>
      <c r="BS248" s="11">
        <v>0</v>
      </c>
      <c r="BT248" s="11">
        <v>0</v>
      </c>
      <c r="BU248" s="11">
        <v>0</v>
      </c>
      <c r="BV248" s="11">
        <v>0</v>
      </c>
      <c r="BW248" s="11">
        <v>0</v>
      </c>
      <c r="BX248" s="11">
        <v>0</v>
      </c>
      <c r="BY248" s="11">
        <v>0</v>
      </c>
      <c r="BZ248" s="11">
        <v>0</v>
      </c>
      <c r="CA248" s="11">
        <v>0</v>
      </c>
      <c r="CB248" s="11">
        <f t="shared" si="465"/>
        <v>400000</v>
      </c>
      <c r="CC248" s="11">
        <f t="shared" si="466"/>
        <v>400000</v>
      </c>
      <c r="CD248" s="11">
        <f t="shared" si="476"/>
        <v>400000</v>
      </c>
      <c r="CE248" s="11">
        <v>0</v>
      </c>
      <c r="CF248" s="11">
        <v>400000</v>
      </c>
      <c r="CG248" s="11">
        <f t="shared" si="467"/>
        <v>0</v>
      </c>
      <c r="CH248" s="11">
        <v>0</v>
      </c>
      <c r="CI248" s="11">
        <v>0</v>
      </c>
      <c r="CJ248" s="11">
        <v>0</v>
      </c>
      <c r="CK248" s="11">
        <v>0</v>
      </c>
      <c r="CL248" s="11">
        <f t="shared" si="468"/>
        <v>0</v>
      </c>
      <c r="CM248" s="11">
        <v>0</v>
      </c>
      <c r="CN248" s="11">
        <v>0</v>
      </c>
      <c r="CO248" s="11">
        <v>0</v>
      </c>
      <c r="CP248" s="11"/>
      <c r="CQ248" s="11">
        <v>0</v>
      </c>
      <c r="CR248" s="11">
        <v>0</v>
      </c>
      <c r="CS248" s="11">
        <v>0</v>
      </c>
      <c r="CT248" s="11">
        <v>0</v>
      </c>
      <c r="CU248" s="11">
        <f t="shared" si="453"/>
        <v>0</v>
      </c>
      <c r="CV248" s="11">
        <f t="shared" si="454"/>
        <v>0</v>
      </c>
      <c r="CW248" s="11">
        <v>0</v>
      </c>
      <c r="CX248" s="12">
        <v>0</v>
      </c>
    </row>
    <row r="249" spans="1:102" ht="47.25" x14ac:dyDescent="0.25">
      <c r="A249" s="28"/>
      <c r="B249" s="29"/>
      <c r="C249" s="36" t="s">
        <v>125</v>
      </c>
      <c r="D249" s="37" t="s">
        <v>633</v>
      </c>
      <c r="E249" s="31">
        <f t="shared" si="458"/>
        <v>0</v>
      </c>
      <c r="F249" s="27">
        <f t="shared" si="459"/>
        <v>0</v>
      </c>
      <c r="G249" s="11">
        <f t="shared" si="460"/>
        <v>0</v>
      </c>
      <c r="H249" s="32">
        <f>160643772+12769-160656541</f>
        <v>0</v>
      </c>
      <c r="I249" s="27"/>
      <c r="J249" s="27">
        <f t="shared" si="475"/>
        <v>0</v>
      </c>
      <c r="K249" s="27">
        <v>0</v>
      </c>
      <c r="L249" s="27"/>
      <c r="M249" s="27">
        <v>0</v>
      </c>
      <c r="N249" s="27">
        <v>0</v>
      </c>
      <c r="O249" s="27"/>
      <c r="P249" s="27"/>
      <c r="Q249" s="27">
        <f t="shared" si="447"/>
        <v>0</v>
      </c>
      <c r="R249" s="27"/>
      <c r="S249" s="27"/>
      <c r="T249" s="27">
        <v>0</v>
      </c>
      <c r="U249" s="27"/>
      <c r="V249" s="11">
        <f t="shared" si="461"/>
        <v>0</v>
      </c>
      <c r="W249" s="27"/>
      <c r="X249" s="27"/>
      <c r="Y249" s="27"/>
      <c r="Z249" s="27"/>
      <c r="AA249" s="27"/>
      <c r="AB249" s="27">
        <v>0</v>
      </c>
      <c r="AC249" s="27">
        <v>0</v>
      </c>
      <c r="AD249" s="27"/>
      <c r="AE249" s="27"/>
      <c r="AF249" s="27">
        <f t="shared" si="462"/>
        <v>0</v>
      </c>
      <c r="AG249" s="27">
        <v>0</v>
      </c>
      <c r="AH249" s="27"/>
      <c r="AI249" s="27"/>
      <c r="AJ249" s="27"/>
      <c r="AK249" s="32"/>
      <c r="AL249" s="32"/>
      <c r="AM249" s="27"/>
      <c r="AN249" s="27"/>
      <c r="AO249" s="27"/>
      <c r="AP249" s="27"/>
      <c r="AQ249" s="27"/>
      <c r="AR249" s="27"/>
      <c r="AS249" s="27">
        <v>0</v>
      </c>
      <c r="AT249" s="27">
        <v>0</v>
      </c>
      <c r="AU249" s="27"/>
      <c r="AV249" s="27"/>
      <c r="AW249" s="27"/>
      <c r="AX249" s="27">
        <v>0</v>
      </c>
      <c r="AY249" s="27">
        <v>0</v>
      </c>
      <c r="AZ249" s="27">
        <v>0</v>
      </c>
      <c r="BA249" s="27"/>
      <c r="BB249" s="27"/>
      <c r="BC249" s="27">
        <f t="shared" si="463"/>
        <v>0</v>
      </c>
      <c r="BD249" s="27">
        <f t="shared" si="464"/>
        <v>0</v>
      </c>
      <c r="BE249" s="27">
        <v>0</v>
      </c>
      <c r="BF249" s="27">
        <v>0</v>
      </c>
      <c r="BG249" s="27">
        <v>0</v>
      </c>
      <c r="BH249" s="27">
        <f t="shared" si="449"/>
        <v>0</v>
      </c>
      <c r="BI249" s="27">
        <v>0</v>
      </c>
      <c r="BJ249" s="27">
        <v>0</v>
      </c>
      <c r="BK249" s="27">
        <v>0</v>
      </c>
      <c r="BL249" s="27">
        <v>0</v>
      </c>
      <c r="BM249" s="27">
        <v>0</v>
      </c>
      <c r="BN249" s="27">
        <f t="shared" si="450"/>
        <v>0</v>
      </c>
      <c r="BO249" s="27">
        <v>0</v>
      </c>
      <c r="BP249" s="27">
        <f t="shared" si="451"/>
        <v>0</v>
      </c>
      <c r="BQ249" s="27">
        <v>0</v>
      </c>
      <c r="BR249" s="27">
        <v>0</v>
      </c>
      <c r="BS249" s="27">
        <v>0</v>
      </c>
      <c r="BT249" s="27">
        <v>0</v>
      </c>
      <c r="BU249" s="27">
        <v>0</v>
      </c>
      <c r="BV249" s="27">
        <v>0</v>
      </c>
      <c r="BW249" s="27">
        <v>0</v>
      </c>
      <c r="BX249" s="27">
        <v>0</v>
      </c>
      <c r="BY249" s="27">
        <v>0</v>
      </c>
      <c r="BZ249" s="27"/>
      <c r="CA249" s="27">
        <v>0</v>
      </c>
      <c r="CB249" s="27">
        <f t="shared" si="465"/>
        <v>0</v>
      </c>
      <c r="CC249" s="27">
        <f t="shared" si="466"/>
        <v>0</v>
      </c>
      <c r="CD249" s="27">
        <f t="shared" si="476"/>
        <v>0</v>
      </c>
      <c r="CE249" s="27">
        <v>0</v>
      </c>
      <c r="CF249" s="27"/>
      <c r="CG249" s="27">
        <f t="shared" si="467"/>
        <v>0</v>
      </c>
      <c r="CH249" s="27">
        <v>0</v>
      </c>
      <c r="CI249" s="27">
        <v>0</v>
      </c>
      <c r="CJ249" s="27">
        <v>0</v>
      </c>
      <c r="CK249" s="27">
        <v>0</v>
      </c>
      <c r="CL249" s="27">
        <f t="shared" si="468"/>
        <v>0</v>
      </c>
      <c r="CM249" s="27">
        <v>0</v>
      </c>
      <c r="CN249" s="27">
        <v>0</v>
      </c>
      <c r="CO249" s="27"/>
      <c r="CP249" s="27"/>
      <c r="CQ249" s="27">
        <v>0</v>
      </c>
      <c r="CR249" s="27">
        <f>SUM(CS249)</f>
        <v>0</v>
      </c>
      <c r="CS249" s="27"/>
      <c r="CT249" s="27">
        <v>0</v>
      </c>
      <c r="CU249" s="27">
        <f t="shared" ref="CU249" si="477">SUM(CV249)</f>
        <v>0</v>
      </c>
      <c r="CV249" s="27">
        <f t="shared" si="454"/>
        <v>0</v>
      </c>
      <c r="CW249" s="27">
        <v>0</v>
      </c>
      <c r="CX249" s="33">
        <v>0</v>
      </c>
    </row>
    <row r="250" spans="1:102" ht="15.75" x14ac:dyDescent="0.25">
      <c r="A250" s="7"/>
      <c r="B250" s="8"/>
      <c r="C250" s="8"/>
      <c r="D250" s="9" t="s">
        <v>392</v>
      </c>
      <c r="E250" s="10">
        <f t="shared" ref="E250:AJ250" si="478">SUM(E251:E278)</f>
        <v>244252962</v>
      </c>
      <c r="F250" s="10">
        <f t="shared" si="478"/>
        <v>227248853</v>
      </c>
      <c r="G250" s="10">
        <f t="shared" si="478"/>
        <v>227243853</v>
      </c>
      <c r="H250" s="10">
        <f t="shared" si="478"/>
        <v>96872541</v>
      </c>
      <c r="I250" s="10">
        <f t="shared" si="478"/>
        <v>19289298</v>
      </c>
      <c r="J250" s="10">
        <f t="shared" si="478"/>
        <v>52575368</v>
      </c>
      <c r="K250" s="10">
        <f t="shared" si="478"/>
        <v>22317465</v>
      </c>
      <c r="L250" s="10">
        <f t="shared" si="478"/>
        <v>2482200</v>
      </c>
      <c r="M250" s="10">
        <f t="shared" si="478"/>
        <v>2701787</v>
      </c>
      <c r="N250" s="10">
        <f t="shared" si="478"/>
        <v>3000</v>
      </c>
      <c r="O250" s="10">
        <f t="shared" si="478"/>
        <v>8787842</v>
      </c>
      <c r="P250" s="10">
        <f t="shared" si="478"/>
        <v>16283074</v>
      </c>
      <c r="Q250" s="10">
        <f t="shared" si="478"/>
        <v>852419</v>
      </c>
      <c r="R250" s="10">
        <f t="shared" si="478"/>
        <v>182015</v>
      </c>
      <c r="S250" s="10">
        <f t="shared" si="478"/>
        <v>670404</v>
      </c>
      <c r="T250" s="10">
        <f t="shared" si="478"/>
        <v>97055</v>
      </c>
      <c r="U250" s="10">
        <f t="shared" si="478"/>
        <v>1867260</v>
      </c>
      <c r="V250" s="10">
        <f t="shared" si="478"/>
        <v>10861221</v>
      </c>
      <c r="W250" s="10">
        <f t="shared" si="478"/>
        <v>2551682</v>
      </c>
      <c r="X250" s="10">
        <f t="shared" si="478"/>
        <v>3881910</v>
      </c>
      <c r="Y250" s="10">
        <f t="shared" si="478"/>
        <v>2085700</v>
      </c>
      <c r="Z250" s="10">
        <f t="shared" si="478"/>
        <v>1097986</v>
      </c>
      <c r="AA250" s="10">
        <f t="shared" si="478"/>
        <v>749639</v>
      </c>
      <c r="AB250" s="10">
        <f t="shared" si="478"/>
        <v>338164</v>
      </c>
      <c r="AC250" s="10">
        <f t="shared" si="478"/>
        <v>0</v>
      </c>
      <c r="AD250" s="10">
        <f t="shared" si="478"/>
        <v>156140</v>
      </c>
      <c r="AE250" s="10">
        <f t="shared" si="478"/>
        <v>0</v>
      </c>
      <c r="AF250" s="10">
        <f t="shared" si="478"/>
        <v>44828691</v>
      </c>
      <c r="AG250" s="10">
        <f t="shared" si="478"/>
        <v>483689</v>
      </c>
      <c r="AH250" s="10">
        <f t="shared" si="478"/>
        <v>0</v>
      </c>
      <c r="AI250" s="10">
        <f t="shared" si="478"/>
        <v>3221268</v>
      </c>
      <c r="AJ250" s="10">
        <f t="shared" si="478"/>
        <v>8050398</v>
      </c>
      <c r="AK250" s="10">
        <f t="shared" ref="AK250:BP250" si="479">SUM(AK251:AK278)</f>
        <v>782278</v>
      </c>
      <c r="AL250" s="10">
        <f t="shared" si="479"/>
        <v>884864</v>
      </c>
      <c r="AM250" s="10">
        <f t="shared" si="479"/>
        <v>16582</v>
      </c>
      <c r="AN250" s="10">
        <f t="shared" si="479"/>
        <v>533047</v>
      </c>
      <c r="AO250" s="10">
        <f t="shared" si="479"/>
        <v>2905227</v>
      </c>
      <c r="AP250" s="10">
        <f t="shared" si="479"/>
        <v>10000</v>
      </c>
      <c r="AQ250" s="10">
        <f t="shared" si="479"/>
        <v>21850</v>
      </c>
      <c r="AR250" s="10">
        <f t="shared" si="479"/>
        <v>0</v>
      </c>
      <c r="AS250" s="10">
        <f t="shared" si="479"/>
        <v>8000</v>
      </c>
      <c r="AT250" s="10">
        <f t="shared" si="479"/>
        <v>743944</v>
      </c>
      <c r="AU250" s="10">
        <f t="shared" si="479"/>
        <v>472387</v>
      </c>
      <c r="AV250" s="10">
        <f t="shared" si="479"/>
        <v>0</v>
      </c>
      <c r="AW250" s="10">
        <f t="shared" si="479"/>
        <v>5888</v>
      </c>
      <c r="AX250" s="10">
        <f t="shared" si="479"/>
        <v>59506</v>
      </c>
      <c r="AY250" s="10">
        <f t="shared" si="479"/>
        <v>1587686</v>
      </c>
      <c r="AZ250" s="10">
        <f t="shared" si="479"/>
        <v>0</v>
      </c>
      <c r="BA250" s="10">
        <f t="shared" si="479"/>
        <v>428220</v>
      </c>
      <c r="BB250" s="10">
        <f t="shared" si="479"/>
        <v>24613857</v>
      </c>
      <c r="BC250" s="10">
        <f t="shared" si="479"/>
        <v>5000</v>
      </c>
      <c r="BD250" s="10">
        <f t="shared" si="479"/>
        <v>0</v>
      </c>
      <c r="BE250" s="10">
        <f t="shared" si="479"/>
        <v>0</v>
      </c>
      <c r="BF250" s="10">
        <f t="shared" si="479"/>
        <v>0</v>
      </c>
      <c r="BG250" s="10">
        <f t="shared" si="479"/>
        <v>0</v>
      </c>
      <c r="BH250" s="10">
        <f t="shared" si="479"/>
        <v>0</v>
      </c>
      <c r="BI250" s="10">
        <f t="shared" si="479"/>
        <v>0</v>
      </c>
      <c r="BJ250" s="10">
        <f t="shared" si="479"/>
        <v>0</v>
      </c>
      <c r="BK250" s="10">
        <f t="shared" si="479"/>
        <v>0</v>
      </c>
      <c r="BL250" s="10">
        <f t="shared" si="479"/>
        <v>0</v>
      </c>
      <c r="BM250" s="10">
        <f t="shared" si="479"/>
        <v>0</v>
      </c>
      <c r="BN250" s="10">
        <f t="shared" si="479"/>
        <v>0</v>
      </c>
      <c r="BO250" s="10">
        <f t="shared" si="479"/>
        <v>0</v>
      </c>
      <c r="BP250" s="10">
        <f t="shared" si="479"/>
        <v>5000</v>
      </c>
      <c r="BQ250" s="10">
        <f t="shared" ref="BQ250:CO250" si="480">SUM(BQ251:BQ278)</f>
        <v>0</v>
      </c>
      <c r="BR250" s="10">
        <f t="shared" si="480"/>
        <v>0</v>
      </c>
      <c r="BS250" s="10">
        <f t="shared" si="480"/>
        <v>5000</v>
      </c>
      <c r="BT250" s="10">
        <f t="shared" si="480"/>
        <v>0</v>
      </c>
      <c r="BU250" s="10">
        <f t="shared" si="480"/>
        <v>0</v>
      </c>
      <c r="BV250" s="10">
        <f t="shared" si="480"/>
        <v>0</v>
      </c>
      <c r="BW250" s="10">
        <f t="shared" si="480"/>
        <v>0</v>
      </c>
      <c r="BX250" s="10">
        <f t="shared" si="480"/>
        <v>0</v>
      </c>
      <c r="BY250" s="10">
        <f t="shared" si="480"/>
        <v>0</v>
      </c>
      <c r="BZ250" s="10">
        <f t="shared" si="480"/>
        <v>0</v>
      </c>
      <c r="CA250" s="10">
        <f t="shared" si="480"/>
        <v>0</v>
      </c>
      <c r="CB250" s="10">
        <f t="shared" si="480"/>
        <v>17004109</v>
      </c>
      <c r="CC250" s="10">
        <f t="shared" si="480"/>
        <v>17004109</v>
      </c>
      <c r="CD250" s="10">
        <f t="shared" si="480"/>
        <v>11126432</v>
      </c>
      <c r="CE250" s="10">
        <f t="shared" si="480"/>
        <v>195000</v>
      </c>
      <c r="CF250" s="10">
        <f t="shared" si="480"/>
        <v>10931432</v>
      </c>
      <c r="CG250" s="10">
        <f t="shared" si="480"/>
        <v>1000000</v>
      </c>
      <c r="CH250" s="10">
        <f t="shared" si="480"/>
        <v>0</v>
      </c>
      <c r="CI250" s="10">
        <f t="shared" si="480"/>
        <v>0</v>
      </c>
      <c r="CJ250" s="10">
        <f t="shared" si="480"/>
        <v>1000000</v>
      </c>
      <c r="CK250" s="10">
        <f t="shared" si="480"/>
        <v>0</v>
      </c>
      <c r="CL250" s="10">
        <f t="shared" si="480"/>
        <v>4877677</v>
      </c>
      <c r="CM250" s="10">
        <f t="shared" si="480"/>
        <v>0</v>
      </c>
      <c r="CN250" s="10">
        <f t="shared" si="480"/>
        <v>3912055</v>
      </c>
      <c r="CO250" s="10">
        <f t="shared" si="480"/>
        <v>965622</v>
      </c>
      <c r="CP250" s="10"/>
      <c r="CQ250" s="10">
        <f t="shared" ref="CQ250:CX250" si="481">SUM(CQ251:CQ278)</f>
        <v>0</v>
      </c>
      <c r="CR250" s="10">
        <f t="shared" si="481"/>
        <v>0</v>
      </c>
      <c r="CS250" s="10">
        <f t="shared" si="481"/>
        <v>0</v>
      </c>
      <c r="CT250" s="10">
        <f t="shared" si="481"/>
        <v>0</v>
      </c>
      <c r="CU250" s="10">
        <f t="shared" si="481"/>
        <v>0</v>
      </c>
      <c r="CV250" s="10">
        <f t="shared" si="481"/>
        <v>0</v>
      </c>
      <c r="CW250" s="10">
        <f t="shared" si="481"/>
        <v>0</v>
      </c>
      <c r="CX250" s="38">
        <f t="shared" si="481"/>
        <v>0</v>
      </c>
    </row>
    <row r="251" spans="1:102" ht="31.5" x14ac:dyDescent="0.25">
      <c r="A251" s="13" t="s">
        <v>1</v>
      </c>
      <c r="B251" s="14" t="s">
        <v>1</v>
      </c>
      <c r="C251" s="14" t="s">
        <v>97</v>
      </c>
      <c r="D251" s="15" t="s">
        <v>393</v>
      </c>
      <c r="E251" s="10">
        <f t="shared" ref="E251:E278" si="482">SUM(F251+CB251+CU251)</f>
        <v>110000</v>
      </c>
      <c r="F251" s="11">
        <f t="shared" ref="F251:F278" si="483">SUM(G251+BC251)</f>
        <v>110000</v>
      </c>
      <c r="G251" s="11">
        <f t="shared" ref="G251:G278" si="484">SUM(H251+I251+J251+Q251+T251+U251+V251+AF251+AE251)</f>
        <v>110000</v>
      </c>
      <c r="H251" s="16"/>
      <c r="I251" s="16"/>
      <c r="J251" s="11">
        <f t="shared" si="446"/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1">
        <f t="shared" si="447"/>
        <v>0</v>
      </c>
      <c r="R251" s="16"/>
      <c r="S251" s="16"/>
      <c r="T251" s="16"/>
      <c r="U251" s="16"/>
      <c r="V251" s="11">
        <f t="shared" ref="V251:V278" si="485">SUM(W251:AD251)</f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1">
        <v>0</v>
      </c>
      <c r="AF251" s="11">
        <f t="shared" ref="AF251:AF278" si="486">SUM(AG251:BB251)</f>
        <v>110000</v>
      </c>
      <c r="AG251" s="16"/>
      <c r="AH251" s="16"/>
      <c r="AI251" s="16"/>
      <c r="AJ251" s="16"/>
      <c r="AK251" s="16"/>
      <c r="AL251" s="16"/>
      <c r="AM251" s="16"/>
      <c r="AN251" s="16"/>
      <c r="AO251" s="16">
        <v>88000</v>
      </c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>
        <v>22000</v>
      </c>
      <c r="BC251" s="11">
        <f t="shared" ref="BC251:BC278" si="487">SUM(BD251+BH251+BL251+BN251+BP251)</f>
        <v>0</v>
      </c>
      <c r="BD251" s="11">
        <f t="shared" ref="BD251:BD278" si="488">SUM(BE251:BG251)</f>
        <v>0</v>
      </c>
      <c r="BE251" s="11">
        <v>0</v>
      </c>
      <c r="BF251" s="11">
        <v>0</v>
      </c>
      <c r="BG251" s="11">
        <v>0</v>
      </c>
      <c r="BH251" s="11">
        <f t="shared" si="449"/>
        <v>0</v>
      </c>
      <c r="BI251" s="11">
        <v>0</v>
      </c>
      <c r="BJ251" s="11">
        <v>0</v>
      </c>
      <c r="BK251" s="11">
        <v>0</v>
      </c>
      <c r="BL251" s="11">
        <v>0</v>
      </c>
      <c r="BM251" s="11">
        <v>0</v>
      </c>
      <c r="BN251" s="11">
        <f t="shared" si="450"/>
        <v>0</v>
      </c>
      <c r="BO251" s="11">
        <v>0</v>
      </c>
      <c r="BP251" s="11">
        <f t="shared" si="451"/>
        <v>0</v>
      </c>
      <c r="BQ251" s="11">
        <v>0</v>
      </c>
      <c r="BR251" s="11">
        <v>0</v>
      </c>
      <c r="BS251" s="11">
        <v>0</v>
      </c>
      <c r="BT251" s="11">
        <v>0</v>
      </c>
      <c r="BU251" s="11">
        <v>0</v>
      </c>
      <c r="BV251" s="11">
        <v>0</v>
      </c>
      <c r="BW251" s="11">
        <v>0</v>
      </c>
      <c r="BX251" s="11">
        <v>0</v>
      </c>
      <c r="BY251" s="11">
        <v>0</v>
      </c>
      <c r="BZ251" s="11">
        <v>0</v>
      </c>
      <c r="CA251" s="11">
        <v>0</v>
      </c>
      <c r="CB251" s="11">
        <f t="shared" ref="CB251:CB278" si="489">SUM(CC251+CT251)</f>
        <v>0</v>
      </c>
      <c r="CC251" s="11">
        <f t="shared" ref="CC251:CC278" si="490">SUM(CD251+CG251+CL251)</f>
        <v>0</v>
      </c>
      <c r="CD251" s="11">
        <f t="shared" si="452"/>
        <v>0</v>
      </c>
      <c r="CE251" s="16"/>
      <c r="CF251" s="16"/>
      <c r="CG251" s="11">
        <f t="shared" ref="CG251:CG278" si="491">SUM(CH251:CK251)</f>
        <v>0</v>
      </c>
      <c r="CH251" s="11">
        <v>0</v>
      </c>
      <c r="CI251" s="11">
        <v>0</v>
      </c>
      <c r="CJ251" s="11">
        <v>0</v>
      </c>
      <c r="CK251" s="11">
        <v>0</v>
      </c>
      <c r="CL251" s="11">
        <f t="shared" ref="CL251:CL278" si="492">SUM(CM251:CQ251)</f>
        <v>0</v>
      </c>
      <c r="CM251" s="11">
        <v>0</v>
      </c>
      <c r="CN251" s="16"/>
      <c r="CO251" s="11">
        <v>0</v>
      </c>
      <c r="CP251" s="11"/>
      <c r="CQ251" s="11">
        <v>0</v>
      </c>
      <c r="CR251" s="11">
        <v>0</v>
      </c>
      <c r="CS251" s="11">
        <v>0</v>
      </c>
      <c r="CT251" s="11">
        <v>0</v>
      </c>
      <c r="CU251" s="11">
        <f t="shared" si="453"/>
        <v>0</v>
      </c>
      <c r="CV251" s="11">
        <f t="shared" si="454"/>
        <v>0</v>
      </c>
      <c r="CW251" s="11">
        <v>0</v>
      </c>
      <c r="CX251" s="12">
        <v>0</v>
      </c>
    </row>
    <row r="252" spans="1:102" ht="31.5" x14ac:dyDescent="0.25">
      <c r="A252" s="13" t="s">
        <v>1</v>
      </c>
      <c r="B252" s="14" t="s">
        <v>1</v>
      </c>
      <c r="C252" s="14" t="s">
        <v>99</v>
      </c>
      <c r="D252" s="15" t="s">
        <v>394</v>
      </c>
      <c r="E252" s="10">
        <f t="shared" si="482"/>
        <v>240110</v>
      </c>
      <c r="F252" s="11">
        <f t="shared" si="483"/>
        <v>240110</v>
      </c>
      <c r="G252" s="11">
        <f t="shared" si="484"/>
        <v>240110</v>
      </c>
      <c r="H252" s="16"/>
      <c r="I252" s="16"/>
      <c r="J252" s="11">
        <f t="shared" si="446"/>
        <v>97782</v>
      </c>
      <c r="K252" s="16">
        <v>0</v>
      </c>
      <c r="L252" s="16">
        <v>0</v>
      </c>
      <c r="M252" s="16">
        <v>45000</v>
      </c>
      <c r="N252" s="16">
        <v>0</v>
      </c>
      <c r="O252" s="16">
        <v>13000</v>
      </c>
      <c r="P252" s="16">
        <v>39782</v>
      </c>
      <c r="Q252" s="11">
        <f t="shared" si="447"/>
        <v>0</v>
      </c>
      <c r="R252" s="16"/>
      <c r="S252" s="16"/>
      <c r="T252" s="16"/>
      <c r="U252" s="16"/>
      <c r="V252" s="11">
        <f t="shared" si="485"/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1">
        <v>0</v>
      </c>
      <c r="AF252" s="11">
        <f t="shared" si="486"/>
        <v>142328</v>
      </c>
      <c r="AG252" s="16"/>
      <c r="AH252" s="16"/>
      <c r="AI252" s="16">
        <v>2000</v>
      </c>
      <c r="AJ252" s="16">
        <v>2000</v>
      </c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>
        <v>138328</v>
      </c>
      <c r="BC252" s="11">
        <f t="shared" si="487"/>
        <v>0</v>
      </c>
      <c r="BD252" s="11">
        <f t="shared" si="488"/>
        <v>0</v>
      </c>
      <c r="BE252" s="11">
        <v>0</v>
      </c>
      <c r="BF252" s="11">
        <v>0</v>
      </c>
      <c r="BG252" s="11">
        <v>0</v>
      </c>
      <c r="BH252" s="11">
        <f t="shared" si="449"/>
        <v>0</v>
      </c>
      <c r="BI252" s="11">
        <v>0</v>
      </c>
      <c r="BJ252" s="11">
        <v>0</v>
      </c>
      <c r="BK252" s="11">
        <v>0</v>
      </c>
      <c r="BL252" s="11">
        <v>0</v>
      </c>
      <c r="BM252" s="11">
        <v>0</v>
      </c>
      <c r="BN252" s="11">
        <f t="shared" si="450"/>
        <v>0</v>
      </c>
      <c r="BO252" s="11">
        <v>0</v>
      </c>
      <c r="BP252" s="11">
        <f t="shared" si="451"/>
        <v>0</v>
      </c>
      <c r="BQ252" s="11">
        <v>0</v>
      </c>
      <c r="BR252" s="11">
        <v>0</v>
      </c>
      <c r="BS252" s="11">
        <v>0</v>
      </c>
      <c r="BT252" s="11">
        <v>0</v>
      </c>
      <c r="BU252" s="11">
        <v>0</v>
      </c>
      <c r="BV252" s="11">
        <v>0</v>
      </c>
      <c r="BW252" s="11">
        <v>0</v>
      </c>
      <c r="BX252" s="11">
        <v>0</v>
      </c>
      <c r="BY252" s="11">
        <v>0</v>
      </c>
      <c r="BZ252" s="11">
        <v>0</v>
      </c>
      <c r="CA252" s="11">
        <v>0</v>
      </c>
      <c r="CB252" s="11">
        <f t="shared" si="489"/>
        <v>0</v>
      </c>
      <c r="CC252" s="11">
        <f t="shared" si="490"/>
        <v>0</v>
      </c>
      <c r="CD252" s="11">
        <f t="shared" si="452"/>
        <v>0</v>
      </c>
      <c r="CE252" s="16"/>
      <c r="CF252" s="16"/>
      <c r="CG252" s="11">
        <f t="shared" si="491"/>
        <v>0</v>
      </c>
      <c r="CH252" s="11">
        <v>0</v>
      </c>
      <c r="CI252" s="11">
        <v>0</v>
      </c>
      <c r="CJ252" s="11">
        <v>0</v>
      </c>
      <c r="CK252" s="11">
        <v>0</v>
      </c>
      <c r="CL252" s="11">
        <f t="shared" si="492"/>
        <v>0</v>
      </c>
      <c r="CM252" s="11">
        <v>0</v>
      </c>
      <c r="CN252" s="16"/>
      <c r="CO252" s="11">
        <v>0</v>
      </c>
      <c r="CP252" s="11"/>
      <c r="CQ252" s="11">
        <v>0</v>
      </c>
      <c r="CR252" s="11">
        <v>0</v>
      </c>
      <c r="CS252" s="11">
        <v>0</v>
      </c>
      <c r="CT252" s="11">
        <v>0</v>
      </c>
      <c r="CU252" s="11">
        <f t="shared" si="453"/>
        <v>0</v>
      </c>
      <c r="CV252" s="11">
        <f t="shared" si="454"/>
        <v>0</v>
      </c>
      <c r="CW252" s="11">
        <v>0</v>
      </c>
      <c r="CX252" s="12">
        <v>0</v>
      </c>
    </row>
    <row r="253" spans="1:102" ht="31.5" x14ac:dyDescent="0.25">
      <c r="A253" s="13" t="s">
        <v>1</v>
      </c>
      <c r="B253" s="14" t="s">
        <v>1</v>
      </c>
      <c r="C253" s="14" t="s">
        <v>101</v>
      </c>
      <c r="D253" s="15" t="s">
        <v>395</v>
      </c>
      <c r="E253" s="10">
        <f t="shared" si="482"/>
        <v>5296535</v>
      </c>
      <c r="F253" s="11">
        <f t="shared" si="483"/>
        <v>5256535</v>
      </c>
      <c r="G253" s="11">
        <f t="shared" si="484"/>
        <v>5256535</v>
      </c>
      <c r="H253" s="16">
        <v>3666628</v>
      </c>
      <c r="I253" s="16">
        <v>864506</v>
      </c>
      <c r="J253" s="11">
        <f>SUM(K253:P253)</f>
        <v>276134</v>
      </c>
      <c r="K253" s="16">
        <v>2000</v>
      </c>
      <c r="L253" s="16">
        <v>3240</v>
      </c>
      <c r="M253" s="16">
        <v>113690</v>
      </c>
      <c r="N253" s="16">
        <v>0</v>
      </c>
      <c r="O253" s="16">
        <v>23963</v>
      </c>
      <c r="P253" s="16">
        <v>133241</v>
      </c>
      <c r="Q253" s="11">
        <f>SUM(R253:S253)</f>
        <v>7220</v>
      </c>
      <c r="R253" s="16">
        <v>3620</v>
      </c>
      <c r="S253" s="16">
        <v>3600</v>
      </c>
      <c r="T253" s="16"/>
      <c r="U253" s="16">
        <v>29732</v>
      </c>
      <c r="V253" s="11">
        <f t="shared" si="485"/>
        <v>236966</v>
      </c>
      <c r="W253" s="16">
        <v>11250</v>
      </c>
      <c r="X253" s="16">
        <v>154781</v>
      </c>
      <c r="Y253" s="16">
        <v>27771</v>
      </c>
      <c r="Z253" s="16">
        <v>35776</v>
      </c>
      <c r="AA253" s="16">
        <v>7168</v>
      </c>
      <c r="AB253" s="16">
        <v>0</v>
      </c>
      <c r="AC253" s="16">
        <v>0</v>
      </c>
      <c r="AD253" s="16">
        <v>220</v>
      </c>
      <c r="AE253" s="11">
        <v>0</v>
      </c>
      <c r="AF253" s="11">
        <f t="shared" si="486"/>
        <v>175349</v>
      </c>
      <c r="AG253" s="16"/>
      <c r="AH253" s="16"/>
      <c r="AI253" s="16">
        <v>1671</v>
      </c>
      <c r="AJ253" s="16">
        <v>57919</v>
      </c>
      <c r="AK253" s="16">
        <v>2880</v>
      </c>
      <c r="AL253" s="16">
        <v>25311</v>
      </c>
      <c r="AM253" s="16"/>
      <c r="AN253" s="16">
        <v>2480</v>
      </c>
      <c r="AO253" s="16">
        <v>14240</v>
      </c>
      <c r="AP253" s="16"/>
      <c r="AQ253" s="16"/>
      <c r="AR253" s="16"/>
      <c r="AS253" s="16"/>
      <c r="AT253" s="16"/>
      <c r="AU253" s="16">
        <v>41640</v>
      </c>
      <c r="AV253" s="16"/>
      <c r="AW253" s="16"/>
      <c r="AX253" s="16"/>
      <c r="AY253" s="16"/>
      <c r="AZ253" s="16"/>
      <c r="BA253" s="16"/>
      <c r="BB253" s="16">
        <v>29208</v>
      </c>
      <c r="BC253" s="11">
        <f t="shared" si="487"/>
        <v>0</v>
      </c>
      <c r="BD253" s="11">
        <f t="shared" si="488"/>
        <v>0</v>
      </c>
      <c r="BE253" s="11">
        <v>0</v>
      </c>
      <c r="BF253" s="11">
        <v>0</v>
      </c>
      <c r="BG253" s="11">
        <v>0</v>
      </c>
      <c r="BH253" s="11">
        <f>SUM(BJ253:BK253)</f>
        <v>0</v>
      </c>
      <c r="BI253" s="11">
        <v>0</v>
      </c>
      <c r="BJ253" s="11">
        <v>0</v>
      </c>
      <c r="BK253" s="11">
        <v>0</v>
      </c>
      <c r="BL253" s="11">
        <v>0</v>
      </c>
      <c r="BM253" s="11">
        <v>0</v>
      </c>
      <c r="BN253" s="11">
        <f>SUM(BO253)</f>
        <v>0</v>
      </c>
      <c r="BO253" s="11">
        <v>0</v>
      </c>
      <c r="BP253" s="11">
        <f>SUM(BQ253:CA253)</f>
        <v>0</v>
      </c>
      <c r="BQ253" s="11">
        <v>0</v>
      </c>
      <c r="BR253" s="11">
        <v>0</v>
      </c>
      <c r="BS253" s="11">
        <v>0</v>
      </c>
      <c r="BT253" s="11">
        <v>0</v>
      </c>
      <c r="BU253" s="11">
        <v>0</v>
      </c>
      <c r="BV253" s="11">
        <v>0</v>
      </c>
      <c r="BW253" s="11">
        <v>0</v>
      </c>
      <c r="BX253" s="11">
        <v>0</v>
      </c>
      <c r="BY253" s="11">
        <v>0</v>
      </c>
      <c r="BZ253" s="11">
        <v>0</v>
      </c>
      <c r="CA253" s="11">
        <v>0</v>
      </c>
      <c r="CB253" s="11">
        <f t="shared" si="489"/>
        <v>40000</v>
      </c>
      <c r="CC253" s="11">
        <f t="shared" si="490"/>
        <v>40000</v>
      </c>
      <c r="CD253" s="11">
        <f>SUM(CE253:CF253)</f>
        <v>40000</v>
      </c>
      <c r="CE253" s="16"/>
      <c r="CF253" s="16">
        <v>40000</v>
      </c>
      <c r="CG253" s="11">
        <f t="shared" si="491"/>
        <v>0</v>
      </c>
      <c r="CH253" s="11">
        <v>0</v>
      </c>
      <c r="CI253" s="11">
        <v>0</v>
      </c>
      <c r="CJ253" s="11">
        <v>0</v>
      </c>
      <c r="CK253" s="11">
        <v>0</v>
      </c>
      <c r="CL253" s="11">
        <f t="shared" si="492"/>
        <v>0</v>
      </c>
      <c r="CM253" s="11">
        <v>0</v>
      </c>
      <c r="CN253" s="16"/>
      <c r="CO253" s="11">
        <v>0</v>
      </c>
      <c r="CP253" s="11"/>
      <c r="CQ253" s="11">
        <v>0</v>
      </c>
      <c r="CR253" s="11">
        <v>0</v>
      </c>
      <c r="CS253" s="11">
        <v>0</v>
      </c>
      <c r="CT253" s="11">
        <v>0</v>
      </c>
      <c r="CU253" s="11">
        <f>SUM(CV253)</f>
        <v>0</v>
      </c>
      <c r="CV253" s="11">
        <f>SUM(CW253:CX253)</f>
        <v>0</v>
      </c>
      <c r="CW253" s="11">
        <v>0</v>
      </c>
      <c r="CX253" s="12">
        <v>0</v>
      </c>
    </row>
    <row r="254" spans="1:102" ht="31.5" x14ac:dyDescent="0.25">
      <c r="A254" s="13" t="s">
        <v>1</v>
      </c>
      <c r="B254" s="14" t="s">
        <v>1</v>
      </c>
      <c r="C254" s="14" t="s">
        <v>101</v>
      </c>
      <c r="D254" s="15" t="s">
        <v>396</v>
      </c>
      <c r="E254" s="10">
        <f t="shared" si="482"/>
        <v>32976309</v>
      </c>
      <c r="F254" s="11">
        <f t="shared" si="483"/>
        <v>31035447</v>
      </c>
      <c r="G254" s="11">
        <f t="shared" si="484"/>
        <v>31035447</v>
      </c>
      <c r="H254" s="16">
        <v>10335901</v>
      </c>
      <c r="I254" s="16">
        <v>2583978</v>
      </c>
      <c r="J254" s="11">
        <f t="shared" si="446"/>
        <v>11158059</v>
      </c>
      <c r="K254" s="16">
        <v>6972452</v>
      </c>
      <c r="L254" s="16">
        <v>236988</v>
      </c>
      <c r="M254" s="16">
        <v>222843</v>
      </c>
      <c r="N254" s="16">
        <v>0</v>
      </c>
      <c r="O254" s="16">
        <v>941768</v>
      </c>
      <c r="P254" s="16">
        <v>2784008</v>
      </c>
      <c r="Q254" s="11">
        <f t="shared" si="447"/>
        <v>62640</v>
      </c>
      <c r="R254" s="16">
        <v>8872</v>
      </c>
      <c r="S254" s="16">
        <v>53768</v>
      </c>
      <c r="T254" s="16">
        <v>6295</v>
      </c>
      <c r="U254" s="16">
        <v>181589</v>
      </c>
      <c r="V254" s="11">
        <f t="shared" si="485"/>
        <v>1941950</v>
      </c>
      <c r="W254" s="16">
        <v>901058</v>
      </c>
      <c r="X254" s="16">
        <v>359624</v>
      </c>
      <c r="Y254" s="16">
        <v>204294</v>
      </c>
      <c r="Z254" s="16">
        <v>232544</v>
      </c>
      <c r="AA254" s="16">
        <v>234706</v>
      </c>
      <c r="AB254" s="16">
        <v>0</v>
      </c>
      <c r="AC254" s="16">
        <v>0</v>
      </c>
      <c r="AD254" s="16">
        <v>9724</v>
      </c>
      <c r="AE254" s="11"/>
      <c r="AF254" s="11">
        <f t="shared" si="486"/>
        <v>4765035</v>
      </c>
      <c r="AG254" s="16"/>
      <c r="AH254" s="16"/>
      <c r="AI254" s="16">
        <v>1283426</v>
      </c>
      <c r="AJ254" s="16">
        <v>1415286</v>
      </c>
      <c r="AK254" s="16"/>
      <c r="AL254" s="16">
        <v>98603</v>
      </c>
      <c r="AM254" s="16"/>
      <c r="AN254" s="16">
        <v>55497</v>
      </c>
      <c r="AO254" s="16">
        <v>648837</v>
      </c>
      <c r="AP254" s="16"/>
      <c r="AQ254" s="16"/>
      <c r="AR254" s="16"/>
      <c r="AS254" s="16"/>
      <c r="AT254" s="16">
        <v>560367</v>
      </c>
      <c r="AU254" s="16">
        <v>37235</v>
      </c>
      <c r="AV254" s="16"/>
      <c r="AW254" s="16">
        <v>5888</v>
      </c>
      <c r="AX254" s="16">
        <v>42060</v>
      </c>
      <c r="AY254" s="16"/>
      <c r="AZ254" s="16"/>
      <c r="BA254" s="16"/>
      <c r="BB254" s="16">
        <v>617836</v>
      </c>
      <c r="BC254" s="11">
        <f t="shared" si="487"/>
        <v>0</v>
      </c>
      <c r="BD254" s="11">
        <f t="shared" si="488"/>
        <v>0</v>
      </c>
      <c r="BE254" s="11">
        <v>0</v>
      </c>
      <c r="BF254" s="11">
        <v>0</v>
      </c>
      <c r="BG254" s="11">
        <v>0</v>
      </c>
      <c r="BH254" s="11">
        <f t="shared" si="449"/>
        <v>0</v>
      </c>
      <c r="BI254" s="11">
        <v>0</v>
      </c>
      <c r="BJ254" s="11">
        <v>0</v>
      </c>
      <c r="BK254" s="11">
        <v>0</v>
      </c>
      <c r="BL254" s="11">
        <v>0</v>
      </c>
      <c r="BM254" s="11">
        <v>0</v>
      </c>
      <c r="BN254" s="11">
        <f t="shared" si="450"/>
        <v>0</v>
      </c>
      <c r="BO254" s="11">
        <v>0</v>
      </c>
      <c r="BP254" s="11">
        <f t="shared" si="451"/>
        <v>0</v>
      </c>
      <c r="BQ254" s="11">
        <v>0</v>
      </c>
      <c r="BR254" s="11">
        <v>0</v>
      </c>
      <c r="BS254" s="11">
        <v>0</v>
      </c>
      <c r="BT254" s="11">
        <v>0</v>
      </c>
      <c r="BU254" s="11">
        <v>0</v>
      </c>
      <c r="BV254" s="11">
        <v>0</v>
      </c>
      <c r="BW254" s="11">
        <v>0</v>
      </c>
      <c r="BX254" s="11">
        <v>0</v>
      </c>
      <c r="BY254" s="11">
        <v>0</v>
      </c>
      <c r="BZ254" s="11">
        <v>0</v>
      </c>
      <c r="CA254" s="11">
        <v>0</v>
      </c>
      <c r="CB254" s="11">
        <f t="shared" si="489"/>
        <v>1940862</v>
      </c>
      <c r="CC254" s="11">
        <f t="shared" si="490"/>
        <v>1940862</v>
      </c>
      <c r="CD254" s="11">
        <f t="shared" si="452"/>
        <v>1465384</v>
      </c>
      <c r="CE254" s="16"/>
      <c r="CF254" s="16">
        <v>1465384</v>
      </c>
      <c r="CG254" s="11">
        <f t="shared" si="491"/>
        <v>0</v>
      </c>
      <c r="CH254" s="11">
        <v>0</v>
      </c>
      <c r="CI254" s="11">
        <v>0</v>
      </c>
      <c r="CJ254" s="11">
        <v>0</v>
      </c>
      <c r="CK254" s="11">
        <v>0</v>
      </c>
      <c r="CL254" s="11">
        <f t="shared" si="492"/>
        <v>475478</v>
      </c>
      <c r="CM254" s="11">
        <v>0</v>
      </c>
      <c r="CN254" s="16">
        <v>475478</v>
      </c>
      <c r="CO254" s="11">
        <v>0</v>
      </c>
      <c r="CP254" s="11"/>
      <c r="CQ254" s="11">
        <v>0</v>
      </c>
      <c r="CR254" s="11">
        <v>0</v>
      </c>
      <c r="CS254" s="11">
        <v>0</v>
      </c>
      <c r="CT254" s="11">
        <v>0</v>
      </c>
      <c r="CU254" s="11">
        <f t="shared" si="453"/>
        <v>0</v>
      </c>
      <c r="CV254" s="11">
        <f t="shared" si="454"/>
        <v>0</v>
      </c>
      <c r="CW254" s="11">
        <v>0</v>
      </c>
      <c r="CX254" s="12">
        <v>0</v>
      </c>
    </row>
    <row r="255" spans="1:102" ht="31.5" x14ac:dyDescent="0.25">
      <c r="A255" s="13" t="s">
        <v>1</v>
      </c>
      <c r="B255" s="14" t="s">
        <v>1</v>
      </c>
      <c r="C255" s="14" t="s">
        <v>101</v>
      </c>
      <c r="D255" s="15" t="s">
        <v>397</v>
      </c>
      <c r="E255" s="10">
        <f t="shared" si="482"/>
        <v>34138110</v>
      </c>
      <c r="F255" s="11">
        <f t="shared" si="483"/>
        <v>32384246</v>
      </c>
      <c r="G255" s="11">
        <f t="shared" si="484"/>
        <v>32384246</v>
      </c>
      <c r="H255" s="16">
        <v>8843174</v>
      </c>
      <c r="I255" s="16">
        <v>2210794</v>
      </c>
      <c r="J255" s="11">
        <f t="shared" si="446"/>
        <v>15927580</v>
      </c>
      <c r="K255" s="16">
        <v>13124452</v>
      </c>
      <c r="L255" s="16">
        <v>107217</v>
      </c>
      <c r="M255" s="16">
        <v>10000</v>
      </c>
      <c r="N255" s="16">
        <v>500</v>
      </c>
      <c r="O255" s="16">
        <v>385262</v>
      </c>
      <c r="P255" s="16">
        <v>2300149</v>
      </c>
      <c r="Q255" s="11">
        <f t="shared" si="447"/>
        <v>6645</v>
      </c>
      <c r="R255" s="16">
        <v>6045</v>
      </c>
      <c r="S255" s="16">
        <v>600</v>
      </c>
      <c r="T255" s="16">
        <v>29760</v>
      </c>
      <c r="U255" s="16">
        <v>135395</v>
      </c>
      <c r="V255" s="11">
        <f t="shared" si="485"/>
        <v>1511643</v>
      </c>
      <c r="W255" s="16">
        <v>735740</v>
      </c>
      <c r="X255" s="16">
        <v>327430</v>
      </c>
      <c r="Y255" s="16">
        <v>176633</v>
      </c>
      <c r="Z255" s="16">
        <v>109906</v>
      </c>
      <c r="AA255" s="16">
        <v>96616</v>
      </c>
      <c r="AB255" s="16">
        <v>60000</v>
      </c>
      <c r="AC255" s="16">
        <v>0</v>
      </c>
      <c r="AD255" s="16">
        <v>5318</v>
      </c>
      <c r="AE255" s="11"/>
      <c r="AF255" s="11">
        <f t="shared" si="486"/>
        <v>3719255</v>
      </c>
      <c r="AG255" s="16"/>
      <c r="AH255" s="16"/>
      <c r="AI255" s="16">
        <v>499466</v>
      </c>
      <c r="AJ255" s="16">
        <v>1878942</v>
      </c>
      <c r="AK255" s="16"/>
      <c r="AL255" s="16">
        <v>107917</v>
      </c>
      <c r="AM255" s="16"/>
      <c r="AN255" s="16">
        <v>21800</v>
      </c>
      <c r="AO255" s="16">
        <v>381400</v>
      </c>
      <c r="AP255" s="16"/>
      <c r="AQ255" s="16">
        <v>2000</v>
      </c>
      <c r="AR255" s="16"/>
      <c r="AS255" s="16"/>
      <c r="AT255" s="16">
        <v>40000</v>
      </c>
      <c r="AU255" s="16">
        <v>120640</v>
      </c>
      <c r="AV255" s="16"/>
      <c r="AW255" s="16"/>
      <c r="AX255" s="16">
        <v>17446</v>
      </c>
      <c r="AY255" s="16"/>
      <c r="AZ255" s="16"/>
      <c r="BA255" s="16"/>
      <c r="BB255" s="16">
        <v>649644</v>
      </c>
      <c r="BC255" s="11">
        <f t="shared" si="487"/>
        <v>0</v>
      </c>
      <c r="BD255" s="11">
        <f t="shared" si="488"/>
        <v>0</v>
      </c>
      <c r="BE255" s="11">
        <v>0</v>
      </c>
      <c r="BF255" s="11">
        <v>0</v>
      </c>
      <c r="BG255" s="11">
        <v>0</v>
      </c>
      <c r="BH255" s="11">
        <f t="shared" si="449"/>
        <v>0</v>
      </c>
      <c r="BI255" s="11">
        <v>0</v>
      </c>
      <c r="BJ255" s="11">
        <v>0</v>
      </c>
      <c r="BK255" s="11">
        <v>0</v>
      </c>
      <c r="BL255" s="11">
        <v>0</v>
      </c>
      <c r="BM255" s="11">
        <v>0</v>
      </c>
      <c r="BN255" s="11">
        <f t="shared" si="450"/>
        <v>0</v>
      </c>
      <c r="BO255" s="11">
        <v>0</v>
      </c>
      <c r="BP255" s="11">
        <f t="shared" si="451"/>
        <v>0</v>
      </c>
      <c r="BQ255" s="11">
        <v>0</v>
      </c>
      <c r="BR255" s="11">
        <v>0</v>
      </c>
      <c r="BS255" s="11">
        <v>0</v>
      </c>
      <c r="BT255" s="11">
        <v>0</v>
      </c>
      <c r="BU255" s="11">
        <v>0</v>
      </c>
      <c r="BV255" s="11">
        <v>0</v>
      </c>
      <c r="BW255" s="11">
        <v>0</v>
      </c>
      <c r="BX255" s="11">
        <v>0</v>
      </c>
      <c r="BY255" s="11">
        <v>0</v>
      </c>
      <c r="BZ255" s="11">
        <v>0</v>
      </c>
      <c r="CA255" s="11">
        <v>0</v>
      </c>
      <c r="CB255" s="11">
        <f t="shared" si="489"/>
        <v>1753864</v>
      </c>
      <c r="CC255" s="11">
        <f t="shared" si="490"/>
        <v>1753864</v>
      </c>
      <c r="CD255" s="11">
        <f t="shared" si="452"/>
        <v>1713864</v>
      </c>
      <c r="CE255" s="16"/>
      <c r="CF255" s="16">
        <v>1713864</v>
      </c>
      <c r="CG255" s="11">
        <f t="shared" si="491"/>
        <v>0</v>
      </c>
      <c r="CH255" s="11">
        <v>0</v>
      </c>
      <c r="CI255" s="11">
        <v>0</v>
      </c>
      <c r="CJ255" s="11">
        <v>0</v>
      </c>
      <c r="CK255" s="11">
        <v>0</v>
      </c>
      <c r="CL255" s="11">
        <f t="shared" si="492"/>
        <v>40000</v>
      </c>
      <c r="CM255" s="11">
        <v>0</v>
      </c>
      <c r="CN255" s="16">
        <v>40000</v>
      </c>
      <c r="CO255" s="11">
        <v>0</v>
      </c>
      <c r="CP255" s="11"/>
      <c r="CQ255" s="11">
        <v>0</v>
      </c>
      <c r="CR255" s="11"/>
      <c r="CS255" s="11"/>
      <c r="CT255" s="11">
        <v>0</v>
      </c>
      <c r="CU255" s="11">
        <f t="shared" si="453"/>
        <v>0</v>
      </c>
      <c r="CV255" s="11">
        <f t="shared" si="454"/>
        <v>0</v>
      </c>
      <c r="CW255" s="11">
        <v>0</v>
      </c>
      <c r="CX255" s="12">
        <v>0</v>
      </c>
    </row>
    <row r="256" spans="1:102" ht="31.5" x14ac:dyDescent="0.25">
      <c r="A256" s="13" t="s">
        <v>1</v>
      </c>
      <c r="B256" s="14" t="s">
        <v>1</v>
      </c>
      <c r="C256" s="14" t="s">
        <v>101</v>
      </c>
      <c r="D256" s="15" t="s">
        <v>398</v>
      </c>
      <c r="E256" s="10">
        <f t="shared" si="482"/>
        <v>4079738</v>
      </c>
      <c r="F256" s="11">
        <f t="shared" si="483"/>
        <v>3838614</v>
      </c>
      <c r="G256" s="11">
        <f t="shared" si="484"/>
        <v>3838614</v>
      </c>
      <c r="H256" s="16">
        <v>1286859</v>
      </c>
      <c r="I256" s="16">
        <v>323115</v>
      </c>
      <c r="J256" s="11">
        <f t="shared" si="446"/>
        <v>1161792</v>
      </c>
      <c r="K256" s="16">
        <v>459848</v>
      </c>
      <c r="L256" s="16">
        <v>22052</v>
      </c>
      <c r="M256" s="16">
        <v>55000</v>
      </c>
      <c r="N256" s="16">
        <v>0</v>
      </c>
      <c r="O256" s="16">
        <v>183747</v>
      </c>
      <c r="P256" s="16">
        <v>441145</v>
      </c>
      <c r="Q256" s="11">
        <f t="shared" si="447"/>
        <v>26359</v>
      </c>
      <c r="R256" s="16">
        <v>17799</v>
      </c>
      <c r="S256" s="16">
        <v>8560</v>
      </c>
      <c r="T256" s="16"/>
      <c r="U256" s="16">
        <v>45319</v>
      </c>
      <c r="V256" s="11">
        <f t="shared" si="485"/>
        <v>301849</v>
      </c>
      <c r="W256" s="16">
        <v>25360</v>
      </c>
      <c r="X256" s="16">
        <v>78530</v>
      </c>
      <c r="Y256" s="16">
        <v>139969</v>
      </c>
      <c r="Z256" s="16">
        <v>44698</v>
      </c>
      <c r="AA256" s="16">
        <v>8972</v>
      </c>
      <c r="AB256" s="16">
        <v>0</v>
      </c>
      <c r="AC256" s="16">
        <v>0</v>
      </c>
      <c r="AD256" s="16">
        <v>4320</v>
      </c>
      <c r="AE256" s="11"/>
      <c r="AF256" s="11">
        <f t="shared" si="486"/>
        <v>693321</v>
      </c>
      <c r="AG256" s="16"/>
      <c r="AH256" s="16"/>
      <c r="AI256" s="16">
        <v>66357</v>
      </c>
      <c r="AJ256" s="16">
        <v>290104</v>
      </c>
      <c r="AK256" s="16"/>
      <c r="AL256" s="16">
        <v>41043</v>
      </c>
      <c r="AM256" s="16"/>
      <c r="AN256" s="16">
        <v>1300</v>
      </c>
      <c r="AO256" s="16">
        <v>10000</v>
      </c>
      <c r="AP256" s="16"/>
      <c r="AQ256" s="16"/>
      <c r="AR256" s="16"/>
      <c r="AS256" s="16"/>
      <c r="AT256" s="16">
        <v>5000</v>
      </c>
      <c r="AU256" s="16">
        <v>89412</v>
      </c>
      <c r="AV256" s="16"/>
      <c r="AW256" s="16"/>
      <c r="AX256" s="16"/>
      <c r="AY256" s="16"/>
      <c r="AZ256" s="16"/>
      <c r="BA256" s="16"/>
      <c r="BB256" s="16">
        <v>190105</v>
      </c>
      <c r="BC256" s="11">
        <f t="shared" si="487"/>
        <v>0</v>
      </c>
      <c r="BD256" s="11">
        <f t="shared" si="488"/>
        <v>0</v>
      </c>
      <c r="BE256" s="11">
        <v>0</v>
      </c>
      <c r="BF256" s="11">
        <v>0</v>
      </c>
      <c r="BG256" s="11">
        <v>0</v>
      </c>
      <c r="BH256" s="11">
        <f t="shared" si="449"/>
        <v>0</v>
      </c>
      <c r="BI256" s="11">
        <v>0</v>
      </c>
      <c r="BJ256" s="11">
        <v>0</v>
      </c>
      <c r="BK256" s="11">
        <v>0</v>
      </c>
      <c r="BL256" s="11">
        <v>0</v>
      </c>
      <c r="BM256" s="11">
        <v>0</v>
      </c>
      <c r="BN256" s="11">
        <f t="shared" si="450"/>
        <v>0</v>
      </c>
      <c r="BO256" s="11">
        <v>0</v>
      </c>
      <c r="BP256" s="11">
        <f t="shared" si="451"/>
        <v>0</v>
      </c>
      <c r="BQ256" s="11">
        <v>0</v>
      </c>
      <c r="BR256" s="11">
        <v>0</v>
      </c>
      <c r="BS256" s="11">
        <v>0</v>
      </c>
      <c r="BT256" s="11">
        <v>0</v>
      </c>
      <c r="BU256" s="11">
        <v>0</v>
      </c>
      <c r="BV256" s="11">
        <v>0</v>
      </c>
      <c r="BW256" s="11">
        <v>0</v>
      </c>
      <c r="BX256" s="11">
        <v>0</v>
      </c>
      <c r="BY256" s="11">
        <v>0</v>
      </c>
      <c r="BZ256" s="11">
        <v>0</v>
      </c>
      <c r="CA256" s="11">
        <v>0</v>
      </c>
      <c r="CB256" s="11">
        <f t="shared" si="489"/>
        <v>241124</v>
      </c>
      <c r="CC256" s="11">
        <f t="shared" si="490"/>
        <v>241124</v>
      </c>
      <c r="CD256" s="11">
        <f t="shared" si="452"/>
        <v>241124</v>
      </c>
      <c r="CE256" s="16"/>
      <c r="CF256" s="16">
        <v>241124</v>
      </c>
      <c r="CG256" s="11">
        <f t="shared" si="491"/>
        <v>0</v>
      </c>
      <c r="CH256" s="11">
        <v>0</v>
      </c>
      <c r="CI256" s="11">
        <v>0</v>
      </c>
      <c r="CJ256" s="11">
        <v>0</v>
      </c>
      <c r="CK256" s="11">
        <v>0</v>
      </c>
      <c r="CL256" s="11">
        <f t="shared" si="492"/>
        <v>0</v>
      </c>
      <c r="CM256" s="11">
        <v>0</v>
      </c>
      <c r="CN256" s="16"/>
      <c r="CO256" s="11">
        <v>0</v>
      </c>
      <c r="CP256" s="11"/>
      <c r="CQ256" s="11">
        <v>0</v>
      </c>
      <c r="CR256" s="11"/>
      <c r="CS256" s="11"/>
      <c r="CT256" s="11">
        <v>0</v>
      </c>
      <c r="CU256" s="11">
        <f t="shared" si="453"/>
        <v>0</v>
      </c>
      <c r="CV256" s="11">
        <f t="shared" si="454"/>
        <v>0</v>
      </c>
      <c r="CW256" s="11">
        <v>0</v>
      </c>
      <c r="CX256" s="12">
        <v>0</v>
      </c>
    </row>
    <row r="257" spans="1:102" ht="31.5" x14ac:dyDescent="0.25">
      <c r="A257" s="13" t="s">
        <v>1</v>
      </c>
      <c r="B257" s="14" t="s">
        <v>1</v>
      </c>
      <c r="C257" s="14" t="s">
        <v>103</v>
      </c>
      <c r="D257" s="15" t="s">
        <v>399</v>
      </c>
      <c r="E257" s="10">
        <f t="shared" si="482"/>
        <v>8786810</v>
      </c>
      <c r="F257" s="11">
        <f t="shared" si="483"/>
        <v>8373111</v>
      </c>
      <c r="G257" s="11">
        <f t="shared" si="484"/>
        <v>8373111</v>
      </c>
      <c r="H257" s="16">
        <v>2571353</v>
      </c>
      <c r="I257" s="16">
        <v>613297</v>
      </c>
      <c r="J257" s="11">
        <f t="shared" si="446"/>
        <v>2409728</v>
      </c>
      <c r="K257" s="16">
        <v>35036</v>
      </c>
      <c r="L257" s="16">
        <v>24537</v>
      </c>
      <c r="M257" s="16">
        <v>1085354</v>
      </c>
      <c r="N257" s="16">
        <v>0</v>
      </c>
      <c r="O257" s="16">
        <v>608454</v>
      </c>
      <c r="P257" s="16">
        <v>656347</v>
      </c>
      <c r="Q257" s="11">
        <f t="shared" si="447"/>
        <v>43326</v>
      </c>
      <c r="R257" s="16">
        <v>43326</v>
      </c>
      <c r="S257" s="16"/>
      <c r="T257" s="16"/>
      <c r="U257" s="16">
        <v>116558</v>
      </c>
      <c r="V257" s="11">
        <f t="shared" si="485"/>
        <v>1484626</v>
      </c>
      <c r="W257" s="16">
        <v>54518</v>
      </c>
      <c r="X257" s="16">
        <v>788046</v>
      </c>
      <c r="Y257" s="16">
        <v>398813</v>
      </c>
      <c r="Z257" s="16">
        <v>166061</v>
      </c>
      <c r="AA257" s="16">
        <v>76944</v>
      </c>
      <c r="AB257" s="16">
        <v>0</v>
      </c>
      <c r="AC257" s="16">
        <v>0</v>
      </c>
      <c r="AD257" s="16">
        <v>244</v>
      </c>
      <c r="AE257" s="11"/>
      <c r="AF257" s="11">
        <f t="shared" si="486"/>
        <v>1134223</v>
      </c>
      <c r="AG257" s="16"/>
      <c r="AH257" s="16"/>
      <c r="AI257" s="16">
        <v>105484</v>
      </c>
      <c r="AJ257" s="16">
        <v>304409</v>
      </c>
      <c r="AK257" s="16">
        <v>57380</v>
      </c>
      <c r="AL257" s="16">
        <v>68120</v>
      </c>
      <c r="AM257" s="16"/>
      <c r="AN257" s="16">
        <v>10875</v>
      </c>
      <c r="AO257" s="16">
        <v>66016</v>
      </c>
      <c r="AP257" s="16"/>
      <c r="AQ257" s="16">
        <v>1500</v>
      </c>
      <c r="AR257" s="16"/>
      <c r="AS257" s="16"/>
      <c r="AT257" s="16"/>
      <c r="AU257" s="16">
        <v>0</v>
      </c>
      <c r="AV257" s="16"/>
      <c r="AW257" s="16"/>
      <c r="AX257" s="16"/>
      <c r="AY257" s="16"/>
      <c r="AZ257" s="16"/>
      <c r="BA257" s="16"/>
      <c r="BB257" s="16">
        <v>520439</v>
      </c>
      <c r="BC257" s="11">
        <f t="shared" si="487"/>
        <v>0</v>
      </c>
      <c r="BD257" s="11">
        <f t="shared" si="488"/>
        <v>0</v>
      </c>
      <c r="BE257" s="11">
        <v>0</v>
      </c>
      <c r="BF257" s="11">
        <v>0</v>
      </c>
      <c r="BG257" s="11">
        <v>0</v>
      </c>
      <c r="BH257" s="11">
        <f t="shared" si="449"/>
        <v>0</v>
      </c>
      <c r="BI257" s="11">
        <v>0</v>
      </c>
      <c r="BJ257" s="11">
        <v>0</v>
      </c>
      <c r="BK257" s="11">
        <v>0</v>
      </c>
      <c r="BL257" s="11">
        <v>0</v>
      </c>
      <c r="BM257" s="11">
        <v>0</v>
      </c>
      <c r="BN257" s="11">
        <f t="shared" si="450"/>
        <v>0</v>
      </c>
      <c r="BO257" s="11">
        <v>0</v>
      </c>
      <c r="BP257" s="11">
        <f t="shared" si="451"/>
        <v>0</v>
      </c>
      <c r="BQ257" s="11">
        <v>0</v>
      </c>
      <c r="BR257" s="11">
        <v>0</v>
      </c>
      <c r="BS257" s="11">
        <v>0</v>
      </c>
      <c r="BT257" s="11">
        <v>0</v>
      </c>
      <c r="BU257" s="11">
        <v>0</v>
      </c>
      <c r="BV257" s="11">
        <v>0</v>
      </c>
      <c r="BW257" s="11">
        <v>0</v>
      </c>
      <c r="BX257" s="11">
        <v>0</v>
      </c>
      <c r="BY257" s="11">
        <v>0</v>
      </c>
      <c r="BZ257" s="11">
        <v>0</v>
      </c>
      <c r="CA257" s="11">
        <v>0</v>
      </c>
      <c r="CB257" s="11">
        <f t="shared" si="489"/>
        <v>413699</v>
      </c>
      <c r="CC257" s="11">
        <f t="shared" si="490"/>
        <v>413699</v>
      </c>
      <c r="CD257" s="11">
        <f t="shared" si="452"/>
        <v>319043</v>
      </c>
      <c r="CE257" s="16"/>
      <c r="CF257" s="16">
        <v>319043</v>
      </c>
      <c r="CG257" s="11">
        <f t="shared" si="491"/>
        <v>0</v>
      </c>
      <c r="CH257" s="11">
        <v>0</v>
      </c>
      <c r="CI257" s="11">
        <v>0</v>
      </c>
      <c r="CJ257" s="11">
        <v>0</v>
      </c>
      <c r="CK257" s="11">
        <v>0</v>
      </c>
      <c r="CL257" s="11">
        <f t="shared" si="492"/>
        <v>94656</v>
      </c>
      <c r="CM257" s="11">
        <v>0</v>
      </c>
      <c r="CN257" s="16">
        <v>94656</v>
      </c>
      <c r="CO257" s="11">
        <v>0</v>
      </c>
      <c r="CP257" s="11"/>
      <c r="CQ257" s="11">
        <v>0</v>
      </c>
      <c r="CR257" s="11"/>
      <c r="CS257" s="11"/>
      <c r="CT257" s="11">
        <v>0</v>
      </c>
      <c r="CU257" s="11">
        <f t="shared" si="453"/>
        <v>0</v>
      </c>
      <c r="CV257" s="11">
        <f t="shared" si="454"/>
        <v>0</v>
      </c>
      <c r="CW257" s="11">
        <v>0</v>
      </c>
      <c r="CX257" s="12">
        <v>0</v>
      </c>
    </row>
    <row r="258" spans="1:102" ht="31.5" x14ac:dyDescent="0.25">
      <c r="A258" s="13" t="s">
        <v>1</v>
      </c>
      <c r="B258" s="14" t="s">
        <v>1</v>
      </c>
      <c r="C258" s="14" t="s">
        <v>105</v>
      </c>
      <c r="D258" s="15" t="s">
        <v>400</v>
      </c>
      <c r="E258" s="10">
        <f t="shared" si="482"/>
        <v>1038276</v>
      </c>
      <c r="F258" s="11">
        <f t="shared" si="483"/>
        <v>1010349</v>
      </c>
      <c r="G258" s="11">
        <f t="shared" si="484"/>
        <v>1010349</v>
      </c>
      <c r="H258" s="16">
        <v>315524</v>
      </c>
      <c r="I258" s="16">
        <v>74281</v>
      </c>
      <c r="J258" s="11">
        <f t="shared" si="446"/>
        <v>2793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2793</v>
      </c>
      <c r="Q258" s="11">
        <f t="shared" si="447"/>
        <v>0</v>
      </c>
      <c r="R258" s="16"/>
      <c r="S258" s="16"/>
      <c r="T258" s="16"/>
      <c r="U258" s="16">
        <v>8891</v>
      </c>
      <c r="V258" s="11">
        <f t="shared" si="485"/>
        <v>5155</v>
      </c>
      <c r="W258" s="16">
        <v>737</v>
      </c>
      <c r="X258" s="16">
        <v>2224</v>
      </c>
      <c r="Y258" s="16">
        <v>1889</v>
      </c>
      <c r="Z258" s="16">
        <v>305</v>
      </c>
      <c r="AA258" s="16">
        <v>0</v>
      </c>
      <c r="AB258" s="16">
        <v>0</v>
      </c>
      <c r="AC258" s="16">
        <v>0</v>
      </c>
      <c r="AD258" s="16">
        <v>0</v>
      </c>
      <c r="AE258" s="11"/>
      <c r="AF258" s="11">
        <f t="shared" si="486"/>
        <v>603705</v>
      </c>
      <c r="AG258" s="16"/>
      <c r="AH258" s="16"/>
      <c r="AI258" s="16"/>
      <c r="AJ258" s="16"/>
      <c r="AK258" s="16"/>
      <c r="AL258" s="16"/>
      <c r="AM258" s="16"/>
      <c r="AN258" s="16">
        <v>2793</v>
      </c>
      <c r="AO258" s="16">
        <v>600752</v>
      </c>
      <c r="AP258" s="16"/>
      <c r="AQ258" s="16"/>
      <c r="AR258" s="16"/>
      <c r="AS258" s="16"/>
      <c r="AT258" s="16"/>
      <c r="AU258" s="16">
        <v>160</v>
      </c>
      <c r="AV258" s="16"/>
      <c r="AW258" s="16"/>
      <c r="AX258" s="16"/>
      <c r="AY258" s="16"/>
      <c r="AZ258" s="16"/>
      <c r="BA258" s="16"/>
      <c r="BB258" s="16">
        <v>0</v>
      </c>
      <c r="BC258" s="11">
        <f t="shared" si="487"/>
        <v>0</v>
      </c>
      <c r="BD258" s="11">
        <f t="shared" si="488"/>
        <v>0</v>
      </c>
      <c r="BE258" s="11">
        <v>0</v>
      </c>
      <c r="BF258" s="11">
        <v>0</v>
      </c>
      <c r="BG258" s="11">
        <v>0</v>
      </c>
      <c r="BH258" s="11">
        <f t="shared" si="449"/>
        <v>0</v>
      </c>
      <c r="BI258" s="11">
        <v>0</v>
      </c>
      <c r="BJ258" s="11">
        <v>0</v>
      </c>
      <c r="BK258" s="11">
        <v>0</v>
      </c>
      <c r="BL258" s="11">
        <v>0</v>
      </c>
      <c r="BM258" s="11">
        <v>0</v>
      </c>
      <c r="BN258" s="11">
        <f t="shared" si="450"/>
        <v>0</v>
      </c>
      <c r="BO258" s="11">
        <v>0</v>
      </c>
      <c r="BP258" s="11">
        <f t="shared" si="451"/>
        <v>0</v>
      </c>
      <c r="BQ258" s="11">
        <v>0</v>
      </c>
      <c r="BR258" s="11">
        <v>0</v>
      </c>
      <c r="BS258" s="11">
        <v>0</v>
      </c>
      <c r="BT258" s="11">
        <v>0</v>
      </c>
      <c r="BU258" s="11">
        <v>0</v>
      </c>
      <c r="BV258" s="11">
        <v>0</v>
      </c>
      <c r="BW258" s="11">
        <v>0</v>
      </c>
      <c r="BX258" s="11">
        <v>0</v>
      </c>
      <c r="BY258" s="11">
        <v>0</v>
      </c>
      <c r="BZ258" s="11">
        <v>0</v>
      </c>
      <c r="CA258" s="11">
        <v>0</v>
      </c>
      <c r="CB258" s="11">
        <f t="shared" si="489"/>
        <v>27927</v>
      </c>
      <c r="CC258" s="11">
        <f t="shared" si="490"/>
        <v>27927</v>
      </c>
      <c r="CD258" s="11">
        <f t="shared" si="452"/>
        <v>27927</v>
      </c>
      <c r="CE258" s="16"/>
      <c r="CF258" s="16">
        <v>27927</v>
      </c>
      <c r="CG258" s="11">
        <f t="shared" si="491"/>
        <v>0</v>
      </c>
      <c r="CH258" s="11">
        <v>0</v>
      </c>
      <c r="CI258" s="11">
        <v>0</v>
      </c>
      <c r="CJ258" s="11">
        <v>0</v>
      </c>
      <c r="CK258" s="11">
        <v>0</v>
      </c>
      <c r="CL258" s="11">
        <f t="shared" si="492"/>
        <v>0</v>
      </c>
      <c r="CM258" s="11">
        <v>0</v>
      </c>
      <c r="CN258" s="16"/>
      <c r="CO258" s="11">
        <v>0</v>
      </c>
      <c r="CP258" s="11"/>
      <c r="CQ258" s="11">
        <v>0</v>
      </c>
      <c r="CR258" s="11">
        <v>0</v>
      </c>
      <c r="CS258" s="11">
        <v>0</v>
      </c>
      <c r="CT258" s="11">
        <v>0</v>
      </c>
      <c r="CU258" s="11">
        <f t="shared" si="453"/>
        <v>0</v>
      </c>
      <c r="CV258" s="11">
        <f t="shared" si="454"/>
        <v>0</v>
      </c>
      <c r="CW258" s="11">
        <v>0</v>
      </c>
      <c r="CX258" s="12">
        <v>0</v>
      </c>
    </row>
    <row r="259" spans="1:102" ht="15.75" x14ac:dyDescent="0.25">
      <c r="A259" s="13" t="s">
        <v>1</v>
      </c>
      <c r="B259" s="14" t="s">
        <v>1</v>
      </c>
      <c r="C259" s="14" t="s">
        <v>185</v>
      </c>
      <c r="D259" s="15" t="s">
        <v>401</v>
      </c>
      <c r="E259" s="10">
        <f t="shared" si="482"/>
        <v>49381842</v>
      </c>
      <c r="F259" s="11">
        <f t="shared" si="483"/>
        <v>45733393</v>
      </c>
      <c r="G259" s="11">
        <f t="shared" si="484"/>
        <v>45733393</v>
      </c>
      <c r="H259" s="16">
        <v>30019387</v>
      </c>
      <c r="I259" s="16">
        <v>2746748</v>
      </c>
      <c r="J259" s="11">
        <f t="shared" si="446"/>
        <v>8006648</v>
      </c>
      <c r="K259" s="16">
        <v>20000</v>
      </c>
      <c r="L259" s="16">
        <v>1734945</v>
      </c>
      <c r="M259" s="16">
        <v>460000</v>
      </c>
      <c r="N259" s="16">
        <v>0</v>
      </c>
      <c r="O259" s="16">
        <v>2451317</v>
      </c>
      <c r="P259" s="16">
        <v>3340386</v>
      </c>
      <c r="Q259" s="11">
        <f t="shared" si="447"/>
        <v>149185</v>
      </c>
      <c r="R259" s="16">
        <v>61185</v>
      </c>
      <c r="S259" s="16">
        <v>88000</v>
      </c>
      <c r="T259" s="16"/>
      <c r="U259" s="16">
        <v>455412</v>
      </c>
      <c r="V259" s="11">
        <f t="shared" si="485"/>
        <v>551214</v>
      </c>
      <c r="W259" s="16">
        <v>103699</v>
      </c>
      <c r="X259" s="16">
        <v>132644</v>
      </c>
      <c r="Y259" s="16">
        <v>141997</v>
      </c>
      <c r="Z259" s="16">
        <v>110714</v>
      </c>
      <c r="AA259" s="16">
        <v>32564</v>
      </c>
      <c r="AB259" s="16">
        <v>16724</v>
      </c>
      <c r="AC259" s="16">
        <v>0</v>
      </c>
      <c r="AD259" s="16">
        <v>12872</v>
      </c>
      <c r="AE259" s="11"/>
      <c r="AF259" s="11">
        <f t="shared" si="486"/>
        <v>3804799</v>
      </c>
      <c r="AG259" s="16"/>
      <c r="AH259" s="16"/>
      <c r="AI259" s="16">
        <v>182100</v>
      </c>
      <c r="AJ259" s="16">
        <v>1080698</v>
      </c>
      <c r="AK259" s="16">
        <v>50461</v>
      </c>
      <c r="AL259" s="16">
        <v>55809</v>
      </c>
      <c r="AM259" s="16">
        <v>11582</v>
      </c>
      <c r="AN259" s="16">
        <v>77308</v>
      </c>
      <c r="AO259" s="16">
        <v>38306</v>
      </c>
      <c r="AP259" s="16"/>
      <c r="AQ259" s="16"/>
      <c r="AR259" s="16"/>
      <c r="AS259" s="16"/>
      <c r="AT259" s="16"/>
      <c r="AU259" s="16">
        <v>149400</v>
      </c>
      <c r="AV259" s="16"/>
      <c r="AW259" s="16"/>
      <c r="AX259" s="16"/>
      <c r="AY259" s="16">
        <v>1583791</v>
      </c>
      <c r="AZ259" s="16"/>
      <c r="BA259" s="16"/>
      <c r="BB259" s="16">
        <v>575344</v>
      </c>
      <c r="BC259" s="11">
        <f t="shared" si="487"/>
        <v>0</v>
      </c>
      <c r="BD259" s="11">
        <f t="shared" si="488"/>
        <v>0</v>
      </c>
      <c r="BE259" s="11">
        <v>0</v>
      </c>
      <c r="BF259" s="11">
        <v>0</v>
      </c>
      <c r="BG259" s="11">
        <v>0</v>
      </c>
      <c r="BH259" s="11">
        <f t="shared" si="449"/>
        <v>0</v>
      </c>
      <c r="BI259" s="11">
        <v>0</v>
      </c>
      <c r="BJ259" s="11">
        <v>0</v>
      </c>
      <c r="BK259" s="11">
        <v>0</v>
      </c>
      <c r="BL259" s="11">
        <v>0</v>
      </c>
      <c r="BM259" s="11">
        <v>0</v>
      </c>
      <c r="BN259" s="11">
        <f t="shared" si="450"/>
        <v>0</v>
      </c>
      <c r="BO259" s="11">
        <v>0</v>
      </c>
      <c r="BP259" s="11">
        <f t="shared" si="451"/>
        <v>0</v>
      </c>
      <c r="BQ259" s="11">
        <v>0</v>
      </c>
      <c r="BR259" s="11">
        <v>0</v>
      </c>
      <c r="BS259" s="11">
        <v>0</v>
      </c>
      <c r="BT259" s="11">
        <v>0</v>
      </c>
      <c r="BU259" s="11">
        <v>0</v>
      </c>
      <c r="BV259" s="11">
        <v>0</v>
      </c>
      <c r="BW259" s="11">
        <v>0</v>
      </c>
      <c r="BX259" s="11">
        <v>0</v>
      </c>
      <c r="BY259" s="11">
        <v>0</v>
      </c>
      <c r="BZ259" s="11">
        <v>0</v>
      </c>
      <c r="CA259" s="11">
        <v>0</v>
      </c>
      <c r="CB259" s="11">
        <f t="shared" si="489"/>
        <v>3648449</v>
      </c>
      <c r="CC259" s="11">
        <f t="shared" si="490"/>
        <v>3648449</v>
      </c>
      <c r="CD259" s="11">
        <f t="shared" si="452"/>
        <v>1682827</v>
      </c>
      <c r="CE259" s="16"/>
      <c r="CF259" s="16">
        <v>1682827</v>
      </c>
      <c r="CG259" s="11">
        <f t="shared" si="491"/>
        <v>1000000</v>
      </c>
      <c r="CH259" s="11">
        <v>0</v>
      </c>
      <c r="CI259" s="11">
        <v>0</v>
      </c>
      <c r="CJ259" s="11">
        <v>1000000</v>
      </c>
      <c r="CK259" s="11"/>
      <c r="CL259" s="11">
        <f t="shared" si="492"/>
        <v>965622</v>
      </c>
      <c r="CM259" s="11">
        <v>0</v>
      </c>
      <c r="CN259" s="16"/>
      <c r="CO259" s="11">
        <v>965622</v>
      </c>
      <c r="CP259" s="11"/>
      <c r="CQ259" s="11">
        <v>0</v>
      </c>
      <c r="CR259" s="11">
        <v>0</v>
      </c>
      <c r="CS259" s="11">
        <v>0</v>
      </c>
      <c r="CT259" s="11">
        <v>0</v>
      </c>
      <c r="CU259" s="11">
        <f t="shared" si="453"/>
        <v>0</v>
      </c>
      <c r="CV259" s="11">
        <f t="shared" si="454"/>
        <v>0</v>
      </c>
      <c r="CW259" s="11">
        <v>0</v>
      </c>
      <c r="CX259" s="12">
        <v>0</v>
      </c>
    </row>
    <row r="260" spans="1:102" ht="31.5" x14ac:dyDescent="0.25">
      <c r="A260" s="13" t="s">
        <v>1</v>
      </c>
      <c r="B260" s="14" t="s">
        <v>1</v>
      </c>
      <c r="C260" s="14" t="s">
        <v>109</v>
      </c>
      <c r="D260" s="15" t="s">
        <v>402</v>
      </c>
      <c r="E260" s="10">
        <f t="shared" si="482"/>
        <v>3005682</v>
      </c>
      <c r="F260" s="11">
        <f t="shared" si="483"/>
        <v>2648895</v>
      </c>
      <c r="G260" s="11">
        <f t="shared" si="484"/>
        <v>2648895</v>
      </c>
      <c r="H260" s="16">
        <v>961852</v>
      </c>
      <c r="I260" s="16">
        <v>240464</v>
      </c>
      <c r="J260" s="11">
        <f>SUM(K260:P260)</f>
        <v>355425</v>
      </c>
      <c r="K260" s="16">
        <v>0</v>
      </c>
      <c r="L260" s="16">
        <v>0</v>
      </c>
      <c r="M260" s="16">
        <v>0</v>
      </c>
      <c r="N260" s="16">
        <v>0</v>
      </c>
      <c r="O260" s="16">
        <v>230698</v>
      </c>
      <c r="P260" s="16">
        <v>124727</v>
      </c>
      <c r="Q260" s="11">
        <f>SUM(R260:S260)</f>
        <v>55000</v>
      </c>
      <c r="R260" s="16">
        <v>0</v>
      </c>
      <c r="S260" s="16">
        <v>55000</v>
      </c>
      <c r="T260" s="16">
        <v>25000</v>
      </c>
      <c r="U260" s="16">
        <v>35120</v>
      </c>
      <c r="V260" s="11">
        <f t="shared" si="485"/>
        <v>25558</v>
      </c>
      <c r="W260" s="16">
        <v>0</v>
      </c>
      <c r="X260" s="16">
        <v>0</v>
      </c>
      <c r="Y260" s="16">
        <v>0</v>
      </c>
      <c r="Z260" s="16">
        <v>0</v>
      </c>
      <c r="AA260" s="16">
        <v>23200</v>
      </c>
      <c r="AB260" s="16">
        <v>0</v>
      </c>
      <c r="AC260" s="16">
        <v>0</v>
      </c>
      <c r="AD260" s="16">
        <v>2358</v>
      </c>
      <c r="AE260" s="11"/>
      <c r="AF260" s="11">
        <f t="shared" si="486"/>
        <v>950476</v>
      </c>
      <c r="AG260" s="16">
        <v>480000</v>
      </c>
      <c r="AH260" s="16"/>
      <c r="AI260" s="16">
        <v>21197</v>
      </c>
      <c r="AJ260" s="16">
        <v>55200</v>
      </c>
      <c r="AK260" s="16"/>
      <c r="AL260" s="16">
        <v>20267</v>
      </c>
      <c r="AM260" s="16"/>
      <c r="AN260" s="16">
        <v>6900</v>
      </c>
      <c r="AO260" s="16">
        <v>29500</v>
      </c>
      <c r="AP260" s="16"/>
      <c r="AQ260" s="16"/>
      <c r="AR260" s="16"/>
      <c r="AS260" s="16"/>
      <c r="AT260" s="16"/>
      <c r="AU260" s="16">
        <v>12000</v>
      </c>
      <c r="AV260" s="16"/>
      <c r="AW260" s="16"/>
      <c r="AX260" s="16"/>
      <c r="AY260" s="16"/>
      <c r="AZ260" s="16"/>
      <c r="BA260" s="16"/>
      <c r="BB260" s="16">
        <v>325412</v>
      </c>
      <c r="BC260" s="11">
        <f t="shared" si="487"/>
        <v>0</v>
      </c>
      <c r="BD260" s="11">
        <f t="shared" si="488"/>
        <v>0</v>
      </c>
      <c r="BE260" s="11">
        <v>0</v>
      </c>
      <c r="BF260" s="11">
        <v>0</v>
      </c>
      <c r="BG260" s="11">
        <v>0</v>
      </c>
      <c r="BH260" s="11">
        <f>SUM(BJ260:BK260)</f>
        <v>0</v>
      </c>
      <c r="BI260" s="11">
        <v>0</v>
      </c>
      <c r="BJ260" s="11">
        <v>0</v>
      </c>
      <c r="BK260" s="11">
        <v>0</v>
      </c>
      <c r="BL260" s="11">
        <v>0</v>
      </c>
      <c r="BM260" s="11">
        <v>0</v>
      </c>
      <c r="BN260" s="11">
        <f>SUM(BO260)</f>
        <v>0</v>
      </c>
      <c r="BO260" s="11">
        <v>0</v>
      </c>
      <c r="BP260" s="11">
        <f>SUM(BQ260:CA260)</f>
        <v>0</v>
      </c>
      <c r="BQ260" s="11">
        <v>0</v>
      </c>
      <c r="BR260" s="11">
        <v>0</v>
      </c>
      <c r="BS260" s="11">
        <v>0</v>
      </c>
      <c r="BT260" s="11">
        <v>0</v>
      </c>
      <c r="BU260" s="11">
        <v>0</v>
      </c>
      <c r="BV260" s="11">
        <v>0</v>
      </c>
      <c r="BW260" s="11">
        <v>0</v>
      </c>
      <c r="BX260" s="11">
        <v>0</v>
      </c>
      <c r="BY260" s="11">
        <v>0</v>
      </c>
      <c r="BZ260" s="11">
        <v>0</v>
      </c>
      <c r="CA260" s="11">
        <v>0</v>
      </c>
      <c r="CB260" s="11">
        <f t="shared" si="489"/>
        <v>356787</v>
      </c>
      <c r="CC260" s="11">
        <f t="shared" si="490"/>
        <v>356787</v>
      </c>
      <c r="CD260" s="11">
        <f>SUM(CE260:CF260)</f>
        <v>240000</v>
      </c>
      <c r="CE260" s="16"/>
      <c r="CF260" s="16">
        <v>240000</v>
      </c>
      <c r="CG260" s="11">
        <f t="shared" si="491"/>
        <v>0</v>
      </c>
      <c r="CH260" s="11">
        <v>0</v>
      </c>
      <c r="CI260" s="11">
        <v>0</v>
      </c>
      <c r="CJ260" s="11">
        <v>0</v>
      </c>
      <c r="CK260" s="11">
        <v>0</v>
      </c>
      <c r="CL260" s="11">
        <f t="shared" si="492"/>
        <v>116787</v>
      </c>
      <c r="CM260" s="11">
        <v>0</v>
      </c>
      <c r="CN260" s="16">
        <v>116787</v>
      </c>
      <c r="CO260" s="11">
        <v>0</v>
      </c>
      <c r="CP260" s="11"/>
      <c r="CQ260" s="11">
        <v>0</v>
      </c>
      <c r="CR260" s="11">
        <v>0</v>
      </c>
      <c r="CS260" s="11">
        <v>0</v>
      </c>
      <c r="CT260" s="11">
        <v>0</v>
      </c>
      <c r="CU260" s="11">
        <f>SUM(CV260)</f>
        <v>0</v>
      </c>
      <c r="CV260" s="11">
        <f>SUM(CW260:CX260)</f>
        <v>0</v>
      </c>
      <c r="CW260" s="11">
        <v>0</v>
      </c>
      <c r="CX260" s="12">
        <v>0</v>
      </c>
    </row>
    <row r="261" spans="1:102" ht="31.5" x14ac:dyDescent="0.25">
      <c r="A261" s="13" t="s">
        <v>1</v>
      </c>
      <c r="B261" s="14" t="s">
        <v>1</v>
      </c>
      <c r="C261" s="14" t="s">
        <v>109</v>
      </c>
      <c r="D261" s="15" t="s">
        <v>403</v>
      </c>
      <c r="E261" s="10">
        <f t="shared" si="482"/>
        <v>15824907</v>
      </c>
      <c r="F261" s="11">
        <f t="shared" si="483"/>
        <v>15086088</v>
      </c>
      <c r="G261" s="11">
        <f t="shared" si="484"/>
        <v>15086088</v>
      </c>
      <c r="H261" s="16">
        <v>6974229</v>
      </c>
      <c r="I261" s="16">
        <v>1741558</v>
      </c>
      <c r="J261" s="11">
        <f t="shared" si="446"/>
        <v>3294023</v>
      </c>
      <c r="K261" s="16">
        <v>1500000</v>
      </c>
      <c r="L261" s="16">
        <v>50000</v>
      </c>
      <c r="M261" s="16">
        <v>5000</v>
      </c>
      <c r="N261" s="16">
        <v>0</v>
      </c>
      <c r="O261" s="16">
        <v>967000</v>
      </c>
      <c r="P261" s="16">
        <v>772023</v>
      </c>
      <c r="Q261" s="11">
        <f t="shared" si="447"/>
        <v>141526</v>
      </c>
      <c r="R261" s="16">
        <v>400</v>
      </c>
      <c r="S261" s="16">
        <v>141126</v>
      </c>
      <c r="T261" s="16">
        <v>0</v>
      </c>
      <c r="U261" s="16">
        <v>210227</v>
      </c>
      <c r="V261" s="11">
        <f t="shared" si="485"/>
        <v>289082</v>
      </c>
      <c r="W261" s="16">
        <v>0</v>
      </c>
      <c r="X261" s="16">
        <v>82596</v>
      </c>
      <c r="Y261" s="16">
        <v>99422</v>
      </c>
      <c r="Z261" s="16">
        <v>8975</v>
      </c>
      <c r="AA261" s="16">
        <v>26818</v>
      </c>
      <c r="AB261" s="16">
        <v>50000</v>
      </c>
      <c r="AC261" s="16">
        <v>0</v>
      </c>
      <c r="AD261" s="16">
        <v>21271</v>
      </c>
      <c r="AE261" s="11"/>
      <c r="AF261" s="11">
        <f t="shared" si="486"/>
        <v>2435443</v>
      </c>
      <c r="AG261" s="16"/>
      <c r="AH261" s="16"/>
      <c r="AI261" s="16">
        <v>170000</v>
      </c>
      <c r="AJ261" s="16">
        <v>1195487</v>
      </c>
      <c r="AK261" s="16"/>
      <c r="AL261" s="16">
        <v>71562</v>
      </c>
      <c r="AM261" s="16"/>
      <c r="AN261" s="16">
        <v>71126</v>
      </c>
      <c r="AO261" s="16">
        <v>400000</v>
      </c>
      <c r="AP261" s="16"/>
      <c r="AQ261" s="16"/>
      <c r="AR261" s="16"/>
      <c r="AS261" s="16"/>
      <c r="AT261" s="16">
        <v>71589</v>
      </c>
      <c r="AU261" s="16"/>
      <c r="AV261" s="16"/>
      <c r="AW261" s="16"/>
      <c r="AX261" s="16"/>
      <c r="AY261" s="16"/>
      <c r="AZ261" s="16"/>
      <c r="BA261" s="16"/>
      <c r="BB261" s="16">
        <v>455679</v>
      </c>
      <c r="BC261" s="11">
        <f t="shared" si="487"/>
        <v>0</v>
      </c>
      <c r="BD261" s="11">
        <f t="shared" si="488"/>
        <v>0</v>
      </c>
      <c r="BE261" s="11">
        <v>0</v>
      </c>
      <c r="BF261" s="11">
        <v>0</v>
      </c>
      <c r="BG261" s="11">
        <v>0</v>
      </c>
      <c r="BH261" s="11">
        <f t="shared" si="449"/>
        <v>0</v>
      </c>
      <c r="BI261" s="11">
        <v>0</v>
      </c>
      <c r="BJ261" s="11">
        <v>0</v>
      </c>
      <c r="BK261" s="11">
        <v>0</v>
      </c>
      <c r="BL261" s="11">
        <v>0</v>
      </c>
      <c r="BM261" s="11">
        <v>0</v>
      </c>
      <c r="BN261" s="11">
        <f t="shared" si="450"/>
        <v>0</v>
      </c>
      <c r="BO261" s="11">
        <v>0</v>
      </c>
      <c r="BP261" s="11">
        <f t="shared" si="451"/>
        <v>0</v>
      </c>
      <c r="BQ261" s="11">
        <v>0</v>
      </c>
      <c r="BR261" s="11">
        <v>0</v>
      </c>
      <c r="BS261" s="11">
        <v>0</v>
      </c>
      <c r="BT261" s="11">
        <v>0</v>
      </c>
      <c r="BU261" s="11">
        <v>0</v>
      </c>
      <c r="BV261" s="11">
        <v>0</v>
      </c>
      <c r="BW261" s="11">
        <v>0</v>
      </c>
      <c r="BX261" s="11">
        <v>0</v>
      </c>
      <c r="BY261" s="11">
        <v>0</v>
      </c>
      <c r="BZ261" s="11">
        <v>0</v>
      </c>
      <c r="CA261" s="11">
        <v>0</v>
      </c>
      <c r="CB261" s="11">
        <f t="shared" si="489"/>
        <v>738819</v>
      </c>
      <c r="CC261" s="11">
        <f t="shared" si="490"/>
        <v>738819</v>
      </c>
      <c r="CD261" s="11">
        <f t="shared" si="452"/>
        <v>738819</v>
      </c>
      <c r="CE261" s="16"/>
      <c r="CF261" s="16">
        <v>738819</v>
      </c>
      <c r="CG261" s="11">
        <f t="shared" si="491"/>
        <v>0</v>
      </c>
      <c r="CH261" s="11">
        <v>0</v>
      </c>
      <c r="CI261" s="11">
        <v>0</v>
      </c>
      <c r="CJ261" s="11">
        <v>0</v>
      </c>
      <c r="CK261" s="11">
        <v>0</v>
      </c>
      <c r="CL261" s="11">
        <f t="shared" si="492"/>
        <v>0</v>
      </c>
      <c r="CM261" s="11">
        <v>0</v>
      </c>
      <c r="CN261" s="16"/>
      <c r="CO261" s="11">
        <v>0</v>
      </c>
      <c r="CP261" s="11"/>
      <c r="CQ261" s="11">
        <v>0</v>
      </c>
      <c r="CR261" s="11">
        <v>0</v>
      </c>
      <c r="CS261" s="11">
        <v>0</v>
      </c>
      <c r="CT261" s="11">
        <v>0</v>
      </c>
      <c r="CU261" s="11">
        <f t="shared" si="453"/>
        <v>0</v>
      </c>
      <c r="CV261" s="11">
        <f t="shared" si="454"/>
        <v>0</v>
      </c>
      <c r="CW261" s="11">
        <v>0</v>
      </c>
      <c r="CX261" s="12">
        <v>0</v>
      </c>
    </row>
    <row r="262" spans="1:102" ht="31.5" x14ac:dyDescent="0.25">
      <c r="A262" s="13" t="s">
        <v>1</v>
      </c>
      <c r="B262" s="14" t="s">
        <v>1</v>
      </c>
      <c r="C262" s="14" t="s">
        <v>109</v>
      </c>
      <c r="D262" s="15" t="s">
        <v>404</v>
      </c>
      <c r="E262" s="10">
        <f t="shared" si="482"/>
        <v>135629</v>
      </c>
      <c r="F262" s="11">
        <f t="shared" si="483"/>
        <v>130629</v>
      </c>
      <c r="G262" s="11">
        <f t="shared" si="484"/>
        <v>130629</v>
      </c>
      <c r="H262" s="16">
        <v>8000</v>
      </c>
      <c r="I262" s="16">
        <v>2000</v>
      </c>
      <c r="J262" s="11">
        <f>SUM(K262:P262)</f>
        <v>79129</v>
      </c>
      <c r="K262" s="16">
        <v>0</v>
      </c>
      <c r="L262" s="16">
        <v>4379</v>
      </c>
      <c r="M262" s="16">
        <v>9960</v>
      </c>
      <c r="N262" s="16">
        <v>2500</v>
      </c>
      <c r="O262" s="16">
        <v>27784</v>
      </c>
      <c r="P262" s="16">
        <v>34506</v>
      </c>
      <c r="Q262" s="11">
        <f>SUM(R262:S262)</f>
        <v>2345</v>
      </c>
      <c r="R262" s="16">
        <v>2345</v>
      </c>
      <c r="S262" s="16">
        <v>0</v>
      </c>
      <c r="T262" s="16">
        <v>0</v>
      </c>
      <c r="U262" s="16">
        <v>15052</v>
      </c>
      <c r="V262" s="11">
        <f t="shared" si="485"/>
        <v>12631</v>
      </c>
      <c r="W262" s="16">
        <v>2000</v>
      </c>
      <c r="X262" s="16">
        <v>0</v>
      </c>
      <c r="Y262" s="16">
        <v>0</v>
      </c>
      <c r="Z262" s="16">
        <v>4247</v>
      </c>
      <c r="AA262" s="16">
        <v>1500</v>
      </c>
      <c r="AB262" s="16">
        <v>1440</v>
      </c>
      <c r="AC262" s="16">
        <v>0</v>
      </c>
      <c r="AD262" s="16">
        <v>3444</v>
      </c>
      <c r="AE262" s="11"/>
      <c r="AF262" s="11">
        <f t="shared" si="486"/>
        <v>11472</v>
      </c>
      <c r="AG262" s="16"/>
      <c r="AH262" s="16"/>
      <c r="AI262" s="16">
        <v>172</v>
      </c>
      <c r="AJ262" s="16"/>
      <c r="AK262" s="16"/>
      <c r="AL262" s="16">
        <v>1592</v>
      </c>
      <c r="AM262" s="16"/>
      <c r="AN262" s="16">
        <v>1300</v>
      </c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>
        <v>8408</v>
      </c>
      <c r="BC262" s="11">
        <f t="shared" si="487"/>
        <v>0</v>
      </c>
      <c r="BD262" s="11">
        <f t="shared" si="488"/>
        <v>0</v>
      </c>
      <c r="BE262" s="11">
        <v>0</v>
      </c>
      <c r="BF262" s="11">
        <v>0</v>
      </c>
      <c r="BG262" s="11">
        <v>0</v>
      </c>
      <c r="BH262" s="11">
        <f>SUM(BJ262:BK262)</f>
        <v>0</v>
      </c>
      <c r="BI262" s="11">
        <v>0</v>
      </c>
      <c r="BJ262" s="11">
        <v>0</v>
      </c>
      <c r="BK262" s="11">
        <v>0</v>
      </c>
      <c r="BL262" s="11">
        <v>0</v>
      </c>
      <c r="BM262" s="11">
        <v>0</v>
      </c>
      <c r="BN262" s="11">
        <f>SUM(BO262)</f>
        <v>0</v>
      </c>
      <c r="BO262" s="11">
        <v>0</v>
      </c>
      <c r="BP262" s="11">
        <f>SUM(BQ262:CA262)</f>
        <v>0</v>
      </c>
      <c r="BQ262" s="11">
        <v>0</v>
      </c>
      <c r="BR262" s="11">
        <v>0</v>
      </c>
      <c r="BS262" s="11">
        <v>0</v>
      </c>
      <c r="BT262" s="11">
        <v>0</v>
      </c>
      <c r="BU262" s="11">
        <v>0</v>
      </c>
      <c r="BV262" s="11">
        <v>0</v>
      </c>
      <c r="BW262" s="11">
        <v>0</v>
      </c>
      <c r="BX262" s="11">
        <v>0</v>
      </c>
      <c r="BY262" s="11">
        <v>0</v>
      </c>
      <c r="BZ262" s="11">
        <v>0</v>
      </c>
      <c r="CA262" s="11">
        <v>0</v>
      </c>
      <c r="CB262" s="11">
        <f t="shared" si="489"/>
        <v>5000</v>
      </c>
      <c r="CC262" s="11">
        <f t="shared" si="490"/>
        <v>5000</v>
      </c>
      <c r="CD262" s="11">
        <f>SUM(CE262:CF262)</f>
        <v>5000</v>
      </c>
      <c r="CE262" s="16"/>
      <c r="CF262" s="16">
        <v>5000</v>
      </c>
      <c r="CG262" s="11">
        <f t="shared" si="491"/>
        <v>0</v>
      </c>
      <c r="CH262" s="11">
        <v>0</v>
      </c>
      <c r="CI262" s="11">
        <v>0</v>
      </c>
      <c r="CJ262" s="11">
        <v>0</v>
      </c>
      <c r="CK262" s="11">
        <v>0</v>
      </c>
      <c r="CL262" s="11">
        <f t="shared" si="492"/>
        <v>0</v>
      </c>
      <c r="CM262" s="11">
        <v>0</v>
      </c>
      <c r="CN262" s="16"/>
      <c r="CO262" s="11">
        <v>0</v>
      </c>
      <c r="CP262" s="11"/>
      <c r="CQ262" s="11">
        <v>0</v>
      </c>
      <c r="CR262" s="11">
        <v>0</v>
      </c>
      <c r="CS262" s="11">
        <v>0</v>
      </c>
      <c r="CT262" s="11">
        <v>0</v>
      </c>
      <c r="CU262" s="11">
        <f>SUM(CV262)</f>
        <v>0</v>
      </c>
      <c r="CV262" s="11">
        <f>SUM(CW262:CX262)</f>
        <v>0</v>
      </c>
      <c r="CW262" s="11">
        <v>0</v>
      </c>
      <c r="CX262" s="12">
        <v>0</v>
      </c>
    </row>
    <row r="263" spans="1:102" ht="15.75" x14ac:dyDescent="0.25">
      <c r="A263" s="13" t="s">
        <v>1</v>
      </c>
      <c r="B263" s="14" t="s">
        <v>1</v>
      </c>
      <c r="C263" s="14" t="s">
        <v>405</v>
      </c>
      <c r="D263" s="15" t="s">
        <v>406</v>
      </c>
      <c r="E263" s="10">
        <f t="shared" si="482"/>
        <v>2900000</v>
      </c>
      <c r="F263" s="11">
        <f t="shared" si="483"/>
        <v>2860227</v>
      </c>
      <c r="G263" s="11">
        <f t="shared" si="484"/>
        <v>2860227</v>
      </c>
      <c r="H263" s="16">
        <v>1780000</v>
      </c>
      <c r="I263" s="16">
        <v>424860</v>
      </c>
      <c r="J263" s="11">
        <f t="shared" si="446"/>
        <v>370000</v>
      </c>
      <c r="K263" s="16">
        <v>0</v>
      </c>
      <c r="L263" s="16">
        <v>0</v>
      </c>
      <c r="M263" s="16">
        <v>0</v>
      </c>
      <c r="N263" s="16">
        <v>0</v>
      </c>
      <c r="O263" s="16">
        <v>120000</v>
      </c>
      <c r="P263" s="16">
        <v>250000</v>
      </c>
      <c r="Q263" s="11">
        <f t="shared" si="447"/>
        <v>0</v>
      </c>
      <c r="R263" s="16">
        <v>0</v>
      </c>
      <c r="S263" s="16">
        <v>0</v>
      </c>
      <c r="T263" s="16">
        <v>0</v>
      </c>
      <c r="U263" s="16">
        <v>30000</v>
      </c>
      <c r="V263" s="11">
        <f t="shared" si="485"/>
        <v>82367</v>
      </c>
      <c r="W263" s="16">
        <v>0</v>
      </c>
      <c r="X263" s="16">
        <v>49631</v>
      </c>
      <c r="Y263" s="16">
        <v>22870</v>
      </c>
      <c r="Z263" s="16">
        <v>3866</v>
      </c>
      <c r="AA263" s="16">
        <v>6000</v>
      </c>
      <c r="AB263" s="16">
        <v>0</v>
      </c>
      <c r="AC263" s="16">
        <v>0</v>
      </c>
      <c r="AD263" s="16">
        <v>0</v>
      </c>
      <c r="AE263" s="11"/>
      <c r="AF263" s="11">
        <f t="shared" si="486"/>
        <v>173000</v>
      </c>
      <c r="AG263" s="16"/>
      <c r="AH263" s="16"/>
      <c r="AI263" s="16">
        <v>20000</v>
      </c>
      <c r="AJ263" s="16">
        <v>80000</v>
      </c>
      <c r="AK263" s="16"/>
      <c r="AL263" s="16">
        <v>3000</v>
      </c>
      <c r="AM263" s="16"/>
      <c r="AN263" s="16">
        <v>15000</v>
      </c>
      <c r="AO263" s="16"/>
      <c r="AP263" s="16"/>
      <c r="AQ263" s="16"/>
      <c r="AR263" s="16"/>
      <c r="AS263" s="16"/>
      <c r="AT263" s="16"/>
      <c r="AU263" s="16">
        <v>5000</v>
      </c>
      <c r="AV263" s="16"/>
      <c r="AW263" s="16"/>
      <c r="AX263" s="16"/>
      <c r="AY263" s="16"/>
      <c r="AZ263" s="16"/>
      <c r="BA263" s="16"/>
      <c r="BB263" s="16">
        <v>50000</v>
      </c>
      <c r="BC263" s="11">
        <f t="shared" si="487"/>
        <v>0</v>
      </c>
      <c r="BD263" s="11">
        <f t="shared" si="488"/>
        <v>0</v>
      </c>
      <c r="BE263" s="11">
        <v>0</v>
      </c>
      <c r="BF263" s="11">
        <v>0</v>
      </c>
      <c r="BG263" s="11">
        <v>0</v>
      </c>
      <c r="BH263" s="11">
        <f t="shared" si="449"/>
        <v>0</v>
      </c>
      <c r="BI263" s="11">
        <v>0</v>
      </c>
      <c r="BJ263" s="11">
        <v>0</v>
      </c>
      <c r="BK263" s="11">
        <v>0</v>
      </c>
      <c r="BL263" s="11">
        <v>0</v>
      </c>
      <c r="BM263" s="11">
        <v>0</v>
      </c>
      <c r="BN263" s="11">
        <f t="shared" si="450"/>
        <v>0</v>
      </c>
      <c r="BO263" s="11">
        <v>0</v>
      </c>
      <c r="BP263" s="11">
        <f t="shared" si="451"/>
        <v>0</v>
      </c>
      <c r="BQ263" s="11">
        <v>0</v>
      </c>
      <c r="BR263" s="11">
        <v>0</v>
      </c>
      <c r="BS263" s="11">
        <v>0</v>
      </c>
      <c r="BT263" s="11">
        <v>0</v>
      </c>
      <c r="BU263" s="11">
        <v>0</v>
      </c>
      <c r="BV263" s="11">
        <v>0</v>
      </c>
      <c r="BW263" s="11">
        <v>0</v>
      </c>
      <c r="BX263" s="11">
        <v>0</v>
      </c>
      <c r="BY263" s="11">
        <v>0</v>
      </c>
      <c r="BZ263" s="11">
        <v>0</v>
      </c>
      <c r="CA263" s="11">
        <v>0</v>
      </c>
      <c r="CB263" s="11">
        <f t="shared" si="489"/>
        <v>39773</v>
      </c>
      <c r="CC263" s="11">
        <f t="shared" si="490"/>
        <v>39773</v>
      </c>
      <c r="CD263" s="11">
        <f t="shared" si="452"/>
        <v>39773</v>
      </c>
      <c r="CE263" s="16"/>
      <c r="CF263" s="16">
        <v>39773</v>
      </c>
      <c r="CG263" s="11">
        <f t="shared" si="491"/>
        <v>0</v>
      </c>
      <c r="CH263" s="11">
        <v>0</v>
      </c>
      <c r="CI263" s="11">
        <v>0</v>
      </c>
      <c r="CJ263" s="11">
        <v>0</v>
      </c>
      <c r="CK263" s="11">
        <v>0</v>
      </c>
      <c r="CL263" s="11">
        <f t="shared" si="492"/>
        <v>0</v>
      </c>
      <c r="CM263" s="11">
        <v>0</v>
      </c>
      <c r="CN263" s="16"/>
      <c r="CO263" s="11">
        <v>0</v>
      </c>
      <c r="CP263" s="11"/>
      <c r="CQ263" s="11">
        <v>0</v>
      </c>
      <c r="CR263" s="11">
        <v>0</v>
      </c>
      <c r="CS263" s="11">
        <v>0</v>
      </c>
      <c r="CT263" s="11">
        <v>0</v>
      </c>
      <c r="CU263" s="11">
        <f t="shared" si="453"/>
        <v>0</v>
      </c>
      <c r="CV263" s="11">
        <f t="shared" si="454"/>
        <v>0</v>
      </c>
      <c r="CW263" s="11">
        <v>0</v>
      </c>
      <c r="CX263" s="12">
        <v>0</v>
      </c>
    </row>
    <row r="264" spans="1:102" ht="31.5" x14ac:dyDescent="0.25">
      <c r="A264" s="13" t="s">
        <v>1</v>
      </c>
      <c r="B264" s="14" t="s">
        <v>1</v>
      </c>
      <c r="C264" s="14" t="s">
        <v>224</v>
      </c>
      <c r="D264" s="15" t="s">
        <v>493</v>
      </c>
      <c r="E264" s="10">
        <f t="shared" si="482"/>
        <v>7500000</v>
      </c>
      <c r="F264" s="11">
        <f t="shared" si="483"/>
        <v>7500000</v>
      </c>
      <c r="G264" s="11">
        <f t="shared" si="484"/>
        <v>7500000</v>
      </c>
      <c r="H264" s="16"/>
      <c r="I264" s="16"/>
      <c r="J264" s="11">
        <f>SUM(K264:P264)</f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1">
        <f>SUM(R264:S264)</f>
        <v>0</v>
      </c>
      <c r="R264" s="16">
        <v>0</v>
      </c>
      <c r="S264" s="16">
        <v>0</v>
      </c>
      <c r="T264" s="16">
        <v>0</v>
      </c>
      <c r="U264" s="16">
        <v>0</v>
      </c>
      <c r="V264" s="11">
        <f t="shared" si="485"/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1"/>
      <c r="AF264" s="11">
        <f t="shared" si="486"/>
        <v>7500000</v>
      </c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>
        <v>7500000</v>
      </c>
      <c r="BC264" s="11">
        <f t="shared" si="487"/>
        <v>0</v>
      </c>
      <c r="BD264" s="11">
        <f t="shared" si="488"/>
        <v>0</v>
      </c>
      <c r="BE264" s="11">
        <v>0</v>
      </c>
      <c r="BF264" s="11">
        <v>0</v>
      </c>
      <c r="BG264" s="11">
        <v>0</v>
      </c>
      <c r="BH264" s="11">
        <f>SUM(BJ264:BK264)</f>
        <v>0</v>
      </c>
      <c r="BI264" s="11">
        <v>0</v>
      </c>
      <c r="BJ264" s="11">
        <v>0</v>
      </c>
      <c r="BK264" s="11">
        <v>0</v>
      </c>
      <c r="BL264" s="11">
        <v>0</v>
      </c>
      <c r="BM264" s="11">
        <v>0</v>
      </c>
      <c r="BN264" s="11">
        <f>SUM(BO264)</f>
        <v>0</v>
      </c>
      <c r="BO264" s="11">
        <v>0</v>
      </c>
      <c r="BP264" s="11">
        <f>SUM(BQ264:CA264)</f>
        <v>0</v>
      </c>
      <c r="BQ264" s="11">
        <v>0</v>
      </c>
      <c r="BR264" s="11">
        <v>0</v>
      </c>
      <c r="BS264" s="11">
        <v>0</v>
      </c>
      <c r="BT264" s="11">
        <v>0</v>
      </c>
      <c r="BU264" s="11">
        <v>0</v>
      </c>
      <c r="BV264" s="11">
        <v>0</v>
      </c>
      <c r="BW264" s="11">
        <v>0</v>
      </c>
      <c r="BX264" s="11">
        <v>0</v>
      </c>
      <c r="BY264" s="11">
        <v>0</v>
      </c>
      <c r="BZ264" s="11">
        <v>0</v>
      </c>
      <c r="CA264" s="11">
        <v>0</v>
      </c>
      <c r="CB264" s="11">
        <f t="shared" si="489"/>
        <v>0</v>
      </c>
      <c r="CC264" s="11">
        <f t="shared" si="490"/>
        <v>0</v>
      </c>
      <c r="CD264" s="11">
        <f>SUM(CE264:CF264)</f>
        <v>0</v>
      </c>
      <c r="CE264" s="16"/>
      <c r="CF264" s="16"/>
      <c r="CG264" s="11">
        <f t="shared" si="491"/>
        <v>0</v>
      </c>
      <c r="CH264" s="11">
        <v>0</v>
      </c>
      <c r="CI264" s="11">
        <v>0</v>
      </c>
      <c r="CJ264" s="11">
        <v>0</v>
      </c>
      <c r="CK264" s="11">
        <v>0</v>
      </c>
      <c r="CL264" s="11">
        <f t="shared" si="492"/>
        <v>0</v>
      </c>
      <c r="CM264" s="11">
        <v>0</v>
      </c>
      <c r="CN264" s="16"/>
      <c r="CO264" s="11">
        <v>0</v>
      </c>
      <c r="CP264" s="11"/>
      <c r="CQ264" s="11">
        <v>0</v>
      </c>
      <c r="CR264" s="11">
        <v>0</v>
      </c>
      <c r="CS264" s="11">
        <v>0</v>
      </c>
      <c r="CT264" s="11">
        <v>0</v>
      </c>
      <c r="CU264" s="11">
        <f>SUM(CV264)</f>
        <v>0</v>
      </c>
      <c r="CV264" s="11">
        <f>SUM(CW264:CX264)</f>
        <v>0</v>
      </c>
      <c r="CW264" s="11">
        <v>0</v>
      </c>
      <c r="CX264" s="12">
        <v>0</v>
      </c>
    </row>
    <row r="265" spans="1:102" ht="15.75" x14ac:dyDescent="0.25">
      <c r="A265" s="13" t="s">
        <v>1</v>
      </c>
      <c r="B265" s="14" t="s">
        <v>1</v>
      </c>
      <c r="C265" s="14" t="s">
        <v>224</v>
      </c>
      <c r="D265" s="15" t="s">
        <v>407</v>
      </c>
      <c r="E265" s="10">
        <f t="shared" si="482"/>
        <v>47995828</v>
      </c>
      <c r="F265" s="11">
        <f t="shared" si="483"/>
        <v>42503108</v>
      </c>
      <c r="G265" s="11">
        <f t="shared" si="484"/>
        <v>42498108</v>
      </c>
      <c r="H265" s="16">
        <v>25635014</v>
      </c>
      <c r="I265" s="16">
        <v>6408754</v>
      </c>
      <c r="J265" s="11">
        <f t="shared" si="446"/>
        <v>3361850</v>
      </c>
      <c r="K265" s="16">
        <v>34000</v>
      </c>
      <c r="L265" s="16">
        <v>150000</v>
      </c>
      <c r="M265" s="16">
        <v>579500</v>
      </c>
      <c r="N265" s="16">
        <v>0</v>
      </c>
      <c r="O265" s="16">
        <v>912508</v>
      </c>
      <c r="P265" s="16">
        <v>1685842</v>
      </c>
      <c r="Q265" s="11">
        <f t="shared" si="447"/>
        <v>235500</v>
      </c>
      <c r="R265" s="16">
        <v>30500</v>
      </c>
      <c r="S265" s="16">
        <v>205000</v>
      </c>
      <c r="T265" s="16">
        <v>0</v>
      </c>
      <c r="U265" s="16">
        <v>334400</v>
      </c>
      <c r="V265" s="11">
        <f t="shared" si="485"/>
        <v>3023727</v>
      </c>
      <c r="W265" s="16">
        <v>491739</v>
      </c>
      <c r="X265" s="16">
        <v>1520876</v>
      </c>
      <c r="Y265" s="16">
        <v>478299</v>
      </c>
      <c r="Z265" s="16">
        <v>239429</v>
      </c>
      <c r="AA265" s="16">
        <v>133124</v>
      </c>
      <c r="AB265" s="16">
        <v>160000</v>
      </c>
      <c r="AC265" s="16">
        <v>0</v>
      </c>
      <c r="AD265" s="16">
        <v>260</v>
      </c>
      <c r="AE265" s="11"/>
      <c r="AF265" s="11">
        <f t="shared" si="486"/>
        <v>3498863</v>
      </c>
      <c r="AG265" s="16"/>
      <c r="AH265" s="16"/>
      <c r="AI265" s="16">
        <v>307000</v>
      </c>
      <c r="AJ265" s="16">
        <v>555000</v>
      </c>
      <c r="AK265" s="16">
        <v>667717</v>
      </c>
      <c r="AL265" s="16">
        <v>320530</v>
      </c>
      <c r="AM265" s="16"/>
      <c r="AN265" s="16">
        <v>228000</v>
      </c>
      <c r="AO265" s="16">
        <v>469000</v>
      </c>
      <c r="AP265" s="16"/>
      <c r="AQ265" s="16">
        <v>17850</v>
      </c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>
        <v>933766</v>
      </c>
      <c r="BC265" s="11">
        <f t="shared" si="487"/>
        <v>5000</v>
      </c>
      <c r="BD265" s="11">
        <f t="shared" si="488"/>
        <v>0</v>
      </c>
      <c r="BE265" s="11">
        <v>0</v>
      </c>
      <c r="BF265" s="11">
        <v>0</v>
      </c>
      <c r="BG265" s="11">
        <v>0</v>
      </c>
      <c r="BH265" s="11">
        <f t="shared" si="449"/>
        <v>0</v>
      </c>
      <c r="BI265" s="11">
        <v>0</v>
      </c>
      <c r="BJ265" s="11">
        <v>0</v>
      </c>
      <c r="BK265" s="11">
        <v>0</v>
      </c>
      <c r="BL265" s="11">
        <v>0</v>
      </c>
      <c r="BM265" s="11">
        <v>0</v>
      </c>
      <c r="BN265" s="11">
        <f t="shared" si="450"/>
        <v>0</v>
      </c>
      <c r="BO265" s="11">
        <v>0</v>
      </c>
      <c r="BP265" s="11">
        <f t="shared" si="451"/>
        <v>5000</v>
      </c>
      <c r="BQ265" s="11">
        <v>0</v>
      </c>
      <c r="BR265" s="11">
        <v>0</v>
      </c>
      <c r="BS265" s="11">
        <v>5000</v>
      </c>
      <c r="BT265" s="11">
        <v>0</v>
      </c>
      <c r="BU265" s="11">
        <v>0</v>
      </c>
      <c r="BV265" s="11">
        <v>0</v>
      </c>
      <c r="BW265" s="11">
        <v>0</v>
      </c>
      <c r="BX265" s="11">
        <v>0</v>
      </c>
      <c r="BY265" s="11">
        <v>0</v>
      </c>
      <c r="BZ265" s="11">
        <v>0</v>
      </c>
      <c r="CA265" s="11">
        <v>0</v>
      </c>
      <c r="CB265" s="11">
        <f t="shared" si="489"/>
        <v>5492720</v>
      </c>
      <c r="CC265" s="11">
        <f t="shared" si="490"/>
        <v>5492720</v>
      </c>
      <c r="CD265" s="11">
        <f t="shared" si="452"/>
        <v>2736860</v>
      </c>
      <c r="CE265" s="16"/>
      <c r="CF265" s="16">
        <v>2736860</v>
      </c>
      <c r="CG265" s="11">
        <f t="shared" si="491"/>
        <v>0</v>
      </c>
      <c r="CH265" s="11">
        <v>0</v>
      </c>
      <c r="CI265" s="11">
        <v>0</v>
      </c>
      <c r="CJ265" s="11">
        <v>0</v>
      </c>
      <c r="CK265" s="11">
        <v>0</v>
      </c>
      <c r="CL265" s="11">
        <f t="shared" si="492"/>
        <v>2755860</v>
      </c>
      <c r="CM265" s="11">
        <v>0</v>
      </c>
      <c r="CN265" s="16">
        <v>2755860</v>
      </c>
      <c r="CO265" s="11">
        <v>0</v>
      </c>
      <c r="CP265" s="11"/>
      <c r="CQ265" s="11">
        <v>0</v>
      </c>
      <c r="CR265" s="11"/>
      <c r="CS265" s="11"/>
      <c r="CT265" s="11">
        <v>0</v>
      </c>
      <c r="CU265" s="11">
        <f t="shared" si="453"/>
        <v>0</v>
      </c>
      <c r="CV265" s="11">
        <f t="shared" si="454"/>
        <v>0</v>
      </c>
      <c r="CW265" s="11">
        <v>0</v>
      </c>
      <c r="CX265" s="12">
        <v>0</v>
      </c>
    </row>
    <row r="266" spans="1:102" ht="15.75" x14ac:dyDescent="0.25">
      <c r="A266" s="13" t="s">
        <v>1</v>
      </c>
      <c r="B266" s="14" t="s">
        <v>1</v>
      </c>
      <c r="C266" s="14" t="s">
        <v>188</v>
      </c>
      <c r="D266" s="15" t="s">
        <v>408</v>
      </c>
      <c r="E266" s="10">
        <f t="shared" si="482"/>
        <v>1700000</v>
      </c>
      <c r="F266" s="11">
        <f t="shared" si="483"/>
        <v>1600000</v>
      </c>
      <c r="G266" s="11">
        <f t="shared" si="484"/>
        <v>1600000</v>
      </c>
      <c r="H266" s="16"/>
      <c r="I266" s="16"/>
      <c r="J266" s="11">
        <f t="shared" si="446"/>
        <v>480000</v>
      </c>
      <c r="K266" s="16">
        <v>0</v>
      </c>
      <c r="L266" s="16">
        <v>80000</v>
      </c>
      <c r="M266" s="16">
        <v>0</v>
      </c>
      <c r="N266" s="16">
        <v>0</v>
      </c>
      <c r="O266" s="16">
        <v>100000</v>
      </c>
      <c r="P266" s="16">
        <v>300000</v>
      </c>
      <c r="Q266" s="11">
        <f t="shared" si="447"/>
        <v>0</v>
      </c>
      <c r="R266" s="16">
        <v>0</v>
      </c>
      <c r="S266" s="16">
        <v>0</v>
      </c>
      <c r="T266" s="16">
        <v>0</v>
      </c>
      <c r="U266" s="16">
        <v>50000</v>
      </c>
      <c r="V266" s="11">
        <f t="shared" si="485"/>
        <v>19958</v>
      </c>
      <c r="W266" s="16">
        <v>4550</v>
      </c>
      <c r="X266" s="16">
        <v>5263</v>
      </c>
      <c r="Y266" s="16">
        <v>5014</v>
      </c>
      <c r="Z266" s="16">
        <v>4396</v>
      </c>
      <c r="AA266" s="16">
        <v>656</v>
      </c>
      <c r="AB266" s="16">
        <v>0</v>
      </c>
      <c r="AC266" s="16">
        <v>0</v>
      </c>
      <c r="AD266" s="16">
        <v>79</v>
      </c>
      <c r="AE266" s="11"/>
      <c r="AF266" s="11">
        <f t="shared" si="486"/>
        <v>1050042</v>
      </c>
      <c r="AG266" s="16"/>
      <c r="AH266" s="16"/>
      <c r="AI266" s="16">
        <v>50000</v>
      </c>
      <c r="AJ266" s="16">
        <v>246822</v>
      </c>
      <c r="AK266" s="16"/>
      <c r="AL266" s="16">
        <v>1600</v>
      </c>
      <c r="AM266" s="16"/>
      <c r="AN266" s="16"/>
      <c r="AO266" s="16"/>
      <c r="AP266" s="16">
        <v>10000</v>
      </c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>
        <v>391620</v>
      </c>
      <c r="BB266" s="16">
        <v>350000</v>
      </c>
      <c r="BC266" s="11">
        <f t="shared" si="487"/>
        <v>0</v>
      </c>
      <c r="BD266" s="11">
        <f t="shared" si="488"/>
        <v>0</v>
      </c>
      <c r="BE266" s="11">
        <v>0</v>
      </c>
      <c r="BF266" s="11">
        <v>0</v>
      </c>
      <c r="BG266" s="11">
        <v>0</v>
      </c>
      <c r="BH266" s="11">
        <f t="shared" si="449"/>
        <v>0</v>
      </c>
      <c r="BI266" s="11">
        <v>0</v>
      </c>
      <c r="BJ266" s="11">
        <v>0</v>
      </c>
      <c r="BK266" s="11">
        <v>0</v>
      </c>
      <c r="BL266" s="11">
        <v>0</v>
      </c>
      <c r="BM266" s="11">
        <v>0</v>
      </c>
      <c r="BN266" s="11">
        <f t="shared" si="450"/>
        <v>0</v>
      </c>
      <c r="BO266" s="11">
        <v>0</v>
      </c>
      <c r="BP266" s="11">
        <f t="shared" si="451"/>
        <v>0</v>
      </c>
      <c r="BQ266" s="11">
        <v>0</v>
      </c>
      <c r="BR266" s="11">
        <v>0</v>
      </c>
      <c r="BS266" s="11">
        <v>0</v>
      </c>
      <c r="BT266" s="11">
        <v>0</v>
      </c>
      <c r="BU266" s="11">
        <v>0</v>
      </c>
      <c r="BV266" s="11">
        <v>0</v>
      </c>
      <c r="BW266" s="11">
        <v>0</v>
      </c>
      <c r="BX266" s="11">
        <v>0</v>
      </c>
      <c r="BY266" s="11">
        <v>0</v>
      </c>
      <c r="BZ266" s="11">
        <v>0</v>
      </c>
      <c r="CA266" s="11">
        <v>0</v>
      </c>
      <c r="CB266" s="11">
        <f t="shared" si="489"/>
        <v>100000</v>
      </c>
      <c r="CC266" s="11">
        <f t="shared" si="490"/>
        <v>100000</v>
      </c>
      <c r="CD266" s="11">
        <f t="shared" si="452"/>
        <v>100000</v>
      </c>
      <c r="CE266" s="16"/>
      <c r="CF266" s="16">
        <v>100000</v>
      </c>
      <c r="CG266" s="11">
        <f t="shared" si="491"/>
        <v>0</v>
      </c>
      <c r="CH266" s="11">
        <v>0</v>
      </c>
      <c r="CI266" s="11">
        <v>0</v>
      </c>
      <c r="CJ266" s="11">
        <v>0</v>
      </c>
      <c r="CK266" s="11">
        <v>0</v>
      </c>
      <c r="CL266" s="11">
        <f t="shared" si="492"/>
        <v>0</v>
      </c>
      <c r="CM266" s="11">
        <v>0</v>
      </c>
      <c r="CN266" s="16"/>
      <c r="CO266" s="11">
        <v>0</v>
      </c>
      <c r="CP266" s="11"/>
      <c r="CQ266" s="11">
        <v>0</v>
      </c>
      <c r="CR266" s="11">
        <v>0</v>
      </c>
      <c r="CS266" s="11">
        <v>0</v>
      </c>
      <c r="CT266" s="11">
        <v>0</v>
      </c>
      <c r="CU266" s="11">
        <f t="shared" si="453"/>
        <v>0</v>
      </c>
      <c r="CV266" s="11">
        <f t="shared" si="454"/>
        <v>0</v>
      </c>
      <c r="CW266" s="11">
        <v>0</v>
      </c>
      <c r="CX266" s="12">
        <v>0</v>
      </c>
    </row>
    <row r="267" spans="1:102" ht="15.75" x14ac:dyDescent="0.25">
      <c r="A267" s="13" t="s">
        <v>1</v>
      </c>
      <c r="B267" s="14" t="s">
        <v>1</v>
      </c>
      <c r="C267" s="14" t="s">
        <v>190</v>
      </c>
      <c r="D267" s="15" t="s">
        <v>409</v>
      </c>
      <c r="E267" s="10">
        <f t="shared" si="482"/>
        <v>6609400</v>
      </c>
      <c r="F267" s="11">
        <f t="shared" si="483"/>
        <v>6091020</v>
      </c>
      <c r="G267" s="11">
        <f t="shared" si="484"/>
        <v>6091020</v>
      </c>
      <c r="H267" s="16">
        <v>773073</v>
      </c>
      <c r="I267" s="16">
        <v>167487</v>
      </c>
      <c r="J267" s="11">
        <f t="shared" si="446"/>
        <v>3442555</v>
      </c>
      <c r="K267" s="16">
        <v>60287</v>
      </c>
      <c r="L267" s="16">
        <v>15840</v>
      </c>
      <c r="M267" s="16">
        <v>115440</v>
      </c>
      <c r="N267" s="16">
        <v>0</v>
      </c>
      <c r="O267" s="16">
        <v>920926</v>
      </c>
      <c r="P267" s="16">
        <v>2330062</v>
      </c>
      <c r="Q267" s="11">
        <f t="shared" si="447"/>
        <v>2000</v>
      </c>
      <c r="R267" s="16">
        <v>2000</v>
      </c>
      <c r="S267" s="16">
        <v>0</v>
      </c>
      <c r="T267" s="16">
        <v>0</v>
      </c>
      <c r="U267" s="16">
        <v>15000</v>
      </c>
      <c r="V267" s="11">
        <f t="shared" si="485"/>
        <v>319270</v>
      </c>
      <c r="W267" s="16">
        <v>89600</v>
      </c>
      <c r="X267" s="16">
        <v>0</v>
      </c>
      <c r="Y267" s="16">
        <v>65487</v>
      </c>
      <c r="Z267" s="16">
        <v>41092</v>
      </c>
      <c r="AA267" s="16">
        <v>59379</v>
      </c>
      <c r="AB267" s="16">
        <v>0</v>
      </c>
      <c r="AC267" s="16">
        <v>0</v>
      </c>
      <c r="AD267" s="16">
        <v>63712</v>
      </c>
      <c r="AE267" s="11"/>
      <c r="AF267" s="11">
        <f t="shared" si="486"/>
        <v>1371635</v>
      </c>
      <c r="AG267" s="16"/>
      <c r="AH267" s="16"/>
      <c r="AI267" s="16">
        <v>43000</v>
      </c>
      <c r="AJ267" s="16">
        <v>441816</v>
      </c>
      <c r="AK267" s="16"/>
      <c r="AL267" s="16">
        <v>13350</v>
      </c>
      <c r="AM267" s="16">
        <v>5000</v>
      </c>
      <c r="AN267" s="16"/>
      <c r="AO267" s="16">
        <v>18100</v>
      </c>
      <c r="AP267" s="16"/>
      <c r="AQ267" s="16">
        <v>500</v>
      </c>
      <c r="AR267" s="16"/>
      <c r="AS267" s="16">
        <v>8000</v>
      </c>
      <c r="AT267" s="16"/>
      <c r="AU267" s="16"/>
      <c r="AV267" s="16"/>
      <c r="AW267" s="16"/>
      <c r="AX267" s="16"/>
      <c r="AY267" s="16">
        <v>3895</v>
      </c>
      <c r="AZ267" s="16"/>
      <c r="BA267" s="16"/>
      <c r="BB267" s="16">
        <v>837974</v>
      </c>
      <c r="BC267" s="11">
        <f t="shared" si="487"/>
        <v>0</v>
      </c>
      <c r="BD267" s="11">
        <f t="shared" si="488"/>
        <v>0</v>
      </c>
      <c r="BE267" s="11">
        <v>0</v>
      </c>
      <c r="BF267" s="11">
        <v>0</v>
      </c>
      <c r="BG267" s="11">
        <v>0</v>
      </c>
      <c r="BH267" s="11">
        <f t="shared" si="449"/>
        <v>0</v>
      </c>
      <c r="BI267" s="11">
        <v>0</v>
      </c>
      <c r="BJ267" s="11">
        <v>0</v>
      </c>
      <c r="BK267" s="11">
        <v>0</v>
      </c>
      <c r="BL267" s="11">
        <v>0</v>
      </c>
      <c r="BM267" s="11">
        <v>0</v>
      </c>
      <c r="BN267" s="11">
        <f t="shared" si="450"/>
        <v>0</v>
      </c>
      <c r="BO267" s="11">
        <v>0</v>
      </c>
      <c r="BP267" s="11">
        <f t="shared" si="451"/>
        <v>0</v>
      </c>
      <c r="BQ267" s="11">
        <v>0</v>
      </c>
      <c r="BR267" s="11">
        <v>0</v>
      </c>
      <c r="BS267" s="11">
        <v>0</v>
      </c>
      <c r="BT267" s="11">
        <v>0</v>
      </c>
      <c r="BU267" s="11">
        <v>0</v>
      </c>
      <c r="BV267" s="11">
        <v>0</v>
      </c>
      <c r="BW267" s="11">
        <v>0</v>
      </c>
      <c r="BX267" s="11">
        <v>0</v>
      </c>
      <c r="BY267" s="11">
        <v>0</v>
      </c>
      <c r="BZ267" s="11">
        <v>0</v>
      </c>
      <c r="CA267" s="11">
        <v>0</v>
      </c>
      <c r="CB267" s="11">
        <f t="shared" si="489"/>
        <v>518380</v>
      </c>
      <c r="CC267" s="11">
        <f t="shared" si="490"/>
        <v>518380</v>
      </c>
      <c r="CD267" s="11">
        <f t="shared" si="452"/>
        <v>518380</v>
      </c>
      <c r="CE267" s="16">
        <v>195000</v>
      </c>
      <c r="CF267" s="16">
        <v>323380</v>
      </c>
      <c r="CG267" s="11">
        <f t="shared" si="491"/>
        <v>0</v>
      </c>
      <c r="CH267" s="11">
        <v>0</v>
      </c>
      <c r="CI267" s="11">
        <v>0</v>
      </c>
      <c r="CJ267" s="11">
        <v>0</v>
      </c>
      <c r="CK267" s="11">
        <v>0</v>
      </c>
      <c r="CL267" s="11">
        <f t="shared" si="492"/>
        <v>0</v>
      </c>
      <c r="CM267" s="11">
        <v>0</v>
      </c>
      <c r="CN267" s="16"/>
      <c r="CO267" s="11">
        <v>0</v>
      </c>
      <c r="CP267" s="11"/>
      <c r="CQ267" s="11">
        <v>0</v>
      </c>
      <c r="CR267" s="11">
        <v>0</v>
      </c>
      <c r="CS267" s="11">
        <v>0</v>
      </c>
      <c r="CT267" s="11">
        <v>0</v>
      </c>
      <c r="CU267" s="11">
        <f t="shared" si="453"/>
        <v>0</v>
      </c>
      <c r="CV267" s="11">
        <f t="shared" si="454"/>
        <v>0</v>
      </c>
      <c r="CW267" s="11">
        <v>0</v>
      </c>
      <c r="CX267" s="12">
        <v>0</v>
      </c>
    </row>
    <row r="268" spans="1:102" ht="15.75" x14ac:dyDescent="0.25">
      <c r="A268" s="13" t="s">
        <v>1</v>
      </c>
      <c r="B268" s="14" t="s">
        <v>1</v>
      </c>
      <c r="C268" s="14" t="s">
        <v>111</v>
      </c>
      <c r="D268" s="15" t="s">
        <v>410</v>
      </c>
      <c r="E268" s="10">
        <f t="shared" si="482"/>
        <v>854052</v>
      </c>
      <c r="F268" s="11">
        <f t="shared" si="483"/>
        <v>770508</v>
      </c>
      <c r="G268" s="11">
        <f t="shared" si="484"/>
        <v>770508</v>
      </c>
      <c r="H268" s="16">
        <v>93136</v>
      </c>
      <c r="I268" s="16">
        <v>23284</v>
      </c>
      <c r="J268" s="11">
        <f t="shared" si="446"/>
        <v>366267</v>
      </c>
      <c r="K268" s="16">
        <v>100988</v>
      </c>
      <c r="L268" s="16">
        <v>7752</v>
      </c>
      <c r="M268" s="16">
        <v>0</v>
      </c>
      <c r="N268" s="16">
        <v>0</v>
      </c>
      <c r="O268" s="16">
        <v>0</v>
      </c>
      <c r="P268" s="16">
        <v>257527</v>
      </c>
      <c r="Q268" s="11">
        <f t="shared" si="447"/>
        <v>0</v>
      </c>
      <c r="R268" s="16">
        <v>0</v>
      </c>
      <c r="S268" s="16">
        <v>0</v>
      </c>
      <c r="T268" s="16">
        <v>0</v>
      </c>
      <c r="U268" s="16">
        <v>6388</v>
      </c>
      <c r="V268" s="11">
        <f t="shared" si="485"/>
        <v>97382</v>
      </c>
      <c r="W268" s="16">
        <v>9564</v>
      </c>
      <c r="X268" s="16">
        <v>64611</v>
      </c>
      <c r="Y268" s="16">
        <v>12004</v>
      </c>
      <c r="Z268" s="16">
        <v>9771</v>
      </c>
      <c r="AA268" s="16">
        <v>1432</v>
      </c>
      <c r="AB268" s="16">
        <v>0</v>
      </c>
      <c r="AC268" s="16">
        <v>0</v>
      </c>
      <c r="AD268" s="16">
        <v>0</v>
      </c>
      <c r="AE268" s="11"/>
      <c r="AF268" s="11">
        <f t="shared" si="486"/>
        <v>184051</v>
      </c>
      <c r="AG268" s="16"/>
      <c r="AH268" s="16"/>
      <c r="AI268" s="16">
        <v>10159</v>
      </c>
      <c r="AJ268" s="16">
        <v>80056</v>
      </c>
      <c r="AK268" s="16"/>
      <c r="AL268" s="16">
        <v>592</v>
      </c>
      <c r="AM268" s="16"/>
      <c r="AN268" s="16">
        <v>224</v>
      </c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>
        <v>93020</v>
      </c>
      <c r="BC268" s="11">
        <f t="shared" si="487"/>
        <v>0</v>
      </c>
      <c r="BD268" s="11">
        <f t="shared" si="488"/>
        <v>0</v>
      </c>
      <c r="BE268" s="11">
        <v>0</v>
      </c>
      <c r="BF268" s="11">
        <v>0</v>
      </c>
      <c r="BG268" s="11">
        <v>0</v>
      </c>
      <c r="BH268" s="11">
        <f t="shared" si="449"/>
        <v>0</v>
      </c>
      <c r="BI268" s="11">
        <v>0</v>
      </c>
      <c r="BJ268" s="11">
        <v>0</v>
      </c>
      <c r="BK268" s="11">
        <v>0</v>
      </c>
      <c r="BL268" s="11">
        <v>0</v>
      </c>
      <c r="BM268" s="11">
        <v>0</v>
      </c>
      <c r="BN268" s="11">
        <f t="shared" si="450"/>
        <v>0</v>
      </c>
      <c r="BO268" s="11">
        <v>0</v>
      </c>
      <c r="BP268" s="11">
        <f t="shared" si="451"/>
        <v>0</v>
      </c>
      <c r="BQ268" s="11">
        <v>0</v>
      </c>
      <c r="BR268" s="11">
        <v>0</v>
      </c>
      <c r="BS268" s="11">
        <v>0</v>
      </c>
      <c r="BT268" s="11">
        <v>0</v>
      </c>
      <c r="BU268" s="11">
        <v>0</v>
      </c>
      <c r="BV268" s="11">
        <v>0</v>
      </c>
      <c r="BW268" s="11">
        <v>0</v>
      </c>
      <c r="BX268" s="11">
        <v>0</v>
      </c>
      <c r="BY268" s="11">
        <v>0</v>
      </c>
      <c r="BZ268" s="11">
        <v>0</v>
      </c>
      <c r="CA268" s="11">
        <v>0</v>
      </c>
      <c r="CB268" s="11">
        <f t="shared" si="489"/>
        <v>83544</v>
      </c>
      <c r="CC268" s="11">
        <f t="shared" si="490"/>
        <v>83544</v>
      </c>
      <c r="CD268" s="11">
        <f t="shared" si="452"/>
        <v>83544</v>
      </c>
      <c r="CE268" s="16"/>
      <c r="CF268" s="16">
        <v>83544</v>
      </c>
      <c r="CG268" s="11">
        <f t="shared" si="491"/>
        <v>0</v>
      </c>
      <c r="CH268" s="11">
        <v>0</v>
      </c>
      <c r="CI268" s="11">
        <v>0</v>
      </c>
      <c r="CJ268" s="11">
        <v>0</v>
      </c>
      <c r="CK268" s="11">
        <v>0</v>
      </c>
      <c r="CL268" s="11">
        <f t="shared" si="492"/>
        <v>0</v>
      </c>
      <c r="CM268" s="11">
        <v>0</v>
      </c>
      <c r="CN268" s="16"/>
      <c r="CO268" s="11">
        <v>0</v>
      </c>
      <c r="CP268" s="11"/>
      <c r="CQ268" s="11">
        <v>0</v>
      </c>
      <c r="CR268" s="11">
        <v>0</v>
      </c>
      <c r="CS268" s="11">
        <v>0</v>
      </c>
      <c r="CT268" s="11">
        <v>0</v>
      </c>
      <c r="CU268" s="11">
        <f t="shared" si="453"/>
        <v>0</v>
      </c>
      <c r="CV268" s="11">
        <f t="shared" si="454"/>
        <v>0</v>
      </c>
      <c r="CW268" s="11">
        <v>0</v>
      </c>
      <c r="CX268" s="12">
        <v>0</v>
      </c>
    </row>
    <row r="269" spans="1:102" ht="15.75" x14ac:dyDescent="0.25">
      <c r="A269" s="13" t="s">
        <v>1</v>
      </c>
      <c r="B269" s="14" t="s">
        <v>1</v>
      </c>
      <c r="C269" s="14" t="s">
        <v>113</v>
      </c>
      <c r="D269" s="15" t="s">
        <v>494</v>
      </c>
      <c r="E269" s="10">
        <f t="shared" si="482"/>
        <v>475095</v>
      </c>
      <c r="F269" s="11">
        <f t="shared" si="483"/>
        <v>449945</v>
      </c>
      <c r="G269" s="11">
        <f t="shared" si="484"/>
        <v>449945</v>
      </c>
      <c r="H269" s="16">
        <v>18500</v>
      </c>
      <c r="I269" s="16">
        <v>4625</v>
      </c>
      <c r="J269" s="11">
        <f t="shared" si="446"/>
        <v>131044</v>
      </c>
      <c r="K269" s="16">
        <v>2200</v>
      </c>
      <c r="L269" s="16">
        <v>0</v>
      </c>
      <c r="M269" s="16">
        <v>0</v>
      </c>
      <c r="N269" s="16">
        <v>0</v>
      </c>
      <c r="O269" s="16">
        <v>20660</v>
      </c>
      <c r="P269" s="16">
        <v>108184</v>
      </c>
      <c r="Q269" s="11">
        <f t="shared" si="447"/>
        <v>0</v>
      </c>
      <c r="R269" s="16">
        <v>0</v>
      </c>
      <c r="S269" s="16">
        <v>0</v>
      </c>
      <c r="T269" s="16">
        <v>0</v>
      </c>
      <c r="U269" s="16">
        <v>0</v>
      </c>
      <c r="V269" s="11">
        <f t="shared" si="485"/>
        <v>176695</v>
      </c>
      <c r="W269" s="16">
        <v>3298</v>
      </c>
      <c r="X269" s="16">
        <v>102042</v>
      </c>
      <c r="Y269" s="16">
        <v>26255</v>
      </c>
      <c r="Z269" s="16">
        <v>36791</v>
      </c>
      <c r="AA269" s="16">
        <v>7446</v>
      </c>
      <c r="AB269" s="16">
        <v>0</v>
      </c>
      <c r="AC269" s="16">
        <v>0</v>
      </c>
      <c r="AD269" s="16">
        <v>863</v>
      </c>
      <c r="AE269" s="11"/>
      <c r="AF269" s="11">
        <f t="shared" si="486"/>
        <v>119081</v>
      </c>
      <c r="AG269" s="16"/>
      <c r="AH269" s="16"/>
      <c r="AI269" s="16">
        <v>0</v>
      </c>
      <c r="AJ269" s="16">
        <v>30109</v>
      </c>
      <c r="AK269" s="16">
        <v>3840</v>
      </c>
      <c r="AL269" s="16">
        <v>16000</v>
      </c>
      <c r="AM269" s="16"/>
      <c r="AN269" s="16">
        <v>400</v>
      </c>
      <c r="AO269" s="16">
        <v>4350</v>
      </c>
      <c r="AP269" s="16"/>
      <c r="AQ269" s="16"/>
      <c r="AR269" s="16"/>
      <c r="AS269" s="16"/>
      <c r="AT269" s="16"/>
      <c r="AU269" s="16">
        <v>16900</v>
      </c>
      <c r="AV269" s="16"/>
      <c r="AW269" s="16"/>
      <c r="AX269" s="16"/>
      <c r="AY269" s="16"/>
      <c r="AZ269" s="16"/>
      <c r="BA269" s="16"/>
      <c r="BB269" s="16">
        <v>47482</v>
      </c>
      <c r="BC269" s="11">
        <f t="shared" si="487"/>
        <v>0</v>
      </c>
      <c r="BD269" s="11">
        <f t="shared" si="488"/>
        <v>0</v>
      </c>
      <c r="BE269" s="11">
        <v>0</v>
      </c>
      <c r="BF269" s="11">
        <v>0</v>
      </c>
      <c r="BG269" s="11">
        <v>0</v>
      </c>
      <c r="BH269" s="11">
        <f t="shared" si="449"/>
        <v>0</v>
      </c>
      <c r="BI269" s="11">
        <v>0</v>
      </c>
      <c r="BJ269" s="11">
        <v>0</v>
      </c>
      <c r="BK269" s="11">
        <v>0</v>
      </c>
      <c r="BL269" s="11">
        <v>0</v>
      </c>
      <c r="BM269" s="11">
        <v>0</v>
      </c>
      <c r="BN269" s="11">
        <f t="shared" si="450"/>
        <v>0</v>
      </c>
      <c r="BO269" s="11">
        <v>0</v>
      </c>
      <c r="BP269" s="11">
        <f t="shared" si="451"/>
        <v>0</v>
      </c>
      <c r="BQ269" s="11">
        <v>0</v>
      </c>
      <c r="BR269" s="11">
        <v>0</v>
      </c>
      <c r="BS269" s="11">
        <v>0</v>
      </c>
      <c r="BT269" s="11">
        <v>0</v>
      </c>
      <c r="BU269" s="11">
        <v>0</v>
      </c>
      <c r="BV269" s="11">
        <v>0</v>
      </c>
      <c r="BW269" s="11">
        <v>0</v>
      </c>
      <c r="BX269" s="11">
        <v>0</v>
      </c>
      <c r="BY269" s="11">
        <v>0</v>
      </c>
      <c r="BZ269" s="11">
        <v>0</v>
      </c>
      <c r="CA269" s="11">
        <v>0</v>
      </c>
      <c r="CB269" s="11">
        <f t="shared" si="489"/>
        <v>25150</v>
      </c>
      <c r="CC269" s="11">
        <f t="shared" si="490"/>
        <v>25150</v>
      </c>
      <c r="CD269" s="11">
        <f t="shared" si="452"/>
        <v>25150</v>
      </c>
      <c r="CE269" s="16"/>
      <c r="CF269" s="16">
        <v>25150</v>
      </c>
      <c r="CG269" s="11">
        <f t="shared" si="491"/>
        <v>0</v>
      </c>
      <c r="CH269" s="11">
        <v>0</v>
      </c>
      <c r="CI269" s="11">
        <v>0</v>
      </c>
      <c r="CJ269" s="11">
        <v>0</v>
      </c>
      <c r="CK269" s="11">
        <v>0</v>
      </c>
      <c r="CL269" s="11">
        <f t="shared" si="492"/>
        <v>0</v>
      </c>
      <c r="CM269" s="11">
        <v>0</v>
      </c>
      <c r="CN269" s="16"/>
      <c r="CO269" s="11">
        <v>0</v>
      </c>
      <c r="CP269" s="11"/>
      <c r="CQ269" s="11">
        <v>0</v>
      </c>
      <c r="CR269" s="11">
        <v>0</v>
      </c>
      <c r="CS269" s="11">
        <v>0</v>
      </c>
      <c r="CT269" s="11">
        <v>0</v>
      </c>
      <c r="CU269" s="11">
        <f t="shared" si="453"/>
        <v>0</v>
      </c>
      <c r="CV269" s="11">
        <f t="shared" si="454"/>
        <v>0</v>
      </c>
      <c r="CW269" s="11">
        <v>0</v>
      </c>
      <c r="CX269" s="12">
        <v>0</v>
      </c>
    </row>
    <row r="270" spans="1:102" ht="31.5" x14ac:dyDescent="0.25">
      <c r="A270" s="13" t="s">
        <v>1</v>
      </c>
      <c r="B270" s="14" t="s">
        <v>1</v>
      </c>
      <c r="C270" s="14" t="s">
        <v>113</v>
      </c>
      <c r="D270" s="15" t="s">
        <v>495</v>
      </c>
      <c r="E270" s="10">
        <f t="shared" si="482"/>
        <v>1032200</v>
      </c>
      <c r="F270" s="11">
        <f t="shared" si="483"/>
        <v>1000091</v>
      </c>
      <c r="G270" s="11">
        <f t="shared" si="484"/>
        <v>1000091</v>
      </c>
      <c r="H270" s="16">
        <v>321088</v>
      </c>
      <c r="I270" s="16">
        <v>80272</v>
      </c>
      <c r="J270" s="11">
        <f t="shared" si="446"/>
        <v>407637</v>
      </c>
      <c r="K270" s="16">
        <v>5202</v>
      </c>
      <c r="L270" s="16">
        <v>45250</v>
      </c>
      <c r="M270" s="16">
        <v>0</v>
      </c>
      <c r="N270" s="16">
        <v>0</v>
      </c>
      <c r="O270" s="16">
        <v>271919</v>
      </c>
      <c r="P270" s="16">
        <v>85266</v>
      </c>
      <c r="Q270" s="11">
        <f t="shared" si="447"/>
        <v>873</v>
      </c>
      <c r="R270" s="16">
        <v>873</v>
      </c>
      <c r="S270" s="16">
        <v>0</v>
      </c>
      <c r="T270" s="16">
        <v>0</v>
      </c>
      <c r="U270" s="16">
        <v>17472</v>
      </c>
      <c r="V270" s="11">
        <f t="shared" si="485"/>
        <v>62555</v>
      </c>
      <c r="W270" s="16">
        <v>12724</v>
      </c>
      <c r="X270" s="16">
        <v>30650</v>
      </c>
      <c r="Y270" s="16">
        <v>9666</v>
      </c>
      <c r="Z270" s="16">
        <v>2563</v>
      </c>
      <c r="AA270" s="16">
        <v>6952</v>
      </c>
      <c r="AB270" s="16">
        <v>0</v>
      </c>
      <c r="AC270" s="16">
        <v>0</v>
      </c>
      <c r="AD270" s="16">
        <v>0</v>
      </c>
      <c r="AE270" s="11"/>
      <c r="AF270" s="11">
        <f t="shared" si="486"/>
        <v>110194</v>
      </c>
      <c r="AG270" s="16"/>
      <c r="AH270" s="16"/>
      <c r="AI270" s="16">
        <v>12450</v>
      </c>
      <c r="AJ270" s="16">
        <v>47050</v>
      </c>
      <c r="AK270" s="16"/>
      <c r="AL270" s="16">
        <v>1901</v>
      </c>
      <c r="AM270" s="16"/>
      <c r="AN270" s="16">
        <v>3661</v>
      </c>
      <c r="AO270" s="16">
        <v>45012</v>
      </c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>
        <v>120</v>
      </c>
      <c r="BC270" s="11">
        <f t="shared" si="487"/>
        <v>0</v>
      </c>
      <c r="BD270" s="11">
        <f t="shared" si="488"/>
        <v>0</v>
      </c>
      <c r="BE270" s="11">
        <v>0</v>
      </c>
      <c r="BF270" s="11">
        <v>0</v>
      </c>
      <c r="BG270" s="11">
        <v>0</v>
      </c>
      <c r="BH270" s="11">
        <f t="shared" si="449"/>
        <v>0</v>
      </c>
      <c r="BI270" s="11">
        <v>0</v>
      </c>
      <c r="BJ270" s="11">
        <v>0</v>
      </c>
      <c r="BK270" s="11">
        <v>0</v>
      </c>
      <c r="BL270" s="11">
        <v>0</v>
      </c>
      <c r="BM270" s="11">
        <v>0</v>
      </c>
      <c r="BN270" s="11">
        <f t="shared" si="450"/>
        <v>0</v>
      </c>
      <c r="BO270" s="11">
        <v>0</v>
      </c>
      <c r="BP270" s="11">
        <f t="shared" si="451"/>
        <v>0</v>
      </c>
      <c r="BQ270" s="11">
        <v>0</v>
      </c>
      <c r="BR270" s="11">
        <v>0</v>
      </c>
      <c r="BS270" s="11">
        <v>0</v>
      </c>
      <c r="BT270" s="11">
        <v>0</v>
      </c>
      <c r="BU270" s="11">
        <v>0</v>
      </c>
      <c r="BV270" s="11">
        <v>0</v>
      </c>
      <c r="BW270" s="11">
        <v>0</v>
      </c>
      <c r="BX270" s="11">
        <v>0</v>
      </c>
      <c r="BY270" s="11">
        <v>0</v>
      </c>
      <c r="BZ270" s="11">
        <v>0</v>
      </c>
      <c r="CA270" s="11">
        <v>0</v>
      </c>
      <c r="CB270" s="11">
        <f t="shared" si="489"/>
        <v>32109</v>
      </c>
      <c r="CC270" s="11">
        <f t="shared" si="490"/>
        <v>32109</v>
      </c>
      <c r="CD270" s="11">
        <f t="shared" si="452"/>
        <v>32109</v>
      </c>
      <c r="CE270" s="16"/>
      <c r="CF270" s="16">
        <v>32109</v>
      </c>
      <c r="CG270" s="11">
        <f t="shared" si="491"/>
        <v>0</v>
      </c>
      <c r="CH270" s="11">
        <v>0</v>
      </c>
      <c r="CI270" s="11">
        <v>0</v>
      </c>
      <c r="CJ270" s="11">
        <v>0</v>
      </c>
      <c r="CK270" s="11">
        <v>0</v>
      </c>
      <c r="CL270" s="11">
        <f t="shared" si="492"/>
        <v>0</v>
      </c>
      <c r="CM270" s="11">
        <v>0</v>
      </c>
      <c r="CN270" s="16"/>
      <c r="CO270" s="11">
        <v>0</v>
      </c>
      <c r="CP270" s="11"/>
      <c r="CQ270" s="11">
        <v>0</v>
      </c>
      <c r="CR270" s="11">
        <v>0</v>
      </c>
      <c r="CS270" s="11">
        <v>0</v>
      </c>
      <c r="CT270" s="11">
        <v>0</v>
      </c>
      <c r="CU270" s="11">
        <f t="shared" si="453"/>
        <v>0</v>
      </c>
      <c r="CV270" s="11">
        <f t="shared" si="454"/>
        <v>0</v>
      </c>
      <c r="CW270" s="11">
        <v>0</v>
      </c>
      <c r="CX270" s="12">
        <v>0</v>
      </c>
    </row>
    <row r="271" spans="1:102" ht="15.75" x14ac:dyDescent="0.25">
      <c r="A271" s="13" t="s">
        <v>1</v>
      </c>
      <c r="B271" s="14" t="s">
        <v>1</v>
      </c>
      <c r="C271" s="14" t="s">
        <v>113</v>
      </c>
      <c r="D271" s="15" t="s">
        <v>496</v>
      </c>
      <c r="E271" s="10">
        <f t="shared" si="482"/>
        <v>1600000</v>
      </c>
      <c r="F271" s="11">
        <f t="shared" si="483"/>
        <v>1456971</v>
      </c>
      <c r="G271" s="11">
        <f t="shared" si="484"/>
        <v>1456971</v>
      </c>
      <c r="H271" s="16">
        <v>324996</v>
      </c>
      <c r="I271" s="16">
        <v>81249</v>
      </c>
      <c r="J271" s="11">
        <f t="shared" si="446"/>
        <v>93396</v>
      </c>
      <c r="K271" s="16">
        <v>0</v>
      </c>
      <c r="L271" s="16">
        <v>0</v>
      </c>
      <c r="M271" s="16">
        <v>0</v>
      </c>
      <c r="N271" s="16">
        <v>0</v>
      </c>
      <c r="O271" s="16">
        <v>77150</v>
      </c>
      <c r="P271" s="16">
        <v>16246</v>
      </c>
      <c r="Q271" s="11">
        <f t="shared" si="447"/>
        <v>55750</v>
      </c>
      <c r="R271" s="16">
        <v>1000</v>
      </c>
      <c r="S271" s="16">
        <v>54750</v>
      </c>
      <c r="T271" s="16">
        <v>0</v>
      </c>
      <c r="U271" s="16">
        <v>29479</v>
      </c>
      <c r="V271" s="11">
        <f t="shared" si="485"/>
        <v>191867</v>
      </c>
      <c r="W271" s="16">
        <v>71154</v>
      </c>
      <c r="X271" s="16">
        <v>1997</v>
      </c>
      <c r="Y271" s="16">
        <v>78163</v>
      </c>
      <c r="Z271" s="16">
        <v>13055</v>
      </c>
      <c r="AA271" s="16">
        <v>3261</v>
      </c>
      <c r="AB271" s="16">
        <v>0</v>
      </c>
      <c r="AC271" s="16">
        <v>0</v>
      </c>
      <c r="AD271" s="16">
        <v>24237</v>
      </c>
      <c r="AE271" s="11"/>
      <c r="AF271" s="11">
        <f t="shared" si="486"/>
        <v>680234</v>
      </c>
      <c r="AG271" s="16"/>
      <c r="AH271" s="16"/>
      <c r="AI271" s="16">
        <v>15694</v>
      </c>
      <c r="AJ271" s="16">
        <v>43392</v>
      </c>
      <c r="AK271" s="16"/>
      <c r="AL271" s="16">
        <v>1591</v>
      </c>
      <c r="AM271" s="16"/>
      <c r="AN271" s="16">
        <v>3250</v>
      </c>
      <c r="AO271" s="16">
        <v>81714</v>
      </c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>
        <v>534593</v>
      </c>
      <c r="BC271" s="11">
        <f t="shared" si="487"/>
        <v>0</v>
      </c>
      <c r="BD271" s="11">
        <f t="shared" si="488"/>
        <v>0</v>
      </c>
      <c r="BE271" s="11">
        <v>0</v>
      </c>
      <c r="BF271" s="11">
        <v>0</v>
      </c>
      <c r="BG271" s="11">
        <v>0</v>
      </c>
      <c r="BH271" s="11">
        <f t="shared" si="449"/>
        <v>0</v>
      </c>
      <c r="BI271" s="11">
        <v>0</v>
      </c>
      <c r="BJ271" s="11">
        <v>0</v>
      </c>
      <c r="BK271" s="11">
        <v>0</v>
      </c>
      <c r="BL271" s="11">
        <v>0</v>
      </c>
      <c r="BM271" s="11">
        <v>0</v>
      </c>
      <c r="BN271" s="11">
        <f t="shared" si="450"/>
        <v>0</v>
      </c>
      <c r="BO271" s="11">
        <v>0</v>
      </c>
      <c r="BP271" s="11">
        <f t="shared" si="451"/>
        <v>0</v>
      </c>
      <c r="BQ271" s="11">
        <v>0</v>
      </c>
      <c r="BR271" s="11">
        <v>0</v>
      </c>
      <c r="BS271" s="11">
        <v>0</v>
      </c>
      <c r="BT271" s="11">
        <v>0</v>
      </c>
      <c r="BU271" s="11">
        <v>0</v>
      </c>
      <c r="BV271" s="11">
        <v>0</v>
      </c>
      <c r="BW271" s="11">
        <v>0</v>
      </c>
      <c r="BX271" s="11">
        <v>0</v>
      </c>
      <c r="BY271" s="11">
        <v>0</v>
      </c>
      <c r="BZ271" s="11">
        <v>0</v>
      </c>
      <c r="CA271" s="11">
        <v>0</v>
      </c>
      <c r="CB271" s="11">
        <f t="shared" si="489"/>
        <v>143029</v>
      </c>
      <c r="CC271" s="11">
        <f t="shared" si="490"/>
        <v>143029</v>
      </c>
      <c r="CD271" s="11">
        <f t="shared" si="452"/>
        <v>143029</v>
      </c>
      <c r="CE271" s="16"/>
      <c r="CF271" s="16">
        <v>143029</v>
      </c>
      <c r="CG271" s="11">
        <f t="shared" si="491"/>
        <v>0</v>
      </c>
      <c r="CH271" s="11">
        <v>0</v>
      </c>
      <c r="CI271" s="11">
        <v>0</v>
      </c>
      <c r="CJ271" s="11">
        <v>0</v>
      </c>
      <c r="CK271" s="11">
        <v>0</v>
      </c>
      <c r="CL271" s="11">
        <f t="shared" si="492"/>
        <v>0</v>
      </c>
      <c r="CM271" s="11">
        <v>0</v>
      </c>
      <c r="CN271" s="16"/>
      <c r="CO271" s="11">
        <v>0</v>
      </c>
      <c r="CP271" s="11"/>
      <c r="CQ271" s="11">
        <v>0</v>
      </c>
      <c r="CR271" s="11">
        <v>0</v>
      </c>
      <c r="CS271" s="11">
        <v>0</v>
      </c>
      <c r="CT271" s="11">
        <v>0</v>
      </c>
      <c r="CU271" s="11">
        <f t="shared" si="453"/>
        <v>0</v>
      </c>
      <c r="CV271" s="11">
        <f t="shared" si="454"/>
        <v>0</v>
      </c>
      <c r="CW271" s="11">
        <v>0</v>
      </c>
      <c r="CX271" s="12">
        <v>0</v>
      </c>
    </row>
    <row r="272" spans="1:102" ht="15.75" x14ac:dyDescent="0.25">
      <c r="A272" s="13" t="s">
        <v>1</v>
      </c>
      <c r="B272" s="14" t="s">
        <v>1</v>
      </c>
      <c r="C272" s="14" t="s">
        <v>113</v>
      </c>
      <c r="D272" s="15" t="s">
        <v>497</v>
      </c>
      <c r="E272" s="10">
        <f t="shared" si="482"/>
        <v>14938000</v>
      </c>
      <c r="F272" s="11">
        <f t="shared" si="483"/>
        <v>14687174</v>
      </c>
      <c r="G272" s="11">
        <f t="shared" si="484"/>
        <v>14687174</v>
      </c>
      <c r="H272" s="16">
        <v>2681030</v>
      </c>
      <c r="I272" s="16">
        <v>634052</v>
      </c>
      <c r="J272" s="11">
        <f>SUM(K272:P272)</f>
        <v>191786</v>
      </c>
      <c r="K272" s="16">
        <v>0</v>
      </c>
      <c r="L272" s="16">
        <v>0</v>
      </c>
      <c r="M272" s="16">
        <v>0</v>
      </c>
      <c r="N272" s="16">
        <v>0</v>
      </c>
      <c r="O272" s="16">
        <v>82781</v>
      </c>
      <c r="P272" s="16">
        <v>109005</v>
      </c>
      <c r="Q272" s="11">
        <f>SUM(R272:S272)</f>
        <v>0</v>
      </c>
      <c r="R272" s="16">
        <v>0</v>
      </c>
      <c r="S272" s="16">
        <v>0</v>
      </c>
      <c r="T272" s="16">
        <v>36000</v>
      </c>
      <c r="U272" s="16">
        <v>24432</v>
      </c>
      <c r="V272" s="11">
        <f t="shared" si="485"/>
        <v>208319</v>
      </c>
      <c r="W272" s="16">
        <v>4512</v>
      </c>
      <c r="X272" s="16">
        <v>91423</v>
      </c>
      <c r="Y272" s="16">
        <v>94905</v>
      </c>
      <c r="Z272" s="16">
        <v>4436</v>
      </c>
      <c r="AA272" s="16">
        <v>13043</v>
      </c>
      <c r="AB272" s="16">
        <v>0</v>
      </c>
      <c r="AC272" s="16">
        <v>0</v>
      </c>
      <c r="AD272" s="16">
        <v>0</v>
      </c>
      <c r="AE272" s="11"/>
      <c r="AF272" s="11">
        <f t="shared" si="486"/>
        <v>10911555</v>
      </c>
      <c r="AG272" s="16"/>
      <c r="AH272" s="16"/>
      <c r="AI272" s="16">
        <v>286682</v>
      </c>
      <c r="AJ272" s="16">
        <v>18121</v>
      </c>
      <c r="AK272" s="16"/>
      <c r="AL272" s="16">
        <v>4500</v>
      </c>
      <c r="AM272" s="16"/>
      <c r="AN272" s="16">
        <v>25083</v>
      </c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>
        <v>10577169</v>
      </c>
      <c r="BC272" s="11">
        <f t="shared" si="487"/>
        <v>0</v>
      </c>
      <c r="BD272" s="11">
        <f t="shared" si="488"/>
        <v>0</v>
      </c>
      <c r="BE272" s="11">
        <v>0</v>
      </c>
      <c r="BF272" s="11">
        <v>0</v>
      </c>
      <c r="BG272" s="11">
        <v>0</v>
      </c>
      <c r="BH272" s="11">
        <f>SUM(BJ272:BK272)</f>
        <v>0</v>
      </c>
      <c r="BI272" s="11">
        <v>0</v>
      </c>
      <c r="BJ272" s="11">
        <v>0</v>
      </c>
      <c r="BK272" s="11">
        <v>0</v>
      </c>
      <c r="BL272" s="11">
        <v>0</v>
      </c>
      <c r="BM272" s="11">
        <v>0</v>
      </c>
      <c r="BN272" s="11">
        <f>SUM(BO272)</f>
        <v>0</v>
      </c>
      <c r="BO272" s="11">
        <v>0</v>
      </c>
      <c r="BP272" s="11">
        <f>SUM(BQ272:CA272)</f>
        <v>0</v>
      </c>
      <c r="BQ272" s="11">
        <v>0</v>
      </c>
      <c r="BR272" s="11">
        <v>0</v>
      </c>
      <c r="BS272" s="11">
        <v>0</v>
      </c>
      <c r="BT272" s="11">
        <v>0</v>
      </c>
      <c r="BU272" s="11">
        <v>0</v>
      </c>
      <c r="BV272" s="11">
        <v>0</v>
      </c>
      <c r="BW272" s="11">
        <v>0</v>
      </c>
      <c r="BX272" s="11">
        <v>0</v>
      </c>
      <c r="BY272" s="11">
        <v>0</v>
      </c>
      <c r="BZ272" s="11">
        <v>0</v>
      </c>
      <c r="CA272" s="11">
        <v>0</v>
      </c>
      <c r="CB272" s="11">
        <f t="shared" si="489"/>
        <v>250826</v>
      </c>
      <c r="CC272" s="11">
        <f t="shared" si="490"/>
        <v>250826</v>
      </c>
      <c r="CD272" s="11">
        <f>SUM(CE272:CF272)</f>
        <v>250826</v>
      </c>
      <c r="CE272" s="16"/>
      <c r="CF272" s="16">
        <v>250826</v>
      </c>
      <c r="CG272" s="11">
        <f t="shared" si="491"/>
        <v>0</v>
      </c>
      <c r="CH272" s="11">
        <v>0</v>
      </c>
      <c r="CI272" s="11">
        <v>0</v>
      </c>
      <c r="CJ272" s="11">
        <v>0</v>
      </c>
      <c r="CK272" s="11">
        <v>0</v>
      </c>
      <c r="CL272" s="11">
        <f t="shared" si="492"/>
        <v>0</v>
      </c>
      <c r="CM272" s="11">
        <v>0</v>
      </c>
      <c r="CN272" s="16"/>
      <c r="CO272" s="11">
        <v>0</v>
      </c>
      <c r="CP272" s="11"/>
      <c r="CQ272" s="11">
        <v>0</v>
      </c>
      <c r="CR272" s="11">
        <v>0</v>
      </c>
      <c r="CS272" s="11">
        <v>0</v>
      </c>
      <c r="CT272" s="11">
        <v>0</v>
      </c>
      <c r="CU272" s="11">
        <f>SUM(CV272)</f>
        <v>0</v>
      </c>
      <c r="CV272" s="11">
        <f>SUM(CW272:CX272)</f>
        <v>0</v>
      </c>
      <c r="CW272" s="11">
        <v>0</v>
      </c>
      <c r="CX272" s="12">
        <v>0</v>
      </c>
    </row>
    <row r="273" spans="1:102" ht="31.5" x14ac:dyDescent="0.25">
      <c r="A273" s="13" t="s">
        <v>1</v>
      </c>
      <c r="B273" s="14" t="s">
        <v>1</v>
      </c>
      <c r="C273" s="14" t="s">
        <v>115</v>
      </c>
      <c r="D273" s="15" t="s">
        <v>411</v>
      </c>
      <c r="E273" s="10">
        <f t="shared" si="482"/>
        <v>0</v>
      </c>
      <c r="F273" s="11">
        <f t="shared" si="483"/>
        <v>0</v>
      </c>
      <c r="G273" s="11">
        <f t="shared" si="484"/>
        <v>0</v>
      </c>
      <c r="H273" s="16"/>
      <c r="I273" s="16"/>
      <c r="J273" s="11">
        <f t="shared" si="446"/>
        <v>0</v>
      </c>
      <c r="K273" s="16">
        <f>1000-1000</f>
        <v>0</v>
      </c>
      <c r="L273" s="16">
        <v>0</v>
      </c>
      <c r="M273" s="16">
        <v>0</v>
      </c>
      <c r="N273" s="16">
        <v>0</v>
      </c>
      <c r="O273" s="16">
        <f>337044-337044</f>
        <v>0</v>
      </c>
      <c r="P273" s="16">
        <f>285186-285186</f>
        <v>0</v>
      </c>
      <c r="Q273" s="11">
        <f t="shared" si="447"/>
        <v>0</v>
      </c>
      <c r="R273" s="16">
        <v>0</v>
      </c>
      <c r="S273" s="16">
        <f>60000-60000</f>
        <v>0</v>
      </c>
      <c r="T273" s="16">
        <v>0</v>
      </c>
      <c r="U273" s="16">
        <f>75000-75000</f>
        <v>0</v>
      </c>
      <c r="V273" s="11">
        <f t="shared" si="485"/>
        <v>0</v>
      </c>
      <c r="W273" s="16">
        <f>20200-20200</f>
        <v>0</v>
      </c>
      <c r="X273" s="16">
        <f>54375-54375</f>
        <v>0</v>
      </c>
      <c r="Y273" s="16">
        <f>83322-83322</f>
        <v>0</v>
      </c>
      <c r="Z273" s="16">
        <f>14326-14326</f>
        <v>0</v>
      </c>
      <c r="AA273" s="16">
        <f>6271-6271</f>
        <v>0</v>
      </c>
      <c r="AB273" s="16">
        <f>50000-50000</f>
        <v>0</v>
      </c>
      <c r="AC273" s="16">
        <v>0</v>
      </c>
      <c r="AD273" s="16">
        <f>4167-4167</f>
        <v>0</v>
      </c>
      <c r="AE273" s="11"/>
      <c r="AF273" s="11">
        <f t="shared" si="486"/>
        <v>0</v>
      </c>
      <c r="AG273" s="16"/>
      <c r="AH273" s="16"/>
      <c r="AI273" s="16">
        <f>115400-115400</f>
        <v>0</v>
      </c>
      <c r="AJ273" s="16">
        <f>127750-127750</f>
        <v>0</v>
      </c>
      <c r="AK273" s="16"/>
      <c r="AL273" s="16">
        <f>19700-19700</f>
        <v>0</v>
      </c>
      <c r="AM273" s="16"/>
      <c r="AN273" s="16"/>
      <c r="AO273" s="16"/>
      <c r="AP273" s="16"/>
      <c r="AQ273" s="16"/>
      <c r="AR273" s="16"/>
      <c r="AS273" s="16"/>
      <c r="AT273" s="16">
        <f>42400-42400</f>
        <v>0</v>
      </c>
      <c r="AU273" s="16"/>
      <c r="AV273" s="16"/>
      <c r="AW273" s="16"/>
      <c r="AX273" s="16"/>
      <c r="AY273" s="16"/>
      <c r="AZ273" s="16"/>
      <c r="BA273" s="16"/>
      <c r="BB273" s="16">
        <f>82922-82922</f>
        <v>0</v>
      </c>
      <c r="BC273" s="11">
        <f t="shared" si="487"/>
        <v>0</v>
      </c>
      <c r="BD273" s="11">
        <f t="shared" si="488"/>
        <v>0</v>
      </c>
      <c r="BE273" s="11">
        <v>0</v>
      </c>
      <c r="BF273" s="11">
        <v>0</v>
      </c>
      <c r="BG273" s="11">
        <v>0</v>
      </c>
      <c r="BH273" s="11">
        <f t="shared" si="449"/>
        <v>0</v>
      </c>
      <c r="BI273" s="11">
        <v>0</v>
      </c>
      <c r="BJ273" s="11">
        <v>0</v>
      </c>
      <c r="BK273" s="11">
        <v>0</v>
      </c>
      <c r="BL273" s="11">
        <v>0</v>
      </c>
      <c r="BM273" s="11">
        <v>0</v>
      </c>
      <c r="BN273" s="11">
        <f t="shared" si="450"/>
        <v>0</v>
      </c>
      <c r="BO273" s="11">
        <v>0</v>
      </c>
      <c r="BP273" s="11">
        <f t="shared" si="451"/>
        <v>0</v>
      </c>
      <c r="BQ273" s="11">
        <v>0</v>
      </c>
      <c r="BR273" s="11">
        <v>0</v>
      </c>
      <c r="BS273" s="11">
        <v>0</v>
      </c>
      <c r="BT273" s="11">
        <v>0</v>
      </c>
      <c r="BU273" s="11">
        <v>0</v>
      </c>
      <c r="BV273" s="11">
        <v>0</v>
      </c>
      <c r="BW273" s="11">
        <v>0</v>
      </c>
      <c r="BX273" s="11">
        <v>0</v>
      </c>
      <c r="BY273" s="11">
        <v>0</v>
      </c>
      <c r="BZ273" s="11">
        <v>0</v>
      </c>
      <c r="CA273" s="11">
        <v>0</v>
      </c>
      <c r="CB273" s="11">
        <f t="shared" si="489"/>
        <v>0</v>
      </c>
      <c r="CC273" s="11">
        <f t="shared" si="490"/>
        <v>0</v>
      </c>
      <c r="CD273" s="11">
        <f t="shared" si="452"/>
        <v>0</v>
      </c>
      <c r="CE273" s="16"/>
      <c r="CF273" s="16">
        <f>185239-185239</f>
        <v>0</v>
      </c>
      <c r="CG273" s="11">
        <f t="shared" si="491"/>
        <v>0</v>
      </c>
      <c r="CH273" s="11">
        <v>0</v>
      </c>
      <c r="CI273" s="11">
        <v>0</v>
      </c>
      <c r="CJ273" s="11">
        <v>0</v>
      </c>
      <c r="CK273" s="11">
        <v>0</v>
      </c>
      <c r="CL273" s="11">
        <f t="shared" si="492"/>
        <v>0</v>
      </c>
      <c r="CM273" s="11">
        <v>0</v>
      </c>
      <c r="CN273" s="16"/>
      <c r="CO273" s="11">
        <v>0</v>
      </c>
      <c r="CP273" s="11"/>
      <c r="CQ273" s="11">
        <v>0</v>
      </c>
      <c r="CR273" s="11">
        <v>0</v>
      </c>
      <c r="CS273" s="11">
        <v>0</v>
      </c>
      <c r="CT273" s="11">
        <v>0</v>
      </c>
      <c r="CU273" s="11">
        <f t="shared" si="453"/>
        <v>0</v>
      </c>
      <c r="CV273" s="11">
        <f t="shared" si="454"/>
        <v>0</v>
      </c>
      <c r="CW273" s="11">
        <v>0</v>
      </c>
      <c r="CX273" s="12">
        <v>0</v>
      </c>
    </row>
    <row r="274" spans="1:102" ht="15.75" x14ac:dyDescent="0.25">
      <c r="A274" s="13" t="s">
        <v>1</v>
      </c>
      <c r="B274" s="14" t="s">
        <v>1</v>
      </c>
      <c r="C274" s="14" t="s">
        <v>115</v>
      </c>
      <c r="D274" s="15" t="s">
        <v>412</v>
      </c>
      <c r="E274" s="10">
        <f t="shared" si="482"/>
        <v>0</v>
      </c>
      <c r="F274" s="11">
        <f t="shared" si="483"/>
        <v>0</v>
      </c>
      <c r="G274" s="11">
        <f t="shared" si="484"/>
        <v>0</v>
      </c>
      <c r="H274" s="16"/>
      <c r="I274" s="16"/>
      <c r="J274" s="11">
        <f t="shared" si="446"/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f>69418-69418</f>
        <v>0</v>
      </c>
      <c r="P274" s="16">
        <f>99180-99180</f>
        <v>0</v>
      </c>
      <c r="Q274" s="11">
        <f t="shared" si="447"/>
        <v>0</v>
      </c>
      <c r="R274" s="16">
        <v>0</v>
      </c>
      <c r="S274" s="16">
        <v>0</v>
      </c>
      <c r="T274" s="16">
        <v>0</v>
      </c>
      <c r="U274" s="16">
        <f>19042-19042</f>
        <v>0</v>
      </c>
      <c r="V274" s="11">
        <f t="shared" si="485"/>
        <v>0</v>
      </c>
      <c r="W274" s="16">
        <v>0</v>
      </c>
      <c r="X274" s="16">
        <f>35167-35167</f>
        <v>0</v>
      </c>
      <c r="Y274" s="16">
        <f>18927-18927</f>
        <v>0</v>
      </c>
      <c r="Z274" s="16">
        <f>4857-4857</f>
        <v>0</v>
      </c>
      <c r="AA274" s="16">
        <f>2869-2869</f>
        <v>0</v>
      </c>
      <c r="AB274" s="16">
        <v>0</v>
      </c>
      <c r="AC274" s="16">
        <v>0</v>
      </c>
      <c r="AD274" s="16">
        <v>0</v>
      </c>
      <c r="AE274" s="11"/>
      <c r="AF274" s="11">
        <f t="shared" si="486"/>
        <v>0</v>
      </c>
      <c r="AG274" s="16"/>
      <c r="AH274" s="16"/>
      <c r="AI274" s="16">
        <f>12004-12004</f>
        <v>0</v>
      </c>
      <c r="AJ274" s="16">
        <f>5237-5237</f>
        <v>0</v>
      </c>
      <c r="AK274" s="16"/>
      <c r="AL274" s="16">
        <f>1876-1876</f>
        <v>0</v>
      </c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>
        <f>45852-45852</f>
        <v>0</v>
      </c>
      <c r="BC274" s="11">
        <f t="shared" si="487"/>
        <v>0</v>
      </c>
      <c r="BD274" s="11">
        <f t="shared" si="488"/>
        <v>0</v>
      </c>
      <c r="BE274" s="11">
        <v>0</v>
      </c>
      <c r="BF274" s="11">
        <v>0</v>
      </c>
      <c r="BG274" s="11">
        <v>0</v>
      </c>
      <c r="BH274" s="11">
        <f t="shared" si="449"/>
        <v>0</v>
      </c>
      <c r="BI274" s="11">
        <v>0</v>
      </c>
      <c r="BJ274" s="11">
        <v>0</v>
      </c>
      <c r="BK274" s="11">
        <v>0</v>
      </c>
      <c r="BL274" s="11">
        <v>0</v>
      </c>
      <c r="BM274" s="11">
        <v>0</v>
      </c>
      <c r="BN274" s="11">
        <f t="shared" si="450"/>
        <v>0</v>
      </c>
      <c r="BO274" s="11">
        <v>0</v>
      </c>
      <c r="BP274" s="11">
        <f t="shared" si="451"/>
        <v>0</v>
      </c>
      <c r="BQ274" s="11">
        <v>0</v>
      </c>
      <c r="BR274" s="11">
        <v>0</v>
      </c>
      <c r="BS274" s="11">
        <v>0</v>
      </c>
      <c r="BT274" s="11">
        <v>0</v>
      </c>
      <c r="BU274" s="11">
        <v>0</v>
      </c>
      <c r="BV274" s="11">
        <v>0</v>
      </c>
      <c r="BW274" s="11">
        <v>0</v>
      </c>
      <c r="BX274" s="11">
        <v>0</v>
      </c>
      <c r="BY274" s="11">
        <v>0</v>
      </c>
      <c r="BZ274" s="11">
        <v>0</v>
      </c>
      <c r="CA274" s="11">
        <v>0</v>
      </c>
      <c r="CB274" s="11">
        <f t="shared" si="489"/>
        <v>0</v>
      </c>
      <c r="CC274" s="11">
        <f t="shared" si="490"/>
        <v>0</v>
      </c>
      <c r="CD274" s="11">
        <f t="shared" si="452"/>
        <v>0</v>
      </c>
      <c r="CE274" s="16"/>
      <c r="CF274" s="16">
        <f>323534-323534</f>
        <v>0</v>
      </c>
      <c r="CG274" s="11">
        <f t="shared" si="491"/>
        <v>0</v>
      </c>
      <c r="CH274" s="11">
        <v>0</v>
      </c>
      <c r="CI274" s="11">
        <v>0</v>
      </c>
      <c r="CJ274" s="11">
        <v>0</v>
      </c>
      <c r="CK274" s="11">
        <v>0</v>
      </c>
      <c r="CL274" s="11">
        <f t="shared" si="492"/>
        <v>0</v>
      </c>
      <c r="CM274" s="11">
        <v>0</v>
      </c>
      <c r="CN274" s="16">
        <f>429274-429274</f>
        <v>0</v>
      </c>
      <c r="CO274" s="11">
        <v>0</v>
      </c>
      <c r="CP274" s="11"/>
      <c r="CQ274" s="11">
        <v>0</v>
      </c>
      <c r="CR274" s="11">
        <v>0</v>
      </c>
      <c r="CS274" s="11">
        <v>0</v>
      </c>
      <c r="CT274" s="11">
        <v>0</v>
      </c>
      <c r="CU274" s="11">
        <f t="shared" si="453"/>
        <v>0</v>
      </c>
      <c r="CV274" s="11">
        <f t="shared" si="454"/>
        <v>0</v>
      </c>
      <c r="CW274" s="11">
        <v>0</v>
      </c>
      <c r="CX274" s="12">
        <v>0</v>
      </c>
    </row>
    <row r="275" spans="1:102" ht="31.5" x14ac:dyDescent="0.25">
      <c r="A275" s="13" t="s">
        <v>1</v>
      </c>
      <c r="B275" s="14" t="s">
        <v>1</v>
      </c>
      <c r="C275" s="14" t="s">
        <v>119</v>
      </c>
      <c r="D275" s="15" t="s">
        <v>498</v>
      </c>
      <c r="E275" s="10">
        <f t="shared" si="482"/>
        <v>700000</v>
      </c>
      <c r="F275" s="11">
        <f t="shared" si="483"/>
        <v>500000</v>
      </c>
      <c r="G275" s="11">
        <f t="shared" si="484"/>
        <v>500000</v>
      </c>
      <c r="H275" s="16">
        <v>157797</v>
      </c>
      <c r="I275" s="16">
        <v>37724</v>
      </c>
      <c r="J275" s="11">
        <f t="shared" si="446"/>
        <v>115412</v>
      </c>
      <c r="K275" s="16">
        <v>0</v>
      </c>
      <c r="L275" s="16">
        <v>0</v>
      </c>
      <c r="M275" s="16">
        <v>0</v>
      </c>
      <c r="N275" s="16">
        <v>0</v>
      </c>
      <c r="O275" s="16">
        <v>10000</v>
      </c>
      <c r="P275" s="16">
        <v>105412</v>
      </c>
      <c r="Q275" s="11">
        <f t="shared" si="447"/>
        <v>3000</v>
      </c>
      <c r="R275" s="16">
        <v>3000</v>
      </c>
      <c r="S275" s="16">
        <v>0</v>
      </c>
      <c r="T275" s="16">
        <v>0</v>
      </c>
      <c r="U275" s="16">
        <v>22000</v>
      </c>
      <c r="V275" s="11">
        <f t="shared" si="485"/>
        <v>9979</v>
      </c>
      <c r="W275" s="16">
        <v>9979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1"/>
      <c r="AF275" s="11">
        <f t="shared" si="486"/>
        <v>154088</v>
      </c>
      <c r="AG275" s="16"/>
      <c r="AH275" s="16"/>
      <c r="AI275" s="16">
        <v>9500</v>
      </c>
      <c r="AJ275" s="16">
        <v>80000</v>
      </c>
      <c r="AK275" s="16"/>
      <c r="AL275" s="16">
        <v>5000</v>
      </c>
      <c r="AM275" s="16"/>
      <c r="AN275" s="16">
        <v>5000</v>
      </c>
      <c r="AO275" s="16">
        <v>10000</v>
      </c>
      <c r="AP275" s="16"/>
      <c r="AQ275" s="16"/>
      <c r="AR275" s="16"/>
      <c r="AS275" s="16"/>
      <c r="AT275" s="16">
        <v>24588</v>
      </c>
      <c r="AU275" s="16"/>
      <c r="AV275" s="16"/>
      <c r="AW275" s="16"/>
      <c r="AX275" s="16"/>
      <c r="AY275" s="16"/>
      <c r="AZ275" s="16"/>
      <c r="BA275" s="16"/>
      <c r="BB275" s="16">
        <v>20000</v>
      </c>
      <c r="BC275" s="11">
        <f t="shared" si="487"/>
        <v>0</v>
      </c>
      <c r="BD275" s="11">
        <f t="shared" si="488"/>
        <v>0</v>
      </c>
      <c r="BE275" s="11">
        <v>0</v>
      </c>
      <c r="BF275" s="11">
        <v>0</v>
      </c>
      <c r="BG275" s="11">
        <v>0</v>
      </c>
      <c r="BH275" s="11">
        <f t="shared" si="449"/>
        <v>0</v>
      </c>
      <c r="BI275" s="11">
        <v>0</v>
      </c>
      <c r="BJ275" s="11">
        <v>0</v>
      </c>
      <c r="BK275" s="11">
        <v>0</v>
      </c>
      <c r="BL275" s="11">
        <v>0</v>
      </c>
      <c r="BM275" s="11">
        <v>0</v>
      </c>
      <c r="BN275" s="11">
        <f t="shared" si="450"/>
        <v>0</v>
      </c>
      <c r="BO275" s="11">
        <v>0</v>
      </c>
      <c r="BP275" s="11">
        <f t="shared" si="451"/>
        <v>0</v>
      </c>
      <c r="BQ275" s="11">
        <v>0</v>
      </c>
      <c r="BR275" s="11">
        <v>0</v>
      </c>
      <c r="BS275" s="11">
        <v>0</v>
      </c>
      <c r="BT275" s="11">
        <v>0</v>
      </c>
      <c r="BU275" s="11">
        <v>0</v>
      </c>
      <c r="BV275" s="11">
        <v>0</v>
      </c>
      <c r="BW275" s="11">
        <v>0</v>
      </c>
      <c r="BX275" s="11">
        <v>0</v>
      </c>
      <c r="BY275" s="11">
        <v>0</v>
      </c>
      <c r="BZ275" s="11">
        <v>0</v>
      </c>
      <c r="CA275" s="11">
        <v>0</v>
      </c>
      <c r="CB275" s="11">
        <f t="shared" si="489"/>
        <v>200000</v>
      </c>
      <c r="CC275" s="11">
        <f t="shared" si="490"/>
        <v>200000</v>
      </c>
      <c r="CD275" s="11">
        <f t="shared" si="452"/>
        <v>200000</v>
      </c>
      <c r="CE275" s="16"/>
      <c r="CF275" s="16">
        <v>200000</v>
      </c>
      <c r="CG275" s="11">
        <f t="shared" si="491"/>
        <v>0</v>
      </c>
      <c r="CH275" s="11">
        <v>0</v>
      </c>
      <c r="CI275" s="11">
        <v>0</v>
      </c>
      <c r="CJ275" s="11">
        <v>0</v>
      </c>
      <c r="CK275" s="11">
        <v>0</v>
      </c>
      <c r="CL275" s="11">
        <f t="shared" si="492"/>
        <v>0</v>
      </c>
      <c r="CM275" s="11">
        <v>0</v>
      </c>
      <c r="CN275" s="16"/>
      <c r="CO275" s="11">
        <v>0</v>
      </c>
      <c r="CP275" s="11"/>
      <c r="CQ275" s="11">
        <v>0</v>
      </c>
      <c r="CR275" s="11">
        <v>0</v>
      </c>
      <c r="CS275" s="11">
        <v>0</v>
      </c>
      <c r="CT275" s="11">
        <v>0</v>
      </c>
      <c r="CU275" s="11">
        <f t="shared" si="453"/>
        <v>0</v>
      </c>
      <c r="CV275" s="11">
        <f t="shared" si="454"/>
        <v>0</v>
      </c>
      <c r="CW275" s="11">
        <v>0</v>
      </c>
      <c r="CX275" s="12">
        <v>0</v>
      </c>
    </row>
    <row r="276" spans="1:102" ht="31.5" x14ac:dyDescent="0.25">
      <c r="A276" s="13"/>
      <c r="B276" s="14"/>
      <c r="C276" s="14" t="s">
        <v>121</v>
      </c>
      <c r="D276" s="15" t="s">
        <v>413</v>
      </c>
      <c r="E276" s="10">
        <f t="shared" ref="E276:E277" si="493">SUM(F276+CB276+CU276)</f>
        <v>302900</v>
      </c>
      <c r="F276" s="11">
        <f t="shared" ref="F276:F277" si="494">SUM(G276+BC276)</f>
        <v>288900</v>
      </c>
      <c r="G276" s="11">
        <f t="shared" ref="G276:G277" si="495">SUM(H276+I276+J276+Q276+T276+U276+V276+AF276+AE276)</f>
        <v>288900</v>
      </c>
      <c r="H276" s="16">
        <v>105000</v>
      </c>
      <c r="I276" s="16">
        <v>26250</v>
      </c>
      <c r="J276" s="11">
        <f t="shared" ref="J276:J277" si="496">SUM(K276:P276)</f>
        <v>54500</v>
      </c>
      <c r="K276" s="16">
        <v>0</v>
      </c>
      <c r="L276" s="16">
        <v>0</v>
      </c>
      <c r="M276" s="16">
        <v>0</v>
      </c>
      <c r="N276" s="16">
        <v>0</v>
      </c>
      <c r="O276" s="16">
        <v>32443</v>
      </c>
      <c r="P276" s="16">
        <v>22057</v>
      </c>
      <c r="Q276" s="11">
        <f t="shared" ref="Q276:Q277" si="497">SUM(R276:S276)</f>
        <v>1050</v>
      </c>
      <c r="R276" s="16">
        <v>1050</v>
      </c>
      <c r="S276" s="16">
        <v>0</v>
      </c>
      <c r="T276" s="16">
        <v>0</v>
      </c>
      <c r="U276" s="16">
        <v>10752</v>
      </c>
      <c r="V276" s="11">
        <f t="shared" ref="V276:V277" si="498">SUM(W276:AD276)</f>
        <v>13947</v>
      </c>
      <c r="W276" s="16">
        <v>0</v>
      </c>
      <c r="X276" s="16">
        <v>0</v>
      </c>
      <c r="Y276" s="16">
        <v>0</v>
      </c>
      <c r="Z276" s="16">
        <v>10178</v>
      </c>
      <c r="AA276" s="16">
        <v>718</v>
      </c>
      <c r="AB276" s="16">
        <v>0</v>
      </c>
      <c r="AC276" s="16">
        <v>0</v>
      </c>
      <c r="AD276" s="16">
        <v>3051</v>
      </c>
      <c r="AE276" s="11"/>
      <c r="AF276" s="11">
        <f t="shared" ref="AF276:AF277" si="499">SUM(AG276:BB276)</f>
        <v>77401</v>
      </c>
      <c r="AG276" s="16">
        <v>3689</v>
      </c>
      <c r="AH276" s="16"/>
      <c r="AI276" s="16">
        <v>7506</v>
      </c>
      <c r="AJ276" s="16">
        <v>15000</v>
      </c>
      <c r="AK276" s="16"/>
      <c r="AL276" s="16">
        <v>5000</v>
      </c>
      <c r="AM276" s="16"/>
      <c r="AN276" s="16">
        <v>1050</v>
      </c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>
        <v>36600</v>
      </c>
      <c r="BB276" s="16">
        <v>8556</v>
      </c>
      <c r="BC276" s="11">
        <f t="shared" ref="BC276:BC277" si="500">SUM(BD276+BH276+BL276+BN276+BP276)</f>
        <v>0</v>
      </c>
      <c r="BD276" s="11">
        <f t="shared" ref="BD276:BD277" si="501">SUM(BE276:BG276)</f>
        <v>0</v>
      </c>
      <c r="BE276" s="11">
        <v>0</v>
      </c>
      <c r="BF276" s="11">
        <v>0</v>
      </c>
      <c r="BG276" s="11">
        <v>0</v>
      </c>
      <c r="BH276" s="11">
        <f t="shared" ref="BH276:BH277" si="502">SUM(BJ276:BK276)</f>
        <v>0</v>
      </c>
      <c r="BI276" s="11">
        <v>0</v>
      </c>
      <c r="BJ276" s="11">
        <v>0</v>
      </c>
      <c r="BK276" s="11">
        <v>0</v>
      </c>
      <c r="BL276" s="11">
        <v>0</v>
      </c>
      <c r="BM276" s="11">
        <v>0</v>
      </c>
      <c r="BN276" s="11">
        <f t="shared" ref="BN276:BN277" si="503">SUM(BO276)</f>
        <v>0</v>
      </c>
      <c r="BO276" s="11">
        <v>0</v>
      </c>
      <c r="BP276" s="11">
        <f t="shared" ref="BP276:BP277" si="504">SUM(BQ276:CA276)</f>
        <v>0</v>
      </c>
      <c r="BQ276" s="11">
        <v>0</v>
      </c>
      <c r="BR276" s="11">
        <v>0</v>
      </c>
      <c r="BS276" s="11">
        <v>0</v>
      </c>
      <c r="BT276" s="11">
        <v>0</v>
      </c>
      <c r="BU276" s="11">
        <v>0</v>
      </c>
      <c r="BV276" s="11">
        <v>0</v>
      </c>
      <c r="BW276" s="11">
        <v>0</v>
      </c>
      <c r="BX276" s="11">
        <v>0</v>
      </c>
      <c r="BY276" s="11">
        <v>0</v>
      </c>
      <c r="BZ276" s="11">
        <v>0</v>
      </c>
      <c r="CA276" s="11">
        <v>0</v>
      </c>
      <c r="CB276" s="11">
        <f t="shared" ref="CB276:CB277" si="505">SUM(CC276+CT276)</f>
        <v>14000</v>
      </c>
      <c r="CC276" s="11">
        <f t="shared" ref="CC276:CC277" si="506">SUM(CD276+CG276+CL276)</f>
        <v>14000</v>
      </c>
      <c r="CD276" s="11">
        <f t="shared" ref="CD276:CD277" si="507">SUM(CE276:CF276)</f>
        <v>14000</v>
      </c>
      <c r="CE276" s="16"/>
      <c r="CF276" s="16">
        <v>14000</v>
      </c>
      <c r="CG276" s="11">
        <f t="shared" ref="CG276:CG277" si="508">SUM(CH276:CK276)</f>
        <v>0</v>
      </c>
      <c r="CH276" s="11">
        <v>0</v>
      </c>
      <c r="CI276" s="11">
        <v>0</v>
      </c>
      <c r="CJ276" s="11">
        <v>0</v>
      </c>
      <c r="CK276" s="11">
        <v>0</v>
      </c>
      <c r="CL276" s="11">
        <f t="shared" ref="CL276:CL277" si="509">SUM(CM276:CQ276)</f>
        <v>0</v>
      </c>
      <c r="CM276" s="11">
        <v>0</v>
      </c>
      <c r="CN276" s="16"/>
      <c r="CO276" s="11">
        <v>0</v>
      </c>
      <c r="CP276" s="11"/>
      <c r="CQ276" s="11">
        <v>0</v>
      </c>
      <c r="CR276" s="11">
        <v>0</v>
      </c>
      <c r="CS276" s="11">
        <v>0</v>
      </c>
      <c r="CT276" s="11">
        <v>0</v>
      </c>
      <c r="CU276" s="11">
        <f t="shared" ref="CU276:CU277" si="510">SUM(CV276)</f>
        <v>0</v>
      </c>
      <c r="CV276" s="11">
        <f t="shared" ref="CV276:CV277" si="511">SUM(CW276:CX276)</f>
        <v>0</v>
      </c>
      <c r="CW276" s="11">
        <v>0</v>
      </c>
      <c r="CX276" s="12">
        <v>0</v>
      </c>
    </row>
    <row r="277" spans="1:102" ht="31.5" x14ac:dyDescent="0.25">
      <c r="A277" s="13"/>
      <c r="B277" s="14"/>
      <c r="C277" s="46" t="s">
        <v>129</v>
      </c>
      <c r="D277" s="45" t="s">
        <v>414</v>
      </c>
      <c r="E277" s="10">
        <f t="shared" si="493"/>
        <v>1564302</v>
      </c>
      <c r="F277" s="11">
        <f t="shared" si="494"/>
        <v>1379063</v>
      </c>
      <c r="G277" s="11">
        <f t="shared" si="495"/>
        <v>1379063</v>
      </c>
      <c r="H277" s="16"/>
      <c r="I277" s="16"/>
      <c r="J277" s="11">
        <f t="shared" si="496"/>
        <v>623230</v>
      </c>
      <c r="K277" s="16">
        <f>0+1000</f>
        <v>1000</v>
      </c>
      <c r="L277" s="16"/>
      <c r="M277" s="16"/>
      <c r="N277" s="16"/>
      <c r="O277" s="16">
        <f>0+337044</f>
        <v>337044</v>
      </c>
      <c r="P277" s="16">
        <f>0+285186</f>
        <v>285186</v>
      </c>
      <c r="Q277" s="11">
        <f t="shared" si="497"/>
        <v>60000</v>
      </c>
      <c r="R277" s="16"/>
      <c r="S277" s="16">
        <f>0+60000</f>
        <v>60000</v>
      </c>
      <c r="T277" s="16"/>
      <c r="U277" s="16">
        <f>0+75000</f>
        <v>75000</v>
      </c>
      <c r="V277" s="11">
        <f t="shared" si="498"/>
        <v>232661</v>
      </c>
      <c r="W277" s="16">
        <f>0+20200</f>
        <v>20200</v>
      </c>
      <c r="X277" s="16">
        <f>0+54375</f>
        <v>54375</v>
      </c>
      <c r="Y277" s="16">
        <f>0+83322</f>
        <v>83322</v>
      </c>
      <c r="Z277" s="16">
        <f>0+14326</f>
        <v>14326</v>
      </c>
      <c r="AA277" s="16">
        <f>0+6271</f>
        <v>6271</v>
      </c>
      <c r="AB277" s="16">
        <f>0+50000</f>
        <v>50000</v>
      </c>
      <c r="AC277" s="16"/>
      <c r="AD277" s="16">
        <f>0+4167</f>
        <v>4167</v>
      </c>
      <c r="AE277" s="11"/>
      <c r="AF277" s="11">
        <f t="shared" si="499"/>
        <v>388172</v>
      </c>
      <c r="AG277" s="16"/>
      <c r="AH277" s="16"/>
      <c r="AI277" s="16">
        <f>0+115400</f>
        <v>115400</v>
      </c>
      <c r="AJ277" s="16">
        <f>0+127750</f>
        <v>127750</v>
      </c>
      <c r="AK277" s="16"/>
      <c r="AL277" s="16">
        <f>0+19700</f>
        <v>19700</v>
      </c>
      <c r="AM277" s="16"/>
      <c r="AN277" s="16"/>
      <c r="AO277" s="16"/>
      <c r="AP277" s="16"/>
      <c r="AQ277" s="16"/>
      <c r="AR277" s="16"/>
      <c r="AS277" s="16"/>
      <c r="AT277" s="16">
        <f>0+42400</f>
        <v>42400</v>
      </c>
      <c r="AU277" s="16"/>
      <c r="AV277" s="16"/>
      <c r="AW277" s="16"/>
      <c r="AX277" s="16"/>
      <c r="AY277" s="16"/>
      <c r="AZ277" s="16"/>
      <c r="BA277" s="16"/>
      <c r="BB277" s="16">
        <f>0+82922</f>
        <v>82922</v>
      </c>
      <c r="BC277" s="11">
        <f t="shared" si="500"/>
        <v>0</v>
      </c>
      <c r="BD277" s="11">
        <f t="shared" si="501"/>
        <v>0</v>
      </c>
      <c r="BE277" s="11">
        <v>0</v>
      </c>
      <c r="BF277" s="11">
        <v>0</v>
      </c>
      <c r="BG277" s="11">
        <v>0</v>
      </c>
      <c r="BH277" s="11">
        <f t="shared" si="502"/>
        <v>0</v>
      </c>
      <c r="BI277" s="11">
        <v>0</v>
      </c>
      <c r="BJ277" s="11">
        <v>0</v>
      </c>
      <c r="BK277" s="11">
        <v>0</v>
      </c>
      <c r="BL277" s="11">
        <v>0</v>
      </c>
      <c r="BM277" s="11">
        <v>0</v>
      </c>
      <c r="BN277" s="11">
        <f t="shared" si="503"/>
        <v>0</v>
      </c>
      <c r="BO277" s="11">
        <v>0</v>
      </c>
      <c r="BP277" s="11">
        <f t="shared" si="504"/>
        <v>0</v>
      </c>
      <c r="BQ277" s="11">
        <v>0</v>
      </c>
      <c r="BR277" s="11">
        <v>0</v>
      </c>
      <c r="BS277" s="11">
        <v>0</v>
      </c>
      <c r="BT277" s="11">
        <v>0</v>
      </c>
      <c r="BU277" s="11">
        <v>0</v>
      </c>
      <c r="BV277" s="11">
        <v>0</v>
      </c>
      <c r="BW277" s="11">
        <v>0</v>
      </c>
      <c r="BX277" s="11">
        <v>0</v>
      </c>
      <c r="BY277" s="11">
        <v>0</v>
      </c>
      <c r="BZ277" s="11">
        <v>0</v>
      </c>
      <c r="CA277" s="11">
        <v>0</v>
      </c>
      <c r="CB277" s="11">
        <f t="shared" si="505"/>
        <v>185239</v>
      </c>
      <c r="CC277" s="11">
        <f t="shared" si="506"/>
        <v>185239</v>
      </c>
      <c r="CD277" s="11">
        <f t="shared" si="507"/>
        <v>185239</v>
      </c>
      <c r="CE277" s="16"/>
      <c r="CF277" s="16">
        <f>0+185239</f>
        <v>185239</v>
      </c>
      <c r="CG277" s="11">
        <f t="shared" si="508"/>
        <v>0</v>
      </c>
      <c r="CH277" s="11">
        <v>0</v>
      </c>
      <c r="CI277" s="11">
        <v>0</v>
      </c>
      <c r="CJ277" s="11">
        <v>0</v>
      </c>
      <c r="CK277" s="11">
        <v>0</v>
      </c>
      <c r="CL277" s="11">
        <f t="shared" si="509"/>
        <v>0</v>
      </c>
      <c r="CM277" s="11">
        <v>0</v>
      </c>
      <c r="CN277" s="16"/>
      <c r="CO277" s="11">
        <v>0</v>
      </c>
      <c r="CP277" s="11"/>
      <c r="CQ277" s="11">
        <v>0</v>
      </c>
      <c r="CR277" s="11">
        <v>0</v>
      </c>
      <c r="CS277" s="11">
        <v>0</v>
      </c>
      <c r="CT277" s="11">
        <v>0</v>
      </c>
      <c r="CU277" s="11">
        <f t="shared" si="510"/>
        <v>0</v>
      </c>
      <c r="CV277" s="11">
        <f t="shared" si="511"/>
        <v>0</v>
      </c>
      <c r="CW277" s="11">
        <v>0</v>
      </c>
      <c r="CX277" s="12">
        <v>0</v>
      </c>
    </row>
    <row r="278" spans="1:102" ht="31.5" x14ac:dyDescent="0.25">
      <c r="A278" s="13" t="s">
        <v>1</v>
      </c>
      <c r="B278" s="14" t="s">
        <v>1</v>
      </c>
      <c r="C278" s="46" t="s">
        <v>129</v>
      </c>
      <c r="D278" s="45" t="s">
        <v>415</v>
      </c>
      <c r="E278" s="10">
        <f t="shared" si="482"/>
        <v>1067237</v>
      </c>
      <c r="F278" s="11">
        <f t="shared" si="483"/>
        <v>314429</v>
      </c>
      <c r="G278" s="11">
        <f t="shared" si="484"/>
        <v>314429</v>
      </c>
      <c r="H278" s="16"/>
      <c r="I278" s="16"/>
      <c r="J278" s="11">
        <f t="shared" si="446"/>
        <v>168598</v>
      </c>
      <c r="K278" s="16"/>
      <c r="L278" s="16"/>
      <c r="M278" s="16"/>
      <c r="N278" s="16"/>
      <c r="O278" s="16">
        <f>0+69418</f>
        <v>69418</v>
      </c>
      <c r="P278" s="16">
        <f>0+99180</f>
        <v>99180</v>
      </c>
      <c r="Q278" s="11">
        <f t="shared" si="447"/>
        <v>0</v>
      </c>
      <c r="R278" s="16"/>
      <c r="S278" s="16"/>
      <c r="T278" s="16"/>
      <c r="U278" s="16">
        <f>0+19042</f>
        <v>19042</v>
      </c>
      <c r="V278" s="11">
        <f t="shared" si="485"/>
        <v>61820</v>
      </c>
      <c r="W278" s="16"/>
      <c r="X278" s="16">
        <f>0+35167</f>
        <v>35167</v>
      </c>
      <c r="Y278" s="16">
        <f>0+18927</f>
        <v>18927</v>
      </c>
      <c r="Z278" s="16">
        <f>0+4857</f>
        <v>4857</v>
      </c>
      <c r="AA278" s="16">
        <f>0+2869</f>
        <v>2869</v>
      </c>
      <c r="AB278" s="16"/>
      <c r="AC278" s="16"/>
      <c r="AD278" s="16"/>
      <c r="AE278" s="11"/>
      <c r="AF278" s="11">
        <f t="shared" si="486"/>
        <v>64969</v>
      </c>
      <c r="AG278" s="16"/>
      <c r="AH278" s="16"/>
      <c r="AI278" s="16">
        <f>0+12004</f>
        <v>12004</v>
      </c>
      <c r="AJ278" s="16">
        <f>0+5237</f>
        <v>5237</v>
      </c>
      <c r="AK278" s="16"/>
      <c r="AL278" s="16">
        <f>0+1876</f>
        <v>1876</v>
      </c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>
        <f>0+45852</f>
        <v>45852</v>
      </c>
      <c r="BC278" s="11">
        <f t="shared" si="487"/>
        <v>0</v>
      </c>
      <c r="BD278" s="11">
        <f t="shared" si="488"/>
        <v>0</v>
      </c>
      <c r="BE278" s="11">
        <v>0</v>
      </c>
      <c r="BF278" s="11">
        <v>0</v>
      </c>
      <c r="BG278" s="11">
        <v>0</v>
      </c>
      <c r="BH278" s="11">
        <f t="shared" si="449"/>
        <v>0</v>
      </c>
      <c r="BI278" s="11">
        <v>0</v>
      </c>
      <c r="BJ278" s="11">
        <v>0</v>
      </c>
      <c r="BK278" s="11">
        <v>0</v>
      </c>
      <c r="BL278" s="11">
        <v>0</v>
      </c>
      <c r="BM278" s="11">
        <v>0</v>
      </c>
      <c r="BN278" s="11">
        <f t="shared" si="450"/>
        <v>0</v>
      </c>
      <c r="BO278" s="11">
        <v>0</v>
      </c>
      <c r="BP278" s="11">
        <f t="shared" si="451"/>
        <v>0</v>
      </c>
      <c r="BQ278" s="11">
        <v>0</v>
      </c>
      <c r="BR278" s="11">
        <v>0</v>
      </c>
      <c r="BS278" s="11">
        <v>0</v>
      </c>
      <c r="BT278" s="11">
        <v>0</v>
      </c>
      <c r="BU278" s="11">
        <v>0</v>
      </c>
      <c r="BV278" s="11">
        <v>0</v>
      </c>
      <c r="BW278" s="11">
        <v>0</v>
      </c>
      <c r="BX278" s="11">
        <v>0</v>
      </c>
      <c r="BY278" s="11">
        <v>0</v>
      </c>
      <c r="BZ278" s="11">
        <v>0</v>
      </c>
      <c r="CA278" s="11">
        <v>0</v>
      </c>
      <c r="CB278" s="11">
        <f t="shared" si="489"/>
        <v>752808</v>
      </c>
      <c r="CC278" s="11">
        <f t="shared" si="490"/>
        <v>752808</v>
      </c>
      <c r="CD278" s="11">
        <f t="shared" si="452"/>
        <v>323534</v>
      </c>
      <c r="CE278" s="16"/>
      <c r="CF278" s="16">
        <f>0+323534</f>
        <v>323534</v>
      </c>
      <c r="CG278" s="11">
        <f t="shared" si="491"/>
        <v>0</v>
      </c>
      <c r="CH278" s="11">
        <v>0</v>
      </c>
      <c r="CI278" s="11">
        <v>0</v>
      </c>
      <c r="CJ278" s="11">
        <v>0</v>
      </c>
      <c r="CK278" s="11">
        <v>0</v>
      </c>
      <c r="CL278" s="11">
        <f t="shared" si="492"/>
        <v>429274</v>
      </c>
      <c r="CM278" s="11">
        <v>0</v>
      </c>
      <c r="CN278" s="16">
        <f>0+429274</f>
        <v>429274</v>
      </c>
      <c r="CO278" s="11">
        <v>0</v>
      </c>
      <c r="CP278" s="11"/>
      <c r="CQ278" s="11">
        <v>0</v>
      </c>
      <c r="CR278" s="11">
        <v>0</v>
      </c>
      <c r="CS278" s="11">
        <v>0</v>
      </c>
      <c r="CT278" s="11">
        <v>0</v>
      </c>
      <c r="CU278" s="11">
        <f t="shared" si="453"/>
        <v>0</v>
      </c>
      <c r="CV278" s="11">
        <f t="shared" si="454"/>
        <v>0</v>
      </c>
      <c r="CW278" s="11">
        <v>0</v>
      </c>
      <c r="CX278" s="12">
        <v>0</v>
      </c>
    </row>
    <row r="279" spans="1:102" ht="15.75" x14ac:dyDescent="0.25">
      <c r="A279" s="7"/>
      <c r="B279" s="8" t="s">
        <v>416</v>
      </c>
      <c r="C279" s="8" t="s">
        <v>1</v>
      </c>
      <c r="D279" s="9" t="s">
        <v>417</v>
      </c>
      <c r="E279" s="10">
        <f t="shared" ref="E279:BP279" si="512">SUM(E280:E291)</f>
        <v>51474104</v>
      </c>
      <c r="F279" s="11">
        <f t="shared" si="512"/>
        <v>901395</v>
      </c>
      <c r="G279" s="11">
        <f t="shared" si="512"/>
        <v>901395</v>
      </c>
      <c r="H279" s="11">
        <f t="shared" si="512"/>
        <v>0</v>
      </c>
      <c r="I279" s="11">
        <f t="shared" si="512"/>
        <v>0</v>
      </c>
      <c r="J279" s="11">
        <f t="shared" si="512"/>
        <v>0</v>
      </c>
      <c r="K279" s="11">
        <f t="shared" si="512"/>
        <v>0</v>
      </c>
      <c r="L279" s="11">
        <f t="shared" si="512"/>
        <v>0</v>
      </c>
      <c r="M279" s="11">
        <f t="shared" si="512"/>
        <v>0</v>
      </c>
      <c r="N279" s="11">
        <f t="shared" si="512"/>
        <v>0</v>
      </c>
      <c r="O279" s="11">
        <f t="shared" si="512"/>
        <v>0</v>
      </c>
      <c r="P279" s="11">
        <f t="shared" si="512"/>
        <v>0</v>
      </c>
      <c r="Q279" s="11">
        <f t="shared" si="512"/>
        <v>0</v>
      </c>
      <c r="R279" s="11">
        <f t="shared" si="512"/>
        <v>0</v>
      </c>
      <c r="S279" s="11">
        <f t="shared" si="512"/>
        <v>0</v>
      </c>
      <c r="T279" s="11">
        <f t="shared" si="512"/>
        <v>0</v>
      </c>
      <c r="U279" s="11">
        <f t="shared" si="512"/>
        <v>0</v>
      </c>
      <c r="V279" s="11">
        <f t="shared" si="512"/>
        <v>0</v>
      </c>
      <c r="W279" s="11">
        <f t="shared" si="512"/>
        <v>0</v>
      </c>
      <c r="X279" s="11">
        <f t="shared" si="512"/>
        <v>0</v>
      </c>
      <c r="Y279" s="11">
        <f t="shared" si="512"/>
        <v>0</v>
      </c>
      <c r="Z279" s="11">
        <f t="shared" si="512"/>
        <v>0</v>
      </c>
      <c r="AA279" s="11">
        <f t="shared" si="512"/>
        <v>0</v>
      </c>
      <c r="AB279" s="11">
        <f t="shared" si="512"/>
        <v>0</v>
      </c>
      <c r="AC279" s="11">
        <f t="shared" si="512"/>
        <v>0</v>
      </c>
      <c r="AD279" s="11">
        <f t="shared" si="512"/>
        <v>0</v>
      </c>
      <c r="AE279" s="11"/>
      <c r="AF279" s="11">
        <f t="shared" si="512"/>
        <v>901395</v>
      </c>
      <c r="AG279" s="11">
        <f t="shared" si="512"/>
        <v>0</v>
      </c>
      <c r="AH279" s="11">
        <f t="shared" si="512"/>
        <v>0</v>
      </c>
      <c r="AI279" s="11">
        <f t="shared" si="512"/>
        <v>0</v>
      </c>
      <c r="AJ279" s="11">
        <f t="shared" si="512"/>
        <v>0</v>
      </c>
      <c r="AK279" s="11">
        <f t="shared" si="512"/>
        <v>0</v>
      </c>
      <c r="AL279" s="11">
        <f t="shared" si="512"/>
        <v>0</v>
      </c>
      <c r="AM279" s="11">
        <f t="shared" si="512"/>
        <v>0</v>
      </c>
      <c r="AN279" s="11">
        <f t="shared" si="512"/>
        <v>0</v>
      </c>
      <c r="AO279" s="11">
        <f t="shared" si="512"/>
        <v>0</v>
      </c>
      <c r="AP279" s="11">
        <f t="shared" si="512"/>
        <v>0</v>
      </c>
      <c r="AQ279" s="11">
        <f t="shared" si="512"/>
        <v>0</v>
      </c>
      <c r="AR279" s="11">
        <f t="shared" si="512"/>
        <v>0</v>
      </c>
      <c r="AS279" s="11">
        <f t="shared" si="512"/>
        <v>0</v>
      </c>
      <c r="AT279" s="11">
        <f t="shared" si="512"/>
        <v>0</v>
      </c>
      <c r="AU279" s="11">
        <f t="shared" si="512"/>
        <v>0</v>
      </c>
      <c r="AV279" s="11">
        <f t="shared" si="512"/>
        <v>0</v>
      </c>
      <c r="AW279" s="11">
        <f t="shared" si="512"/>
        <v>0</v>
      </c>
      <c r="AX279" s="11">
        <f t="shared" si="512"/>
        <v>0</v>
      </c>
      <c r="AY279" s="11">
        <f t="shared" si="512"/>
        <v>0</v>
      </c>
      <c r="AZ279" s="11">
        <f t="shared" si="512"/>
        <v>0</v>
      </c>
      <c r="BA279" s="11">
        <f t="shared" si="512"/>
        <v>0</v>
      </c>
      <c r="BB279" s="11">
        <f t="shared" si="512"/>
        <v>901395</v>
      </c>
      <c r="BC279" s="11">
        <f t="shared" si="512"/>
        <v>0</v>
      </c>
      <c r="BD279" s="11">
        <f t="shared" si="512"/>
        <v>0</v>
      </c>
      <c r="BE279" s="11">
        <f t="shared" si="512"/>
        <v>0</v>
      </c>
      <c r="BF279" s="11">
        <f t="shared" si="512"/>
        <v>0</v>
      </c>
      <c r="BG279" s="11">
        <f t="shared" si="512"/>
        <v>0</v>
      </c>
      <c r="BH279" s="11">
        <f t="shared" si="512"/>
        <v>0</v>
      </c>
      <c r="BI279" s="11">
        <f t="shared" si="512"/>
        <v>0</v>
      </c>
      <c r="BJ279" s="11">
        <f t="shared" si="512"/>
        <v>0</v>
      </c>
      <c r="BK279" s="11">
        <f t="shared" si="512"/>
        <v>0</v>
      </c>
      <c r="BL279" s="11">
        <f t="shared" si="512"/>
        <v>0</v>
      </c>
      <c r="BM279" s="11">
        <f t="shared" si="512"/>
        <v>0</v>
      </c>
      <c r="BN279" s="11">
        <f t="shared" si="512"/>
        <v>0</v>
      </c>
      <c r="BO279" s="11">
        <f t="shared" si="512"/>
        <v>0</v>
      </c>
      <c r="BP279" s="11">
        <f t="shared" si="512"/>
        <v>0</v>
      </c>
      <c r="BQ279" s="11">
        <f t="shared" ref="BQ279:CX279" si="513">SUM(BQ280:BQ291)</f>
        <v>0</v>
      </c>
      <c r="BR279" s="11">
        <f t="shared" si="513"/>
        <v>0</v>
      </c>
      <c r="BS279" s="11">
        <f t="shared" si="513"/>
        <v>0</v>
      </c>
      <c r="BT279" s="11">
        <f t="shared" si="513"/>
        <v>0</v>
      </c>
      <c r="BU279" s="11">
        <f t="shared" si="513"/>
        <v>0</v>
      </c>
      <c r="BV279" s="11">
        <f t="shared" si="513"/>
        <v>0</v>
      </c>
      <c r="BW279" s="11">
        <f t="shared" si="513"/>
        <v>0</v>
      </c>
      <c r="BX279" s="11">
        <f t="shared" si="513"/>
        <v>0</v>
      </c>
      <c r="BY279" s="11">
        <f t="shared" si="513"/>
        <v>0</v>
      </c>
      <c r="BZ279" s="11">
        <f t="shared" si="513"/>
        <v>0</v>
      </c>
      <c r="CA279" s="11">
        <f t="shared" si="513"/>
        <v>0</v>
      </c>
      <c r="CB279" s="11">
        <f t="shared" si="513"/>
        <v>50572709</v>
      </c>
      <c r="CC279" s="11">
        <f t="shared" si="513"/>
        <v>0</v>
      </c>
      <c r="CD279" s="11">
        <f t="shared" si="513"/>
        <v>0</v>
      </c>
      <c r="CE279" s="11">
        <f t="shared" si="513"/>
        <v>0</v>
      </c>
      <c r="CF279" s="11">
        <f t="shared" si="513"/>
        <v>0</v>
      </c>
      <c r="CG279" s="11">
        <f t="shared" si="513"/>
        <v>0</v>
      </c>
      <c r="CH279" s="11">
        <f t="shared" si="513"/>
        <v>0</v>
      </c>
      <c r="CI279" s="11">
        <f t="shared" si="513"/>
        <v>0</v>
      </c>
      <c r="CJ279" s="11">
        <f t="shared" si="513"/>
        <v>0</v>
      </c>
      <c r="CK279" s="11">
        <f t="shared" si="513"/>
        <v>0</v>
      </c>
      <c r="CL279" s="11">
        <f t="shared" si="513"/>
        <v>0</v>
      </c>
      <c r="CM279" s="11">
        <f t="shared" si="513"/>
        <v>0</v>
      </c>
      <c r="CN279" s="11">
        <f t="shared" si="513"/>
        <v>0</v>
      </c>
      <c r="CO279" s="11">
        <f t="shared" si="513"/>
        <v>0</v>
      </c>
      <c r="CP279" s="11"/>
      <c r="CQ279" s="11">
        <f t="shared" si="513"/>
        <v>0</v>
      </c>
      <c r="CR279" s="11">
        <f t="shared" si="513"/>
        <v>0</v>
      </c>
      <c r="CS279" s="11">
        <f t="shared" si="513"/>
        <v>0</v>
      </c>
      <c r="CT279" s="11">
        <f t="shared" si="513"/>
        <v>50572709</v>
      </c>
      <c r="CU279" s="11">
        <f t="shared" si="513"/>
        <v>0</v>
      </c>
      <c r="CV279" s="11">
        <f t="shared" si="513"/>
        <v>0</v>
      </c>
      <c r="CW279" s="11">
        <f t="shared" si="513"/>
        <v>0</v>
      </c>
      <c r="CX279" s="12">
        <f t="shared" si="513"/>
        <v>0</v>
      </c>
    </row>
    <row r="280" spans="1:102" ht="15.75" x14ac:dyDescent="0.25">
      <c r="A280" s="13" t="s">
        <v>1</v>
      </c>
      <c r="B280" s="14" t="s">
        <v>1</v>
      </c>
      <c r="C280" s="14" t="s">
        <v>97</v>
      </c>
      <c r="D280" s="15" t="s">
        <v>499</v>
      </c>
      <c r="E280" s="10">
        <f t="shared" ref="E280:E291" si="514">SUM(F280+CB280+CU280)</f>
        <v>901395</v>
      </c>
      <c r="F280" s="11">
        <f t="shared" ref="F280:F291" si="515">SUM(G280+BC280)</f>
        <v>901395</v>
      </c>
      <c r="G280" s="11">
        <f t="shared" ref="G280:G291" si="516">SUM(H280+I280+J280+Q280+T280+U280+V280+AF280+AE280)</f>
        <v>901395</v>
      </c>
      <c r="H280" s="11">
        <v>0</v>
      </c>
      <c r="I280" s="11">
        <v>0</v>
      </c>
      <c r="J280" s="11">
        <f>SUM(K280:P280)</f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f>SUM(R280:S280)</f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f t="shared" ref="V280:V291" si="517">SUM(W280:AD280)</f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  <c r="AE280" s="11"/>
      <c r="AF280" s="11">
        <f t="shared" ref="AF280:AF291" si="518">SUM(AG280:BB280)</f>
        <v>901395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11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11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901395</v>
      </c>
      <c r="BC280" s="11">
        <f t="shared" ref="BC280:BC291" si="519">SUM(BD280+BH280+BL280+BN280+BP280)</f>
        <v>0</v>
      </c>
      <c r="BD280" s="11">
        <f t="shared" ref="BD280:BD291" si="520">SUM(BE280:BG280)</f>
        <v>0</v>
      </c>
      <c r="BE280" s="11">
        <v>0</v>
      </c>
      <c r="BF280" s="11">
        <v>0</v>
      </c>
      <c r="BG280" s="11">
        <v>0</v>
      </c>
      <c r="BH280" s="11">
        <f>SUM(BJ280:BK280)</f>
        <v>0</v>
      </c>
      <c r="BI280" s="11">
        <v>0</v>
      </c>
      <c r="BJ280" s="11">
        <v>0</v>
      </c>
      <c r="BK280" s="11">
        <v>0</v>
      </c>
      <c r="BL280" s="11">
        <v>0</v>
      </c>
      <c r="BM280" s="11">
        <v>0</v>
      </c>
      <c r="BN280" s="11">
        <f>SUM(BO280)</f>
        <v>0</v>
      </c>
      <c r="BO280" s="11">
        <v>0</v>
      </c>
      <c r="BP280" s="11">
        <f>SUM(BQ280:CA280)</f>
        <v>0</v>
      </c>
      <c r="BQ280" s="11">
        <v>0</v>
      </c>
      <c r="BR280" s="11">
        <v>0</v>
      </c>
      <c r="BS280" s="11">
        <v>0</v>
      </c>
      <c r="BT280" s="11">
        <v>0</v>
      </c>
      <c r="BU280" s="11">
        <v>0</v>
      </c>
      <c r="BV280" s="11">
        <v>0</v>
      </c>
      <c r="BW280" s="11">
        <v>0</v>
      </c>
      <c r="BX280" s="11">
        <v>0</v>
      </c>
      <c r="BY280" s="11">
        <v>0</v>
      </c>
      <c r="BZ280" s="11">
        <v>0</v>
      </c>
      <c r="CA280" s="11">
        <v>0</v>
      </c>
      <c r="CB280" s="11">
        <f t="shared" ref="CB280:CB291" si="521">SUM(CC280+CT280)</f>
        <v>0</v>
      </c>
      <c r="CC280" s="11">
        <f t="shared" ref="CC280:CC291" si="522">SUM(CD280+CG280+CL280)</f>
        <v>0</v>
      </c>
      <c r="CD280" s="11">
        <f>SUM(CE280:CF280)</f>
        <v>0</v>
      </c>
      <c r="CE280" s="11">
        <v>0</v>
      </c>
      <c r="CF280" s="11">
        <v>0</v>
      </c>
      <c r="CG280" s="11">
        <f t="shared" ref="CG280:CG291" si="523">SUM(CH280:CK280)</f>
        <v>0</v>
      </c>
      <c r="CH280" s="11">
        <v>0</v>
      </c>
      <c r="CI280" s="11">
        <v>0</v>
      </c>
      <c r="CJ280" s="11">
        <v>0</v>
      </c>
      <c r="CK280" s="11">
        <v>0</v>
      </c>
      <c r="CL280" s="11">
        <f t="shared" ref="CL280:CL291" si="524">SUM(CM280:CQ280)</f>
        <v>0</v>
      </c>
      <c r="CM280" s="11">
        <v>0</v>
      </c>
      <c r="CN280" s="11">
        <v>0</v>
      </c>
      <c r="CO280" s="11">
        <v>0</v>
      </c>
      <c r="CP280" s="11"/>
      <c r="CQ280" s="11">
        <v>0</v>
      </c>
      <c r="CR280" s="11">
        <v>0</v>
      </c>
      <c r="CS280" s="11">
        <v>0</v>
      </c>
      <c r="CT280" s="11"/>
      <c r="CU280" s="11">
        <f>SUM(CV280)</f>
        <v>0</v>
      </c>
      <c r="CV280" s="11">
        <f>SUM(CW280:CX280)</f>
        <v>0</v>
      </c>
      <c r="CW280" s="11">
        <v>0</v>
      </c>
      <c r="CX280" s="12">
        <v>0</v>
      </c>
    </row>
    <row r="281" spans="1:102" ht="31.5" x14ac:dyDescent="0.25">
      <c r="A281" s="13" t="s">
        <v>1</v>
      </c>
      <c r="B281" s="14" t="s">
        <v>1</v>
      </c>
      <c r="C281" s="14" t="s">
        <v>99</v>
      </c>
      <c r="D281" s="15" t="s">
        <v>500</v>
      </c>
      <c r="E281" s="10">
        <f t="shared" si="514"/>
        <v>8234982</v>
      </c>
      <c r="F281" s="11">
        <f t="shared" si="515"/>
        <v>0</v>
      </c>
      <c r="G281" s="11">
        <f t="shared" si="516"/>
        <v>0</v>
      </c>
      <c r="H281" s="11">
        <v>0</v>
      </c>
      <c r="I281" s="11">
        <v>0</v>
      </c>
      <c r="J281" s="11">
        <f t="shared" si="446"/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f t="shared" si="447"/>
        <v>0</v>
      </c>
      <c r="R281" s="11">
        <v>0</v>
      </c>
      <c r="S281" s="11">
        <v>0</v>
      </c>
      <c r="T281" s="11">
        <v>0</v>
      </c>
      <c r="U281" s="11">
        <v>0</v>
      </c>
      <c r="V281" s="11">
        <f t="shared" si="517"/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f t="shared" si="518"/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11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f t="shared" si="519"/>
        <v>0</v>
      </c>
      <c r="BD281" s="11">
        <f t="shared" si="520"/>
        <v>0</v>
      </c>
      <c r="BE281" s="11">
        <v>0</v>
      </c>
      <c r="BF281" s="11">
        <v>0</v>
      </c>
      <c r="BG281" s="11">
        <v>0</v>
      </c>
      <c r="BH281" s="11">
        <f t="shared" si="449"/>
        <v>0</v>
      </c>
      <c r="BI281" s="11">
        <v>0</v>
      </c>
      <c r="BJ281" s="11">
        <v>0</v>
      </c>
      <c r="BK281" s="11">
        <v>0</v>
      </c>
      <c r="BL281" s="11">
        <v>0</v>
      </c>
      <c r="BM281" s="11">
        <v>0</v>
      </c>
      <c r="BN281" s="11">
        <f t="shared" si="450"/>
        <v>0</v>
      </c>
      <c r="BO281" s="11">
        <v>0</v>
      </c>
      <c r="BP281" s="11">
        <f t="shared" si="451"/>
        <v>0</v>
      </c>
      <c r="BQ281" s="11">
        <v>0</v>
      </c>
      <c r="BR281" s="11">
        <v>0</v>
      </c>
      <c r="BS281" s="11">
        <v>0</v>
      </c>
      <c r="BT281" s="11">
        <v>0</v>
      </c>
      <c r="BU281" s="11">
        <v>0</v>
      </c>
      <c r="BV281" s="11">
        <v>0</v>
      </c>
      <c r="BW281" s="11">
        <v>0</v>
      </c>
      <c r="BX281" s="11">
        <v>0</v>
      </c>
      <c r="BY281" s="11">
        <v>0</v>
      </c>
      <c r="BZ281" s="11">
        <v>0</v>
      </c>
      <c r="CA281" s="11">
        <v>0</v>
      </c>
      <c r="CB281" s="11">
        <f t="shared" si="521"/>
        <v>8234982</v>
      </c>
      <c r="CC281" s="11">
        <f t="shared" si="522"/>
        <v>0</v>
      </c>
      <c r="CD281" s="11">
        <f t="shared" si="452"/>
        <v>0</v>
      </c>
      <c r="CE281" s="11">
        <v>0</v>
      </c>
      <c r="CF281" s="11">
        <v>0</v>
      </c>
      <c r="CG281" s="11">
        <f t="shared" si="523"/>
        <v>0</v>
      </c>
      <c r="CH281" s="11">
        <v>0</v>
      </c>
      <c r="CI281" s="11">
        <v>0</v>
      </c>
      <c r="CJ281" s="11">
        <v>0</v>
      </c>
      <c r="CK281" s="11">
        <v>0</v>
      </c>
      <c r="CL281" s="11">
        <f t="shared" si="524"/>
        <v>0</v>
      </c>
      <c r="CM281" s="11">
        <v>0</v>
      </c>
      <c r="CN281" s="11">
        <v>0</v>
      </c>
      <c r="CO281" s="11">
        <v>0</v>
      </c>
      <c r="CP281" s="11"/>
      <c r="CQ281" s="11">
        <v>0</v>
      </c>
      <c r="CR281" s="11">
        <v>0</v>
      </c>
      <c r="CS281" s="11">
        <v>0</v>
      </c>
      <c r="CT281" s="16">
        <v>8234982</v>
      </c>
      <c r="CU281" s="11">
        <f t="shared" si="453"/>
        <v>0</v>
      </c>
      <c r="CV281" s="11">
        <f t="shared" si="454"/>
        <v>0</v>
      </c>
      <c r="CW281" s="11">
        <v>0</v>
      </c>
      <c r="CX281" s="12">
        <v>0</v>
      </c>
    </row>
    <row r="282" spans="1:102" ht="47.25" x14ac:dyDescent="0.25">
      <c r="A282" s="13" t="s">
        <v>1</v>
      </c>
      <c r="B282" s="14" t="s">
        <v>1</v>
      </c>
      <c r="C282" s="26" t="s">
        <v>99</v>
      </c>
      <c r="D282" s="25" t="s">
        <v>501</v>
      </c>
      <c r="E282" s="10">
        <f t="shared" si="514"/>
        <v>156000</v>
      </c>
      <c r="F282" s="11">
        <f t="shared" si="515"/>
        <v>0</v>
      </c>
      <c r="G282" s="11">
        <f t="shared" si="516"/>
        <v>0</v>
      </c>
      <c r="H282" s="11">
        <v>0</v>
      </c>
      <c r="I282" s="11">
        <v>0</v>
      </c>
      <c r="J282" s="11">
        <f>SUM(K282:P282)</f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f>SUM(R282:S282)</f>
        <v>0</v>
      </c>
      <c r="R282" s="11">
        <v>0</v>
      </c>
      <c r="S282" s="11">
        <v>0</v>
      </c>
      <c r="T282" s="11">
        <v>0</v>
      </c>
      <c r="U282" s="11">
        <v>0</v>
      </c>
      <c r="V282" s="11">
        <f t="shared" si="517"/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11">
        <f t="shared" si="518"/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11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11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f t="shared" si="519"/>
        <v>0</v>
      </c>
      <c r="BD282" s="11">
        <f t="shared" si="520"/>
        <v>0</v>
      </c>
      <c r="BE282" s="11">
        <v>0</v>
      </c>
      <c r="BF282" s="11">
        <v>0</v>
      </c>
      <c r="BG282" s="11">
        <v>0</v>
      </c>
      <c r="BH282" s="11">
        <f>SUM(BJ282:BK282)</f>
        <v>0</v>
      </c>
      <c r="BI282" s="11">
        <v>0</v>
      </c>
      <c r="BJ282" s="11">
        <v>0</v>
      </c>
      <c r="BK282" s="11">
        <v>0</v>
      </c>
      <c r="BL282" s="11">
        <v>0</v>
      </c>
      <c r="BM282" s="11">
        <v>0</v>
      </c>
      <c r="BN282" s="11">
        <f>SUM(BO282)</f>
        <v>0</v>
      </c>
      <c r="BO282" s="11">
        <v>0</v>
      </c>
      <c r="BP282" s="11">
        <f>SUM(BQ282:CA282)</f>
        <v>0</v>
      </c>
      <c r="BQ282" s="11">
        <v>0</v>
      </c>
      <c r="BR282" s="11">
        <v>0</v>
      </c>
      <c r="BS282" s="11">
        <v>0</v>
      </c>
      <c r="BT282" s="11">
        <v>0</v>
      </c>
      <c r="BU282" s="11">
        <v>0</v>
      </c>
      <c r="BV282" s="11">
        <v>0</v>
      </c>
      <c r="BW282" s="11">
        <v>0</v>
      </c>
      <c r="BX282" s="11">
        <v>0</v>
      </c>
      <c r="BY282" s="11">
        <v>0</v>
      </c>
      <c r="BZ282" s="11">
        <v>0</v>
      </c>
      <c r="CA282" s="11">
        <v>0</v>
      </c>
      <c r="CB282" s="11">
        <f t="shared" si="521"/>
        <v>156000</v>
      </c>
      <c r="CC282" s="11">
        <f t="shared" si="522"/>
        <v>0</v>
      </c>
      <c r="CD282" s="11">
        <f>SUM(CE282:CF282)</f>
        <v>0</v>
      </c>
      <c r="CE282" s="11">
        <v>0</v>
      </c>
      <c r="CF282" s="11">
        <v>0</v>
      </c>
      <c r="CG282" s="11">
        <f t="shared" si="523"/>
        <v>0</v>
      </c>
      <c r="CH282" s="11">
        <v>0</v>
      </c>
      <c r="CI282" s="11">
        <v>0</v>
      </c>
      <c r="CJ282" s="11">
        <v>0</v>
      </c>
      <c r="CK282" s="11">
        <v>0</v>
      </c>
      <c r="CL282" s="11">
        <f t="shared" si="524"/>
        <v>0</v>
      </c>
      <c r="CM282" s="11">
        <v>0</v>
      </c>
      <c r="CN282" s="11">
        <v>0</v>
      </c>
      <c r="CO282" s="11">
        <v>0</v>
      </c>
      <c r="CP282" s="11"/>
      <c r="CQ282" s="11">
        <v>0</v>
      </c>
      <c r="CR282" s="11">
        <v>0</v>
      </c>
      <c r="CS282" s="11">
        <v>0</v>
      </c>
      <c r="CT282" s="16">
        <v>156000</v>
      </c>
      <c r="CU282" s="11">
        <f>SUM(CV282)</f>
        <v>0</v>
      </c>
      <c r="CV282" s="11">
        <f>SUM(CW282:CX282)</f>
        <v>0</v>
      </c>
      <c r="CW282" s="11">
        <v>0</v>
      </c>
      <c r="CX282" s="12">
        <v>0</v>
      </c>
    </row>
    <row r="283" spans="1:102" ht="31.5" x14ac:dyDescent="0.25">
      <c r="A283" s="13" t="s">
        <v>1</v>
      </c>
      <c r="B283" s="14" t="s">
        <v>1</v>
      </c>
      <c r="C283" s="26" t="s">
        <v>101</v>
      </c>
      <c r="D283" s="25" t="s">
        <v>502</v>
      </c>
      <c r="E283" s="10">
        <f t="shared" si="514"/>
        <v>2500000</v>
      </c>
      <c r="F283" s="11">
        <f t="shared" si="515"/>
        <v>0</v>
      </c>
      <c r="G283" s="11">
        <f t="shared" si="516"/>
        <v>0</v>
      </c>
      <c r="H283" s="11">
        <v>0</v>
      </c>
      <c r="I283" s="11">
        <v>0</v>
      </c>
      <c r="J283" s="11">
        <f>SUM(K283:P283)</f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f>SUM(R283:S283)</f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f t="shared" si="517"/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f t="shared" si="518"/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11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f t="shared" si="519"/>
        <v>0</v>
      </c>
      <c r="BD283" s="11">
        <f t="shared" si="520"/>
        <v>0</v>
      </c>
      <c r="BE283" s="11">
        <v>0</v>
      </c>
      <c r="BF283" s="11">
        <v>0</v>
      </c>
      <c r="BG283" s="11">
        <v>0</v>
      </c>
      <c r="BH283" s="11">
        <f>SUM(BJ283:BK283)</f>
        <v>0</v>
      </c>
      <c r="BI283" s="11">
        <v>0</v>
      </c>
      <c r="BJ283" s="11">
        <v>0</v>
      </c>
      <c r="BK283" s="11">
        <v>0</v>
      </c>
      <c r="BL283" s="11">
        <v>0</v>
      </c>
      <c r="BM283" s="11">
        <v>0</v>
      </c>
      <c r="BN283" s="11">
        <f>SUM(BO283)</f>
        <v>0</v>
      </c>
      <c r="BO283" s="11">
        <v>0</v>
      </c>
      <c r="BP283" s="11">
        <f>SUM(BQ283:CA283)</f>
        <v>0</v>
      </c>
      <c r="BQ283" s="11">
        <v>0</v>
      </c>
      <c r="BR283" s="11">
        <v>0</v>
      </c>
      <c r="BS283" s="11">
        <v>0</v>
      </c>
      <c r="BT283" s="11">
        <v>0</v>
      </c>
      <c r="BU283" s="11">
        <v>0</v>
      </c>
      <c r="BV283" s="11">
        <v>0</v>
      </c>
      <c r="BW283" s="11">
        <v>0</v>
      </c>
      <c r="BX283" s="11">
        <v>0</v>
      </c>
      <c r="BY283" s="11">
        <v>0</v>
      </c>
      <c r="BZ283" s="11">
        <v>0</v>
      </c>
      <c r="CA283" s="11">
        <v>0</v>
      </c>
      <c r="CB283" s="11">
        <f t="shared" si="521"/>
        <v>2500000</v>
      </c>
      <c r="CC283" s="11">
        <f t="shared" si="522"/>
        <v>0</v>
      </c>
      <c r="CD283" s="11">
        <f>SUM(CE283:CF283)</f>
        <v>0</v>
      </c>
      <c r="CE283" s="11">
        <v>0</v>
      </c>
      <c r="CF283" s="11">
        <v>0</v>
      </c>
      <c r="CG283" s="11">
        <f t="shared" si="523"/>
        <v>0</v>
      </c>
      <c r="CH283" s="11">
        <v>0</v>
      </c>
      <c r="CI283" s="11">
        <v>0</v>
      </c>
      <c r="CJ283" s="11">
        <v>0</v>
      </c>
      <c r="CK283" s="11">
        <v>0</v>
      </c>
      <c r="CL283" s="11">
        <f t="shared" si="524"/>
        <v>0</v>
      </c>
      <c r="CM283" s="11">
        <v>0</v>
      </c>
      <c r="CN283" s="11">
        <v>0</v>
      </c>
      <c r="CO283" s="11">
        <v>0</v>
      </c>
      <c r="CP283" s="11"/>
      <c r="CQ283" s="11">
        <v>0</v>
      </c>
      <c r="CR283" s="11">
        <v>0</v>
      </c>
      <c r="CS283" s="11">
        <v>0</v>
      </c>
      <c r="CT283" s="16">
        <v>2500000</v>
      </c>
      <c r="CU283" s="11">
        <f>SUM(CV283)</f>
        <v>0</v>
      </c>
      <c r="CV283" s="11">
        <f>SUM(CW283:CX283)</f>
        <v>0</v>
      </c>
      <c r="CW283" s="11">
        <v>0</v>
      </c>
      <c r="CX283" s="12">
        <v>0</v>
      </c>
    </row>
    <row r="284" spans="1:102" ht="15.75" x14ac:dyDescent="0.25">
      <c r="A284" s="13" t="s">
        <v>1</v>
      </c>
      <c r="B284" s="14" t="s">
        <v>1</v>
      </c>
      <c r="C284" s="14" t="s">
        <v>101</v>
      </c>
      <c r="D284" s="15" t="s">
        <v>418</v>
      </c>
      <c r="E284" s="10">
        <f t="shared" si="514"/>
        <v>7889352</v>
      </c>
      <c r="F284" s="11">
        <f t="shared" si="515"/>
        <v>0</v>
      </c>
      <c r="G284" s="11">
        <f t="shared" si="516"/>
        <v>0</v>
      </c>
      <c r="H284" s="11">
        <v>0</v>
      </c>
      <c r="I284" s="11">
        <v>0</v>
      </c>
      <c r="J284" s="11">
        <f>SUM(K284:P284)</f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f>SUM(R284:S284)</f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f t="shared" si="517"/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11">
        <f t="shared" si="518"/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11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11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f t="shared" si="519"/>
        <v>0</v>
      </c>
      <c r="BD284" s="11">
        <f t="shared" si="520"/>
        <v>0</v>
      </c>
      <c r="BE284" s="11">
        <v>0</v>
      </c>
      <c r="BF284" s="11">
        <v>0</v>
      </c>
      <c r="BG284" s="11">
        <v>0</v>
      </c>
      <c r="BH284" s="11">
        <f>SUM(BJ284:BK284)</f>
        <v>0</v>
      </c>
      <c r="BI284" s="11">
        <v>0</v>
      </c>
      <c r="BJ284" s="11">
        <v>0</v>
      </c>
      <c r="BK284" s="11">
        <v>0</v>
      </c>
      <c r="BL284" s="11">
        <v>0</v>
      </c>
      <c r="BM284" s="11">
        <v>0</v>
      </c>
      <c r="BN284" s="11">
        <f>SUM(BO284)</f>
        <v>0</v>
      </c>
      <c r="BO284" s="11">
        <v>0</v>
      </c>
      <c r="BP284" s="11">
        <f>SUM(BQ284:CA284)</f>
        <v>0</v>
      </c>
      <c r="BQ284" s="11">
        <v>0</v>
      </c>
      <c r="BR284" s="11">
        <v>0</v>
      </c>
      <c r="BS284" s="11">
        <v>0</v>
      </c>
      <c r="BT284" s="11">
        <v>0</v>
      </c>
      <c r="BU284" s="11">
        <v>0</v>
      </c>
      <c r="BV284" s="11">
        <v>0</v>
      </c>
      <c r="BW284" s="11">
        <v>0</v>
      </c>
      <c r="BX284" s="11">
        <v>0</v>
      </c>
      <c r="BY284" s="11">
        <v>0</v>
      </c>
      <c r="BZ284" s="11">
        <v>0</v>
      </c>
      <c r="CA284" s="11">
        <v>0</v>
      </c>
      <c r="CB284" s="11">
        <f t="shared" si="521"/>
        <v>7889352</v>
      </c>
      <c r="CC284" s="11">
        <f t="shared" si="522"/>
        <v>0</v>
      </c>
      <c r="CD284" s="11">
        <f>SUM(CE284:CF284)</f>
        <v>0</v>
      </c>
      <c r="CE284" s="11">
        <v>0</v>
      </c>
      <c r="CF284" s="11">
        <v>0</v>
      </c>
      <c r="CG284" s="11">
        <f t="shared" si="523"/>
        <v>0</v>
      </c>
      <c r="CH284" s="11">
        <v>0</v>
      </c>
      <c r="CI284" s="11">
        <v>0</v>
      </c>
      <c r="CJ284" s="11">
        <v>0</v>
      </c>
      <c r="CK284" s="11">
        <v>0</v>
      </c>
      <c r="CL284" s="11">
        <f t="shared" si="524"/>
        <v>0</v>
      </c>
      <c r="CM284" s="11">
        <v>0</v>
      </c>
      <c r="CN284" s="11">
        <v>0</v>
      </c>
      <c r="CO284" s="11">
        <v>0</v>
      </c>
      <c r="CP284" s="11"/>
      <c r="CQ284" s="11">
        <v>0</v>
      </c>
      <c r="CR284" s="11">
        <v>0</v>
      </c>
      <c r="CS284" s="11">
        <v>0</v>
      </c>
      <c r="CT284" s="16">
        <v>7889352</v>
      </c>
      <c r="CU284" s="11">
        <f>SUM(CV284)</f>
        <v>0</v>
      </c>
      <c r="CV284" s="11">
        <f>SUM(CW284:CX284)</f>
        <v>0</v>
      </c>
      <c r="CW284" s="11">
        <v>0</v>
      </c>
      <c r="CX284" s="12">
        <v>0</v>
      </c>
    </row>
    <row r="285" spans="1:102" ht="15.75" x14ac:dyDescent="0.25">
      <c r="A285" s="13" t="s">
        <v>1</v>
      </c>
      <c r="B285" s="14" t="s">
        <v>1</v>
      </c>
      <c r="C285" s="14" t="s">
        <v>101</v>
      </c>
      <c r="D285" s="15" t="s">
        <v>419</v>
      </c>
      <c r="E285" s="10">
        <f t="shared" si="514"/>
        <v>14871466</v>
      </c>
      <c r="F285" s="11">
        <f t="shared" si="515"/>
        <v>0</v>
      </c>
      <c r="G285" s="11">
        <f t="shared" si="516"/>
        <v>0</v>
      </c>
      <c r="H285" s="11">
        <v>0</v>
      </c>
      <c r="I285" s="11">
        <v>0</v>
      </c>
      <c r="J285" s="11">
        <f>SUM(K285:P285)</f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f>SUM(R285:S285)</f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f t="shared" si="517"/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f t="shared" si="518"/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11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f t="shared" si="519"/>
        <v>0</v>
      </c>
      <c r="BD285" s="11">
        <f t="shared" si="520"/>
        <v>0</v>
      </c>
      <c r="BE285" s="11">
        <v>0</v>
      </c>
      <c r="BF285" s="11">
        <v>0</v>
      </c>
      <c r="BG285" s="11">
        <v>0</v>
      </c>
      <c r="BH285" s="11">
        <f>SUM(BJ285:BK285)</f>
        <v>0</v>
      </c>
      <c r="BI285" s="11">
        <v>0</v>
      </c>
      <c r="BJ285" s="11">
        <v>0</v>
      </c>
      <c r="BK285" s="11">
        <v>0</v>
      </c>
      <c r="BL285" s="11">
        <v>0</v>
      </c>
      <c r="BM285" s="11">
        <v>0</v>
      </c>
      <c r="BN285" s="11">
        <f>SUM(BO285)</f>
        <v>0</v>
      </c>
      <c r="BO285" s="11">
        <v>0</v>
      </c>
      <c r="BP285" s="11">
        <f>SUM(BQ285:CA285)</f>
        <v>0</v>
      </c>
      <c r="BQ285" s="11">
        <v>0</v>
      </c>
      <c r="BR285" s="11">
        <v>0</v>
      </c>
      <c r="BS285" s="11">
        <v>0</v>
      </c>
      <c r="BT285" s="11">
        <v>0</v>
      </c>
      <c r="BU285" s="11">
        <v>0</v>
      </c>
      <c r="BV285" s="11">
        <v>0</v>
      </c>
      <c r="BW285" s="11">
        <v>0</v>
      </c>
      <c r="BX285" s="11">
        <v>0</v>
      </c>
      <c r="BY285" s="11">
        <v>0</v>
      </c>
      <c r="BZ285" s="11">
        <v>0</v>
      </c>
      <c r="CA285" s="11">
        <v>0</v>
      </c>
      <c r="CB285" s="11">
        <f t="shared" si="521"/>
        <v>14871466</v>
      </c>
      <c r="CC285" s="11">
        <f t="shared" si="522"/>
        <v>0</v>
      </c>
      <c r="CD285" s="11">
        <f>SUM(CE285:CF285)</f>
        <v>0</v>
      </c>
      <c r="CE285" s="11">
        <v>0</v>
      </c>
      <c r="CF285" s="11">
        <v>0</v>
      </c>
      <c r="CG285" s="11">
        <f t="shared" si="523"/>
        <v>0</v>
      </c>
      <c r="CH285" s="11">
        <v>0</v>
      </c>
      <c r="CI285" s="11">
        <v>0</v>
      </c>
      <c r="CJ285" s="11">
        <v>0</v>
      </c>
      <c r="CK285" s="11">
        <v>0</v>
      </c>
      <c r="CL285" s="11">
        <f t="shared" si="524"/>
        <v>0</v>
      </c>
      <c r="CM285" s="11">
        <v>0</v>
      </c>
      <c r="CN285" s="11">
        <v>0</v>
      </c>
      <c r="CO285" s="11">
        <v>0</v>
      </c>
      <c r="CP285" s="11"/>
      <c r="CQ285" s="11">
        <v>0</v>
      </c>
      <c r="CR285" s="11">
        <v>0</v>
      </c>
      <c r="CS285" s="11">
        <v>0</v>
      </c>
      <c r="CT285" s="16">
        <v>14871466</v>
      </c>
      <c r="CU285" s="11">
        <f>SUM(CV285)</f>
        <v>0</v>
      </c>
      <c r="CV285" s="11">
        <f>SUM(CW285:CX285)</f>
        <v>0</v>
      </c>
      <c r="CW285" s="11">
        <v>0</v>
      </c>
      <c r="CX285" s="12">
        <v>0</v>
      </c>
    </row>
    <row r="286" spans="1:102" ht="31.5" x14ac:dyDescent="0.25">
      <c r="A286" s="13" t="s">
        <v>1</v>
      </c>
      <c r="B286" s="14" t="s">
        <v>1</v>
      </c>
      <c r="C286" s="14" t="s">
        <v>101</v>
      </c>
      <c r="D286" s="15" t="s">
        <v>420</v>
      </c>
      <c r="E286" s="10">
        <f t="shared" si="514"/>
        <v>6628889</v>
      </c>
      <c r="F286" s="11">
        <f t="shared" si="515"/>
        <v>0</v>
      </c>
      <c r="G286" s="11">
        <f t="shared" si="516"/>
        <v>0</v>
      </c>
      <c r="H286" s="11">
        <v>0</v>
      </c>
      <c r="I286" s="11">
        <v>0</v>
      </c>
      <c r="J286" s="11">
        <f>SUM(K286:P286)</f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f>SUM(R286:S286)</f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f t="shared" si="517"/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f t="shared" si="518"/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11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11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f t="shared" si="519"/>
        <v>0</v>
      </c>
      <c r="BD286" s="11">
        <f t="shared" si="520"/>
        <v>0</v>
      </c>
      <c r="BE286" s="11">
        <v>0</v>
      </c>
      <c r="BF286" s="11">
        <v>0</v>
      </c>
      <c r="BG286" s="11">
        <v>0</v>
      </c>
      <c r="BH286" s="11">
        <f>SUM(BJ286:BK286)</f>
        <v>0</v>
      </c>
      <c r="BI286" s="11">
        <v>0</v>
      </c>
      <c r="BJ286" s="11">
        <v>0</v>
      </c>
      <c r="BK286" s="11">
        <v>0</v>
      </c>
      <c r="BL286" s="11">
        <v>0</v>
      </c>
      <c r="BM286" s="11">
        <v>0</v>
      </c>
      <c r="BN286" s="11">
        <f>SUM(BO286)</f>
        <v>0</v>
      </c>
      <c r="BO286" s="11">
        <v>0</v>
      </c>
      <c r="BP286" s="11">
        <f>SUM(BQ286:CA286)</f>
        <v>0</v>
      </c>
      <c r="BQ286" s="11">
        <v>0</v>
      </c>
      <c r="BR286" s="11">
        <v>0</v>
      </c>
      <c r="BS286" s="11">
        <v>0</v>
      </c>
      <c r="BT286" s="11">
        <v>0</v>
      </c>
      <c r="BU286" s="11">
        <v>0</v>
      </c>
      <c r="BV286" s="11">
        <v>0</v>
      </c>
      <c r="BW286" s="11">
        <v>0</v>
      </c>
      <c r="BX286" s="11">
        <v>0</v>
      </c>
      <c r="BY286" s="11">
        <v>0</v>
      </c>
      <c r="BZ286" s="11">
        <v>0</v>
      </c>
      <c r="CA286" s="11">
        <v>0</v>
      </c>
      <c r="CB286" s="11">
        <f t="shared" si="521"/>
        <v>6628889</v>
      </c>
      <c r="CC286" s="11">
        <f t="shared" si="522"/>
        <v>0</v>
      </c>
      <c r="CD286" s="11">
        <f>SUM(CE286:CF286)</f>
        <v>0</v>
      </c>
      <c r="CE286" s="11">
        <v>0</v>
      </c>
      <c r="CF286" s="11">
        <v>0</v>
      </c>
      <c r="CG286" s="11">
        <f t="shared" si="523"/>
        <v>0</v>
      </c>
      <c r="CH286" s="11">
        <v>0</v>
      </c>
      <c r="CI286" s="11">
        <v>0</v>
      </c>
      <c r="CJ286" s="11">
        <v>0</v>
      </c>
      <c r="CK286" s="11">
        <v>0</v>
      </c>
      <c r="CL286" s="11">
        <f t="shared" si="524"/>
        <v>0</v>
      </c>
      <c r="CM286" s="11">
        <v>0</v>
      </c>
      <c r="CN286" s="11">
        <v>0</v>
      </c>
      <c r="CO286" s="11">
        <v>0</v>
      </c>
      <c r="CP286" s="11"/>
      <c r="CQ286" s="11">
        <v>0</v>
      </c>
      <c r="CR286" s="11">
        <v>0</v>
      </c>
      <c r="CS286" s="11">
        <v>0</v>
      </c>
      <c r="CT286" s="16">
        <v>6628889</v>
      </c>
      <c r="CU286" s="11">
        <f>SUM(CV286)</f>
        <v>0</v>
      </c>
      <c r="CV286" s="11">
        <f>SUM(CW286:CX286)</f>
        <v>0</v>
      </c>
      <c r="CW286" s="11">
        <v>0</v>
      </c>
      <c r="CX286" s="12">
        <v>0</v>
      </c>
    </row>
    <row r="287" spans="1:102" ht="15.75" x14ac:dyDescent="0.25">
      <c r="A287" s="13" t="s">
        <v>1</v>
      </c>
      <c r="B287" s="14" t="s">
        <v>1</v>
      </c>
      <c r="C287" s="14" t="s">
        <v>101</v>
      </c>
      <c r="D287" s="15" t="s">
        <v>421</v>
      </c>
      <c r="E287" s="10">
        <f t="shared" si="514"/>
        <v>5848152</v>
      </c>
      <c r="F287" s="11">
        <f t="shared" si="515"/>
        <v>0</v>
      </c>
      <c r="G287" s="11">
        <f t="shared" si="516"/>
        <v>0</v>
      </c>
      <c r="H287" s="11">
        <v>0</v>
      </c>
      <c r="I287" s="11">
        <v>0</v>
      </c>
      <c r="J287" s="11">
        <f t="shared" si="446"/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f t="shared" si="447"/>
        <v>0</v>
      </c>
      <c r="R287" s="11">
        <v>0</v>
      </c>
      <c r="S287" s="11">
        <v>0</v>
      </c>
      <c r="T287" s="11">
        <v>0</v>
      </c>
      <c r="U287" s="11">
        <v>0</v>
      </c>
      <c r="V287" s="11">
        <f t="shared" si="517"/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f t="shared" si="518"/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11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f t="shared" si="519"/>
        <v>0</v>
      </c>
      <c r="BD287" s="11">
        <f t="shared" si="520"/>
        <v>0</v>
      </c>
      <c r="BE287" s="11">
        <v>0</v>
      </c>
      <c r="BF287" s="11">
        <v>0</v>
      </c>
      <c r="BG287" s="11">
        <v>0</v>
      </c>
      <c r="BH287" s="11">
        <f t="shared" si="449"/>
        <v>0</v>
      </c>
      <c r="BI287" s="11">
        <v>0</v>
      </c>
      <c r="BJ287" s="11">
        <v>0</v>
      </c>
      <c r="BK287" s="11">
        <v>0</v>
      </c>
      <c r="BL287" s="11">
        <v>0</v>
      </c>
      <c r="BM287" s="11">
        <v>0</v>
      </c>
      <c r="BN287" s="11">
        <f t="shared" si="450"/>
        <v>0</v>
      </c>
      <c r="BO287" s="11">
        <v>0</v>
      </c>
      <c r="BP287" s="11">
        <f t="shared" si="451"/>
        <v>0</v>
      </c>
      <c r="BQ287" s="11">
        <v>0</v>
      </c>
      <c r="BR287" s="11">
        <v>0</v>
      </c>
      <c r="BS287" s="11">
        <v>0</v>
      </c>
      <c r="BT287" s="11">
        <v>0</v>
      </c>
      <c r="BU287" s="11">
        <v>0</v>
      </c>
      <c r="BV287" s="11">
        <v>0</v>
      </c>
      <c r="BW287" s="11">
        <v>0</v>
      </c>
      <c r="BX287" s="11">
        <v>0</v>
      </c>
      <c r="BY287" s="11">
        <v>0</v>
      </c>
      <c r="BZ287" s="11">
        <v>0</v>
      </c>
      <c r="CA287" s="11">
        <v>0</v>
      </c>
      <c r="CB287" s="11">
        <f t="shared" si="521"/>
        <v>5848152</v>
      </c>
      <c r="CC287" s="11">
        <f t="shared" si="522"/>
        <v>0</v>
      </c>
      <c r="CD287" s="11">
        <f t="shared" si="452"/>
        <v>0</v>
      </c>
      <c r="CE287" s="11">
        <v>0</v>
      </c>
      <c r="CF287" s="11">
        <v>0</v>
      </c>
      <c r="CG287" s="11">
        <f t="shared" si="523"/>
        <v>0</v>
      </c>
      <c r="CH287" s="11">
        <v>0</v>
      </c>
      <c r="CI287" s="11">
        <v>0</v>
      </c>
      <c r="CJ287" s="11">
        <v>0</v>
      </c>
      <c r="CK287" s="11">
        <v>0</v>
      </c>
      <c r="CL287" s="11">
        <f t="shared" si="524"/>
        <v>0</v>
      </c>
      <c r="CM287" s="11">
        <v>0</v>
      </c>
      <c r="CN287" s="11">
        <v>0</v>
      </c>
      <c r="CO287" s="11">
        <v>0</v>
      </c>
      <c r="CP287" s="11"/>
      <c r="CQ287" s="11">
        <v>0</v>
      </c>
      <c r="CR287" s="11">
        <v>0</v>
      </c>
      <c r="CS287" s="11">
        <v>0</v>
      </c>
      <c r="CT287" s="16">
        <v>5848152</v>
      </c>
      <c r="CU287" s="11">
        <f t="shared" si="453"/>
        <v>0</v>
      </c>
      <c r="CV287" s="11">
        <f t="shared" si="454"/>
        <v>0</v>
      </c>
      <c r="CW287" s="11">
        <v>0</v>
      </c>
      <c r="CX287" s="12">
        <v>0</v>
      </c>
    </row>
    <row r="288" spans="1:102" ht="15.75" x14ac:dyDescent="0.25">
      <c r="A288" s="13" t="s">
        <v>1</v>
      </c>
      <c r="B288" s="14" t="s">
        <v>1</v>
      </c>
      <c r="C288" s="14" t="s">
        <v>103</v>
      </c>
      <c r="D288" s="15" t="s">
        <v>422</v>
      </c>
      <c r="E288" s="10">
        <f t="shared" si="514"/>
        <v>253100</v>
      </c>
      <c r="F288" s="11">
        <f t="shared" si="515"/>
        <v>0</v>
      </c>
      <c r="G288" s="11">
        <f t="shared" si="516"/>
        <v>0</v>
      </c>
      <c r="H288" s="11">
        <v>0</v>
      </c>
      <c r="I288" s="11">
        <v>0</v>
      </c>
      <c r="J288" s="11">
        <f t="shared" si="446"/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f t="shared" si="447"/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f t="shared" si="517"/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f t="shared" si="518"/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11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11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f t="shared" si="519"/>
        <v>0</v>
      </c>
      <c r="BD288" s="11">
        <f t="shared" si="520"/>
        <v>0</v>
      </c>
      <c r="BE288" s="11">
        <v>0</v>
      </c>
      <c r="BF288" s="11">
        <v>0</v>
      </c>
      <c r="BG288" s="11">
        <v>0</v>
      </c>
      <c r="BH288" s="11">
        <f t="shared" si="449"/>
        <v>0</v>
      </c>
      <c r="BI288" s="11">
        <v>0</v>
      </c>
      <c r="BJ288" s="11">
        <v>0</v>
      </c>
      <c r="BK288" s="11">
        <v>0</v>
      </c>
      <c r="BL288" s="11">
        <v>0</v>
      </c>
      <c r="BM288" s="11">
        <v>0</v>
      </c>
      <c r="BN288" s="11">
        <f t="shared" si="450"/>
        <v>0</v>
      </c>
      <c r="BO288" s="11">
        <v>0</v>
      </c>
      <c r="BP288" s="11">
        <f t="shared" si="451"/>
        <v>0</v>
      </c>
      <c r="BQ288" s="11">
        <v>0</v>
      </c>
      <c r="BR288" s="11">
        <v>0</v>
      </c>
      <c r="BS288" s="11">
        <v>0</v>
      </c>
      <c r="BT288" s="11">
        <v>0</v>
      </c>
      <c r="BU288" s="11">
        <v>0</v>
      </c>
      <c r="BV288" s="11">
        <v>0</v>
      </c>
      <c r="BW288" s="11">
        <v>0</v>
      </c>
      <c r="BX288" s="11">
        <v>0</v>
      </c>
      <c r="BY288" s="11">
        <v>0</v>
      </c>
      <c r="BZ288" s="11">
        <v>0</v>
      </c>
      <c r="CA288" s="11">
        <v>0</v>
      </c>
      <c r="CB288" s="11">
        <f t="shared" si="521"/>
        <v>253100</v>
      </c>
      <c r="CC288" s="11">
        <f t="shared" si="522"/>
        <v>0</v>
      </c>
      <c r="CD288" s="11">
        <f t="shared" si="452"/>
        <v>0</v>
      </c>
      <c r="CE288" s="11">
        <v>0</v>
      </c>
      <c r="CF288" s="11">
        <v>0</v>
      </c>
      <c r="CG288" s="11">
        <f t="shared" si="523"/>
        <v>0</v>
      </c>
      <c r="CH288" s="11">
        <v>0</v>
      </c>
      <c r="CI288" s="11">
        <v>0</v>
      </c>
      <c r="CJ288" s="11">
        <v>0</v>
      </c>
      <c r="CK288" s="11">
        <v>0</v>
      </c>
      <c r="CL288" s="11">
        <f t="shared" si="524"/>
        <v>0</v>
      </c>
      <c r="CM288" s="11">
        <v>0</v>
      </c>
      <c r="CN288" s="11">
        <v>0</v>
      </c>
      <c r="CO288" s="11">
        <v>0</v>
      </c>
      <c r="CP288" s="11"/>
      <c r="CQ288" s="11">
        <v>0</v>
      </c>
      <c r="CR288" s="11">
        <v>0</v>
      </c>
      <c r="CS288" s="11">
        <v>0</v>
      </c>
      <c r="CT288" s="16">
        <v>253100</v>
      </c>
      <c r="CU288" s="11">
        <f t="shared" si="453"/>
        <v>0</v>
      </c>
      <c r="CV288" s="11">
        <f t="shared" si="454"/>
        <v>0</v>
      </c>
      <c r="CW288" s="11">
        <v>0</v>
      </c>
      <c r="CX288" s="12">
        <v>0</v>
      </c>
    </row>
    <row r="289" spans="1:102" ht="31.5" x14ac:dyDescent="0.25">
      <c r="A289" s="13" t="s">
        <v>1</v>
      </c>
      <c r="B289" s="14" t="s">
        <v>1</v>
      </c>
      <c r="C289" s="14" t="s">
        <v>224</v>
      </c>
      <c r="D289" s="15" t="s">
        <v>503</v>
      </c>
      <c r="E289" s="10">
        <f t="shared" si="514"/>
        <v>912435</v>
      </c>
      <c r="F289" s="11">
        <f t="shared" si="515"/>
        <v>0</v>
      </c>
      <c r="G289" s="11">
        <f t="shared" si="516"/>
        <v>0</v>
      </c>
      <c r="H289" s="11">
        <v>0</v>
      </c>
      <c r="I289" s="11">
        <v>0</v>
      </c>
      <c r="J289" s="11">
        <f t="shared" si="446"/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f t="shared" si="447"/>
        <v>0</v>
      </c>
      <c r="R289" s="11">
        <v>0</v>
      </c>
      <c r="S289" s="11">
        <v>0</v>
      </c>
      <c r="T289" s="11">
        <v>0</v>
      </c>
      <c r="U289" s="11">
        <v>0</v>
      </c>
      <c r="V289" s="11">
        <f t="shared" si="517"/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f t="shared" si="518"/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11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f t="shared" si="519"/>
        <v>0</v>
      </c>
      <c r="BD289" s="11">
        <f t="shared" si="520"/>
        <v>0</v>
      </c>
      <c r="BE289" s="11">
        <v>0</v>
      </c>
      <c r="BF289" s="11">
        <v>0</v>
      </c>
      <c r="BG289" s="11">
        <v>0</v>
      </c>
      <c r="BH289" s="11">
        <f t="shared" si="449"/>
        <v>0</v>
      </c>
      <c r="BI289" s="11">
        <v>0</v>
      </c>
      <c r="BJ289" s="11">
        <v>0</v>
      </c>
      <c r="BK289" s="11">
        <v>0</v>
      </c>
      <c r="BL289" s="11">
        <v>0</v>
      </c>
      <c r="BM289" s="11">
        <v>0</v>
      </c>
      <c r="BN289" s="11">
        <f t="shared" si="450"/>
        <v>0</v>
      </c>
      <c r="BO289" s="11">
        <v>0</v>
      </c>
      <c r="BP289" s="11">
        <f t="shared" si="451"/>
        <v>0</v>
      </c>
      <c r="BQ289" s="11">
        <v>0</v>
      </c>
      <c r="BR289" s="11">
        <v>0</v>
      </c>
      <c r="BS289" s="11">
        <v>0</v>
      </c>
      <c r="BT289" s="11">
        <v>0</v>
      </c>
      <c r="BU289" s="11">
        <v>0</v>
      </c>
      <c r="BV289" s="11">
        <v>0</v>
      </c>
      <c r="BW289" s="11">
        <v>0</v>
      </c>
      <c r="BX289" s="11">
        <v>0</v>
      </c>
      <c r="BY289" s="11">
        <v>0</v>
      </c>
      <c r="BZ289" s="11">
        <v>0</v>
      </c>
      <c r="CA289" s="11">
        <v>0</v>
      </c>
      <c r="CB289" s="11">
        <f t="shared" si="521"/>
        <v>912435</v>
      </c>
      <c r="CC289" s="11">
        <f t="shared" si="522"/>
        <v>0</v>
      </c>
      <c r="CD289" s="11">
        <f t="shared" si="452"/>
        <v>0</v>
      </c>
      <c r="CE289" s="11">
        <v>0</v>
      </c>
      <c r="CF289" s="11">
        <v>0</v>
      </c>
      <c r="CG289" s="11">
        <f t="shared" si="523"/>
        <v>0</v>
      </c>
      <c r="CH289" s="11">
        <v>0</v>
      </c>
      <c r="CI289" s="11">
        <v>0</v>
      </c>
      <c r="CJ289" s="11">
        <v>0</v>
      </c>
      <c r="CK289" s="11">
        <v>0</v>
      </c>
      <c r="CL289" s="11">
        <f t="shared" si="524"/>
        <v>0</v>
      </c>
      <c r="CM289" s="11">
        <v>0</v>
      </c>
      <c r="CN289" s="11">
        <v>0</v>
      </c>
      <c r="CO289" s="11">
        <v>0</v>
      </c>
      <c r="CP289" s="11"/>
      <c r="CQ289" s="11">
        <v>0</v>
      </c>
      <c r="CR289" s="11">
        <v>0</v>
      </c>
      <c r="CS289" s="11">
        <v>0</v>
      </c>
      <c r="CT289" s="16">
        <v>912435</v>
      </c>
      <c r="CU289" s="11">
        <f t="shared" si="453"/>
        <v>0</v>
      </c>
      <c r="CV289" s="11">
        <f t="shared" si="454"/>
        <v>0</v>
      </c>
      <c r="CW289" s="11">
        <v>0</v>
      </c>
      <c r="CX289" s="12">
        <v>0</v>
      </c>
    </row>
    <row r="290" spans="1:102" ht="31.5" x14ac:dyDescent="0.25">
      <c r="A290" s="13" t="s">
        <v>1</v>
      </c>
      <c r="B290" s="14" t="s">
        <v>1</v>
      </c>
      <c r="C290" s="14" t="s">
        <v>361</v>
      </c>
      <c r="D290" s="15" t="s">
        <v>504</v>
      </c>
      <c r="E290" s="10">
        <f t="shared" si="514"/>
        <v>437396</v>
      </c>
      <c r="F290" s="11">
        <f t="shared" si="515"/>
        <v>0</v>
      </c>
      <c r="G290" s="11">
        <f t="shared" si="516"/>
        <v>0</v>
      </c>
      <c r="H290" s="11">
        <v>0</v>
      </c>
      <c r="I290" s="11">
        <v>0</v>
      </c>
      <c r="J290" s="11">
        <f t="shared" si="446"/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f t="shared" si="447"/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f t="shared" si="517"/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f t="shared" si="518"/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11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11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f t="shared" si="519"/>
        <v>0</v>
      </c>
      <c r="BD290" s="11">
        <f t="shared" si="520"/>
        <v>0</v>
      </c>
      <c r="BE290" s="11">
        <v>0</v>
      </c>
      <c r="BF290" s="11">
        <v>0</v>
      </c>
      <c r="BG290" s="11">
        <v>0</v>
      </c>
      <c r="BH290" s="11">
        <f t="shared" si="449"/>
        <v>0</v>
      </c>
      <c r="BI290" s="11">
        <v>0</v>
      </c>
      <c r="BJ290" s="11">
        <v>0</v>
      </c>
      <c r="BK290" s="11">
        <v>0</v>
      </c>
      <c r="BL290" s="11">
        <v>0</v>
      </c>
      <c r="BM290" s="11">
        <v>0</v>
      </c>
      <c r="BN290" s="11">
        <f t="shared" si="450"/>
        <v>0</v>
      </c>
      <c r="BO290" s="11">
        <v>0</v>
      </c>
      <c r="BP290" s="11">
        <f t="shared" si="451"/>
        <v>0</v>
      </c>
      <c r="BQ290" s="11">
        <v>0</v>
      </c>
      <c r="BR290" s="11">
        <v>0</v>
      </c>
      <c r="BS290" s="11">
        <v>0</v>
      </c>
      <c r="BT290" s="11">
        <v>0</v>
      </c>
      <c r="BU290" s="11">
        <v>0</v>
      </c>
      <c r="BV290" s="11">
        <v>0</v>
      </c>
      <c r="BW290" s="11">
        <v>0</v>
      </c>
      <c r="BX290" s="11">
        <v>0</v>
      </c>
      <c r="BY290" s="11">
        <v>0</v>
      </c>
      <c r="BZ290" s="11">
        <v>0</v>
      </c>
      <c r="CA290" s="11">
        <v>0</v>
      </c>
      <c r="CB290" s="11">
        <f t="shared" si="521"/>
        <v>437396</v>
      </c>
      <c r="CC290" s="11">
        <f t="shared" si="522"/>
        <v>0</v>
      </c>
      <c r="CD290" s="11">
        <f t="shared" si="452"/>
        <v>0</v>
      </c>
      <c r="CE290" s="11">
        <v>0</v>
      </c>
      <c r="CF290" s="11">
        <v>0</v>
      </c>
      <c r="CG290" s="11">
        <f t="shared" si="523"/>
        <v>0</v>
      </c>
      <c r="CH290" s="11">
        <v>0</v>
      </c>
      <c r="CI290" s="11">
        <v>0</v>
      </c>
      <c r="CJ290" s="11">
        <v>0</v>
      </c>
      <c r="CK290" s="11">
        <v>0</v>
      </c>
      <c r="CL290" s="11">
        <f t="shared" si="524"/>
        <v>0</v>
      </c>
      <c r="CM290" s="11">
        <v>0</v>
      </c>
      <c r="CN290" s="11">
        <v>0</v>
      </c>
      <c r="CO290" s="11">
        <v>0</v>
      </c>
      <c r="CP290" s="11"/>
      <c r="CQ290" s="11">
        <v>0</v>
      </c>
      <c r="CR290" s="11">
        <v>0</v>
      </c>
      <c r="CS290" s="11">
        <v>0</v>
      </c>
      <c r="CT290" s="16">
        <v>437396</v>
      </c>
      <c r="CU290" s="11">
        <f t="shared" si="453"/>
        <v>0</v>
      </c>
      <c r="CV290" s="11">
        <f t="shared" si="454"/>
        <v>0</v>
      </c>
      <c r="CW290" s="11">
        <v>0</v>
      </c>
      <c r="CX290" s="12">
        <v>0</v>
      </c>
    </row>
    <row r="291" spans="1:102" ht="31.5" x14ac:dyDescent="0.25">
      <c r="A291" s="13" t="s">
        <v>1</v>
      </c>
      <c r="B291" s="14" t="s">
        <v>1</v>
      </c>
      <c r="C291" s="14" t="s">
        <v>361</v>
      </c>
      <c r="D291" s="15" t="s">
        <v>505</v>
      </c>
      <c r="E291" s="10">
        <f t="shared" si="514"/>
        <v>2840937</v>
      </c>
      <c r="F291" s="11">
        <f t="shared" si="515"/>
        <v>0</v>
      </c>
      <c r="G291" s="11">
        <f t="shared" si="516"/>
        <v>0</v>
      </c>
      <c r="H291" s="11">
        <v>0</v>
      </c>
      <c r="I291" s="11">
        <v>0</v>
      </c>
      <c r="J291" s="11">
        <f t="shared" si="446"/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f t="shared" si="447"/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f t="shared" si="517"/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f t="shared" si="518"/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11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f t="shared" si="519"/>
        <v>0</v>
      </c>
      <c r="BD291" s="11">
        <f t="shared" si="520"/>
        <v>0</v>
      </c>
      <c r="BE291" s="11">
        <v>0</v>
      </c>
      <c r="BF291" s="11">
        <v>0</v>
      </c>
      <c r="BG291" s="11">
        <v>0</v>
      </c>
      <c r="BH291" s="11">
        <f t="shared" si="449"/>
        <v>0</v>
      </c>
      <c r="BI291" s="11">
        <v>0</v>
      </c>
      <c r="BJ291" s="11">
        <v>0</v>
      </c>
      <c r="BK291" s="11">
        <v>0</v>
      </c>
      <c r="BL291" s="11">
        <v>0</v>
      </c>
      <c r="BM291" s="11">
        <v>0</v>
      </c>
      <c r="BN291" s="11">
        <f t="shared" si="450"/>
        <v>0</v>
      </c>
      <c r="BO291" s="11">
        <v>0</v>
      </c>
      <c r="BP291" s="11">
        <f t="shared" si="451"/>
        <v>0</v>
      </c>
      <c r="BQ291" s="11">
        <v>0</v>
      </c>
      <c r="BR291" s="11">
        <v>0</v>
      </c>
      <c r="BS291" s="11">
        <v>0</v>
      </c>
      <c r="BT291" s="11">
        <v>0</v>
      </c>
      <c r="BU291" s="11">
        <v>0</v>
      </c>
      <c r="BV291" s="11">
        <v>0</v>
      </c>
      <c r="BW291" s="11">
        <v>0</v>
      </c>
      <c r="BX291" s="11">
        <v>0</v>
      </c>
      <c r="BY291" s="11">
        <v>0</v>
      </c>
      <c r="BZ291" s="11">
        <v>0</v>
      </c>
      <c r="CA291" s="11">
        <v>0</v>
      </c>
      <c r="CB291" s="11">
        <f t="shared" si="521"/>
        <v>2840937</v>
      </c>
      <c r="CC291" s="11">
        <f t="shared" si="522"/>
        <v>0</v>
      </c>
      <c r="CD291" s="11">
        <f t="shared" si="452"/>
        <v>0</v>
      </c>
      <c r="CE291" s="11">
        <v>0</v>
      </c>
      <c r="CF291" s="11">
        <v>0</v>
      </c>
      <c r="CG291" s="11">
        <f t="shared" si="523"/>
        <v>0</v>
      </c>
      <c r="CH291" s="11">
        <v>0</v>
      </c>
      <c r="CI291" s="11">
        <v>0</v>
      </c>
      <c r="CJ291" s="11">
        <v>0</v>
      </c>
      <c r="CK291" s="11">
        <v>0</v>
      </c>
      <c r="CL291" s="11">
        <f t="shared" si="524"/>
        <v>0</v>
      </c>
      <c r="CM291" s="11">
        <v>0</v>
      </c>
      <c r="CN291" s="11">
        <v>0</v>
      </c>
      <c r="CO291" s="11">
        <v>0</v>
      </c>
      <c r="CP291" s="11"/>
      <c r="CQ291" s="11">
        <v>0</v>
      </c>
      <c r="CR291" s="11">
        <v>0</v>
      </c>
      <c r="CS291" s="11">
        <v>0</v>
      </c>
      <c r="CT291" s="16">
        <v>2840937</v>
      </c>
      <c r="CU291" s="11">
        <f t="shared" si="453"/>
        <v>0</v>
      </c>
      <c r="CV291" s="11">
        <f t="shared" si="454"/>
        <v>0</v>
      </c>
      <c r="CW291" s="11">
        <v>0</v>
      </c>
      <c r="CX291" s="12">
        <v>0</v>
      </c>
    </row>
    <row r="292" spans="1:102" ht="15.75" x14ac:dyDescent="0.25">
      <c r="A292" s="7"/>
      <c r="B292" s="8" t="s">
        <v>423</v>
      </c>
      <c r="C292" s="8" t="s">
        <v>1</v>
      </c>
      <c r="D292" s="9" t="s">
        <v>424</v>
      </c>
      <c r="E292" s="10">
        <f t="shared" ref="E292:BS294" si="525">SUM(E293)</f>
        <v>6000000</v>
      </c>
      <c r="F292" s="11">
        <f t="shared" si="525"/>
        <v>0</v>
      </c>
      <c r="G292" s="11">
        <f t="shared" si="525"/>
        <v>0</v>
      </c>
      <c r="H292" s="11">
        <f t="shared" si="525"/>
        <v>0</v>
      </c>
      <c r="I292" s="11">
        <f t="shared" si="525"/>
        <v>0</v>
      </c>
      <c r="J292" s="11">
        <f t="shared" si="525"/>
        <v>0</v>
      </c>
      <c r="K292" s="11">
        <f t="shared" si="525"/>
        <v>0</v>
      </c>
      <c r="L292" s="11">
        <f t="shared" si="525"/>
        <v>0</v>
      </c>
      <c r="M292" s="11">
        <f t="shared" si="525"/>
        <v>0</v>
      </c>
      <c r="N292" s="11">
        <f t="shared" si="525"/>
        <v>0</v>
      </c>
      <c r="O292" s="11">
        <f t="shared" si="525"/>
        <v>0</v>
      </c>
      <c r="P292" s="11">
        <f t="shared" si="525"/>
        <v>0</v>
      </c>
      <c r="Q292" s="11">
        <f t="shared" si="525"/>
        <v>0</v>
      </c>
      <c r="R292" s="11">
        <f t="shared" si="525"/>
        <v>0</v>
      </c>
      <c r="S292" s="11">
        <f t="shared" si="525"/>
        <v>0</v>
      </c>
      <c r="T292" s="11">
        <f t="shared" si="525"/>
        <v>0</v>
      </c>
      <c r="U292" s="11">
        <f t="shared" si="525"/>
        <v>0</v>
      </c>
      <c r="V292" s="11">
        <f t="shared" si="525"/>
        <v>0</v>
      </c>
      <c r="W292" s="11">
        <f t="shared" si="525"/>
        <v>0</v>
      </c>
      <c r="X292" s="11">
        <f t="shared" si="525"/>
        <v>0</v>
      </c>
      <c r="Y292" s="11">
        <f t="shared" si="525"/>
        <v>0</v>
      </c>
      <c r="Z292" s="11">
        <f t="shared" si="525"/>
        <v>0</v>
      </c>
      <c r="AA292" s="11">
        <f t="shared" si="525"/>
        <v>0</v>
      </c>
      <c r="AB292" s="11">
        <f t="shared" si="525"/>
        <v>0</v>
      </c>
      <c r="AC292" s="11">
        <f t="shared" si="525"/>
        <v>0</v>
      </c>
      <c r="AD292" s="11">
        <f t="shared" si="525"/>
        <v>0</v>
      </c>
      <c r="AE292" s="11">
        <f t="shared" si="525"/>
        <v>0</v>
      </c>
      <c r="AF292" s="11">
        <f t="shared" si="525"/>
        <v>0</v>
      </c>
      <c r="AG292" s="11">
        <f t="shared" si="525"/>
        <v>0</v>
      </c>
      <c r="AH292" s="11">
        <f t="shared" si="525"/>
        <v>0</v>
      </c>
      <c r="AI292" s="11">
        <f t="shared" si="525"/>
        <v>0</v>
      </c>
      <c r="AJ292" s="11">
        <f t="shared" si="525"/>
        <v>0</v>
      </c>
      <c r="AK292" s="11">
        <f t="shared" si="525"/>
        <v>0</v>
      </c>
      <c r="AL292" s="11">
        <f t="shared" si="525"/>
        <v>0</v>
      </c>
      <c r="AM292" s="11">
        <f t="shared" si="525"/>
        <v>0</v>
      </c>
      <c r="AN292" s="11">
        <f t="shared" si="525"/>
        <v>0</v>
      </c>
      <c r="AO292" s="11">
        <f t="shared" si="525"/>
        <v>0</v>
      </c>
      <c r="AP292" s="11">
        <f t="shared" si="525"/>
        <v>0</v>
      </c>
      <c r="AQ292" s="11">
        <f t="shared" si="525"/>
        <v>0</v>
      </c>
      <c r="AR292" s="11">
        <f t="shared" si="525"/>
        <v>0</v>
      </c>
      <c r="AS292" s="11">
        <f t="shared" si="525"/>
        <v>0</v>
      </c>
      <c r="AT292" s="11">
        <f t="shared" si="525"/>
        <v>0</v>
      </c>
      <c r="AU292" s="11">
        <f t="shared" si="525"/>
        <v>0</v>
      </c>
      <c r="AV292" s="11">
        <f t="shared" si="525"/>
        <v>0</v>
      </c>
      <c r="AW292" s="11">
        <f t="shared" si="525"/>
        <v>0</v>
      </c>
      <c r="AX292" s="11">
        <f t="shared" si="525"/>
        <v>0</v>
      </c>
      <c r="AY292" s="11">
        <f t="shared" si="525"/>
        <v>0</v>
      </c>
      <c r="AZ292" s="11">
        <f t="shared" si="525"/>
        <v>0</v>
      </c>
      <c r="BA292" s="11">
        <f t="shared" si="525"/>
        <v>0</v>
      </c>
      <c r="BB292" s="11">
        <f t="shared" si="525"/>
        <v>0</v>
      </c>
      <c r="BC292" s="11">
        <f t="shared" si="525"/>
        <v>0</v>
      </c>
      <c r="BD292" s="11">
        <f t="shared" si="525"/>
        <v>0</v>
      </c>
      <c r="BE292" s="11">
        <f t="shared" si="525"/>
        <v>0</v>
      </c>
      <c r="BF292" s="11">
        <f t="shared" si="525"/>
        <v>0</v>
      </c>
      <c r="BG292" s="11">
        <f t="shared" si="525"/>
        <v>0</v>
      </c>
      <c r="BH292" s="11">
        <f t="shared" si="525"/>
        <v>0</v>
      </c>
      <c r="BI292" s="11">
        <f t="shared" si="525"/>
        <v>0</v>
      </c>
      <c r="BJ292" s="11">
        <f t="shared" si="525"/>
        <v>0</v>
      </c>
      <c r="BK292" s="11">
        <f t="shared" si="525"/>
        <v>0</v>
      </c>
      <c r="BL292" s="11">
        <f t="shared" si="525"/>
        <v>0</v>
      </c>
      <c r="BM292" s="11">
        <f t="shared" si="525"/>
        <v>0</v>
      </c>
      <c r="BN292" s="11">
        <f t="shared" si="525"/>
        <v>0</v>
      </c>
      <c r="BO292" s="11">
        <f t="shared" si="525"/>
        <v>0</v>
      </c>
      <c r="BP292" s="11">
        <f t="shared" si="525"/>
        <v>0</v>
      </c>
      <c r="BQ292" s="11">
        <f t="shared" si="525"/>
        <v>0</v>
      </c>
      <c r="BR292" s="11">
        <f t="shared" si="525"/>
        <v>0</v>
      </c>
      <c r="BS292" s="11">
        <f t="shared" si="525"/>
        <v>0</v>
      </c>
      <c r="BT292" s="11">
        <f t="shared" ref="BT292:CX294" si="526">SUM(BT293)</f>
        <v>0</v>
      </c>
      <c r="BU292" s="11">
        <f t="shared" si="526"/>
        <v>0</v>
      </c>
      <c r="BV292" s="11">
        <f t="shared" si="526"/>
        <v>0</v>
      </c>
      <c r="BW292" s="11">
        <f t="shared" si="526"/>
        <v>0</v>
      </c>
      <c r="BX292" s="11">
        <f t="shared" si="526"/>
        <v>0</v>
      </c>
      <c r="BY292" s="11">
        <f t="shared" si="526"/>
        <v>0</v>
      </c>
      <c r="BZ292" s="11">
        <f t="shared" si="526"/>
        <v>0</v>
      </c>
      <c r="CA292" s="11">
        <f t="shared" si="526"/>
        <v>0</v>
      </c>
      <c r="CB292" s="11">
        <f t="shared" si="526"/>
        <v>6000000</v>
      </c>
      <c r="CC292" s="11">
        <f t="shared" si="526"/>
        <v>0</v>
      </c>
      <c r="CD292" s="11">
        <f t="shared" si="526"/>
        <v>0</v>
      </c>
      <c r="CE292" s="11">
        <f t="shared" si="526"/>
        <v>0</v>
      </c>
      <c r="CF292" s="11">
        <f t="shared" si="526"/>
        <v>0</v>
      </c>
      <c r="CG292" s="11">
        <f t="shared" si="526"/>
        <v>0</v>
      </c>
      <c r="CH292" s="11">
        <f t="shared" si="526"/>
        <v>0</v>
      </c>
      <c r="CI292" s="11">
        <f t="shared" si="526"/>
        <v>0</v>
      </c>
      <c r="CJ292" s="11">
        <f t="shared" si="526"/>
        <v>0</v>
      </c>
      <c r="CK292" s="11">
        <f t="shared" si="526"/>
        <v>0</v>
      </c>
      <c r="CL292" s="11">
        <f t="shared" si="526"/>
        <v>0</v>
      </c>
      <c r="CM292" s="11">
        <f t="shared" si="526"/>
        <v>0</v>
      </c>
      <c r="CN292" s="11">
        <f t="shared" si="526"/>
        <v>0</v>
      </c>
      <c r="CO292" s="11">
        <f t="shared" si="526"/>
        <v>0</v>
      </c>
      <c r="CP292" s="11"/>
      <c r="CQ292" s="11">
        <f t="shared" si="526"/>
        <v>0</v>
      </c>
      <c r="CR292" s="11">
        <f t="shared" si="526"/>
        <v>0</v>
      </c>
      <c r="CS292" s="11">
        <f t="shared" si="526"/>
        <v>0</v>
      </c>
      <c r="CT292" s="11">
        <f t="shared" si="526"/>
        <v>6000000</v>
      </c>
      <c r="CU292" s="11">
        <f t="shared" si="526"/>
        <v>0</v>
      </c>
      <c r="CV292" s="11">
        <f t="shared" si="526"/>
        <v>0</v>
      </c>
      <c r="CW292" s="11">
        <f t="shared" si="526"/>
        <v>0</v>
      </c>
      <c r="CX292" s="12">
        <f t="shared" si="526"/>
        <v>0</v>
      </c>
    </row>
    <row r="293" spans="1:102" ht="15.75" x14ac:dyDescent="0.25">
      <c r="A293" s="13"/>
      <c r="B293" s="14" t="s">
        <v>1</v>
      </c>
      <c r="C293" s="14" t="s">
        <v>425</v>
      </c>
      <c r="D293" s="15" t="s">
        <v>424</v>
      </c>
      <c r="E293" s="10">
        <f>SUM(F293+CB293+CU293)</f>
        <v>6000000</v>
      </c>
      <c r="F293" s="11">
        <f>SUM(G293+BC293)</f>
        <v>0</v>
      </c>
      <c r="G293" s="11">
        <f>SUM(H293+I293+J293+Q293+T293+U293+V293+AF293+AE293)</f>
        <v>0</v>
      </c>
      <c r="H293" s="11">
        <v>0</v>
      </c>
      <c r="I293" s="11">
        <v>0</v>
      </c>
      <c r="J293" s="11">
        <f t="shared" si="446"/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f t="shared" si="447"/>
        <v>0</v>
      </c>
      <c r="R293" s="11">
        <v>0</v>
      </c>
      <c r="S293" s="11">
        <v>0</v>
      </c>
      <c r="T293" s="11">
        <v>0</v>
      </c>
      <c r="U293" s="11">
        <v>0</v>
      </c>
      <c r="V293" s="11">
        <f t="shared" ref="V293" si="527">SUM(W293:AD293)</f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f>SUM(AG293:BB293)</f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11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f>SUM(BD293+BH293+BL293+BN293+BP293)</f>
        <v>0</v>
      </c>
      <c r="BD293" s="11">
        <f>SUM(BE293:BG293)</f>
        <v>0</v>
      </c>
      <c r="BE293" s="11">
        <v>0</v>
      </c>
      <c r="BF293" s="11">
        <v>0</v>
      </c>
      <c r="BG293" s="11">
        <v>0</v>
      </c>
      <c r="BH293" s="11">
        <f t="shared" si="449"/>
        <v>0</v>
      </c>
      <c r="BI293" s="11">
        <v>0</v>
      </c>
      <c r="BJ293" s="11">
        <v>0</v>
      </c>
      <c r="BK293" s="11">
        <v>0</v>
      </c>
      <c r="BL293" s="11">
        <v>0</v>
      </c>
      <c r="BM293" s="11">
        <v>0</v>
      </c>
      <c r="BN293" s="11">
        <f t="shared" si="450"/>
        <v>0</v>
      </c>
      <c r="BO293" s="11">
        <v>0</v>
      </c>
      <c r="BP293" s="11">
        <f t="shared" si="451"/>
        <v>0</v>
      </c>
      <c r="BQ293" s="11">
        <v>0</v>
      </c>
      <c r="BR293" s="11">
        <v>0</v>
      </c>
      <c r="BS293" s="11">
        <v>0</v>
      </c>
      <c r="BT293" s="11">
        <v>0</v>
      </c>
      <c r="BU293" s="11">
        <v>0</v>
      </c>
      <c r="BV293" s="11">
        <v>0</v>
      </c>
      <c r="BW293" s="11">
        <v>0</v>
      </c>
      <c r="BX293" s="11">
        <v>0</v>
      </c>
      <c r="BY293" s="11">
        <v>0</v>
      </c>
      <c r="BZ293" s="11">
        <v>0</v>
      </c>
      <c r="CA293" s="11">
        <v>0</v>
      </c>
      <c r="CB293" s="11">
        <f>SUM(CC293+CT293)</f>
        <v>6000000</v>
      </c>
      <c r="CC293" s="11">
        <f>SUM(CD293+CG293+CL293)</f>
        <v>0</v>
      </c>
      <c r="CD293" s="11">
        <f t="shared" si="452"/>
        <v>0</v>
      </c>
      <c r="CE293" s="11">
        <v>0</v>
      </c>
      <c r="CF293" s="11">
        <v>0</v>
      </c>
      <c r="CG293" s="11">
        <f>SUM(CH293:CK293)</f>
        <v>0</v>
      </c>
      <c r="CH293" s="11">
        <v>0</v>
      </c>
      <c r="CI293" s="11">
        <v>0</v>
      </c>
      <c r="CJ293" s="11">
        <v>0</v>
      </c>
      <c r="CK293" s="11">
        <v>0</v>
      </c>
      <c r="CL293" s="11">
        <f>SUM(CM293:CQ293)</f>
        <v>0</v>
      </c>
      <c r="CM293" s="11">
        <v>0</v>
      </c>
      <c r="CN293" s="11">
        <v>0</v>
      </c>
      <c r="CO293" s="11">
        <v>0</v>
      </c>
      <c r="CP293" s="11"/>
      <c r="CQ293" s="11">
        <v>0</v>
      </c>
      <c r="CR293" s="11">
        <v>0</v>
      </c>
      <c r="CS293" s="11">
        <v>0</v>
      </c>
      <c r="CT293" s="11">
        <v>6000000</v>
      </c>
      <c r="CU293" s="11">
        <f t="shared" si="453"/>
        <v>0</v>
      </c>
      <c r="CV293" s="11">
        <f t="shared" si="454"/>
        <v>0</v>
      </c>
      <c r="CW293" s="11">
        <v>0</v>
      </c>
      <c r="CX293" s="12">
        <v>0</v>
      </c>
    </row>
    <row r="294" spans="1:102" ht="15.75" x14ac:dyDescent="0.25">
      <c r="A294" s="7"/>
      <c r="B294" s="8" t="s">
        <v>426</v>
      </c>
      <c r="C294" s="8" t="s">
        <v>1</v>
      </c>
      <c r="D294" s="24" t="s">
        <v>427</v>
      </c>
      <c r="E294" s="10">
        <f t="shared" si="525"/>
        <v>5121745</v>
      </c>
      <c r="F294" s="11">
        <f t="shared" si="525"/>
        <v>5121745</v>
      </c>
      <c r="G294" s="11">
        <f t="shared" si="525"/>
        <v>0</v>
      </c>
      <c r="H294" s="11">
        <f t="shared" si="525"/>
        <v>0</v>
      </c>
      <c r="I294" s="11">
        <f t="shared" si="525"/>
        <v>0</v>
      </c>
      <c r="J294" s="11">
        <f t="shared" si="525"/>
        <v>0</v>
      </c>
      <c r="K294" s="11">
        <f t="shared" si="525"/>
        <v>0</v>
      </c>
      <c r="L294" s="11">
        <f t="shared" si="525"/>
        <v>0</v>
      </c>
      <c r="M294" s="11">
        <f t="shared" si="525"/>
        <v>0</v>
      </c>
      <c r="N294" s="11">
        <f t="shared" si="525"/>
        <v>0</v>
      </c>
      <c r="O294" s="11">
        <f t="shared" si="525"/>
        <v>0</v>
      </c>
      <c r="P294" s="11">
        <f t="shared" si="525"/>
        <v>0</v>
      </c>
      <c r="Q294" s="11">
        <f t="shared" si="525"/>
        <v>0</v>
      </c>
      <c r="R294" s="11">
        <f t="shared" si="525"/>
        <v>0</v>
      </c>
      <c r="S294" s="11">
        <f t="shared" si="525"/>
        <v>0</v>
      </c>
      <c r="T294" s="11">
        <f t="shared" si="525"/>
        <v>0</v>
      </c>
      <c r="U294" s="11">
        <f t="shared" si="525"/>
        <v>0</v>
      </c>
      <c r="V294" s="11">
        <f t="shared" si="525"/>
        <v>0</v>
      </c>
      <c r="W294" s="11">
        <f t="shared" si="525"/>
        <v>0</v>
      </c>
      <c r="X294" s="11">
        <f t="shared" si="525"/>
        <v>0</v>
      </c>
      <c r="Y294" s="11">
        <f t="shared" si="525"/>
        <v>0</v>
      </c>
      <c r="Z294" s="11">
        <f t="shared" si="525"/>
        <v>0</v>
      </c>
      <c r="AA294" s="11">
        <f t="shared" si="525"/>
        <v>0</v>
      </c>
      <c r="AB294" s="11">
        <f t="shared" si="525"/>
        <v>0</v>
      </c>
      <c r="AC294" s="11">
        <f t="shared" si="525"/>
        <v>0</v>
      </c>
      <c r="AD294" s="11">
        <f t="shared" si="525"/>
        <v>0</v>
      </c>
      <c r="AE294" s="11">
        <f t="shared" si="525"/>
        <v>0</v>
      </c>
      <c r="AF294" s="11">
        <f t="shared" si="525"/>
        <v>0</v>
      </c>
      <c r="AG294" s="11">
        <f t="shared" si="525"/>
        <v>0</v>
      </c>
      <c r="AH294" s="11">
        <f t="shared" si="525"/>
        <v>0</v>
      </c>
      <c r="AI294" s="11">
        <f t="shared" si="525"/>
        <v>0</v>
      </c>
      <c r="AJ294" s="11">
        <f t="shared" si="525"/>
        <v>0</v>
      </c>
      <c r="AK294" s="11">
        <f t="shared" si="525"/>
        <v>0</v>
      </c>
      <c r="AL294" s="11">
        <f t="shared" si="525"/>
        <v>0</v>
      </c>
      <c r="AM294" s="11">
        <f t="shared" si="525"/>
        <v>0</v>
      </c>
      <c r="AN294" s="11">
        <f t="shared" si="525"/>
        <v>0</v>
      </c>
      <c r="AO294" s="11">
        <f t="shared" si="525"/>
        <v>0</v>
      </c>
      <c r="AP294" s="11">
        <f t="shared" si="525"/>
        <v>0</v>
      </c>
      <c r="AQ294" s="11">
        <f t="shared" si="525"/>
        <v>0</v>
      </c>
      <c r="AR294" s="11">
        <f t="shared" si="525"/>
        <v>0</v>
      </c>
      <c r="AS294" s="11">
        <f t="shared" si="525"/>
        <v>0</v>
      </c>
      <c r="AT294" s="11">
        <f t="shared" si="525"/>
        <v>0</v>
      </c>
      <c r="AU294" s="11">
        <f t="shared" si="525"/>
        <v>0</v>
      </c>
      <c r="AV294" s="11">
        <f t="shared" si="525"/>
        <v>0</v>
      </c>
      <c r="AW294" s="11">
        <f t="shared" si="525"/>
        <v>0</v>
      </c>
      <c r="AX294" s="11">
        <f t="shared" si="525"/>
        <v>0</v>
      </c>
      <c r="AY294" s="11">
        <f t="shared" si="525"/>
        <v>0</v>
      </c>
      <c r="AZ294" s="11">
        <f t="shared" si="525"/>
        <v>0</v>
      </c>
      <c r="BA294" s="11">
        <f t="shared" si="525"/>
        <v>0</v>
      </c>
      <c r="BB294" s="11">
        <f t="shared" si="525"/>
        <v>0</v>
      </c>
      <c r="BC294" s="11">
        <f t="shared" si="525"/>
        <v>5121745</v>
      </c>
      <c r="BD294" s="11">
        <f t="shared" si="525"/>
        <v>0</v>
      </c>
      <c r="BE294" s="11">
        <f t="shared" si="525"/>
        <v>0</v>
      </c>
      <c r="BF294" s="11">
        <f t="shared" si="525"/>
        <v>0</v>
      </c>
      <c r="BG294" s="11">
        <f t="shared" si="525"/>
        <v>0</v>
      </c>
      <c r="BH294" s="11">
        <f t="shared" si="525"/>
        <v>0</v>
      </c>
      <c r="BI294" s="11">
        <f t="shared" si="525"/>
        <v>0</v>
      </c>
      <c r="BJ294" s="11">
        <f t="shared" si="525"/>
        <v>0</v>
      </c>
      <c r="BK294" s="11">
        <f t="shared" si="525"/>
        <v>0</v>
      </c>
      <c r="BL294" s="11">
        <f t="shared" si="525"/>
        <v>5121745</v>
      </c>
      <c r="BM294" s="11">
        <f t="shared" si="525"/>
        <v>0</v>
      </c>
      <c r="BN294" s="11">
        <f t="shared" si="525"/>
        <v>0</v>
      </c>
      <c r="BO294" s="11">
        <f t="shared" si="525"/>
        <v>0</v>
      </c>
      <c r="BP294" s="11">
        <f t="shared" si="525"/>
        <v>0</v>
      </c>
      <c r="BQ294" s="11">
        <f t="shared" si="525"/>
        <v>0</v>
      </c>
      <c r="BR294" s="11">
        <f t="shared" si="525"/>
        <v>0</v>
      </c>
      <c r="BS294" s="11">
        <f t="shared" si="525"/>
        <v>0</v>
      </c>
      <c r="BT294" s="11">
        <f t="shared" si="526"/>
        <v>0</v>
      </c>
      <c r="BU294" s="11">
        <f t="shared" si="526"/>
        <v>0</v>
      </c>
      <c r="BV294" s="11">
        <f t="shared" si="526"/>
        <v>0</v>
      </c>
      <c r="BW294" s="11">
        <f t="shared" si="526"/>
        <v>0</v>
      </c>
      <c r="BX294" s="11">
        <f t="shared" si="526"/>
        <v>0</v>
      </c>
      <c r="BY294" s="11">
        <f t="shared" si="526"/>
        <v>0</v>
      </c>
      <c r="BZ294" s="11">
        <f t="shared" si="526"/>
        <v>0</v>
      </c>
      <c r="CA294" s="11">
        <f t="shared" si="526"/>
        <v>0</v>
      </c>
      <c r="CB294" s="11">
        <f t="shared" si="526"/>
        <v>0</v>
      </c>
      <c r="CC294" s="11">
        <f t="shared" si="526"/>
        <v>0</v>
      </c>
      <c r="CD294" s="11">
        <f t="shared" si="526"/>
        <v>0</v>
      </c>
      <c r="CE294" s="11">
        <f t="shared" si="526"/>
        <v>0</v>
      </c>
      <c r="CF294" s="11">
        <f t="shared" si="526"/>
        <v>0</v>
      </c>
      <c r="CG294" s="11">
        <f t="shared" si="526"/>
        <v>0</v>
      </c>
      <c r="CH294" s="11">
        <f t="shared" si="526"/>
        <v>0</v>
      </c>
      <c r="CI294" s="11">
        <f t="shared" si="526"/>
        <v>0</v>
      </c>
      <c r="CJ294" s="11">
        <f t="shared" si="526"/>
        <v>0</v>
      </c>
      <c r="CK294" s="11">
        <f t="shared" si="526"/>
        <v>0</v>
      </c>
      <c r="CL294" s="11">
        <f t="shared" si="526"/>
        <v>0</v>
      </c>
      <c r="CM294" s="11">
        <f t="shared" si="526"/>
        <v>0</v>
      </c>
      <c r="CN294" s="11">
        <f t="shared" si="526"/>
        <v>0</v>
      </c>
      <c r="CO294" s="11">
        <f t="shared" si="526"/>
        <v>0</v>
      </c>
      <c r="CP294" s="11"/>
      <c r="CQ294" s="11">
        <f t="shared" si="526"/>
        <v>0</v>
      </c>
      <c r="CR294" s="11">
        <f t="shared" si="526"/>
        <v>0</v>
      </c>
      <c r="CS294" s="11">
        <f t="shared" si="526"/>
        <v>0</v>
      </c>
      <c r="CT294" s="11">
        <f t="shared" si="526"/>
        <v>0</v>
      </c>
      <c r="CU294" s="11">
        <f t="shared" si="526"/>
        <v>0</v>
      </c>
      <c r="CV294" s="11">
        <f t="shared" si="526"/>
        <v>0</v>
      </c>
      <c r="CW294" s="11">
        <f t="shared" si="526"/>
        <v>0</v>
      </c>
      <c r="CX294" s="12">
        <f t="shared" si="526"/>
        <v>0</v>
      </c>
    </row>
    <row r="295" spans="1:102" ht="15.75" x14ac:dyDescent="0.25">
      <c r="A295" s="13" t="s">
        <v>1</v>
      </c>
      <c r="B295" s="14" t="s">
        <v>1</v>
      </c>
      <c r="C295" s="14" t="s">
        <v>125</v>
      </c>
      <c r="D295" s="25" t="s">
        <v>428</v>
      </c>
      <c r="E295" s="10">
        <f>SUM(F295+CB295+CU295)</f>
        <v>5121745</v>
      </c>
      <c r="F295" s="11">
        <f>SUM(G295+BC295)</f>
        <v>5121745</v>
      </c>
      <c r="G295" s="11">
        <f>SUM(H295+I295+J295+Q295+T295+U295+V295+AF295+AE295)</f>
        <v>0</v>
      </c>
      <c r="H295" s="11">
        <v>0</v>
      </c>
      <c r="I295" s="11">
        <v>0</v>
      </c>
      <c r="J295" s="11">
        <f t="shared" ref="J295" si="528">SUM(K295:P295)</f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f t="shared" ref="Q295" si="529">SUM(R295:S295)</f>
        <v>0</v>
      </c>
      <c r="R295" s="11">
        <v>0</v>
      </c>
      <c r="S295" s="11">
        <v>0</v>
      </c>
      <c r="T295" s="11">
        <v>0</v>
      </c>
      <c r="U295" s="11">
        <v>0</v>
      </c>
      <c r="V295" s="11">
        <f t="shared" ref="V295" si="530">SUM(W295:AD295)</f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f>SUM(AG295:BB295)</f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11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f>SUM(BD295+BH295+BL295+BN295+BP295)</f>
        <v>5121745</v>
      </c>
      <c r="BD295" s="11">
        <f>SUM(BE295:BG295)</f>
        <v>0</v>
      </c>
      <c r="BE295" s="11">
        <v>0</v>
      </c>
      <c r="BF295" s="11">
        <v>0</v>
      </c>
      <c r="BG295" s="11">
        <v>0</v>
      </c>
      <c r="BH295" s="11">
        <f t="shared" ref="BH295" si="531">SUM(BJ295:BK295)</f>
        <v>0</v>
      </c>
      <c r="BI295" s="11">
        <v>0</v>
      </c>
      <c r="BJ295" s="11">
        <v>0</v>
      </c>
      <c r="BK295" s="11">
        <v>0</v>
      </c>
      <c r="BL295" s="11">
        <v>5121745</v>
      </c>
      <c r="BM295" s="11">
        <v>0</v>
      </c>
      <c r="BN295" s="11">
        <f t="shared" ref="BN295" si="532">SUM(BO295)</f>
        <v>0</v>
      </c>
      <c r="BO295" s="11">
        <v>0</v>
      </c>
      <c r="BP295" s="11">
        <f t="shared" ref="BP295" si="533">SUM(BQ295:CA295)</f>
        <v>0</v>
      </c>
      <c r="BQ295" s="11">
        <v>0</v>
      </c>
      <c r="BR295" s="11">
        <v>0</v>
      </c>
      <c r="BS295" s="11">
        <v>0</v>
      </c>
      <c r="BT295" s="11">
        <v>0</v>
      </c>
      <c r="BU295" s="11">
        <v>0</v>
      </c>
      <c r="BV295" s="11">
        <v>0</v>
      </c>
      <c r="BW295" s="11">
        <v>0</v>
      </c>
      <c r="BX295" s="11">
        <v>0</v>
      </c>
      <c r="BY295" s="11">
        <v>0</v>
      </c>
      <c r="BZ295" s="11">
        <v>0</v>
      </c>
      <c r="CA295" s="11">
        <v>0</v>
      </c>
      <c r="CB295" s="11">
        <f>SUM(CC295+CT295)</f>
        <v>0</v>
      </c>
      <c r="CC295" s="11">
        <f>SUM(CD295+CG295+CL295)</f>
        <v>0</v>
      </c>
      <c r="CD295" s="11">
        <f t="shared" ref="CD295" si="534">SUM(CE295:CF295)</f>
        <v>0</v>
      </c>
      <c r="CE295" s="11">
        <v>0</v>
      </c>
      <c r="CF295" s="11">
        <v>0</v>
      </c>
      <c r="CG295" s="11">
        <f>SUM(CH295:CK295)</f>
        <v>0</v>
      </c>
      <c r="CH295" s="11">
        <v>0</v>
      </c>
      <c r="CI295" s="11">
        <v>0</v>
      </c>
      <c r="CJ295" s="11">
        <v>0</v>
      </c>
      <c r="CK295" s="11">
        <v>0</v>
      </c>
      <c r="CL295" s="11">
        <f>SUM(CM295:CQ295)</f>
        <v>0</v>
      </c>
      <c r="CM295" s="11">
        <v>0</v>
      </c>
      <c r="CN295" s="11">
        <v>0</v>
      </c>
      <c r="CO295" s="11">
        <v>0</v>
      </c>
      <c r="CP295" s="11"/>
      <c r="CQ295" s="11">
        <v>0</v>
      </c>
      <c r="CR295" s="11">
        <v>0</v>
      </c>
      <c r="CS295" s="11">
        <v>0</v>
      </c>
      <c r="CT295" s="11"/>
      <c r="CU295" s="11">
        <f t="shared" ref="CU295" si="535">SUM(CV295)</f>
        <v>0</v>
      </c>
      <c r="CV295" s="11">
        <f t="shared" ref="CV295" si="536">SUM(CW295:CX295)</f>
        <v>0</v>
      </c>
      <c r="CW295" s="11">
        <v>0</v>
      </c>
      <c r="CX295" s="12">
        <v>0</v>
      </c>
    </row>
    <row r="296" spans="1:102" ht="31.5" x14ac:dyDescent="0.25">
      <c r="A296" s="18" t="s">
        <v>429</v>
      </c>
      <c r="B296" s="19" t="s">
        <v>1</v>
      </c>
      <c r="C296" s="19" t="s">
        <v>1</v>
      </c>
      <c r="D296" s="20" t="s">
        <v>628</v>
      </c>
      <c r="E296" s="21">
        <f>SUM(E297)</f>
        <v>74000000</v>
      </c>
      <c r="F296" s="22">
        <f t="shared" ref="F296:BV297" si="537">SUM(F297)</f>
        <v>0</v>
      </c>
      <c r="G296" s="22">
        <f t="shared" si="537"/>
        <v>0</v>
      </c>
      <c r="H296" s="22">
        <f t="shared" si="537"/>
        <v>0</v>
      </c>
      <c r="I296" s="22">
        <f t="shared" si="537"/>
        <v>0</v>
      </c>
      <c r="J296" s="22">
        <f t="shared" si="537"/>
        <v>0</v>
      </c>
      <c r="K296" s="22">
        <f t="shared" si="537"/>
        <v>0</v>
      </c>
      <c r="L296" s="22">
        <f t="shared" si="537"/>
        <v>0</v>
      </c>
      <c r="M296" s="22">
        <f t="shared" si="537"/>
        <v>0</v>
      </c>
      <c r="N296" s="22">
        <f t="shared" si="537"/>
        <v>0</v>
      </c>
      <c r="O296" s="22">
        <f t="shared" si="537"/>
        <v>0</v>
      </c>
      <c r="P296" s="22">
        <f t="shared" si="537"/>
        <v>0</v>
      </c>
      <c r="Q296" s="22">
        <f t="shared" si="537"/>
        <v>0</v>
      </c>
      <c r="R296" s="22">
        <f t="shared" si="537"/>
        <v>0</v>
      </c>
      <c r="S296" s="22">
        <f t="shared" si="537"/>
        <v>0</v>
      </c>
      <c r="T296" s="22">
        <f t="shared" si="537"/>
        <v>0</v>
      </c>
      <c r="U296" s="22">
        <f t="shared" si="537"/>
        <v>0</v>
      </c>
      <c r="V296" s="22">
        <f t="shared" si="537"/>
        <v>0</v>
      </c>
      <c r="W296" s="22">
        <f t="shared" si="537"/>
        <v>0</v>
      </c>
      <c r="X296" s="22">
        <f t="shared" si="537"/>
        <v>0</v>
      </c>
      <c r="Y296" s="22">
        <f t="shared" si="537"/>
        <v>0</v>
      </c>
      <c r="Z296" s="22">
        <f t="shared" si="537"/>
        <v>0</v>
      </c>
      <c r="AA296" s="22">
        <f t="shared" si="537"/>
        <v>0</v>
      </c>
      <c r="AB296" s="22">
        <f t="shared" si="537"/>
        <v>0</v>
      </c>
      <c r="AC296" s="22">
        <f t="shared" si="537"/>
        <v>0</v>
      </c>
      <c r="AD296" s="22">
        <f t="shared" si="537"/>
        <v>0</v>
      </c>
      <c r="AE296" s="22">
        <f t="shared" si="537"/>
        <v>0</v>
      </c>
      <c r="AF296" s="22">
        <f t="shared" si="537"/>
        <v>0</v>
      </c>
      <c r="AG296" s="22">
        <f t="shared" si="537"/>
        <v>0</v>
      </c>
      <c r="AH296" s="22">
        <f t="shared" si="537"/>
        <v>0</v>
      </c>
      <c r="AI296" s="22">
        <f t="shared" si="537"/>
        <v>0</v>
      </c>
      <c r="AJ296" s="22">
        <f t="shared" si="537"/>
        <v>0</v>
      </c>
      <c r="AK296" s="22">
        <f t="shared" si="537"/>
        <v>0</v>
      </c>
      <c r="AL296" s="22">
        <f t="shared" si="537"/>
        <v>0</v>
      </c>
      <c r="AM296" s="22">
        <f t="shared" si="537"/>
        <v>0</v>
      </c>
      <c r="AN296" s="22">
        <f t="shared" si="537"/>
        <v>0</v>
      </c>
      <c r="AO296" s="22">
        <f t="shared" si="537"/>
        <v>0</v>
      </c>
      <c r="AP296" s="22">
        <f t="shared" si="537"/>
        <v>0</v>
      </c>
      <c r="AQ296" s="22">
        <f t="shared" si="537"/>
        <v>0</v>
      </c>
      <c r="AR296" s="22">
        <f t="shared" si="537"/>
        <v>0</v>
      </c>
      <c r="AS296" s="22">
        <f t="shared" si="537"/>
        <v>0</v>
      </c>
      <c r="AT296" s="22">
        <f t="shared" si="537"/>
        <v>0</v>
      </c>
      <c r="AU296" s="22">
        <f t="shared" si="537"/>
        <v>0</v>
      </c>
      <c r="AV296" s="22">
        <f t="shared" si="537"/>
        <v>0</v>
      </c>
      <c r="AW296" s="22">
        <f t="shared" si="537"/>
        <v>0</v>
      </c>
      <c r="AX296" s="22">
        <f t="shared" si="537"/>
        <v>0</v>
      </c>
      <c r="AY296" s="22">
        <f t="shared" si="537"/>
        <v>0</v>
      </c>
      <c r="AZ296" s="22">
        <f t="shared" si="537"/>
        <v>0</v>
      </c>
      <c r="BA296" s="22">
        <f t="shared" si="537"/>
        <v>0</v>
      </c>
      <c r="BB296" s="22">
        <f t="shared" si="537"/>
        <v>0</v>
      </c>
      <c r="BC296" s="22">
        <f t="shared" si="537"/>
        <v>0</v>
      </c>
      <c r="BD296" s="22">
        <f t="shared" si="537"/>
        <v>0</v>
      </c>
      <c r="BE296" s="22">
        <f t="shared" si="537"/>
        <v>0</v>
      </c>
      <c r="BF296" s="22">
        <f t="shared" si="537"/>
        <v>0</v>
      </c>
      <c r="BG296" s="22">
        <f t="shared" si="537"/>
        <v>0</v>
      </c>
      <c r="BH296" s="22">
        <f t="shared" si="537"/>
        <v>0</v>
      </c>
      <c r="BI296" s="22">
        <f t="shared" si="537"/>
        <v>0</v>
      </c>
      <c r="BJ296" s="22">
        <f t="shared" si="537"/>
        <v>0</v>
      </c>
      <c r="BK296" s="22">
        <f t="shared" si="537"/>
        <v>0</v>
      </c>
      <c r="BL296" s="22">
        <f t="shared" si="537"/>
        <v>0</v>
      </c>
      <c r="BM296" s="22">
        <f t="shared" si="537"/>
        <v>0</v>
      </c>
      <c r="BN296" s="22">
        <f t="shared" si="537"/>
        <v>0</v>
      </c>
      <c r="BO296" s="22">
        <f t="shared" si="537"/>
        <v>0</v>
      </c>
      <c r="BP296" s="22">
        <f t="shared" si="537"/>
        <v>0</v>
      </c>
      <c r="BQ296" s="22">
        <f t="shared" si="537"/>
        <v>0</v>
      </c>
      <c r="BR296" s="22">
        <f t="shared" si="537"/>
        <v>0</v>
      </c>
      <c r="BS296" s="22">
        <f t="shared" si="537"/>
        <v>0</v>
      </c>
      <c r="BT296" s="22">
        <f t="shared" si="537"/>
        <v>0</v>
      </c>
      <c r="BU296" s="22">
        <f t="shared" si="537"/>
        <v>0</v>
      </c>
      <c r="BV296" s="22">
        <f t="shared" si="537"/>
        <v>0</v>
      </c>
      <c r="BW296" s="22">
        <f t="shared" ref="BW296:CX297" si="538">SUM(BW297)</f>
        <v>0</v>
      </c>
      <c r="BX296" s="22">
        <f t="shared" si="538"/>
        <v>0</v>
      </c>
      <c r="BY296" s="22">
        <f t="shared" si="538"/>
        <v>0</v>
      </c>
      <c r="BZ296" s="22">
        <f t="shared" si="538"/>
        <v>0</v>
      </c>
      <c r="CA296" s="22">
        <f t="shared" si="538"/>
        <v>0</v>
      </c>
      <c r="CB296" s="22">
        <f t="shared" si="538"/>
        <v>0</v>
      </c>
      <c r="CC296" s="22">
        <f t="shared" si="538"/>
        <v>0</v>
      </c>
      <c r="CD296" s="22">
        <f t="shared" si="538"/>
        <v>0</v>
      </c>
      <c r="CE296" s="22">
        <f t="shared" si="538"/>
        <v>0</v>
      </c>
      <c r="CF296" s="22">
        <f t="shared" si="538"/>
        <v>0</v>
      </c>
      <c r="CG296" s="22">
        <f t="shared" si="538"/>
        <v>0</v>
      </c>
      <c r="CH296" s="22">
        <f t="shared" si="538"/>
        <v>0</v>
      </c>
      <c r="CI296" s="22">
        <f t="shared" si="538"/>
        <v>0</v>
      </c>
      <c r="CJ296" s="22">
        <f t="shared" si="538"/>
        <v>0</v>
      </c>
      <c r="CK296" s="22">
        <f t="shared" si="538"/>
        <v>0</v>
      </c>
      <c r="CL296" s="22">
        <f t="shared" si="538"/>
        <v>0</v>
      </c>
      <c r="CM296" s="22">
        <f t="shared" si="538"/>
        <v>0</v>
      </c>
      <c r="CN296" s="22">
        <f t="shared" si="538"/>
        <v>0</v>
      </c>
      <c r="CO296" s="22">
        <f t="shared" si="538"/>
        <v>0</v>
      </c>
      <c r="CP296" s="22"/>
      <c r="CQ296" s="22">
        <f t="shared" si="538"/>
        <v>0</v>
      </c>
      <c r="CR296" s="22">
        <f t="shared" si="538"/>
        <v>0</v>
      </c>
      <c r="CS296" s="22">
        <f t="shared" si="538"/>
        <v>0</v>
      </c>
      <c r="CT296" s="22">
        <f t="shared" si="538"/>
        <v>0</v>
      </c>
      <c r="CU296" s="22">
        <f t="shared" si="538"/>
        <v>74000000</v>
      </c>
      <c r="CV296" s="22">
        <f t="shared" si="538"/>
        <v>74000000</v>
      </c>
      <c r="CW296" s="22">
        <f t="shared" si="538"/>
        <v>0</v>
      </c>
      <c r="CX296" s="23">
        <f t="shared" si="538"/>
        <v>74000000</v>
      </c>
    </row>
    <row r="297" spans="1:102" ht="31.5" x14ac:dyDescent="0.25">
      <c r="A297" s="7"/>
      <c r="B297" s="8" t="s">
        <v>430</v>
      </c>
      <c r="C297" s="8" t="s">
        <v>1</v>
      </c>
      <c r="D297" s="9" t="s">
        <v>431</v>
      </c>
      <c r="E297" s="10">
        <f>SUM(E298)</f>
        <v>74000000</v>
      </c>
      <c r="F297" s="11">
        <f t="shared" si="537"/>
        <v>0</v>
      </c>
      <c r="G297" s="11">
        <f t="shared" si="537"/>
        <v>0</v>
      </c>
      <c r="H297" s="11">
        <f t="shared" si="537"/>
        <v>0</v>
      </c>
      <c r="I297" s="11">
        <f t="shared" si="537"/>
        <v>0</v>
      </c>
      <c r="J297" s="11">
        <f t="shared" si="537"/>
        <v>0</v>
      </c>
      <c r="K297" s="11">
        <f t="shared" si="537"/>
        <v>0</v>
      </c>
      <c r="L297" s="11">
        <f t="shared" si="537"/>
        <v>0</v>
      </c>
      <c r="M297" s="11">
        <f t="shared" si="537"/>
        <v>0</v>
      </c>
      <c r="N297" s="11">
        <f t="shared" si="537"/>
        <v>0</v>
      </c>
      <c r="O297" s="11">
        <f t="shared" si="537"/>
        <v>0</v>
      </c>
      <c r="P297" s="11">
        <f t="shared" si="537"/>
        <v>0</v>
      </c>
      <c r="Q297" s="11">
        <f t="shared" si="537"/>
        <v>0</v>
      </c>
      <c r="R297" s="11">
        <f t="shared" si="537"/>
        <v>0</v>
      </c>
      <c r="S297" s="11">
        <f t="shared" si="537"/>
        <v>0</v>
      </c>
      <c r="T297" s="11">
        <f t="shared" si="537"/>
        <v>0</v>
      </c>
      <c r="U297" s="11">
        <f t="shared" si="537"/>
        <v>0</v>
      </c>
      <c r="V297" s="11">
        <f t="shared" si="537"/>
        <v>0</v>
      </c>
      <c r="W297" s="11">
        <f t="shared" si="537"/>
        <v>0</v>
      </c>
      <c r="X297" s="11">
        <f t="shared" si="537"/>
        <v>0</v>
      </c>
      <c r="Y297" s="11">
        <f t="shared" si="537"/>
        <v>0</v>
      </c>
      <c r="Z297" s="11">
        <f t="shared" si="537"/>
        <v>0</v>
      </c>
      <c r="AA297" s="11">
        <f t="shared" si="537"/>
        <v>0</v>
      </c>
      <c r="AB297" s="11">
        <f t="shared" si="537"/>
        <v>0</v>
      </c>
      <c r="AC297" s="11">
        <f t="shared" si="537"/>
        <v>0</v>
      </c>
      <c r="AD297" s="11">
        <f t="shared" si="537"/>
        <v>0</v>
      </c>
      <c r="AE297" s="11">
        <f t="shared" si="537"/>
        <v>0</v>
      </c>
      <c r="AF297" s="11">
        <f t="shared" si="537"/>
        <v>0</v>
      </c>
      <c r="AG297" s="11">
        <f t="shared" si="537"/>
        <v>0</v>
      </c>
      <c r="AH297" s="11">
        <f t="shared" si="537"/>
        <v>0</v>
      </c>
      <c r="AI297" s="11">
        <f t="shared" si="537"/>
        <v>0</v>
      </c>
      <c r="AJ297" s="11">
        <f t="shared" si="537"/>
        <v>0</v>
      </c>
      <c r="AK297" s="11">
        <f t="shared" si="537"/>
        <v>0</v>
      </c>
      <c r="AL297" s="11">
        <f t="shared" si="537"/>
        <v>0</v>
      </c>
      <c r="AM297" s="11">
        <f t="shared" si="537"/>
        <v>0</v>
      </c>
      <c r="AN297" s="11">
        <f t="shared" si="537"/>
        <v>0</v>
      </c>
      <c r="AO297" s="11">
        <f t="shared" si="537"/>
        <v>0</v>
      </c>
      <c r="AP297" s="11">
        <f t="shared" si="537"/>
        <v>0</v>
      </c>
      <c r="AQ297" s="11">
        <f t="shared" si="537"/>
        <v>0</v>
      </c>
      <c r="AR297" s="11">
        <f t="shared" si="537"/>
        <v>0</v>
      </c>
      <c r="AS297" s="11">
        <f t="shared" si="537"/>
        <v>0</v>
      </c>
      <c r="AT297" s="11">
        <f t="shared" si="537"/>
        <v>0</v>
      </c>
      <c r="AU297" s="11">
        <f t="shared" si="537"/>
        <v>0</v>
      </c>
      <c r="AV297" s="11">
        <f t="shared" si="537"/>
        <v>0</v>
      </c>
      <c r="AW297" s="11">
        <f t="shared" si="537"/>
        <v>0</v>
      </c>
      <c r="AX297" s="11">
        <f t="shared" si="537"/>
        <v>0</v>
      </c>
      <c r="AY297" s="11">
        <f t="shared" si="537"/>
        <v>0</v>
      </c>
      <c r="AZ297" s="11">
        <f t="shared" si="537"/>
        <v>0</v>
      </c>
      <c r="BA297" s="11">
        <f t="shared" si="537"/>
        <v>0</v>
      </c>
      <c r="BB297" s="11">
        <f t="shared" si="537"/>
        <v>0</v>
      </c>
      <c r="BC297" s="11">
        <f t="shared" si="537"/>
        <v>0</v>
      </c>
      <c r="BD297" s="11">
        <f t="shared" si="537"/>
        <v>0</v>
      </c>
      <c r="BE297" s="11">
        <f t="shared" si="537"/>
        <v>0</v>
      </c>
      <c r="BF297" s="11">
        <f t="shared" si="537"/>
        <v>0</v>
      </c>
      <c r="BG297" s="11">
        <f t="shared" si="537"/>
        <v>0</v>
      </c>
      <c r="BH297" s="11">
        <f t="shared" si="537"/>
        <v>0</v>
      </c>
      <c r="BI297" s="11">
        <f t="shared" si="537"/>
        <v>0</v>
      </c>
      <c r="BJ297" s="11">
        <f t="shared" si="537"/>
        <v>0</v>
      </c>
      <c r="BK297" s="11">
        <f t="shared" si="537"/>
        <v>0</v>
      </c>
      <c r="BL297" s="11">
        <f t="shared" si="537"/>
        <v>0</v>
      </c>
      <c r="BM297" s="11">
        <f t="shared" si="537"/>
        <v>0</v>
      </c>
      <c r="BN297" s="11">
        <f t="shared" si="537"/>
        <v>0</v>
      </c>
      <c r="BO297" s="11">
        <f t="shared" si="537"/>
        <v>0</v>
      </c>
      <c r="BP297" s="11">
        <f t="shared" si="537"/>
        <v>0</v>
      </c>
      <c r="BQ297" s="11">
        <f t="shared" si="537"/>
        <v>0</v>
      </c>
      <c r="BR297" s="11">
        <f t="shared" si="537"/>
        <v>0</v>
      </c>
      <c r="BS297" s="11">
        <f t="shared" si="537"/>
        <v>0</v>
      </c>
      <c r="BT297" s="11">
        <f t="shared" si="537"/>
        <v>0</v>
      </c>
      <c r="BU297" s="11">
        <f t="shared" si="537"/>
        <v>0</v>
      </c>
      <c r="BV297" s="11">
        <f t="shared" si="537"/>
        <v>0</v>
      </c>
      <c r="BW297" s="11">
        <f t="shared" si="538"/>
        <v>0</v>
      </c>
      <c r="BX297" s="11">
        <f t="shared" si="538"/>
        <v>0</v>
      </c>
      <c r="BY297" s="11">
        <f t="shared" si="538"/>
        <v>0</v>
      </c>
      <c r="BZ297" s="11">
        <f t="shared" si="538"/>
        <v>0</v>
      </c>
      <c r="CA297" s="11">
        <f t="shared" si="538"/>
        <v>0</v>
      </c>
      <c r="CB297" s="11">
        <f t="shared" si="538"/>
        <v>0</v>
      </c>
      <c r="CC297" s="11">
        <f t="shared" si="538"/>
        <v>0</v>
      </c>
      <c r="CD297" s="11">
        <f t="shared" si="538"/>
        <v>0</v>
      </c>
      <c r="CE297" s="11">
        <f t="shared" si="538"/>
        <v>0</v>
      </c>
      <c r="CF297" s="11">
        <f t="shared" si="538"/>
        <v>0</v>
      </c>
      <c r="CG297" s="11">
        <f t="shared" si="538"/>
        <v>0</v>
      </c>
      <c r="CH297" s="11">
        <f t="shared" si="538"/>
        <v>0</v>
      </c>
      <c r="CI297" s="11">
        <f t="shared" si="538"/>
        <v>0</v>
      </c>
      <c r="CJ297" s="11">
        <f t="shared" si="538"/>
        <v>0</v>
      </c>
      <c r="CK297" s="11">
        <f t="shared" si="538"/>
        <v>0</v>
      </c>
      <c r="CL297" s="11">
        <f t="shared" si="538"/>
        <v>0</v>
      </c>
      <c r="CM297" s="11">
        <f t="shared" si="538"/>
        <v>0</v>
      </c>
      <c r="CN297" s="11">
        <f t="shared" si="538"/>
        <v>0</v>
      </c>
      <c r="CO297" s="11">
        <f t="shared" si="538"/>
        <v>0</v>
      </c>
      <c r="CP297" s="11"/>
      <c r="CQ297" s="11">
        <f t="shared" si="538"/>
        <v>0</v>
      </c>
      <c r="CR297" s="11">
        <f t="shared" si="538"/>
        <v>0</v>
      </c>
      <c r="CS297" s="11">
        <f t="shared" si="538"/>
        <v>0</v>
      </c>
      <c r="CT297" s="11">
        <f t="shared" si="538"/>
        <v>0</v>
      </c>
      <c r="CU297" s="11">
        <f t="shared" si="538"/>
        <v>74000000</v>
      </c>
      <c r="CV297" s="11">
        <f t="shared" si="538"/>
        <v>74000000</v>
      </c>
      <c r="CW297" s="11">
        <f t="shared" si="538"/>
        <v>0</v>
      </c>
      <c r="CX297" s="12">
        <f t="shared" si="538"/>
        <v>74000000</v>
      </c>
    </row>
    <row r="298" spans="1:102" ht="31.5" x14ac:dyDescent="0.25">
      <c r="A298" s="13" t="s">
        <v>1</v>
      </c>
      <c r="B298" s="14" t="s">
        <v>1</v>
      </c>
      <c r="C298" s="14" t="s">
        <v>125</v>
      </c>
      <c r="D298" s="15" t="s">
        <v>432</v>
      </c>
      <c r="E298" s="10">
        <f>SUM(F298+CB298+CU298)</f>
        <v>74000000</v>
      </c>
      <c r="F298" s="11">
        <f>SUM(G298+BC298)</f>
        <v>0</v>
      </c>
      <c r="G298" s="11">
        <f>SUM(H298+I298+J298+Q298+T298+U298+V298+AF298+AE298)</f>
        <v>0</v>
      </c>
      <c r="H298" s="11">
        <v>0</v>
      </c>
      <c r="I298" s="11">
        <v>0</v>
      </c>
      <c r="J298" s="11">
        <f t="shared" si="446"/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f t="shared" si="447"/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f t="shared" ref="V298" si="539">SUM(W298:AD298)</f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11">
        <f>SUM(AG298:BB298)</f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11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11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f>SUM(BD298+BH298+BL298+BN298+BP298)</f>
        <v>0</v>
      </c>
      <c r="BD298" s="11">
        <f>SUM(BE298:BG298)</f>
        <v>0</v>
      </c>
      <c r="BE298" s="11">
        <v>0</v>
      </c>
      <c r="BF298" s="11">
        <v>0</v>
      </c>
      <c r="BG298" s="11">
        <v>0</v>
      </c>
      <c r="BH298" s="11">
        <f t="shared" si="449"/>
        <v>0</v>
      </c>
      <c r="BI298" s="11">
        <v>0</v>
      </c>
      <c r="BJ298" s="11">
        <v>0</v>
      </c>
      <c r="BK298" s="11">
        <v>0</v>
      </c>
      <c r="BL298" s="11">
        <v>0</v>
      </c>
      <c r="BM298" s="11">
        <v>0</v>
      </c>
      <c r="BN298" s="11">
        <f t="shared" si="450"/>
        <v>0</v>
      </c>
      <c r="BO298" s="11">
        <v>0</v>
      </c>
      <c r="BP298" s="11">
        <f t="shared" si="451"/>
        <v>0</v>
      </c>
      <c r="BQ298" s="11">
        <v>0</v>
      </c>
      <c r="BR298" s="11">
        <v>0</v>
      </c>
      <c r="BS298" s="11">
        <v>0</v>
      </c>
      <c r="BT298" s="11">
        <v>0</v>
      </c>
      <c r="BU298" s="11">
        <v>0</v>
      </c>
      <c r="BV298" s="11">
        <v>0</v>
      </c>
      <c r="BW298" s="11">
        <v>0</v>
      </c>
      <c r="BX298" s="11">
        <v>0</v>
      </c>
      <c r="BY298" s="11">
        <v>0</v>
      </c>
      <c r="BZ298" s="11">
        <v>0</v>
      </c>
      <c r="CA298" s="11">
        <v>0</v>
      </c>
      <c r="CB298" s="11">
        <f>SUM(CC298+CT298)</f>
        <v>0</v>
      </c>
      <c r="CC298" s="11">
        <f>SUM(CD298+CG298+CL298)</f>
        <v>0</v>
      </c>
      <c r="CD298" s="11">
        <f t="shared" si="452"/>
        <v>0</v>
      </c>
      <c r="CE298" s="11">
        <v>0</v>
      </c>
      <c r="CF298" s="11">
        <v>0</v>
      </c>
      <c r="CG298" s="11">
        <f>SUM(CH298:CK298)</f>
        <v>0</v>
      </c>
      <c r="CH298" s="11">
        <v>0</v>
      </c>
      <c r="CI298" s="11">
        <v>0</v>
      </c>
      <c r="CJ298" s="11">
        <v>0</v>
      </c>
      <c r="CK298" s="11">
        <v>0</v>
      </c>
      <c r="CL298" s="11">
        <f>SUM(CM298:CQ298)</f>
        <v>0</v>
      </c>
      <c r="CM298" s="11">
        <v>0</v>
      </c>
      <c r="CN298" s="11">
        <v>0</v>
      </c>
      <c r="CO298" s="11">
        <v>0</v>
      </c>
      <c r="CP298" s="11"/>
      <c r="CQ298" s="11">
        <v>0</v>
      </c>
      <c r="CR298" s="11">
        <v>0</v>
      </c>
      <c r="CS298" s="11">
        <v>0</v>
      </c>
      <c r="CT298" s="11">
        <v>0</v>
      </c>
      <c r="CU298" s="11">
        <f t="shared" si="453"/>
        <v>74000000</v>
      </c>
      <c r="CV298" s="11">
        <f t="shared" si="454"/>
        <v>74000000</v>
      </c>
      <c r="CW298" s="11">
        <v>0</v>
      </c>
      <c r="CX298" s="12">
        <v>74000000</v>
      </c>
    </row>
    <row r="299" spans="1:102" ht="15.75" x14ac:dyDescent="0.25">
      <c r="A299" s="18" t="s">
        <v>433</v>
      </c>
      <c r="B299" s="19" t="s">
        <v>1</v>
      </c>
      <c r="C299" s="19" t="s">
        <v>1</v>
      </c>
      <c r="D299" s="20" t="s">
        <v>434</v>
      </c>
      <c r="E299" s="21">
        <f>SUM(E304+E314+E306+E308+E310+E312+E316+E300)</f>
        <v>490326846</v>
      </c>
      <c r="F299" s="22">
        <f t="shared" ref="F299:BQ299" si="540">SUM(F304+F314+F306+F308+F310+F312+F316+F300)</f>
        <v>259022682</v>
      </c>
      <c r="G299" s="22">
        <f t="shared" si="540"/>
        <v>51883391</v>
      </c>
      <c r="H299" s="22">
        <f t="shared" si="540"/>
        <v>0</v>
      </c>
      <c r="I299" s="22">
        <f t="shared" si="540"/>
        <v>0</v>
      </c>
      <c r="J299" s="22">
        <f t="shared" si="540"/>
        <v>4819833</v>
      </c>
      <c r="K299" s="22">
        <f t="shared" si="540"/>
        <v>0</v>
      </c>
      <c r="L299" s="22">
        <f t="shared" si="540"/>
        <v>0</v>
      </c>
      <c r="M299" s="22">
        <f t="shared" si="540"/>
        <v>0</v>
      </c>
      <c r="N299" s="22">
        <f t="shared" si="540"/>
        <v>0</v>
      </c>
      <c r="O299" s="22">
        <f t="shared" si="540"/>
        <v>114832</v>
      </c>
      <c r="P299" s="22">
        <f t="shared" si="540"/>
        <v>4705001</v>
      </c>
      <c r="Q299" s="22">
        <f t="shared" si="540"/>
        <v>0</v>
      </c>
      <c r="R299" s="22">
        <f t="shared" si="540"/>
        <v>0</v>
      </c>
      <c r="S299" s="22">
        <f t="shared" si="540"/>
        <v>0</v>
      </c>
      <c r="T299" s="22">
        <f t="shared" si="540"/>
        <v>0</v>
      </c>
      <c r="U299" s="22">
        <f t="shared" si="540"/>
        <v>0</v>
      </c>
      <c r="V299" s="22">
        <f t="shared" si="540"/>
        <v>0</v>
      </c>
      <c r="W299" s="22">
        <f t="shared" si="540"/>
        <v>0</v>
      </c>
      <c r="X299" s="22">
        <f t="shared" si="540"/>
        <v>0</v>
      </c>
      <c r="Y299" s="22">
        <f t="shared" si="540"/>
        <v>0</v>
      </c>
      <c r="Z299" s="22">
        <f t="shared" si="540"/>
        <v>0</v>
      </c>
      <c r="AA299" s="22">
        <f t="shared" si="540"/>
        <v>0</v>
      </c>
      <c r="AB299" s="22">
        <f t="shared" si="540"/>
        <v>0</v>
      </c>
      <c r="AC299" s="22">
        <f t="shared" si="540"/>
        <v>0</v>
      </c>
      <c r="AD299" s="22">
        <f t="shared" si="540"/>
        <v>0</v>
      </c>
      <c r="AE299" s="22">
        <f t="shared" si="540"/>
        <v>0</v>
      </c>
      <c r="AF299" s="22">
        <f t="shared" si="540"/>
        <v>47063558</v>
      </c>
      <c r="AG299" s="22">
        <f t="shared" si="540"/>
        <v>0</v>
      </c>
      <c r="AH299" s="22">
        <f t="shared" si="540"/>
        <v>0</v>
      </c>
      <c r="AI299" s="22">
        <f t="shared" si="540"/>
        <v>0</v>
      </c>
      <c r="AJ299" s="22">
        <f t="shared" si="540"/>
        <v>0</v>
      </c>
      <c r="AK299" s="22">
        <f t="shared" si="540"/>
        <v>0</v>
      </c>
      <c r="AL299" s="22">
        <f t="shared" si="540"/>
        <v>0</v>
      </c>
      <c r="AM299" s="22">
        <f t="shared" si="540"/>
        <v>0</v>
      </c>
      <c r="AN299" s="22">
        <f t="shared" si="540"/>
        <v>0</v>
      </c>
      <c r="AO299" s="22">
        <f t="shared" si="540"/>
        <v>0</v>
      </c>
      <c r="AP299" s="22">
        <f t="shared" si="540"/>
        <v>0</v>
      </c>
      <c r="AQ299" s="22">
        <f t="shared" si="540"/>
        <v>0</v>
      </c>
      <c r="AR299" s="22">
        <f t="shared" si="540"/>
        <v>0</v>
      </c>
      <c r="AS299" s="22">
        <f t="shared" si="540"/>
        <v>0</v>
      </c>
      <c r="AT299" s="22">
        <f t="shared" si="540"/>
        <v>0</v>
      </c>
      <c r="AU299" s="22">
        <f t="shared" si="540"/>
        <v>0</v>
      </c>
      <c r="AV299" s="22">
        <f t="shared" si="540"/>
        <v>0</v>
      </c>
      <c r="AW299" s="22">
        <f t="shared" si="540"/>
        <v>0</v>
      </c>
      <c r="AX299" s="22">
        <f t="shared" si="540"/>
        <v>8213969</v>
      </c>
      <c r="AY299" s="22">
        <f t="shared" si="540"/>
        <v>0</v>
      </c>
      <c r="AZ299" s="22">
        <f t="shared" si="540"/>
        <v>0</v>
      </c>
      <c r="BA299" s="22">
        <f t="shared" si="540"/>
        <v>0</v>
      </c>
      <c r="BB299" s="22">
        <f t="shared" si="540"/>
        <v>38849589</v>
      </c>
      <c r="BC299" s="22">
        <f t="shared" si="540"/>
        <v>207139291</v>
      </c>
      <c r="BD299" s="22">
        <f t="shared" si="540"/>
        <v>19244240</v>
      </c>
      <c r="BE299" s="22">
        <f t="shared" si="540"/>
        <v>19244240</v>
      </c>
      <c r="BF299" s="22">
        <f t="shared" si="540"/>
        <v>0</v>
      </c>
      <c r="BG299" s="22">
        <f t="shared" si="540"/>
        <v>0</v>
      </c>
      <c r="BH299" s="22">
        <f t="shared" si="540"/>
        <v>6879834</v>
      </c>
      <c r="BI299" s="22">
        <f t="shared" si="540"/>
        <v>1151526</v>
      </c>
      <c r="BJ299" s="22">
        <f t="shared" si="540"/>
        <v>0</v>
      </c>
      <c r="BK299" s="22">
        <f t="shared" si="540"/>
        <v>5728308</v>
      </c>
      <c r="BL299" s="22">
        <f t="shared" si="540"/>
        <v>146704817</v>
      </c>
      <c r="BM299" s="22">
        <f t="shared" si="540"/>
        <v>0</v>
      </c>
      <c r="BN299" s="22">
        <f t="shared" si="540"/>
        <v>0</v>
      </c>
      <c r="BO299" s="22">
        <f t="shared" si="540"/>
        <v>0</v>
      </c>
      <c r="BP299" s="22">
        <f t="shared" si="540"/>
        <v>34310400</v>
      </c>
      <c r="BQ299" s="22">
        <f t="shared" si="540"/>
        <v>0</v>
      </c>
      <c r="BR299" s="22">
        <f t="shared" ref="BR299:CX299" si="541">SUM(BR304+BR314+BR306+BR308+BR310+BR312+BR316+BR300)</f>
        <v>0</v>
      </c>
      <c r="BS299" s="22">
        <f t="shared" si="541"/>
        <v>0</v>
      </c>
      <c r="BT299" s="22">
        <f t="shared" si="541"/>
        <v>0</v>
      </c>
      <c r="BU299" s="22">
        <f t="shared" si="541"/>
        <v>0</v>
      </c>
      <c r="BV299" s="22">
        <f t="shared" si="541"/>
        <v>0</v>
      </c>
      <c r="BW299" s="22">
        <f t="shared" si="541"/>
        <v>0</v>
      </c>
      <c r="BX299" s="22">
        <f t="shared" si="541"/>
        <v>1310400</v>
      </c>
      <c r="BY299" s="22">
        <f t="shared" si="541"/>
        <v>0</v>
      </c>
      <c r="BZ299" s="22">
        <f t="shared" si="541"/>
        <v>0</v>
      </c>
      <c r="CA299" s="22">
        <f t="shared" si="541"/>
        <v>33000000</v>
      </c>
      <c r="CB299" s="22">
        <f t="shared" si="541"/>
        <v>231304164</v>
      </c>
      <c r="CC299" s="22">
        <f t="shared" si="541"/>
        <v>218812309</v>
      </c>
      <c r="CD299" s="22">
        <f t="shared" si="541"/>
        <v>45121351</v>
      </c>
      <c r="CE299" s="22">
        <f t="shared" si="541"/>
        <v>0</v>
      </c>
      <c r="CF299" s="22">
        <f t="shared" si="541"/>
        <v>45121351</v>
      </c>
      <c r="CG299" s="22">
        <f t="shared" si="541"/>
        <v>96547180</v>
      </c>
      <c r="CH299" s="22">
        <f t="shared" si="541"/>
        <v>0</v>
      </c>
      <c r="CI299" s="22">
        <f t="shared" si="541"/>
        <v>88814591</v>
      </c>
      <c r="CJ299" s="22">
        <f t="shared" si="541"/>
        <v>7200000</v>
      </c>
      <c r="CK299" s="22">
        <f t="shared" si="541"/>
        <v>532589</v>
      </c>
      <c r="CL299" s="22">
        <f t="shared" si="541"/>
        <v>77143778</v>
      </c>
      <c r="CM299" s="22">
        <f t="shared" si="541"/>
        <v>0</v>
      </c>
      <c r="CN299" s="22">
        <f t="shared" si="541"/>
        <v>70874406</v>
      </c>
      <c r="CO299" s="22">
        <f t="shared" si="541"/>
        <v>4269372</v>
      </c>
      <c r="CP299" s="22"/>
      <c r="CQ299" s="22">
        <f t="shared" si="541"/>
        <v>2000000</v>
      </c>
      <c r="CR299" s="22">
        <f t="shared" si="541"/>
        <v>0</v>
      </c>
      <c r="CS299" s="22">
        <f t="shared" si="541"/>
        <v>0</v>
      </c>
      <c r="CT299" s="22">
        <f t="shared" si="541"/>
        <v>12491855</v>
      </c>
      <c r="CU299" s="22">
        <f t="shared" si="541"/>
        <v>0</v>
      </c>
      <c r="CV299" s="22">
        <f t="shared" si="541"/>
        <v>0</v>
      </c>
      <c r="CW299" s="22">
        <f t="shared" si="541"/>
        <v>0</v>
      </c>
      <c r="CX299" s="23">
        <f t="shared" si="541"/>
        <v>0</v>
      </c>
    </row>
    <row r="300" spans="1:102" ht="15.75" x14ac:dyDescent="0.25">
      <c r="A300" s="7"/>
      <c r="B300" s="8" t="s">
        <v>435</v>
      </c>
      <c r="C300" s="8" t="s">
        <v>1</v>
      </c>
      <c r="D300" s="24" t="s">
        <v>436</v>
      </c>
      <c r="E300" s="10">
        <f>SUM(E301:E303)</f>
        <v>147856343</v>
      </c>
      <c r="F300" s="11">
        <f t="shared" ref="F300:AQ300" si="542">SUM(F301:F303)</f>
        <v>147856343</v>
      </c>
      <c r="G300" s="11">
        <f t="shared" si="542"/>
        <v>0</v>
      </c>
      <c r="H300" s="11">
        <f t="shared" si="542"/>
        <v>0</v>
      </c>
      <c r="I300" s="11">
        <f t="shared" si="542"/>
        <v>0</v>
      </c>
      <c r="J300" s="11">
        <f t="shared" si="542"/>
        <v>0</v>
      </c>
      <c r="K300" s="11">
        <f t="shared" si="542"/>
        <v>0</v>
      </c>
      <c r="L300" s="11">
        <f t="shared" si="542"/>
        <v>0</v>
      </c>
      <c r="M300" s="11">
        <f t="shared" si="542"/>
        <v>0</v>
      </c>
      <c r="N300" s="11">
        <f t="shared" si="542"/>
        <v>0</v>
      </c>
      <c r="O300" s="11">
        <f t="shared" si="542"/>
        <v>0</v>
      </c>
      <c r="P300" s="11">
        <f t="shared" si="542"/>
        <v>0</v>
      </c>
      <c r="Q300" s="11">
        <f t="shared" si="542"/>
        <v>0</v>
      </c>
      <c r="R300" s="11">
        <f t="shared" si="542"/>
        <v>0</v>
      </c>
      <c r="S300" s="11">
        <f t="shared" si="542"/>
        <v>0</v>
      </c>
      <c r="T300" s="11">
        <f t="shared" si="542"/>
        <v>0</v>
      </c>
      <c r="U300" s="11">
        <f t="shared" si="542"/>
        <v>0</v>
      </c>
      <c r="V300" s="11">
        <f t="shared" si="542"/>
        <v>0</v>
      </c>
      <c r="W300" s="11">
        <f t="shared" si="542"/>
        <v>0</v>
      </c>
      <c r="X300" s="11">
        <f t="shared" si="542"/>
        <v>0</v>
      </c>
      <c r="Y300" s="11">
        <f t="shared" si="542"/>
        <v>0</v>
      </c>
      <c r="Z300" s="11">
        <f t="shared" si="542"/>
        <v>0</v>
      </c>
      <c r="AA300" s="11">
        <f t="shared" si="542"/>
        <v>0</v>
      </c>
      <c r="AB300" s="11">
        <f t="shared" si="542"/>
        <v>0</v>
      </c>
      <c r="AC300" s="11">
        <f t="shared" si="542"/>
        <v>0</v>
      </c>
      <c r="AD300" s="11">
        <f t="shared" si="542"/>
        <v>0</v>
      </c>
      <c r="AE300" s="11">
        <f t="shared" si="542"/>
        <v>0</v>
      </c>
      <c r="AF300" s="11">
        <f t="shared" si="542"/>
        <v>0</v>
      </c>
      <c r="AG300" s="11">
        <f t="shared" si="542"/>
        <v>0</v>
      </c>
      <c r="AH300" s="11">
        <f t="shared" si="542"/>
        <v>0</v>
      </c>
      <c r="AI300" s="11">
        <f t="shared" si="542"/>
        <v>0</v>
      </c>
      <c r="AJ300" s="11">
        <f t="shared" si="542"/>
        <v>0</v>
      </c>
      <c r="AK300" s="11">
        <f t="shared" si="542"/>
        <v>0</v>
      </c>
      <c r="AL300" s="11">
        <f t="shared" si="542"/>
        <v>0</v>
      </c>
      <c r="AM300" s="11">
        <f t="shared" si="542"/>
        <v>0</v>
      </c>
      <c r="AN300" s="11">
        <f t="shared" si="542"/>
        <v>0</v>
      </c>
      <c r="AO300" s="11">
        <f t="shared" si="542"/>
        <v>0</v>
      </c>
      <c r="AP300" s="11">
        <f t="shared" si="542"/>
        <v>0</v>
      </c>
      <c r="AQ300" s="11">
        <f t="shared" si="542"/>
        <v>0</v>
      </c>
      <c r="AR300" s="11">
        <f>SUM(AR301:AR303)</f>
        <v>0</v>
      </c>
      <c r="AS300" s="11">
        <f t="shared" ref="AS300:CX300" si="543">SUM(AS301:AS303)</f>
        <v>0</v>
      </c>
      <c r="AT300" s="11">
        <f t="shared" si="543"/>
        <v>0</v>
      </c>
      <c r="AU300" s="11">
        <f t="shared" si="543"/>
        <v>0</v>
      </c>
      <c r="AV300" s="11">
        <f t="shared" si="543"/>
        <v>0</v>
      </c>
      <c r="AW300" s="11">
        <f t="shared" si="543"/>
        <v>0</v>
      </c>
      <c r="AX300" s="11">
        <f t="shared" si="543"/>
        <v>0</v>
      </c>
      <c r="AY300" s="11">
        <f t="shared" si="543"/>
        <v>0</v>
      </c>
      <c r="AZ300" s="11">
        <f t="shared" si="543"/>
        <v>0</v>
      </c>
      <c r="BA300" s="11">
        <f t="shared" si="543"/>
        <v>0</v>
      </c>
      <c r="BB300" s="11">
        <f t="shared" si="543"/>
        <v>0</v>
      </c>
      <c r="BC300" s="11">
        <f t="shared" si="543"/>
        <v>147856343</v>
      </c>
      <c r="BD300" s="11">
        <f t="shared" si="543"/>
        <v>0</v>
      </c>
      <c r="BE300" s="11">
        <f t="shared" si="543"/>
        <v>0</v>
      </c>
      <c r="BF300" s="11">
        <f t="shared" si="543"/>
        <v>0</v>
      </c>
      <c r="BG300" s="11">
        <f t="shared" si="543"/>
        <v>0</v>
      </c>
      <c r="BH300" s="11">
        <f t="shared" si="543"/>
        <v>1151526</v>
      </c>
      <c r="BI300" s="11">
        <f t="shared" si="543"/>
        <v>1151526</v>
      </c>
      <c r="BJ300" s="11">
        <f t="shared" si="543"/>
        <v>0</v>
      </c>
      <c r="BK300" s="11">
        <f t="shared" si="543"/>
        <v>0</v>
      </c>
      <c r="BL300" s="11">
        <f t="shared" si="543"/>
        <v>146704817</v>
      </c>
      <c r="BM300" s="11">
        <f t="shared" si="543"/>
        <v>0</v>
      </c>
      <c r="BN300" s="11">
        <f t="shared" si="543"/>
        <v>0</v>
      </c>
      <c r="BO300" s="11">
        <f t="shared" si="543"/>
        <v>0</v>
      </c>
      <c r="BP300" s="11">
        <f t="shared" si="543"/>
        <v>0</v>
      </c>
      <c r="BQ300" s="11">
        <f t="shared" si="543"/>
        <v>0</v>
      </c>
      <c r="BR300" s="11">
        <f t="shared" si="543"/>
        <v>0</v>
      </c>
      <c r="BS300" s="11">
        <f t="shared" si="543"/>
        <v>0</v>
      </c>
      <c r="BT300" s="11">
        <f t="shared" si="543"/>
        <v>0</v>
      </c>
      <c r="BU300" s="11">
        <f t="shared" si="543"/>
        <v>0</v>
      </c>
      <c r="BV300" s="11">
        <f t="shared" si="543"/>
        <v>0</v>
      </c>
      <c r="BW300" s="11">
        <f t="shared" si="543"/>
        <v>0</v>
      </c>
      <c r="BX300" s="11">
        <f t="shared" si="543"/>
        <v>0</v>
      </c>
      <c r="BY300" s="11">
        <f t="shared" si="543"/>
        <v>0</v>
      </c>
      <c r="BZ300" s="11">
        <f t="shared" si="543"/>
        <v>0</v>
      </c>
      <c r="CA300" s="11">
        <f t="shared" si="543"/>
        <v>0</v>
      </c>
      <c r="CB300" s="11">
        <f t="shared" ref="CB300:CB317" si="544">SUM(CC300+CT300)</f>
        <v>0</v>
      </c>
      <c r="CC300" s="11">
        <f t="shared" si="543"/>
        <v>0</v>
      </c>
      <c r="CD300" s="11">
        <f t="shared" si="543"/>
        <v>0</v>
      </c>
      <c r="CE300" s="11">
        <f t="shared" si="543"/>
        <v>0</v>
      </c>
      <c r="CF300" s="11">
        <f t="shared" si="543"/>
        <v>0</v>
      </c>
      <c r="CG300" s="11">
        <f t="shared" si="543"/>
        <v>0</v>
      </c>
      <c r="CH300" s="11">
        <f t="shared" si="543"/>
        <v>0</v>
      </c>
      <c r="CI300" s="11">
        <f t="shared" si="543"/>
        <v>0</v>
      </c>
      <c r="CJ300" s="11">
        <f t="shared" ref="CJ300" si="545">SUM(CJ301:CJ303)</f>
        <v>0</v>
      </c>
      <c r="CK300" s="11">
        <f t="shared" si="543"/>
        <v>0</v>
      </c>
      <c r="CL300" s="11">
        <f t="shared" si="543"/>
        <v>0</v>
      </c>
      <c r="CM300" s="11">
        <f t="shared" si="543"/>
        <v>0</v>
      </c>
      <c r="CN300" s="11">
        <f t="shared" si="543"/>
        <v>0</v>
      </c>
      <c r="CO300" s="11">
        <f t="shared" si="543"/>
        <v>0</v>
      </c>
      <c r="CP300" s="11"/>
      <c r="CQ300" s="11">
        <f t="shared" si="543"/>
        <v>0</v>
      </c>
      <c r="CR300" s="11">
        <f t="shared" si="543"/>
        <v>0</v>
      </c>
      <c r="CS300" s="11">
        <f t="shared" si="543"/>
        <v>0</v>
      </c>
      <c r="CT300" s="11">
        <f t="shared" si="543"/>
        <v>0</v>
      </c>
      <c r="CU300" s="11">
        <f t="shared" si="543"/>
        <v>0</v>
      </c>
      <c r="CV300" s="11">
        <f t="shared" si="543"/>
        <v>0</v>
      </c>
      <c r="CW300" s="11">
        <f t="shared" si="543"/>
        <v>0</v>
      </c>
      <c r="CX300" s="12">
        <f t="shared" si="543"/>
        <v>0</v>
      </c>
    </row>
    <row r="301" spans="1:102" ht="15.75" x14ac:dyDescent="0.25">
      <c r="A301" s="13"/>
      <c r="B301" s="14" t="s">
        <v>1</v>
      </c>
      <c r="C301" s="14"/>
      <c r="D301" s="25" t="s">
        <v>506</v>
      </c>
      <c r="E301" s="10">
        <f>SUM(F301+CB301+CU301)</f>
        <v>6874913</v>
      </c>
      <c r="F301" s="11">
        <f>SUM(G301+BC301)</f>
        <v>6874913</v>
      </c>
      <c r="G301" s="11">
        <f>SUM(H301+I301+J301+Q301+T301+U301+V301+AF301+AE301)</f>
        <v>0</v>
      </c>
      <c r="H301" s="11">
        <v>0</v>
      </c>
      <c r="I301" s="11">
        <v>0</v>
      </c>
      <c r="J301" s="11">
        <f t="shared" ref="J301:J303" si="546">SUM(K301:P301)</f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f t="shared" ref="Q301:Q303" si="547">SUM(R301:S301)</f>
        <v>0</v>
      </c>
      <c r="R301" s="11">
        <v>0</v>
      </c>
      <c r="S301" s="11">
        <v>0</v>
      </c>
      <c r="T301" s="11">
        <v>0</v>
      </c>
      <c r="U301" s="11">
        <v>0</v>
      </c>
      <c r="V301" s="11">
        <f t="shared" ref="V301:V303" si="548">SUM(W301:AD301)</f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f>SUM(AG301:BB301)</f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11">
        <v>0</v>
      </c>
      <c r="AX301" s="11">
        <v>0</v>
      </c>
      <c r="AY301" s="11">
        <v>0</v>
      </c>
      <c r="AZ301" s="11">
        <v>0</v>
      </c>
      <c r="BA301" s="11">
        <v>0</v>
      </c>
      <c r="BB301" s="11"/>
      <c r="BC301" s="11">
        <f>SUM(BD301+BH301+BL301+BN301+BP301)</f>
        <v>6874913</v>
      </c>
      <c r="BD301" s="11">
        <f>SUM(BE301:BG301)</f>
        <v>0</v>
      </c>
      <c r="BE301" s="11">
        <v>0</v>
      </c>
      <c r="BF301" s="11">
        <v>0</v>
      </c>
      <c r="BG301" s="11">
        <v>0</v>
      </c>
      <c r="BH301" s="11">
        <f>SUM(BI301:BK301)</f>
        <v>0</v>
      </c>
      <c r="BI301" s="11"/>
      <c r="BJ301" s="11">
        <v>0</v>
      </c>
      <c r="BK301" s="11">
        <v>0</v>
      </c>
      <c r="BL301" s="11">
        <f>0+6874913</f>
        <v>6874913</v>
      </c>
      <c r="BM301" s="11">
        <v>0</v>
      </c>
      <c r="BN301" s="11">
        <f t="shared" ref="BN301:BN303" si="549">SUM(BO301)</f>
        <v>0</v>
      </c>
      <c r="BO301" s="11">
        <v>0</v>
      </c>
      <c r="BP301" s="11">
        <f t="shared" ref="BP301:BP303" si="550">SUM(BQ301:CA301)</f>
        <v>0</v>
      </c>
      <c r="BQ301" s="11">
        <v>0</v>
      </c>
      <c r="BR301" s="11">
        <v>0</v>
      </c>
      <c r="BS301" s="11">
        <v>0</v>
      </c>
      <c r="BT301" s="11">
        <v>0</v>
      </c>
      <c r="BU301" s="11">
        <v>0</v>
      </c>
      <c r="BV301" s="11">
        <v>0</v>
      </c>
      <c r="BW301" s="11">
        <v>0</v>
      </c>
      <c r="BX301" s="11">
        <v>0</v>
      </c>
      <c r="BY301" s="11">
        <v>0</v>
      </c>
      <c r="BZ301" s="11">
        <v>0</v>
      </c>
      <c r="CA301" s="11">
        <v>0</v>
      </c>
      <c r="CB301" s="11">
        <f t="shared" si="544"/>
        <v>0</v>
      </c>
      <c r="CC301" s="11">
        <f>SUM(CD301+CG301+CL301)</f>
        <v>0</v>
      </c>
      <c r="CD301" s="11">
        <f t="shared" ref="CD301:CD303" si="551">SUM(CE301:CF301)</f>
        <v>0</v>
      </c>
      <c r="CE301" s="11">
        <v>0</v>
      </c>
      <c r="CF301" s="11">
        <v>0</v>
      </c>
      <c r="CG301" s="11">
        <f>SUM(CH301:CK301)</f>
        <v>0</v>
      </c>
      <c r="CH301" s="11">
        <v>0</v>
      </c>
      <c r="CI301" s="11">
        <v>0</v>
      </c>
      <c r="CJ301" s="11">
        <v>0</v>
      </c>
      <c r="CK301" s="11">
        <v>0</v>
      </c>
      <c r="CL301" s="11">
        <f>SUM(CM301:CQ301)</f>
        <v>0</v>
      </c>
      <c r="CM301" s="11">
        <v>0</v>
      </c>
      <c r="CN301" s="11">
        <v>0</v>
      </c>
      <c r="CO301" s="11">
        <v>0</v>
      </c>
      <c r="CP301" s="11"/>
      <c r="CQ301" s="11">
        <v>0</v>
      </c>
      <c r="CR301" s="11">
        <v>0</v>
      </c>
      <c r="CS301" s="11">
        <v>0</v>
      </c>
      <c r="CT301" s="11">
        <v>0</v>
      </c>
      <c r="CU301" s="11">
        <f t="shared" ref="CU301:CU303" si="552">SUM(CV301)</f>
        <v>0</v>
      </c>
      <c r="CV301" s="11">
        <f t="shared" ref="CV301:CV303" si="553">SUM(CW301:CX301)</f>
        <v>0</v>
      </c>
      <c r="CW301" s="11">
        <v>0</v>
      </c>
      <c r="CX301" s="12">
        <v>0</v>
      </c>
    </row>
    <row r="302" spans="1:102" ht="15.75" x14ac:dyDescent="0.25">
      <c r="A302" s="13"/>
      <c r="B302" s="14" t="s">
        <v>1</v>
      </c>
      <c r="C302" s="14" t="s">
        <v>437</v>
      </c>
      <c r="D302" s="25" t="s">
        <v>438</v>
      </c>
      <c r="E302" s="10">
        <f>SUM(F302+CB302+CU302)</f>
        <v>1151526</v>
      </c>
      <c r="F302" s="11">
        <f>SUM(G302+BC302)</f>
        <v>1151526</v>
      </c>
      <c r="G302" s="11">
        <f>SUM(H302+I302+J302+Q302+T302+U302+V302+AF302+AE302)</f>
        <v>0</v>
      </c>
      <c r="H302" s="11">
        <v>0</v>
      </c>
      <c r="I302" s="11">
        <v>0</v>
      </c>
      <c r="J302" s="11">
        <f t="shared" ref="J302" si="554">SUM(K302:P302)</f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f t="shared" si="547"/>
        <v>0</v>
      </c>
      <c r="R302" s="11">
        <v>0</v>
      </c>
      <c r="S302" s="11">
        <v>0</v>
      </c>
      <c r="T302" s="11">
        <v>0</v>
      </c>
      <c r="U302" s="11">
        <v>0</v>
      </c>
      <c r="V302" s="11">
        <f t="shared" si="548"/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11">
        <f>SUM(AG302:BB302)</f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11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11">
        <v>0</v>
      </c>
      <c r="AX302" s="11">
        <v>0</v>
      </c>
      <c r="AY302" s="11">
        <v>0</v>
      </c>
      <c r="AZ302" s="11">
        <v>0</v>
      </c>
      <c r="BA302" s="11">
        <v>0</v>
      </c>
      <c r="BB302" s="11"/>
      <c r="BC302" s="11">
        <f>SUM(BD302+BH302+BL302+BN302+BP302)</f>
        <v>1151526</v>
      </c>
      <c r="BD302" s="11">
        <f>SUM(BE302:BG302)</f>
        <v>0</v>
      </c>
      <c r="BE302" s="11">
        <v>0</v>
      </c>
      <c r="BF302" s="11">
        <v>0</v>
      </c>
      <c r="BG302" s="11">
        <v>0</v>
      </c>
      <c r="BH302" s="11">
        <f>SUM(BI302:BK302)</f>
        <v>1151526</v>
      </c>
      <c r="BI302" s="11">
        <v>1151526</v>
      </c>
      <c r="BJ302" s="11">
        <v>0</v>
      </c>
      <c r="BK302" s="11">
        <v>0</v>
      </c>
      <c r="BL302" s="11">
        <v>0</v>
      </c>
      <c r="BM302" s="11">
        <v>0</v>
      </c>
      <c r="BN302" s="11">
        <f t="shared" ref="BN302" si="555">SUM(BO302)</f>
        <v>0</v>
      </c>
      <c r="BO302" s="11">
        <v>0</v>
      </c>
      <c r="BP302" s="11">
        <f t="shared" si="550"/>
        <v>0</v>
      </c>
      <c r="BQ302" s="11">
        <v>0</v>
      </c>
      <c r="BR302" s="11">
        <v>0</v>
      </c>
      <c r="BS302" s="11">
        <v>0</v>
      </c>
      <c r="BT302" s="11">
        <v>0</v>
      </c>
      <c r="BU302" s="11">
        <v>0</v>
      </c>
      <c r="BV302" s="11">
        <v>0</v>
      </c>
      <c r="BW302" s="11">
        <v>0</v>
      </c>
      <c r="BX302" s="11">
        <v>0</v>
      </c>
      <c r="BY302" s="11">
        <v>0</v>
      </c>
      <c r="BZ302" s="11">
        <v>0</v>
      </c>
      <c r="CA302" s="11">
        <v>0</v>
      </c>
      <c r="CB302" s="11">
        <f t="shared" si="544"/>
        <v>0</v>
      </c>
      <c r="CC302" s="11">
        <f>SUM(CD302+CG302+CL302)</f>
        <v>0</v>
      </c>
      <c r="CD302" s="11">
        <f t="shared" ref="CD302" si="556">SUM(CE302:CF302)</f>
        <v>0</v>
      </c>
      <c r="CE302" s="11">
        <v>0</v>
      </c>
      <c r="CF302" s="11">
        <v>0</v>
      </c>
      <c r="CG302" s="11">
        <f>SUM(CH302:CK302)</f>
        <v>0</v>
      </c>
      <c r="CH302" s="11">
        <v>0</v>
      </c>
      <c r="CI302" s="11">
        <v>0</v>
      </c>
      <c r="CJ302" s="11">
        <v>0</v>
      </c>
      <c r="CK302" s="11">
        <v>0</v>
      </c>
      <c r="CL302" s="11">
        <f>SUM(CM302:CQ302)</f>
        <v>0</v>
      </c>
      <c r="CM302" s="11">
        <v>0</v>
      </c>
      <c r="CN302" s="11">
        <v>0</v>
      </c>
      <c r="CO302" s="11">
        <v>0</v>
      </c>
      <c r="CP302" s="11"/>
      <c r="CQ302" s="11">
        <v>0</v>
      </c>
      <c r="CR302" s="11">
        <v>0</v>
      </c>
      <c r="CS302" s="11">
        <v>0</v>
      </c>
      <c r="CT302" s="11">
        <v>0</v>
      </c>
      <c r="CU302" s="11">
        <f t="shared" si="552"/>
        <v>0</v>
      </c>
      <c r="CV302" s="11">
        <f t="shared" si="553"/>
        <v>0</v>
      </c>
      <c r="CW302" s="11">
        <v>0</v>
      </c>
      <c r="CX302" s="12">
        <v>0</v>
      </c>
    </row>
    <row r="303" spans="1:102" ht="31.5" x14ac:dyDescent="0.25">
      <c r="A303" s="13"/>
      <c r="B303" s="14" t="s">
        <v>1</v>
      </c>
      <c r="C303" s="14" t="s">
        <v>437</v>
      </c>
      <c r="D303" s="25" t="s">
        <v>439</v>
      </c>
      <c r="E303" s="10">
        <f>SUM(F303+CB303+CU303)</f>
        <v>139829904</v>
      </c>
      <c r="F303" s="11">
        <f>SUM(G303+BC303)</f>
        <v>139829904</v>
      </c>
      <c r="G303" s="11">
        <f>SUM(H303+I303+J303+Q303+T303+U303+V303+AF303+AE303)</f>
        <v>0</v>
      </c>
      <c r="H303" s="11"/>
      <c r="I303" s="11"/>
      <c r="J303" s="11">
        <f t="shared" si="546"/>
        <v>0</v>
      </c>
      <c r="K303" s="11">
        <v>0</v>
      </c>
      <c r="L303" s="11">
        <v>0</v>
      </c>
      <c r="M303" s="11">
        <v>0</v>
      </c>
      <c r="N303" s="11">
        <v>0</v>
      </c>
      <c r="O303" s="11"/>
      <c r="P303" s="11"/>
      <c r="Q303" s="11">
        <f t="shared" si="547"/>
        <v>0</v>
      </c>
      <c r="R303" s="11">
        <v>0</v>
      </c>
      <c r="S303" s="11"/>
      <c r="T303" s="11">
        <v>0</v>
      </c>
      <c r="U303" s="11"/>
      <c r="V303" s="11">
        <f t="shared" si="548"/>
        <v>0</v>
      </c>
      <c r="W303" s="11">
        <v>0</v>
      </c>
      <c r="X303" s="11"/>
      <c r="Y303" s="11"/>
      <c r="Z303" s="11"/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f>SUM(AG303:BB303)</f>
        <v>0</v>
      </c>
      <c r="AG303" s="11">
        <v>0</v>
      </c>
      <c r="AH303" s="11"/>
      <c r="AI303" s="11"/>
      <c r="AJ303" s="11"/>
      <c r="AK303" s="11"/>
      <c r="AL303" s="11"/>
      <c r="AM303" s="11"/>
      <c r="AN303" s="11"/>
      <c r="AO303" s="11">
        <v>0</v>
      </c>
      <c r="AP303" s="11"/>
      <c r="AQ303" s="11"/>
      <c r="AR303" s="11"/>
      <c r="AS303" s="11"/>
      <c r="AT303" s="27"/>
      <c r="AU303" s="27"/>
      <c r="AV303" s="27">
        <v>0</v>
      </c>
      <c r="AW303" s="27">
        <v>0</v>
      </c>
      <c r="AX303" s="27">
        <v>0</v>
      </c>
      <c r="AY303" s="27">
        <f>0</f>
        <v>0</v>
      </c>
      <c r="AZ303" s="11">
        <v>0</v>
      </c>
      <c r="BA303" s="11">
        <v>0</v>
      </c>
      <c r="BB303" s="11"/>
      <c r="BC303" s="11">
        <f>SUM(BD303+BH303+BL303+BN303+BP303)</f>
        <v>139829904</v>
      </c>
      <c r="BD303" s="11">
        <f>SUM(BE303:BG303)</f>
        <v>0</v>
      </c>
      <c r="BE303" s="11">
        <v>0</v>
      </c>
      <c r="BF303" s="11">
        <v>0</v>
      </c>
      <c r="BG303" s="11">
        <v>0</v>
      </c>
      <c r="BH303" s="11">
        <f t="shared" ref="BH303" si="557">SUM(BJ303:BK303)</f>
        <v>0</v>
      </c>
      <c r="BI303" s="11">
        <v>0</v>
      </c>
      <c r="BJ303" s="11">
        <v>0</v>
      </c>
      <c r="BK303" s="11">
        <v>0</v>
      </c>
      <c r="BL303" s="11">
        <f>139449904-2382384+2382384+380000</f>
        <v>139829904</v>
      </c>
      <c r="BM303" s="11">
        <v>0</v>
      </c>
      <c r="BN303" s="11">
        <f t="shared" si="549"/>
        <v>0</v>
      </c>
      <c r="BO303" s="11">
        <v>0</v>
      </c>
      <c r="BP303" s="11">
        <f t="shared" si="550"/>
        <v>0</v>
      </c>
      <c r="BQ303" s="11">
        <v>0</v>
      </c>
      <c r="BR303" s="11">
        <v>0</v>
      </c>
      <c r="BS303" s="11">
        <v>0</v>
      </c>
      <c r="BT303" s="11">
        <v>0</v>
      </c>
      <c r="BU303" s="11">
        <v>0</v>
      </c>
      <c r="BV303" s="11">
        <v>0</v>
      </c>
      <c r="BW303" s="11">
        <v>0</v>
      </c>
      <c r="BX303" s="11">
        <v>0</v>
      </c>
      <c r="BY303" s="11">
        <v>0</v>
      </c>
      <c r="BZ303" s="11"/>
      <c r="CA303" s="11">
        <v>0</v>
      </c>
      <c r="CB303" s="11">
        <f t="shared" si="544"/>
        <v>0</v>
      </c>
      <c r="CC303" s="11">
        <f>SUM(CD303+CG303+CL303)</f>
        <v>0</v>
      </c>
      <c r="CD303" s="11">
        <f t="shared" si="551"/>
        <v>0</v>
      </c>
      <c r="CE303" s="11">
        <v>0</v>
      </c>
      <c r="CF303" s="11"/>
      <c r="CG303" s="11">
        <f>SUM(CH303:CK303)</f>
        <v>0</v>
      </c>
      <c r="CH303" s="11">
        <v>0</v>
      </c>
      <c r="CI303" s="11">
        <v>0</v>
      </c>
      <c r="CJ303" s="11">
        <v>0</v>
      </c>
      <c r="CK303" s="11">
        <v>0</v>
      </c>
      <c r="CL303" s="11">
        <f>SUM(CM303:CQ303)</f>
        <v>0</v>
      </c>
      <c r="CM303" s="11">
        <v>0</v>
      </c>
      <c r="CN303" s="11">
        <v>0</v>
      </c>
      <c r="CO303" s="11">
        <v>0</v>
      </c>
      <c r="CP303" s="11"/>
      <c r="CQ303" s="11">
        <v>0</v>
      </c>
      <c r="CR303" s="11">
        <v>0</v>
      </c>
      <c r="CS303" s="11">
        <v>0</v>
      </c>
      <c r="CT303" s="11">
        <v>0</v>
      </c>
      <c r="CU303" s="11">
        <f t="shared" si="552"/>
        <v>0</v>
      </c>
      <c r="CV303" s="11">
        <f t="shared" si="553"/>
        <v>0</v>
      </c>
      <c r="CW303" s="11">
        <v>0</v>
      </c>
      <c r="CX303" s="12">
        <v>0</v>
      </c>
    </row>
    <row r="304" spans="1:102" ht="31.5" x14ac:dyDescent="0.25">
      <c r="A304" s="7"/>
      <c r="B304" s="8" t="s">
        <v>440</v>
      </c>
      <c r="C304" s="8" t="s">
        <v>1</v>
      </c>
      <c r="D304" s="9" t="s">
        <v>441</v>
      </c>
      <c r="E304" s="10">
        <f t="shared" ref="E304:AJ304" si="558">SUM(E305)</f>
        <v>5728308</v>
      </c>
      <c r="F304" s="11">
        <f t="shared" si="558"/>
        <v>5728308</v>
      </c>
      <c r="G304" s="11">
        <f t="shared" si="558"/>
        <v>0</v>
      </c>
      <c r="H304" s="11">
        <f t="shared" si="558"/>
        <v>0</v>
      </c>
      <c r="I304" s="11">
        <f t="shared" si="558"/>
        <v>0</v>
      </c>
      <c r="J304" s="11">
        <f t="shared" si="558"/>
        <v>0</v>
      </c>
      <c r="K304" s="11">
        <f t="shared" si="558"/>
        <v>0</v>
      </c>
      <c r="L304" s="11">
        <f t="shared" si="558"/>
        <v>0</v>
      </c>
      <c r="M304" s="11">
        <f t="shared" si="558"/>
        <v>0</v>
      </c>
      <c r="N304" s="11">
        <f t="shared" si="558"/>
        <v>0</v>
      </c>
      <c r="O304" s="11">
        <f t="shared" si="558"/>
        <v>0</v>
      </c>
      <c r="P304" s="11">
        <f t="shared" si="558"/>
        <v>0</v>
      </c>
      <c r="Q304" s="11">
        <f t="shared" si="558"/>
        <v>0</v>
      </c>
      <c r="R304" s="11">
        <f t="shared" si="558"/>
        <v>0</v>
      </c>
      <c r="S304" s="11">
        <f t="shared" si="558"/>
        <v>0</v>
      </c>
      <c r="T304" s="11">
        <f t="shared" si="558"/>
        <v>0</v>
      </c>
      <c r="U304" s="11">
        <f t="shared" si="558"/>
        <v>0</v>
      </c>
      <c r="V304" s="11">
        <f t="shared" si="558"/>
        <v>0</v>
      </c>
      <c r="W304" s="11">
        <f t="shared" si="558"/>
        <v>0</v>
      </c>
      <c r="X304" s="11">
        <f t="shared" si="558"/>
        <v>0</v>
      </c>
      <c r="Y304" s="11">
        <f t="shared" si="558"/>
        <v>0</v>
      </c>
      <c r="Z304" s="11">
        <f t="shared" si="558"/>
        <v>0</v>
      </c>
      <c r="AA304" s="11">
        <f t="shared" si="558"/>
        <v>0</v>
      </c>
      <c r="AB304" s="11">
        <f t="shared" si="558"/>
        <v>0</v>
      </c>
      <c r="AC304" s="11">
        <f t="shared" si="558"/>
        <v>0</v>
      </c>
      <c r="AD304" s="11">
        <f t="shared" si="558"/>
        <v>0</v>
      </c>
      <c r="AE304" s="11">
        <f t="shared" si="558"/>
        <v>0</v>
      </c>
      <c r="AF304" s="11">
        <f t="shared" si="558"/>
        <v>0</v>
      </c>
      <c r="AG304" s="11">
        <f t="shared" si="558"/>
        <v>0</v>
      </c>
      <c r="AH304" s="11">
        <f t="shared" si="558"/>
        <v>0</v>
      </c>
      <c r="AI304" s="11">
        <f t="shared" si="558"/>
        <v>0</v>
      </c>
      <c r="AJ304" s="11">
        <f t="shared" si="558"/>
        <v>0</v>
      </c>
      <c r="AK304" s="11">
        <f t="shared" ref="AK304:CV304" si="559">SUM(AK305)</f>
        <v>0</v>
      </c>
      <c r="AL304" s="11">
        <f t="shared" si="559"/>
        <v>0</v>
      </c>
      <c r="AM304" s="11">
        <f t="shared" si="559"/>
        <v>0</v>
      </c>
      <c r="AN304" s="11">
        <f t="shared" si="559"/>
        <v>0</v>
      </c>
      <c r="AO304" s="11">
        <f t="shared" si="559"/>
        <v>0</v>
      </c>
      <c r="AP304" s="11">
        <f t="shared" si="559"/>
        <v>0</v>
      </c>
      <c r="AQ304" s="11">
        <f t="shared" si="559"/>
        <v>0</v>
      </c>
      <c r="AR304" s="11">
        <f t="shared" si="559"/>
        <v>0</v>
      </c>
      <c r="AS304" s="11">
        <f t="shared" si="559"/>
        <v>0</v>
      </c>
      <c r="AT304" s="11">
        <f t="shared" si="559"/>
        <v>0</v>
      </c>
      <c r="AU304" s="11">
        <f t="shared" si="559"/>
        <v>0</v>
      </c>
      <c r="AV304" s="11">
        <f t="shared" si="559"/>
        <v>0</v>
      </c>
      <c r="AW304" s="11">
        <f t="shared" si="559"/>
        <v>0</v>
      </c>
      <c r="AX304" s="11">
        <f t="shared" si="559"/>
        <v>0</v>
      </c>
      <c r="AY304" s="11">
        <f t="shared" si="559"/>
        <v>0</v>
      </c>
      <c r="AZ304" s="11">
        <f t="shared" si="559"/>
        <v>0</v>
      </c>
      <c r="BA304" s="11">
        <f t="shared" si="559"/>
        <v>0</v>
      </c>
      <c r="BB304" s="11">
        <f t="shared" si="559"/>
        <v>0</v>
      </c>
      <c r="BC304" s="11">
        <f t="shared" si="559"/>
        <v>5728308</v>
      </c>
      <c r="BD304" s="11">
        <f t="shared" si="559"/>
        <v>0</v>
      </c>
      <c r="BE304" s="11">
        <f t="shared" si="559"/>
        <v>0</v>
      </c>
      <c r="BF304" s="11">
        <f t="shared" si="559"/>
        <v>0</v>
      </c>
      <c r="BG304" s="11">
        <f t="shared" si="559"/>
        <v>0</v>
      </c>
      <c r="BH304" s="11">
        <f t="shared" si="559"/>
        <v>5728308</v>
      </c>
      <c r="BI304" s="11">
        <f t="shared" si="559"/>
        <v>0</v>
      </c>
      <c r="BJ304" s="11">
        <f t="shared" si="559"/>
        <v>0</v>
      </c>
      <c r="BK304" s="11">
        <f t="shared" si="559"/>
        <v>5728308</v>
      </c>
      <c r="BL304" s="11">
        <f t="shared" si="559"/>
        <v>0</v>
      </c>
      <c r="BM304" s="11">
        <f t="shared" si="559"/>
        <v>0</v>
      </c>
      <c r="BN304" s="11">
        <f t="shared" si="559"/>
        <v>0</v>
      </c>
      <c r="BO304" s="11">
        <f t="shared" si="559"/>
        <v>0</v>
      </c>
      <c r="BP304" s="11">
        <f t="shared" si="559"/>
        <v>0</v>
      </c>
      <c r="BQ304" s="11">
        <f t="shared" si="559"/>
        <v>0</v>
      </c>
      <c r="BR304" s="11">
        <f t="shared" si="559"/>
        <v>0</v>
      </c>
      <c r="BS304" s="11">
        <f t="shared" si="559"/>
        <v>0</v>
      </c>
      <c r="BT304" s="11">
        <f t="shared" si="559"/>
        <v>0</v>
      </c>
      <c r="BU304" s="11">
        <f t="shared" si="559"/>
        <v>0</v>
      </c>
      <c r="BV304" s="11">
        <f t="shared" si="559"/>
        <v>0</v>
      </c>
      <c r="BW304" s="11">
        <f t="shared" si="559"/>
        <v>0</v>
      </c>
      <c r="BX304" s="11">
        <f t="shared" si="559"/>
        <v>0</v>
      </c>
      <c r="BY304" s="11">
        <f t="shared" si="559"/>
        <v>0</v>
      </c>
      <c r="BZ304" s="11">
        <f t="shared" si="559"/>
        <v>0</v>
      </c>
      <c r="CA304" s="11">
        <f t="shared" si="559"/>
        <v>0</v>
      </c>
      <c r="CB304" s="11">
        <f t="shared" si="544"/>
        <v>0</v>
      </c>
      <c r="CC304" s="11">
        <f t="shared" si="559"/>
        <v>0</v>
      </c>
      <c r="CD304" s="11">
        <f t="shared" si="559"/>
        <v>0</v>
      </c>
      <c r="CE304" s="11">
        <f t="shared" si="559"/>
        <v>0</v>
      </c>
      <c r="CF304" s="11">
        <f t="shared" si="559"/>
        <v>0</v>
      </c>
      <c r="CG304" s="11">
        <f t="shared" si="559"/>
        <v>0</v>
      </c>
      <c r="CH304" s="11">
        <f t="shared" si="559"/>
        <v>0</v>
      </c>
      <c r="CI304" s="11">
        <f t="shared" si="559"/>
        <v>0</v>
      </c>
      <c r="CJ304" s="11">
        <f t="shared" si="559"/>
        <v>0</v>
      </c>
      <c r="CK304" s="11">
        <f t="shared" si="559"/>
        <v>0</v>
      </c>
      <c r="CL304" s="11">
        <f t="shared" si="559"/>
        <v>0</v>
      </c>
      <c r="CM304" s="11">
        <f t="shared" si="559"/>
        <v>0</v>
      </c>
      <c r="CN304" s="11">
        <f t="shared" si="559"/>
        <v>0</v>
      </c>
      <c r="CO304" s="11">
        <f t="shared" si="559"/>
        <v>0</v>
      </c>
      <c r="CP304" s="11"/>
      <c r="CQ304" s="11">
        <f t="shared" si="559"/>
        <v>0</v>
      </c>
      <c r="CR304" s="11">
        <f t="shared" si="559"/>
        <v>0</v>
      </c>
      <c r="CS304" s="11">
        <f t="shared" si="559"/>
        <v>0</v>
      </c>
      <c r="CT304" s="11">
        <f t="shared" si="559"/>
        <v>0</v>
      </c>
      <c r="CU304" s="11">
        <f t="shared" si="559"/>
        <v>0</v>
      </c>
      <c r="CV304" s="11">
        <f t="shared" si="559"/>
        <v>0</v>
      </c>
      <c r="CW304" s="11">
        <f t="shared" ref="CW304:CX304" si="560">SUM(CW305)</f>
        <v>0</v>
      </c>
      <c r="CX304" s="12">
        <f t="shared" si="560"/>
        <v>0</v>
      </c>
    </row>
    <row r="305" spans="1:102" ht="31.5" x14ac:dyDescent="0.25">
      <c r="A305" s="13"/>
      <c r="B305" s="14" t="s">
        <v>1</v>
      </c>
      <c r="C305" s="14" t="s">
        <v>442</v>
      </c>
      <c r="D305" s="15" t="s">
        <v>441</v>
      </c>
      <c r="E305" s="10">
        <f>SUM(F305+CB305+CU305)</f>
        <v>5728308</v>
      </c>
      <c r="F305" s="11">
        <f>SUM(G305+BC305)</f>
        <v>5728308</v>
      </c>
      <c r="G305" s="11">
        <f>SUM(H305+I305+J305+Q305+T305+U305+V305+AF305+AE305)</f>
        <v>0</v>
      </c>
      <c r="H305" s="11">
        <v>0</v>
      </c>
      <c r="I305" s="11">
        <v>0</v>
      </c>
      <c r="J305" s="11">
        <f>SUM(K305:P305)</f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f>SUM(R305:S305)</f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f t="shared" ref="V305" si="561">SUM(W305:AD305)</f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f>SUM(AG305:BB305)</f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11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f>SUM(BD305+BH305+BL305+BN305+BP305)</f>
        <v>5728308</v>
      </c>
      <c r="BD305" s="11">
        <f>SUM(BE305:BG305)</f>
        <v>0</v>
      </c>
      <c r="BE305" s="11">
        <v>0</v>
      </c>
      <c r="BF305" s="11">
        <v>0</v>
      </c>
      <c r="BG305" s="11">
        <v>0</v>
      </c>
      <c r="BH305" s="11">
        <f>SUM(BJ305:BK305)</f>
        <v>5728308</v>
      </c>
      <c r="BI305" s="11">
        <v>0</v>
      </c>
      <c r="BJ305" s="11">
        <v>0</v>
      </c>
      <c r="BK305" s="11">
        <f>5720162+8146</f>
        <v>5728308</v>
      </c>
      <c r="BL305" s="11">
        <v>0</v>
      </c>
      <c r="BM305" s="11">
        <v>0</v>
      </c>
      <c r="BN305" s="11">
        <f>SUM(BO305)</f>
        <v>0</v>
      </c>
      <c r="BO305" s="11">
        <v>0</v>
      </c>
      <c r="BP305" s="11">
        <f>SUM(BQ305:CA305)</f>
        <v>0</v>
      </c>
      <c r="BQ305" s="11">
        <v>0</v>
      </c>
      <c r="BR305" s="11">
        <v>0</v>
      </c>
      <c r="BS305" s="11">
        <v>0</v>
      </c>
      <c r="BT305" s="11">
        <v>0</v>
      </c>
      <c r="BU305" s="11">
        <v>0</v>
      </c>
      <c r="BV305" s="11">
        <v>0</v>
      </c>
      <c r="BW305" s="11">
        <v>0</v>
      </c>
      <c r="BX305" s="11">
        <v>0</v>
      </c>
      <c r="BY305" s="11">
        <v>0</v>
      </c>
      <c r="BZ305" s="11">
        <v>0</v>
      </c>
      <c r="CA305" s="11">
        <v>0</v>
      </c>
      <c r="CB305" s="11">
        <f t="shared" si="544"/>
        <v>0</v>
      </c>
      <c r="CC305" s="11">
        <f>SUM(CD305+CG305+CL305)</f>
        <v>0</v>
      </c>
      <c r="CD305" s="11">
        <f>SUM(CE305:CF305)</f>
        <v>0</v>
      </c>
      <c r="CE305" s="11">
        <v>0</v>
      </c>
      <c r="CF305" s="11">
        <v>0</v>
      </c>
      <c r="CG305" s="11">
        <f>SUM(CH305:CK305)</f>
        <v>0</v>
      </c>
      <c r="CH305" s="11">
        <v>0</v>
      </c>
      <c r="CI305" s="11">
        <v>0</v>
      </c>
      <c r="CJ305" s="11">
        <v>0</v>
      </c>
      <c r="CK305" s="11">
        <v>0</v>
      </c>
      <c r="CL305" s="11">
        <f>SUM(CM305:CQ305)</f>
        <v>0</v>
      </c>
      <c r="CM305" s="11">
        <v>0</v>
      </c>
      <c r="CN305" s="11">
        <v>0</v>
      </c>
      <c r="CO305" s="11">
        <v>0</v>
      </c>
      <c r="CP305" s="11"/>
      <c r="CQ305" s="11">
        <v>0</v>
      </c>
      <c r="CR305" s="11">
        <v>0</v>
      </c>
      <c r="CS305" s="11">
        <v>0</v>
      </c>
      <c r="CT305" s="11">
        <v>0</v>
      </c>
      <c r="CU305" s="11">
        <f>SUM(CV305)</f>
        <v>0</v>
      </c>
      <c r="CV305" s="11">
        <f>SUM(CW305:CX305)</f>
        <v>0</v>
      </c>
      <c r="CW305" s="11">
        <v>0</v>
      </c>
      <c r="CX305" s="12">
        <v>0</v>
      </c>
    </row>
    <row r="306" spans="1:102" ht="31.5" x14ac:dyDescent="0.25">
      <c r="A306" s="7"/>
      <c r="B306" s="8" t="s">
        <v>443</v>
      </c>
      <c r="C306" s="8" t="s">
        <v>1</v>
      </c>
      <c r="D306" s="9" t="s">
        <v>444</v>
      </c>
      <c r="E306" s="10">
        <f t="shared" ref="E306:AL306" si="562">SUM(E307)</f>
        <v>21000000</v>
      </c>
      <c r="F306" s="11">
        <f t="shared" si="562"/>
        <v>21000000</v>
      </c>
      <c r="G306" s="11">
        <f t="shared" si="562"/>
        <v>0</v>
      </c>
      <c r="H306" s="11">
        <f t="shared" si="562"/>
        <v>0</v>
      </c>
      <c r="I306" s="11">
        <f t="shared" si="562"/>
        <v>0</v>
      </c>
      <c r="J306" s="11">
        <f t="shared" si="562"/>
        <v>0</v>
      </c>
      <c r="K306" s="11">
        <f t="shared" si="562"/>
        <v>0</v>
      </c>
      <c r="L306" s="11">
        <f t="shared" si="562"/>
        <v>0</v>
      </c>
      <c r="M306" s="11">
        <f t="shared" si="562"/>
        <v>0</v>
      </c>
      <c r="N306" s="11">
        <f t="shared" si="562"/>
        <v>0</v>
      </c>
      <c r="O306" s="11">
        <f t="shared" si="562"/>
        <v>0</v>
      </c>
      <c r="P306" s="11">
        <f t="shared" si="562"/>
        <v>0</v>
      </c>
      <c r="Q306" s="11">
        <f t="shared" si="562"/>
        <v>0</v>
      </c>
      <c r="R306" s="11">
        <f t="shared" si="562"/>
        <v>0</v>
      </c>
      <c r="S306" s="11">
        <f t="shared" si="562"/>
        <v>0</v>
      </c>
      <c r="T306" s="11">
        <f t="shared" si="562"/>
        <v>0</v>
      </c>
      <c r="U306" s="11">
        <f t="shared" si="562"/>
        <v>0</v>
      </c>
      <c r="V306" s="11">
        <f t="shared" si="562"/>
        <v>0</v>
      </c>
      <c r="W306" s="11">
        <f t="shared" si="562"/>
        <v>0</v>
      </c>
      <c r="X306" s="11">
        <f t="shared" si="562"/>
        <v>0</v>
      </c>
      <c r="Y306" s="11">
        <f t="shared" si="562"/>
        <v>0</v>
      </c>
      <c r="Z306" s="11">
        <f t="shared" si="562"/>
        <v>0</v>
      </c>
      <c r="AA306" s="11">
        <f t="shared" si="562"/>
        <v>0</v>
      </c>
      <c r="AB306" s="11">
        <f t="shared" si="562"/>
        <v>0</v>
      </c>
      <c r="AC306" s="11">
        <f t="shared" si="562"/>
        <v>0</v>
      </c>
      <c r="AD306" s="11">
        <f t="shared" si="562"/>
        <v>0</v>
      </c>
      <c r="AE306" s="11">
        <f t="shared" si="562"/>
        <v>0</v>
      </c>
      <c r="AF306" s="11">
        <f t="shared" si="562"/>
        <v>0</v>
      </c>
      <c r="AG306" s="11">
        <f t="shared" si="562"/>
        <v>0</v>
      </c>
      <c r="AH306" s="11">
        <f t="shared" si="562"/>
        <v>0</v>
      </c>
      <c r="AI306" s="11">
        <f t="shared" si="562"/>
        <v>0</v>
      </c>
      <c r="AJ306" s="11">
        <f t="shared" si="562"/>
        <v>0</v>
      </c>
      <c r="AK306" s="11">
        <f t="shared" si="562"/>
        <v>0</v>
      </c>
      <c r="AL306" s="11">
        <f t="shared" si="562"/>
        <v>0</v>
      </c>
      <c r="AM306" s="11">
        <f t="shared" ref="AM306:CX306" si="563">SUM(AM307)</f>
        <v>0</v>
      </c>
      <c r="AN306" s="11">
        <f t="shared" si="563"/>
        <v>0</v>
      </c>
      <c r="AO306" s="11">
        <f t="shared" si="563"/>
        <v>0</v>
      </c>
      <c r="AP306" s="11">
        <f t="shared" si="563"/>
        <v>0</v>
      </c>
      <c r="AQ306" s="11">
        <f t="shared" si="563"/>
        <v>0</v>
      </c>
      <c r="AR306" s="11">
        <f t="shared" si="563"/>
        <v>0</v>
      </c>
      <c r="AS306" s="11">
        <f t="shared" si="563"/>
        <v>0</v>
      </c>
      <c r="AT306" s="11">
        <f t="shared" si="563"/>
        <v>0</v>
      </c>
      <c r="AU306" s="11">
        <f t="shared" si="563"/>
        <v>0</v>
      </c>
      <c r="AV306" s="11">
        <f t="shared" si="563"/>
        <v>0</v>
      </c>
      <c r="AW306" s="11">
        <f t="shared" si="563"/>
        <v>0</v>
      </c>
      <c r="AX306" s="11">
        <f t="shared" si="563"/>
        <v>0</v>
      </c>
      <c r="AY306" s="11">
        <f t="shared" si="563"/>
        <v>0</v>
      </c>
      <c r="AZ306" s="11">
        <f t="shared" si="563"/>
        <v>0</v>
      </c>
      <c r="BA306" s="11">
        <f t="shared" si="563"/>
        <v>0</v>
      </c>
      <c r="BB306" s="11">
        <f t="shared" si="563"/>
        <v>0</v>
      </c>
      <c r="BC306" s="11">
        <f t="shared" si="563"/>
        <v>21000000</v>
      </c>
      <c r="BD306" s="11">
        <f t="shared" si="563"/>
        <v>0</v>
      </c>
      <c r="BE306" s="11">
        <f t="shared" si="563"/>
        <v>0</v>
      </c>
      <c r="BF306" s="11">
        <f t="shared" si="563"/>
        <v>0</v>
      </c>
      <c r="BG306" s="11">
        <f t="shared" si="563"/>
        <v>0</v>
      </c>
      <c r="BH306" s="11">
        <f t="shared" si="563"/>
        <v>0</v>
      </c>
      <c r="BI306" s="11">
        <f t="shared" si="563"/>
        <v>0</v>
      </c>
      <c r="BJ306" s="11">
        <f t="shared" si="563"/>
        <v>0</v>
      </c>
      <c r="BK306" s="11">
        <f t="shared" si="563"/>
        <v>0</v>
      </c>
      <c r="BL306" s="11">
        <f t="shared" si="563"/>
        <v>0</v>
      </c>
      <c r="BM306" s="11">
        <f t="shared" si="563"/>
        <v>0</v>
      </c>
      <c r="BN306" s="11">
        <f t="shared" si="563"/>
        <v>0</v>
      </c>
      <c r="BO306" s="11">
        <f t="shared" si="563"/>
        <v>0</v>
      </c>
      <c r="BP306" s="11">
        <f t="shared" si="563"/>
        <v>21000000</v>
      </c>
      <c r="BQ306" s="11">
        <f t="shared" si="563"/>
        <v>0</v>
      </c>
      <c r="BR306" s="11">
        <f t="shared" si="563"/>
        <v>0</v>
      </c>
      <c r="BS306" s="11">
        <f t="shared" si="563"/>
        <v>0</v>
      </c>
      <c r="BT306" s="11">
        <f t="shared" si="563"/>
        <v>0</v>
      </c>
      <c r="BU306" s="11">
        <f t="shared" si="563"/>
        <v>0</v>
      </c>
      <c r="BV306" s="11">
        <f t="shared" si="563"/>
        <v>0</v>
      </c>
      <c r="BW306" s="11">
        <f t="shared" si="563"/>
        <v>0</v>
      </c>
      <c r="BX306" s="11">
        <f t="shared" si="563"/>
        <v>0</v>
      </c>
      <c r="BY306" s="11">
        <f t="shared" si="563"/>
        <v>0</v>
      </c>
      <c r="BZ306" s="11">
        <f t="shared" si="563"/>
        <v>0</v>
      </c>
      <c r="CA306" s="11">
        <f t="shared" si="563"/>
        <v>21000000</v>
      </c>
      <c r="CB306" s="11">
        <f t="shared" si="544"/>
        <v>0</v>
      </c>
      <c r="CC306" s="11">
        <f t="shared" si="563"/>
        <v>0</v>
      </c>
      <c r="CD306" s="11">
        <f t="shared" si="563"/>
        <v>0</v>
      </c>
      <c r="CE306" s="11">
        <f t="shared" si="563"/>
        <v>0</v>
      </c>
      <c r="CF306" s="11">
        <f t="shared" si="563"/>
        <v>0</v>
      </c>
      <c r="CG306" s="11">
        <f t="shared" si="563"/>
        <v>0</v>
      </c>
      <c r="CH306" s="11">
        <f t="shared" si="563"/>
        <v>0</v>
      </c>
      <c r="CI306" s="11">
        <f t="shared" si="563"/>
        <v>0</v>
      </c>
      <c r="CJ306" s="11">
        <f t="shared" si="563"/>
        <v>0</v>
      </c>
      <c r="CK306" s="11">
        <f t="shared" si="563"/>
        <v>0</v>
      </c>
      <c r="CL306" s="11">
        <f t="shared" si="563"/>
        <v>0</v>
      </c>
      <c r="CM306" s="11">
        <f t="shared" si="563"/>
        <v>0</v>
      </c>
      <c r="CN306" s="11">
        <f t="shared" si="563"/>
        <v>0</v>
      </c>
      <c r="CO306" s="11">
        <f t="shared" si="563"/>
        <v>0</v>
      </c>
      <c r="CP306" s="11"/>
      <c r="CQ306" s="11">
        <f t="shared" si="563"/>
        <v>0</v>
      </c>
      <c r="CR306" s="11">
        <f t="shared" si="563"/>
        <v>0</v>
      </c>
      <c r="CS306" s="11">
        <f t="shared" si="563"/>
        <v>0</v>
      </c>
      <c r="CT306" s="11">
        <f t="shared" si="563"/>
        <v>0</v>
      </c>
      <c r="CU306" s="11">
        <f t="shared" si="563"/>
        <v>0</v>
      </c>
      <c r="CV306" s="11">
        <f t="shared" si="563"/>
        <v>0</v>
      </c>
      <c r="CW306" s="11">
        <f t="shared" si="563"/>
        <v>0</v>
      </c>
      <c r="CX306" s="12">
        <f t="shared" si="563"/>
        <v>0</v>
      </c>
    </row>
    <row r="307" spans="1:102" ht="31.5" x14ac:dyDescent="0.25">
      <c r="A307" s="13"/>
      <c r="B307" s="14" t="s">
        <v>1</v>
      </c>
      <c r="C307" s="14" t="s">
        <v>109</v>
      </c>
      <c r="D307" s="15" t="s">
        <v>445</v>
      </c>
      <c r="E307" s="10">
        <f>SUM(F307+CB307+CU307)</f>
        <v>21000000</v>
      </c>
      <c r="F307" s="11">
        <f>SUM(G307+BC307)</f>
        <v>21000000</v>
      </c>
      <c r="G307" s="11">
        <f>SUM(H307+I307+J307+Q307+T307+U307+V307+AF307+AE307)</f>
        <v>0</v>
      </c>
      <c r="H307" s="11">
        <v>0</v>
      </c>
      <c r="I307" s="11">
        <v>0</v>
      </c>
      <c r="J307" s="11">
        <f t="shared" ref="J307:J317" si="564">SUM(K307:P307)</f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f t="shared" ref="Q307:Q317" si="565">SUM(R307:S307)</f>
        <v>0</v>
      </c>
      <c r="R307" s="11">
        <v>0</v>
      </c>
      <c r="S307" s="11">
        <v>0</v>
      </c>
      <c r="T307" s="11">
        <v>0</v>
      </c>
      <c r="U307" s="11">
        <v>0</v>
      </c>
      <c r="V307" s="11">
        <f t="shared" ref="V307" si="566">SUM(W307:AD307)</f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f>SUM(AG307:BB307)</f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11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f>SUM(BD307+BH307+BL307+BN307+BP307)</f>
        <v>21000000</v>
      </c>
      <c r="BD307" s="11">
        <f>SUM(BE307:BG307)</f>
        <v>0</v>
      </c>
      <c r="BE307" s="11">
        <v>0</v>
      </c>
      <c r="BF307" s="11">
        <v>0</v>
      </c>
      <c r="BG307" s="11">
        <v>0</v>
      </c>
      <c r="BH307" s="11">
        <f t="shared" ref="BH307:BH317" si="567">SUM(BJ307:BK307)</f>
        <v>0</v>
      </c>
      <c r="BI307" s="11">
        <v>0</v>
      </c>
      <c r="BJ307" s="11">
        <v>0</v>
      </c>
      <c r="BK307" s="11">
        <v>0</v>
      </c>
      <c r="BL307" s="11">
        <v>0</v>
      </c>
      <c r="BM307" s="11">
        <v>0</v>
      </c>
      <c r="BN307" s="11">
        <f t="shared" ref="BN307:BN317" si="568">SUM(BO307)</f>
        <v>0</v>
      </c>
      <c r="BO307" s="11">
        <v>0</v>
      </c>
      <c r="BP307" s="11">
        <f t="shared" ref="BP307:BP317" si="569">SUM(BQ307:CA307)</f>
        <v>21000000</v>
      </c>
      <c r="BQ307" s="11">
        <v>0</v>
      </c>
      <c r="BR307" s="11">
        <v>0</v>
      </c>
      <c r="BS307" s="11">
        <v>0</v>
      </c>
      <c r="BT307" s="11">
        <v>0</v>
      </c>
      <c r="BU307" s="11">
        <v>0</v>
      </c>
      <c r="BV307" s="11">
        <v>0</v>
      </c>
      <c r="BW307" s="11">
        <v>0</v>
      </c>
      <c r="BX307" s="11">
        <v>0</v>
      </c>
      <c r="BY307" s="11">
        <v>0</v>
      </c>
      <c r="BZ307" s="11">
        <v>0</v>
      </c>
      <c r="CA307" s="11">
        <v>21000000</v>
      </c>
      <c r="CB307" s="11">
        <f t="shared" si="544"/>
        <v>0</v>
      </c>
      <c r="CC307" s="11">
        <f>SUM(CD307+CG307+CL307)</f>
        <v>0</v>
      </c>
      <c r="CD307" s="11">
        <f t="shared" ref="CD307:CD317" si="570">SUM(CE307:CF307)</f>
        <v>0</v>
      </c>
      <c r="CE307" s="11">
        <v>0</v>
      </c>
      <c r="CF307" s="11">
        <v>0</v>
      </c>
      <c r="CG307" s="11">
        <f>SUM(CH307:CK307)</f>
        <v>0</v>
      </c>
      <c r="CH307" s="11">
        <v>0</v>
      </c>
      <c r="CI307" s="11">
        <v>0</v>
      </c>
      <c r="CJ307" s="11">
        <v>0</v>
      </c>
      <c r="CK307" s="11">
        <v>0</v>
      </c>
      <c r="CL307" s="11">
        <f>SUM(CM307:CQ307)</f>
        <v>0</v>
      </c>
      <c r="CM307" s="11">
        <v>0</v>
      </c>
      <c r="CN307" s="11">
        <v>0</v>
      </c>
      <c r="CO307" s="11">
        <v>0</v>
      </c>
      <c r="CP307" s="11"/>
      <c r="CQ307" s="11">
        <v>0</v>
      </c>
      <c r="CR307" s="11">
        <v>0</v>
      </c>
      <c r="CS307" s="11">
        <v>0</v>
      </c>
      <c r="CT307" s="11">
        <v>0</v>
      </c>
      <c r="CU307" s="11">
        <f t="shared" ref="CU307:CU317" si="571">SUM(CV307)</f>
        <v>0</v>
      </c>
      <c r="CV307" s="11">
        <f t="shared" ref="CV307:CV317" si="572">SUM(CW307:CX307)</f>
        <v>0</v>
      </c>
      <c r="CW307" s="11">
        <v>0</v>
      </c>
      <c r="CX307" s="12">
        <v>0</v>
      </c>
    </row>
    <row r="308" spans="1:102" ht="15.75" x14ac:dyDescent="0.25">
      <c r="A308" s="7"/>
      <c r="B308" s="8" t="s">
        <v>446</v>
      </c>
      <c r="C308" s="8" t="s">
        <v>1</v>
      </c>
      <c r="D308" s="9" t="s">
        <v>447</v>
      </c>
      <c r="E308" s="10">
        <f t="shared" ref="E308:AL308" si="573">SUM(E309)</f>
        <v>245863006</v>
      </c>
      <c r="F308" s="11">
        <f t="shared" si="573"/>
        <v>14558842</v>
      </c>
      <c r="G308" s="11">
        <f t="shared" si="573"/>
        <v>13248442</v>
      </c>
      <c r="H308" s="11">
        <f t="shared" si="573"/>
        <v>0</v>
      </c>
      <c r="I308" s="11">
        <f t="shared" si="573"/>
        <v>0</v>
      </c>
      <c r="J308" s="11">
        <f t="shared" si="573"/>
        <v>4819833</v>
      </c>
      <c r="K308" s="11">
        <f t="shared" si="573"/>
        <v>0</v>
      </c>
      <c r="L308" s="11">
        <f t="shared" si="573"/>
        <v>0</v>
      </c>
      <c r="M308" s="11">
        <f t="shared" si="573"/>
        <v>0</v>
      </c>
      <c r="N308" s="11">
        <f t="shared" si="573"/>
        <v>0</v>
      </c>
      <c r="O308" s="11">
        <f t="shared" si="573"/>
        <v>114832</v>
      </c>
      <c r="P308" s="11">
        <f t="shared" si="573"/>
        <v>4705001</v>
      </c>
      <c r="Q308" s="11">
        <f t="shared" si="573"/>
        <v>0</v>
      </c>
      <c r="R308" s="11">
        <f t="shared" si="573"/>
        <v>0</v>
      </c>
      <c r="S308" s="11">
        <f t="shared" si="573"/>
        <v>0</v>
      </c>
      <c r="T308" s="11">
        <f t="shared" si="573"/>
        <v>0</v>
      </c>
      <c r="U308" s="11">
        <f t="shared" si="573"/>
        <v>0</v>
      </c>
      <c r="V308" s="11">
        <f t="shared" si="573"/>
        <v>0</v>
      </c>
      <c r="W308" s="11">
        <f t="shared" si="573"/>
        <v>0</v>
      </c>
      <c r="X308" s="11">
        <f t="shared" si="573"/>
        <v>0</v>
      </c>
      <c r="Y308" s="11">
        <f t="shared" si="573"/>
        <v>0</v>
      </c>
      <c r="Z308" s="11">
        <f t="shared" si="573"/>
        <v>0</v>
      </c>
      <c r="AA308" s="11">
        <f t="shared" si="573"/>
        <v>0</v>
      </c>
      <c r="AB308" s="11">
        <f t="shared" si="573"/>
        <v>0</v>
      </c>
      <c r="AC308" s="11">
        <f t="shared" si="573"/>
        <v>0</v>
      </c>
      <c r="AD308" s="11">
        <f t="shared" si="573"/>
        <v>0</v>
      </c>
      <c r="AE308" s="11">
        <f t="shared" si="573"/>
        <v>0</v>
      </c>
      <c r="AF308" s="11">
        <f t="shared" si="573"/>
        <v>8428609</v>
      </c>
      <c r="AG308" s="11">
        <f t="shared" si="573"/>
        <v>0</v>
      </c>
      <c r="AH308" s="11">
        <f t="shared" si="573"/>
        <v>0</v>
      </c>
      <c r="AI308" s="11">
        <f t="shared" si="573"/>
        <v>0</v>
      </c>
      <c r="AJ308" s="11">
        <f t="shared" si="573"/>
        <v>0</v>
      </c>
      <c r="AK308" s="11">
        <f t="shared" si="573"/>
        <v>0</v>
      </c>
      <c r="AL308" s="11">
        <f t="shared" si="573"/>
        <v>0</v>
      </c>
      <c r="AM308" s="11">
        <f t="shared" ref="AM308:CX308" si="574">SUM(AM309)</f>
        <v>0</v>
      </c>
      <c r="AN308" s="11">
        <f t="shared" si="574"/>
        <v>0</v>
      </c>
      <c r="AO308" s="11">
        <f t="shared" si="574"/>
        <v>0</v>
      </c>
      <c r="AP308" s="11">
        <f t="shared" si="574"/>
        <v>0</v>
      </c>
      <c r="AQ308" s="11">
        <f t="shared" si="574"/>
        <v>0</v>
      </c>
      <c r="AR308" s="11">
        <f t="shared" si="574"/>
        <v>0</v>
      </c>
      <c r="AS308" s="11">
        <f t="shared" si="574"/>
        <v>0</v>
      </c>
      <c r="AT308" s="11">
        <f t="shared" si="574"/>
        <v>0</v>
      </c>
      <c r="AU308" s="11">
        <f t="shared" si="574"/>
        <v>0</v>
      </c>
      <c r="AV308" s="11">
        <f t="shared" si="574"/>
        <v>0</v>
      </c>
      <c r="AW308" s="11">
        <f t="shared" si="574"/>
        <v>0</v>
      </c>
      <c r="AX308" s="11">
        <f t="shared" si="574"/>
        <v>8213969</v>
      </c>
      <c r="AY308" s="11">
        <f t="shared" si="574"/>
        <v>0</v>
      </c>
      <c r="AZ308" s="11">
        <f t="shared" si="574"/>
        <v>0</v>
      </c>
      <c r="BA308" s="11">
        <f t="shared" si="574"/>
        <v>0</v>
      </c>
      <c r="BB308" s="11">
        <f t="shared" si="574"/>
        <v>214640</v>
      </c>
      <c r="BC308" s="11">
        <f t="shared" si="574"/>
        <v>1310400</v>
      </c>
      <c r="BD308" s="11">
        <f t="shared" si="574"/>
        <v>0</v>
      </c>
      <c r="BE308" s="11">
        <f t="shared" si="574"/>
        <v>0</v>
      </c>
      <c r="BF308" s="11">
        <f t="shared" si="574"/>
        <v>0</v>
      </c>
      <c r="BG308" s="11">
        <f t="shared" si="574"/>
        <v>0</v>
      </c>
      <c r="BH308" s="11">
        <f t="shared" si="574"/>
        <v>0</v>
      </c>
      <c r="BI308" s="11">
        <f t="shared" si="574"/>
        <v>0</v>
      </c>
      <c r="BJ308" s="11">
        <f t="shared" si="574"/>
        <v>0</v>
      </c>
      <c r="BK308" s="11">
        <f t="shared" si="574"/>
        <v>0</v>
      </c>
      <c r="BL308" s="11">
        <f t="shared" si="574"/>
        <v>0</v>
      </c>
      <c r="BM308" s="11">
        <f t="shared" si="574"/>
        <v>0</v>
      </c>
      <c r="BN308" s="11">
        <f t="shared" si="574"/>
        <v>0</v>
      </c>
      <c r="BO308" s="11">
        <f t="shared" si="574"/>
        <v>0</v>
      </c>
      <c r="BP308" s="11">
        <f t="shared" si="574"/>
        <v>1310400</v>
      </c>
      <c r="BQ308" s="11">
        <f t="shared" si="574"/>
        <v>0</v>
      </c>
      <c r="BR308" s="11">
        <f t="shared" si="574"/>
        <v>0</v>
      </c>
      <c r="BS308" s="11">
        <f t="shared" si="574"/>
        <v>0</v>
      </c>
      <c r="BT308" s="11">
        <f t="shared" si="574"/>
        <v>0</v>
      </c>
      <c r="BU308" s="11">
        <f t="shared" si="574"/>
        <v>0</v>
      </c>
      <c r="BV308" s="11">
        <f t="shared" si="574"/>
        <v>0</v>
      </c>
      <c r="BW308" s="11">
        <f t="shared" si="574"/>
        <v>0</v>
      </c>
      <c r="BX308" s="11">
        <f t="shared" si="574"/>
        <v>1310400</v>
      </c>
      <c r="BY308" s="11">
        <f t="shared" si="574"/>
        <v>0</v>
      </c>
      <c r="BZ308" s="11">
        <f t="shared" si="574"/>
        <v>0</v>
      </c>
      <c r="CA308" s="11">
        <f t="shared" si="574"/>
        <v>0</v>
      </c>
      <c r="CB308" s="11">
        <f t="shared" si="544"/>
        <v>231304164</v>
      </c>
      <c r="CC308" s="11">
        <f t="shared" si="574"/>
        <v>218812309</v>
      </c>
      <c r="CD308" s="11">
        <f t="shared" si="574"/>
        <v>45121351</v>
      </c>
      <c r="CE308" s="11">
        <f t="shared" si="574"/>
        <v>0</v>
      </c>
      <c r="CF308" s="11">
        <f t="shared" si="574"/>
        <v>45121351</v>
      </c>
      <c r="CG308" s="11">
        <f t="shared" si="574"/>
        <v>96547180</v>
      </c>
      <c r="CH308" s="11">
        <f t="shared" si="574"/>
        <v>0</v>
      </c>
      <c r="CI308" s="11">
        <f t="shared" si="574"/>
        <v>88814591</v>
      </c>
      <c r="CJ308" s="11">
        <f t="shared" si="574"/>
        <v>7200000</v>
      </c>
      <c r="CK308" s="11">
        <f t="shared" si="574"/>
        <v>532589</v>
      </c>
      <c r="CL308" s="11">
        <f t="shared" si="574"/>
        <v>77143778</v>
      </c>
      <c r="CM308" s="11">
        <f t="shared" si="574"/>
        <v>0</v>
      </c>
      <c r="CN308" s="11">
        <f t="shared" si="574"/>
        <v>70874406</v>
      </c>
      <c r="CO308" s="11">
        <f t="shared" si="574"/>
        <v>4269372</v>
      </c>
      <c r="CP308" s="11"/>
      <c r="CQ308" s="11">
        <f t="shared" si="574"/>
        <v>2000000</v>
      </c>
      <c r="CR308" s="11">
        <f t="shared" si="574"/>
        <v>0</v>
      </c>
      <c r="CS308" s="11">
        <f t="shared" si="574"/>
        <v>0</v>
      </c>
      <c r="CT308" s="11">
        <f t="shared" si="574"/>
        <v>12491855</v>
      </c>
      <c r="CU308" s="11">
        <f t="shared" si="574"/>
        <v>0</v>
      </c>
      <c r="CV308" s="11">
        <f t="shared" si="574"/>
        <v>0</v>
      </c>
      <c r="CW308" s="11">
        <f t="shared" si="574"/>
        <v>0</v>
      </c>
      <c r="CX308" s="12">
        <f t="shared" si="574"/>
        <v>0</v>
      </c>
    </row>
    <row r="309" spans="1:102" ht="15.75" x14ac:dyDescent="0.25">
      <c r="A309" s="13"/>
      <c r="B309" s="14" t="s">
        <v>1</v>
      </c>
      <c r="C309" s="14" t="s">
        <v>448</v>
      </c>
      <c r="D309" s="15" t="s">
        <v>447</v>
      </c>
      <c r="E309" s="10">
        <f>SUM(F309+CB309+CU309)</f>
        <v>245863006</v>
      </c>
      <c r="F309" s="11">
        <f>SUM(G309+BC309)</f>
        <v>14558842</v>
      </c>
      <c r="G309" s="11">
        <f>SUM(H309+I309+J309+Q309+T309+U309+V309+AF309+AE309)</f>
        <v>13248442</v>
      </c>
      <c r="H309" s="11">
        <v>0</v>
      </c>
      <c r="I309" s="11">
        <v>0</v>
      </c>
      <c r="J309" s="11">
        <f t="shared" si="564"/>
        <v>4819833</v>
      </c>
      <c r="K309" s="11">
        <f>3111047-3111047</f>
        <v>0</v>
      </c>
      <c r="L309" s="11"/>
      <c r="M309" s="11">
        <v>0</v>
      </c>
      <c r="N309" s="11">
        <v>0</v>
      </c>
      <c r="O309" s="11">
        <f>0+114832</f>
        <v>114832</v>
      </c>
      <c r="P309" s="11">
        <f>4429953+275048</f>
        <v>4705001</v>
      </c>
      <c r="Q309" s="11">
        <f t="shared" si="565"/>
        <v>0</v>
      </c>
      <c r="R309" s="11">
        <v>0</v>
      </c>
      <c r="S309" s="11">
        <v>0</v>
      </c>
      <c r="T309" s="11">
        <v>0</v>
      </c>
      <c r="U309" s="11">
        <v>0</v>
      </c>
      <c r="V309" s="11">
        <f t="shared" ref="V309" si="575">SUM(W309:AD309)</f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f>SUM(AG309:BB309)</f>
        <v>8428609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11">
        <v>0</v>
      </c>
      <c r="AX309" s="11">
        <f>8026471+202138-14640</f>
        <v>8213969</v>
      </c>
      <c r="AY309" s="11">
        <v>0</v>
      </c>
      <c r="AZ309" s="11">
        <v>0</v>
      </c>
      <c r="BA309" s="11">
        <v>0</v>
      </c>
      <c r="BB309" s="11">
        <f>200000+14640</f>
        <v>214640</v>
      </c>
      <c r="BC309" s="11">
        <f>SUM(BD309+BH309+BL309+BN309+BP309)</f>
        <v>1310400</v>
      </c>
      <c r="BD309" s="11">
        <f>SUM(BE309:BG309)</f>
        <v>0</v>
      </c>
      <c r="BE309" s="11">
        <v>0</v>
      </c>
      <c r="BF309" s="11">
        <v>0</v>
      </c>
      <c r="BG309" s="11">
        <v>0</v>
      </c>
      <c r="BH309" s="11">
        <f t="shared" si="567"/>
        <v>0</v>
      </c>
      <c r="BI309" s="11">
        <v>0</v>
      </c>
      <c r="BJ309" s="11">
        <v>0</v>
      </c>
      <c r="BK309" s="11">
        <v>0</v>
      </c>
      <c r="BL309" s="11">
        <v>0</v>
      </c>
      <c r="BM309" s="11">
        <v>0</v>
      </c>
      <c r="BN309" s="11">
        <f t="shared" si="568"/>
        <v>0</v>
      </c>
      <c r="BO309" s="11">
        <v>0</v>
      </c>
      <c r="BP309" s="11">
        <f t="shared" si="569"/>
        <v>1310400</v>
      </c>
      <c r="BQ309" s="11">
        <v>0</v>
      </c>
      <c r="BR309" s="11">
        <v>0</v>
      </c>
      <c r="BS309" s="11">
        <v>0</v>
      </c>
      <c r="BT309" s="11">
        <v>0</v>
      </c>
      <c r="BU309" s="11">
        <v>0</v>
      </c>
      <c r="BV309" s="11">
        <v>0</v>
      </c>
      <c r="BW309" s="11">
        <v>0</v>
      </c>
      <c r="BX309" s="11">
        <v>1310400</v>
      </c>
      <c r="BY309" s="11">
        <v>0</v>
      </c>
      <c r="BZ309" s="11">
        <v>0</v>
      </c>
      <c r="CA309" s="11">
        <v>0</v>
      </c>
      <c r="CB309" s="11">
        <f t="shared" si="544"/>
        <v>231304164</v>
      </c>
      <c r="CC309" s="11">
        <f>SUM(CD309+CG309+CL309)</f>
        <v>218812309</v>
      </c>
      <c r="CD309" s="11">
        <f t="shared" si="570"/>
        <v>45121351</v>
      </c>
      <c r="CE309" s="11"/>
      <c r="CF309" s="27">
        <f>41491912+3206923+422516</f>
        <v>45121351</v>
      </c>
      <c r="CG309" s="11">
        <f>SUM(CH309:CK309)</f>
        <v>96547180</v>
      </c>
      <c r="CH309" s="11">
        <v>0</v>
      </c>
      <c r="CI309" s="16">
        <f>61529214-814026+8552299+16522874-1700000-380000+5104230</f>
        <v>88814591</v>
      </c>
      <c r="CJ309" s="16">
        <f>7200000</f>
        <v>7200000</v>
      </c>
      <c r="CK309" s="16">
        <f>0+532589</f>
        <v>532589</v>
      </c>
      <c r="CL309" s="11">
        <f>SUM(CM309:CQ309)</f>
        <v>77143778</v>
      </c>
      <c r="CM309" s="11"/>
      <c r="CN309" s="16">
        <f>81643485+814026-8178875+1700000-5104230</f>
        <v>70874406</v>
      </c>
      <c r="CO309" s="11">
        <v>4269372</v>
      </c>
      <c r="CP309" s="11"/>
      <c r="CQ309" s="11">
        <v>2000000</v>
      </c>
      <c r="CR309" s="11">
        <v>0</v>
      </c>
      <c r="CS309" s="11">
        <v>0</v>
      </c>
      <c r="CT309" s="11">
        <f>12055000+436855</f>
        <v>12491855</v>
      </c>
      <c r="CU309" s="11">
        <f t="shared" si="571"/>
        <v>0</v>
      </c>
      <c r="CV309" s="11">
        <f t="shared" si="572"/>
        <v>0</v>
      </c>
      <c r="CW309" s="11">
        <v>0</v>
      </c>
      <c r="CX309" s="12">
        <v>0</v>
      </c>
    </row>
    <row r="310" spans="1:102" ht="15.75" x14ac:dyDescent="0.25">
      <c r="A310" s="7"/>
      <c r="B310" s="8" t="s">
        <v>449</v>
      </c>
      <c r="C310" s="8" t="s">
        <v>1</v>
      </c>
      <c r="D310" s="9" t="s">
        <v>450</v>
      </c>
      <c r="E310" s="10">
        <f t="shared" ref="E310:BS310" si="576">SUM(E311)</f>
        <v>5026949</v>
      </c>
      <c r="F310" s="11">
        <f t="shared" si="576"/>
        <v>5026949</v>
      </c>
      <c r="G310" s="11">
        <f t="shared" si="576"/>
        <v>5026949</v>
      </c>
      <c r="H310" s="11">
        <f t="shared" si="576"/>
        <v>0</v>
      </c>
      <c r="I310" s="11">
        <f t="shared" si="576"/>
        <v>0</v>
      </c>
      <c r="J310" s="11">
        <f t="shared" si="576"/>
        <v>0</v>
      </c>
      <c r="K310" s="11">
        <f t="shared" si="576"/>
        <v>0</v>
      </c>
      <c r="L310" s="11">
        <f t="shared" si="576"/>
        <v>0</v>
      </c>
      <c r="M310" s="11">
        <f t="shared" si="576"/>
        <v>0</v>
      </c>
      <c r="N310" s="11">
        <f t="shared" si="576"/>
        <v>0</v>
      </c>
      <c r="O310" s="11">
        <f t="shared" si="576"/>
        <v>0</v>
      </c>
      <c r="P310" s="11">
        <f t="shared" si="576"/>
        <v>0</v>
      </c>
      <c r="Q310" s="11">
        <f t="shared" si="576"/>
        <v>0</v>
      </c>
      <c r="R310" s="11">
        <f t="shared" si="576"/>
        <v>0</v>
      </c>
      <c r="S310" s="11">
        <f t="shared" si="576"/>
        <v>0</v>
      </c>
      <c r="T310" s="11">
        <f t="shared" si="576"/>
        <v>0</v>
      </c>
      <c r="U310" s="11">
        <f t="shared" si="576"/>
        <v>0</v>
      </c>
      <c r="V310" s="11">
        <f t="shared" si="576"/>
        <v>0</v>
      </c>
      <c r="W310" s="11">
        <f t="shared" si="576"/>
        <v>0</v>
      </c>
      <c r="X310" s="11">
        <f t="shared" si="576"/>
        <v>0</v>
      </c>
      <c r="Y310" s="11">
        <f t="shared" si="576"/>
        <v>0</v>
      </c>
      <c r="Z310" s="11">
        <f t="shared" si="576"/>
        <v>0</v>
      </c>
      <c r="AA310" s="11">
        <f t="shared" si="576"/>
        <v>0</v>
      </c>
      <c r="AB310" s="11">
        <f t="shared" si="576"/>
        <v>0</v>
      </c>
      <c r="AC310" s="11">
        <f t="shared" si="576"/>
        <v>0</v>
      </c>
      <c r="AD310" s="11">
        <f t="shared" si="576"/>
        <v>0</v>
      </c>
      <c r="AE310" s="11">
        <f t="shared" si="576"/>
        <v>0</v>
      </c>
      <c r="AF310" s="11">
        <f t="shared" si="576"/>
        <v>5026949</v>
      </c>
      <c r="AG310" s="11">
        <f t="shared" si="576"/>
        <v>0</v>
      </c>
      <c r="AH310" s="11">
        <f t="shared" si="576"/>
        <v>0</v>
      </c>
      <c r="AI310" s="11">
        <f t="shared" si="576"/>
        <v>0</v>
      </c>
      <c r="AJ310" s="11">
        <f t="shared" si="576"/>
        <v>0</v>
      </c>
      <c r="AK310" s="11">
        <f t="shared" si="576"/>
        <v>0</v>
      </c>
      <c r="AL310" s="11">
        <f t="shared" si="576"/>
        <v>0</v>
      </c>
      <c r="AM310" s="11">
        <f t="shared" si="576"/>
        <v>0</v>
      </c>
      <c r="AN310" s="11">
        <f t="shared" si="576"/>
        <v>0</v>
      </c>
      <c r="AO310" s="11">
        <f t="shared" si="576"/>
        <v>0</v>
      </c>
      <c r="AP310" s="11">
        <f t="shared" si="576"/>
        <v>0</v>
      </c>
      <c r="AQ310" s="11">
        <f t="shared" si="576"/>
        <v>0</v>
      </c>
      <c r="AR310" s="11">
        <f t="shared" si="576"/>
        <v>0</v>
      </c>
      <c r="AS310" s="11">
        <f t="shared" si="576"/>
        <v>0</v>
      </c>
      <c r="AT310" s="11">
        <f t="shared" si="576"/>
        <v>0</v>
      </c>
      <c r="AU310" s="11">
        <f t="shared" si="576"/>
        <v>0</v>
      </c>
      <c r="AV310" s="11">
        <f t="shared" si="576"/>
        <v>0</v>
      </c>
      <c r="AW310" s="11">
        <f t="shared" si="576"/>
        <v>0</v>
      </c>
      <c r="AX310" s="11">
        <f t="shared" si="576"/>
        <v>0</v>
      </c>
      <c r="AY310" s="11">
        <f t="shared" si="576"/>
        <v>0</v>
      </c>
      <c r="AZ310" s="11">
        <f t="shared" si="576"/>
        <v>0</v>
      </c>
      <c r="BA310" s="11">
        <f t="shared" si="576"/>
        <v>0</v>
      </c>
      <c r="BB310" s="11">
        <f t="shared" si="576"/>
        <v>5026949</v>
      </c>
      <c r="BC310" s="11">
        <f t="shared" si="576"/>
        <v>0</v>
      </c>
      <c r="BD310" s="11">
        <f t="shared" si="576"/>
        <v>0</v>
      </c>
      <c r="BE310" s="11">
        <f t="shared" si="576"/>
        <v>0</v>
      </c>
      <c r="BF310" s="11">
        <f t="shared" si="576"/>
        <v>0</v>
      </c>
      <c r="BG310" s="11">
        <f t="shared" si="576"/>
        <v>0</v>
      </c>
      <c r="BH310" s="11">
        <f t="shared" si="576"/>
        <v>0</v>
      </c>
      <c r="BI310" s="11">
        <f t="shared" si="576"/>
        <v>0</v>
      </c>
      <c r="BJ310" s="11">
        <f t="shared" si="576"/>
        <v>0</v>
      </c>
      <c r="BK310" s="11">
        <f t="shared" si="576"/>
        <v>0</v>
      </c>
      <c r="BL310" s="11">
        <f t="shared" si="576"/>
        <v>0</v>
      </c>
      <c r="BM310" s="11">
        <f t="shared" si="576"/>
        <v>0</v>
      </c>
      <c r="BN310" s="11">
        <f t="shared" si="576"/>
        <v>0</v>
      </c>
      <c r="BO310" s="11">
        <f t="shared" si="576"/>
        <v>0</v>
      </c>
      <c r="BP310" s="11">
        <f t="shared" si="576"/>
        <v>0</v>
      </c>
      <c r="BQ310" s="11">
        <f t="shared" si="576"/>
        <v>0</v>
      </c>
      <c r="BR310" s="11">
        <f t="shared" si="576"/>
        <v>0</v>
      </c>
      <c r="BS310" s="11">
        <f t="shared" si="576"/>
        <v>0</v>
      </c>
      <c r="BT310" s="11">
        <f t="shared" ref="BT310:CX310" si="577">SUM(BT311)</f>
        <v>0</v>
      </c>
      <c r="BU310" s="11">
        <f t="shared" si="577"/>
        <v>0</v>
      </c>
      <c r="BV310" s="11">
        <f t="shared" si="577"/>
        <v>0</v>
      </c>
      <c r="BW310" s="11">
        <f t="shared" si="577"/>
        <v>0</v>
      </c>
      <c r="BX310" s="11">
        <f t="shared" si="577"/>
        <v>0</v>
      </c>
      <c r="BY310" s="11">
        <f t="shared" si="577"/>
        <v>0</v>
      </c>
      <c r="BZ310" s="11">
        <f t="shared" si="577"/>
        <v>0</v>
      </c>
      <c r="CA310" s="11">
        <f t="shared" si="577"/>
        <v>0</v>
      </c>
      <c r="CB310" s="11">
        <f t="shared" si="544"/>
        <v>0</v>
      </c>
      <c r="CC310" s="11">
        <f t="shared" si="577"/>
        <v>0</v>
      </c>
      <c r="CD310" s="11">
        <f t="shared" si="577"/>
        <v>0</v>
      </c>
      <c r="CE310" s="11">
        <f t="shared" si="577"/>
        <v>0</v>
      </c>
      <c r="CF310" s="11">
        <f t="shared" si="577"/>
        <v>0</v>
      </c>
      <c r="CG310" s="11">
        <f t="shared" si="577"/>
        <v>0</v>
      </c>
      <c r="CH310" s="11">
        <f t="shared" si="577"/>
        <v>0</v>
      </c>
      <c r="CI310" s="11">
        <f t="shared" si="577"/>
        <v>0</v>
      </c>
      <c r="CJ310" s="11">
        <f t="shared" si="577"/>
        <v>0</v>
      </c>
      <c r="CK310" s="11">
        <f t="shared" si="577"/>
        <v>0</v>
      </c>
      <c r="CL310" s="11">
        <f t="shared" si="577"/>
        <v>0</v>
      </c>
      <c r="CM310" s="11">
        <f t="shared" si="577"/>
        <v>0</v>
      </c>
      <c r="CN310" s="11">
        <f t="shared" si="577"/>
        <v>0</v>
      </c>
      <c r="CO310" s="11">
        <f t="shared" si="577"/>
        <v>0</v>
      </c>
      <c r="CP310" s="11"/>
      <c r="CQ310" s="11">
        <f t="shared" si="577"/>
        <v>0</v>
      </c>
      <c r="CR310" s="11">
        <f t="shared" si="577"/>
        <v>0</v>
      </c>
      <c r="CS310" s="11">
        <f t="shared" si="577"/>
        <v>0</v>
      </c>
      <c r="CT310" s="11">
        <f t="shared" si="577"/>
        <v>0</v>
      </c>
      <c r="CU310" s="11">
        <f t="shared" si="577"/>
        <v>0</v>
      </c>
      <c r="CV310" s="11">
        <f t="shared" si="577"/>
        <v>0</v>
      </c>
      <c r="CW310" s="11">
        <f t="shared" si="577"/>
        <v>0</v>
      </c>
      <c r="CX310" s="12">
        <f t="shared" si="577"/>
        <v>0</v>
      </c>
    </row>
    <row r="311" spans="1:102" ht="15.75" x14ac:dyDescent="0.25">
      <c r="A311" s="13"/>
      <c r="B311" s="14" t="s">
        <v>1</v>
      </c>
      <c r="C311" s="14" t="s">
        <v>361</v>
      </c>
      <c r="D311" s="15" t="s">
        <v>450</v>
      </c>
      <c r="E311" s="10">
        <f>SUM(F311+CB311+CU311)</f>
        <v>5026949</v>
      </c>
      <c r="F311" s="11">
        <f>SUM(G311+BC311)</f>
        <v>5026949</v>
      </c>
      <c r="G311" s="11">
        <f>SUM(H311+I311+J311+Q311+T311+U311+V311+AF311+AE311)</f>
        <v>5026949</v>
      </c>
      <c r="H311" s="11">
        <v>0</v>
      </c>
      <c r="I311" s="11">
        <v>0</v>
      </c>
      <c r="J311" s="11">
        <f t="shared" si="564"/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f t="shared" si="565"/>
        <v>0</v>
      </c>
      <c r="R311" s="11">
        <v>0</v>
      </c>
      <c r="S311" s="11">
        <v>0</v>
      </c>
      <c r="T311" s="11">
        <v>0</v>
      </c>
      <c r="U311" s="11">
        <v>0</v>
      </c>
      <c r="V311" s="11">
        <f t="shared" ref="V311" si="578">SUM(W311:AD311)</f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f>SUM(AG311:BB311)</f>
        <v>5026949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11">
        <v>0</v>
      </c>
      <c r="AX311" s="11">
        <v>0</v>
      </c>
      <c r="AY311" s="11">
        <v>0</v>
      </c>
      <c r="AZ311" s="11">
        <v>0</v>
      </c>
      <c r="BA311" s="11">
        <v>0</v>
      </c>
      <c r="BB311" s="11">
        <v>5026949</v>
      </c>
      <c r="BC311" s="11">
        <f>SUM(BD311+BH311+BL311+BN311+BP311)</f>
        <v>0</v>
      </c>
      <c r="BD311" s="11">
        <f>SUM(BE311:BG311)</f>
        <v>0</v>
      </c>
      <c r="BE311" s="11">
        <v>0</v>
      </c>
      <c r="BF311" s="11">
        <v>0</v>
      </c>
      <c r="BG311" s="11">
        <v>0</v>
      </c>
      <c r="BH311" s="11">
        <f t="shared" si="567"/>
        <v>0</v>
      </c>
      <c r="BI311" s="11">
        <v>0</v>
      </c>
      <c r="BJ311" s="11">
        <v>0</v>
      </c>
      <c r="BK311" s="11">
        <v>0</v>
      </c>
      <c r="BL311" s="11">
        <v>0</v>
      </c>
      <c r="BM311" s="11">
        <v>0</v>
      </c>
      <c r="BN311" s="11">
        <f t="shared" si="568"/>
        <v>0</v>
      </c>
      <c r="BO311" s="11">
        <v>0</v>
      </c>
      <c r="BP311" s="11">
        <f t="shared" si="569"/>
        <v>0</v>
      </c>
      <c r="BQ311" s="11">
        <v>0</v>
      </c>
      <c r="BR311" s="11">
        <v>0</v>
      </c>
      <c r="BS311" s="11">
        <v>0</v>
      </c>
      <c r="BT311" s="11">
        <v>0</v>
      </c>
      <c r="BU311" s="11">
        <v>0</v>
      </c>
      <c r="BV311" s="11">
        <v>0</v>
      </c>
      <c r="BW311" s="11">
        <v>0</v>
      </c>
      <c r="BX311" s="11">
        <v>0</v>
      </c>
      <c r="BY311" s="11">
        <v>0</v>
      </c>
      <c r="BZ311" s="11">
        <v>0</v>
      </c>
      <c r="CA311" s="11">
        <v>0</v>
      </c>
      <c r="CB311" s="11">
        <f t="shared" si="544"/>
        <v>0</v>
      </c>
      <c r="CC311" s="11">
        <f>SUM(CD311+CG311+CL311)</f>
        <v>0</v>
      </c>
      <c r="CD311" s="11">
        <f t="shared" si="570"/>
        <v>0</v>
      </c>
      <c r="CE311" s="11">
        <v>0</v>
      </c>
      <c r="CF311" s="11">
        <v>0</v>
      </c>
      <c r="CG311" s="11">
        <f>SUM(CH311:CK311)</f>
        <v>0</v>
      </c>
      <c r="CH311" s="11">
        <v>0</v>
      </c>
      <c r="CI311" s="11">
        <v>0</v>
      </c>
      <c r="CJ311" s="11">
        <v>0</v>
      </c>
      <c r="CK311" s="11">
        <v>0</v>
      </c>
      <c r="CL311" s="11">
        <f>SUM(CM311:CQ311)</f>
        <v>0</v>
      </c>
      <c r="CM311" s="11">
        <v>0</v>
      </c>
      <c r="CN311" s="11">
        <v>0</v>
      </c>
      <c r="CO311" s="11">
        <v>0</v>
      </c>
      <c r="CP311" s="11"/>
      <c r="CQ311" s="11">
        <v>0</v>
      </c>
      <c r="CR311" s="11">
        <v>0</v>
      </c>
      <c r="CS311" s="11">
        <v>0</v>
      </c>
      <c r="CT311" s="11">
        <v>0</v>
      </c>
      <c r="CU311" s="11">
        <f t="shared" si="571"/>
        <v>0</v>
      </c>
      <c r="CV311" s="11">
        <f t="shared" si="572"/>
        <v>0</v>
      </c>
      <c r="CW311" s="11">
        <v>0</v>
      </c>
      <c r="CX311" s="12">
        <v>0</v>
      </c>
    </row>
    <row r="312" spans="1:102" ht="15.75" x14ac:dyDescent="0.25">
      <c r="A312" s="7"/>
      <c r="B312" s="8" t="s">
        <v>451</v>
      </c>
      <c r="C312" s="8" t="s">
        <v>1</v>
      </c>
      <c r="D312" s="9" t="s">
        <v>452</v>
      </c>
      <c r="E312" s="10">
        <f t="shared" ref="E312:AL312" si="579">SUM(E313)</f>
        <v>12000000</v>
      </c>
      <c r="F312" s="11">
        <f t="shared" si="579"/>
        <v>12000000</v>
      </c>
      <c r="G312" s="11">
        <f t="shared" si="579"/>
        <v>0</v>
      </c>
      <c r="H312" s="11">
        <f t="shared" si="579"/>
        <v>0</v>
      </c>
      <c r="I312" s="11">
        <f t="shared" si="579"/>
        <v>0</v>
      </c>
      <c r="J312" s="11">
        <f t="shared" si="579"/>
        <v>0</v>
      </c>
      <c r="K312" s="11">
        <f t="shared" si="579"/>
        <v>0</v>
      </c>
      <c r="L312" s="11">
        <f t="shared" si="579"/>
        <v>0</v>
      </c>
      <c r="M312" s="11">
        <f t="shared" si="579"/>
        <v>0</v>
      </c>
      <c r="N312" s="11">
        <f t="shared" si="579"/>
        <v>0</v>
      </c>
      <c r="O312" s="11">
        <f t="shared" si="579"/>
        <v>0</v>
      </c>
      <c r="P312" s="11">
        <f t="shared" si="579"/>
        <v>0</v>
      </c>
      <c r="Q312" s="11">
        <f t="shared" si="579"/>
        <v>0</v>
      </c>
      <c r="R312" s="11">
        <f t="shared" si="579"/>
        <v>0</v>
      </c>
      <c r="S312" s="11">
        <f t="shared" si="579"/>
        <v>0</v>
      </c>
      <c r="T312" s="11">
        <f t="shared" si="579"/>
        <v>0</v>
      </c>
      <c r="U312" s="11">
        <f t="shared" si="579"/>
        <v>0</v>
      </c>
      <c r="V312" s="11">
        <f t="shared" si="579"/>
        <v>0</v>
      </c>
      <c r="W312" s="11">
        <f t="shared" si="579"/>
        <v>0</v>
      </c>
      <c r="X312" s="11">
        <f t="shared" si="579"/>
        <v>0</v>
      </c>
      <c r="Y312" s="11">
        <f t="shared" si="579"/>
        <v>0</v>
      </c>
      <c r="Z312" s="11">
        <f t="shared" si="579"/>
        <v>0</v>
      </c>
      <c r="AA312" s="11">
        <f t="shared" si="579"/>
        <v>0</v>
      </c>
      <c r="AB312" s="11">
        <f t="shared" si="579"/>
        <v>0</v>
      </c>
      <c r="AC312" s="11">
        <f t="shared" si="579"/>
        <v>0</v>
      </c>
      <c r="AD312" s="11">
        <f t="shared" si="579"/>
        <v>0</v>
      </c>
      <c r="AE312" s="11">
        <f t="shared" si="579"/>
        <v>0</v>
      </c>
      <c r="AF312" s="11">
        <f t="shared" si="579"/>
        <v>0</v>
      </c>
      <c r="AG312" s="11">
        <f t="shared" si="579"/>
        <v>0</v>
      </c>
      <c r="AH312" s="11">
        <f t="shared" si="579"/>
        <v>0</v>
      </c>
      <c r="AI312" s="11">
        <f t="shared" si="579"/>
        <v>0</v>
      </c>
      <c r="AJ312" s="11">
        <f t="shared" si="579"/>
        <v>0</v>
      </c>
      <c r="AK312" s="11">
        <f t="shared" si="579"/>
        <v>0</v>
      </c>
      <c r="AL312" s="11">
        <f t="shared" si="579"/>
        <v>0</v>
      </c>
      <c r="AM312" s="11">
        <f t="shared" ref="AM312:CX312" si="580">SUM(AM313)</f>
        <v>0</v>
      </c>
      <c r="AN312" s="11">
        <f t="shared" si="580"/>
        <v>0</v>
      </c>
      <c r="AO312" s="11">
        <f t="shared" si="580"/>
        <v>0</v>
      </c>
      <c r="AP312" s="11">
        <f t="shared" si="580"/>
        <v>0</v>
      </c>
      <c r="AQ312" s="11">
        <f t="shared" si="580"/>
        <v>0</v>
      </c>
      <c r="AR312" s="11">
        <f t="shared" si="580"/>
        <v>0</v>
      </c>
      <c r="AS312" s="11">
        <f t="shared" si="580"/>
        <v>0</v>
      </c>
      <c r="AT312" s="11">
        <f t="shared" si="580"/>
        <v>0</v>
      </c>
      <c r="AU312" s="11">
        <f t="shared" si="580"/>
        <v>0</v>
      </c>
      <c r="AV312" s="11">
        <f t="shared" si="580"/>
        <v>0</v>
      </c>
      <c r="AW312" s="11">
        <f t="shared" si="580"/>
        <v>0</v>
      </c>
      <c r="AX312" s="11">
        <f t="shared" si="580"/>
        <v>0</v>
      </c>
      <c r="AY312" s="11">
        <f t="shared" si="580"/>
        <v>0</v>
      </c>
      <c r="AZ312" s="11">
        <f t="shared" si="580"/>
        <v>0</v>
      </c>
      <c r="BA312" s="11">
        <f t="shared" si="580"/>
        <v>0</v>
      </c>
      <c r="BB312" s="11">
        <f t="shared" si="580"/>
        <v>0</v>
      </c>
      <c r="BC312" s="11">
        <f t="shared" si="580"/>
        <v>12000000</v>
      </c>
      <c r="BD312" s="11">
        <f t="shared" si="580"/>
        <v>0</v>
      </c>
      <c r="BE312" s="11">
        <f t="shared" si="580"/>
        <v>0</v>
      </c>
      <c r="BF312" s="11">
        <f t="shared" si="580"/>
        <v>0</v>
      </c>
      <c r="BG312" s="11">
        <f t="shared" si="580"/>
        <v>0</v>
      </c>
      <c r="BH312" s="11">
        <f t="shared" si="580"/>
        <v>0</v>
      </c>
      <c r="BI312" s="11">
        <f t="shared" si="580"/>
        <v>0</v>
      </c>
      <c r="BJ312" s="11">
        <f t="shared" si="580"/>
        <v>0</v>
      </c>
      <c r="BK312" s="11">
        <f t="shared" si="580"/>
        <v>0</v>
      </c>
      <c r="BL312" s="11">
        <f t="shared" si="580"/>
        <v>0</v>
      </c>
      <c r="BM312" s="11">
        <f t="shared" si="580"/>
        <v>0</v>
      </c>
      <c r="BN312" s="11">
        <f t="shared" si="580"/>
        <v>0</v>
      </c>
      <c r="BO312" s="11">
        <f t="shared" si="580"/>
        <v>0</v>
      </c>
      <c r="BP312" s="11">
        <f t="shared" si="580"/>
        <v>12000000</v>
      </c>
      <c r="BQ312" s="11">
        <f t="shared" si="580"/>
        <v>0</v>
      </c>
      <c r="BR312" s="11">
        <f t="shared" si="580"/>
        <v>0</v>
      </c>
      <c r="BS312" s="11">
        <f t="shared" si="580"/>
        <v>0</v>
      </c>
      <c r="BT312" s="11">
        <f t="shared" si="580"/>
        <v>0</v>
      </c>
      <c r="BU312" s="11">
        <f t="shared" si="580"/>
        <v>0</v>
      </c>
      <c r="BV312" s="11">
        <f t="shared" si="580"/>
        <v>0</v>
      </c>
      <c r="BW312" s="11">
        <f t="shared" si="580"/>
        <v>0</v>
      </c>
      <c r="BX312" s="11">
        <f t="shared" si="580"/>
        <v>0</v>
      </c>
      <c r="BY312" s="11">
        <f t="shared" si="580"/>
        <v>0</v>
      </c>
      <c r="BZ312" s="11">
        <f t="shared" si="580"/>
        <v>0</v>
      </c>
      <c r="CA312" s="11">
        <f t="shared" si="580"/>
        <v>12000000</v>
      </c>
      <c r="CB312" s="11">
        <f t="shared" si="544"/>
        <v>0</v>
      </c>
      <c r="CC312" s="11">
        <f t="shared" si="580"/>
        <v>0</v>
      </c>
      <c r="CD312" s="11">
        <f t="shared" si="580"/>
        <v>0</v>
      </c>
      <c r="CE312" s="11">
        <f t="shared" si="580"/>
        <v>0</v>
      </c>
      <c r="CF312" s="11">
        <f t="shared" si="580"/>
        <v>0</v>
      </c>
      <c r="CG312" s="11">
        <f t="shared" si="580"/>
        <v>0</v>
      </c>
      <c r="CH312" s="11">
        <f t="shared" si="580"/>
        <v>0</v>
      </c>
      <c r="CI312" s="11">
        <f t="shared" si="580"/>
        <v>0</v>
      </c>
      <c r="CJ312" s="11">
        <f t="shared" si="580"/>
        <v>0</v>
      </c>
      <c r="CK312" s="11">
        <f t="shared" si="580"/>
        <v>0</v>
      </c>
      <c r="CL312" s="11">
        <f t="shared" si="580"/>
        <v>0</v>
      </c>
      <c r="CM312" s="11">
        <f t="shared" si="580"/>
        <v>0</v>
      </c>
      <c r="CN312" s="11">
        <f t="shared" si="580"/>
        <v>0</v>
      </c>
      <c r="CO312" s="11">
        <f t="shared" si="580"/>
        <v>0</v>
      </c>
      <c r="CP312" s="11"/>
      <c r="CQ312" s="11">
        <f t="shared" si="580"/>
        <v>0</v>
      </c>
      <c r="CR312" s="11">
        <f t="shared" si="580"/>
        <v>0</v>
      </c>
      <c r="CS312" s="11">
        <f t="shared" si="580"/>
        <v>0</v>
      </c>
      <c r="CT312" s="11">
        <f t="shared" si="580"/>
        <v>0</v>
      </c>
      <c r="CU312" s="11">
        <f t="shared" si="580"/>
        <v>0</v>
      </c>
      <c r="CV312" s="11">
        <f t="shared" si="580"/>
        <v>0</v>
      </c>
      <c r="CW312" s="11">
        <f t="shared" si="580"/>
        <v>0</v>
      </c>
      <c r="CX312" s="12">
        <f t="shared" si="580"/>
        <v>0</v>
      </c>
    </row>
    <row r="313" spans="1:102" ht="15.75" x14ac:dyDescent="0.25">
      <c r="A313" s="13"/>
      <c r="B313" s="14" t="s">
        <v>1</v>
      </c>
      <c r="C313" s="14" t="s">
        <v>361</v>
      </c>
      <c r="D313" s="15" t="s">
        <v>452</v>
      </c>
      <c r="E313" s="10">
        <f>SUM(F313+CB313+CU313)</f>
        <v>12000000</v>
      </c>
      <c r="F313" s="11">
        <f>SUM(G313+BC313)</f>
        <v>12000000</v>
      </c>
      <c r="G313" s="11">
        <f>SUM(H313+I313+J313+Q313+T313+U313+V313+AF313+AE313)</f>
        <v>0</v>
      </c>
      <c r="H313" s="11">
        <v>0</v>
      </c>
      <c r="I313" s="11">
        <v>0</v>
      </c>
      <c r="J313" s="11">
        <f t="shared" si="564"/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f t="shared" si="565"/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f t="shared" ref="V313" si="581">SUM(W313:AD313)</f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f>SUM(AG313:BB313)</f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11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f>SUM(BD313+BH313+BL313+BN313+BP313)</f>
        <v>12000000</v>
      </c>
      <c r="BD313" s="11">
        <f>SUM(BE313:BG313)</f>
        <v>0</v>
      </c>
      <c r="BE313" s="11">
        <v>0</v>
      </c>
      <c r="BF313" s="11">
        <v>0</v>
      </c>
      <c r="BG313" s="11">
        <v>0</v>
      </c>
      <c r="BH313" s="11">
        <f t="shared" si="567"/>
        <v>0</v>
      </c>
      <c r="BI313" s="11">
        <v>0</v>
      </c>
      <c r="BJ313" s="11">
        <v>0</v>
      </c>
      <c r="BK313" s="11">
        <v>0</v>
      </c>
      <c r="BL313" s="11">
        <v>0</v>
      </c>
      <c r="BM313" s="11">
        <v>0</v>
      </c>
      <c r="BN313" s="11">
        <f t="shared" si="568"/>
        <v>0</v>
      </c>
      <c r="BO313" s="11">
        <v>0</v>
      </c>
      <c r="BP313" s="11">
        <f t="shared" si="569"/>
        <v>12000000</v>
      </c>
      <c r="BQ313" s="11">
        <v>0</v>
      </c>
      <c r="BR313" s="11">
        <v>0</v>
      </c>
      <c r="BS313" s="11">
        <v>0</v>
      </c>
      <c r="BT313" s="11">
        <v>0</v>
      </c>
      <c r="BU313" s="11">
        <v>0</v>
      </c>
      <c r="BV313" s="11">
        <v>0</v>
      </c>
      <c r="BW313" s="11">
        <v>0</v>
      </c>
      <c r="BX313" s="11">
        <v>0</v>
      </c>
      <c r="BY313" s="11">
        <v>0</v>
      </c>
      <c r="BZ313" s="11">
        <v>0</v>
      </c>
      <c r="CA313" s="11">
        <v>12000000</v>
      </c>
      <c r="CB313" s="11">
        <f t="shared" si="544"/>
        <v>0</v>
      </c>
      <c r="CC313" s="11">
        <f>SUM(CD313+CG313+CL313)</f>
        <v>0</v>
      </c>
      <c r="CD313" s="11">
        <f t="shared" si="570"/>
        <v>0</v>
      </c>
      <c r="CE313" s="11">
        <v>0</v>
      </c>
      <c r="CF313" s="11">
        <v>0</v>
      </c>
      <c r="CG313" s="11">
        <f>SUM(CH313:CK313)</f>
        <v>0</v>
      </c>
      <c r="CH313" s="11">
        <v>0</v>
      </c>
      <c r="CI313" s="11">
        <v>0</v>
      </c>
      <c r="CJ313" s="11">
        <v>0</v>
      </c>
      <c r="CK313" s="11">
        <v>0</v>
      </c>
      <c r="CL313" s="11">
        <f>SUM(CM313:CQ313)</f>
        <v>0</v>
      </c>
      <c r="CM313" s="11">
        <v>0</v>
      </c>
      <c r="CN313" s="11">
        <v>0</v>
      </c>
      <c r="CO313" s="11">
        <v>0</v>
      </c>
      <c r="CP313" s="11"/>
      <c r="CQ313" s="11">
        <v>0</v>
      </c>
      <c r="CR313" s="11">
        <v>0</v>
      </c>
      <c r="CS313" s="11">
        <v>0</v>
      </c>
      <c r="CT313" s="11">
        <v>0</v>
      </c>
      <c r="CU313" s="11">
        <f t="shared" si="571"/>
        <v>0</v>
      </c>
      <c r="CV313" s="11">
        <f t="shared" si="572"/>
        <v>0</v>
      </c>
      <c r="CW313" s="11">
        <v>0</v>
      </c>
      <c r="CX313" s="12">
        <v>0</v>
      </c>
    </row>
    <row r="314" spans="1:102" ht="15.75" x14ac:dyDescent="0.25">
      <c r="A314" s="7"/>
      <c r="B314" s="8" t="s">
        <v>453</v>
      </c>
      <c r="C314" s="8" t="s">
        <v>1</v>
      </c>
      <c r="D314" s="24" t="s">
        <v>454</v>
      </c>
      <c r="E314" s="10">
        <f t="shared" ref="E314:AJ314" si="582">SUM(E315)</f>
        <v>20500000</v>
      </c>
      <c r="F314" s="11">
        <f t="shared" si="582"/>
        <v>20500000</v>
      </c>
      <c r="G314" s="11">
        <f t="shared" si="582"/>
        <v>20500000</v>
      </c>
      <c r="H314" s="11">
        <f t="shared" si="582"/>
        <v>0</v>
      </c>
      <c r="I314" s="11">
        <f t="shared" si="582"/>
        <v>0</v>
      </c>
      <c r="J314" s="11">
        <f t="shared" si="582"/>
        <v>0</v>
      </c>
      <c r="K314" s="11">
        <f t="shared" si="582"/>
        <v>0</v>
      </c>
      <c r="L314" s="11">
        <f t="shared" si="582"/>
        <v>0</v>
      </c>
      <c r="M314" s="11">
        <f t="shared" si="582"/>
        <v>0</v>
      </c>
      <c r="N314" s="11">
        <f t="shared" si="582"/>
        <v>0</v>
      </c>
      <c r="O314" s="11">
        <f t="shared" si="582"/>
        <v>0</v>
      </c>
      <c r="P314" s="11">
        <f t="shared" si="582"/>
        <v>0</v>
      </c>
      <c r="Q314" s="11">
        <f t="shared" si="582"/>
        <v>0</v>
      </c>
      <c r="R314" s="11">
        <f t="shared" si="582"/>
        <v>0</v>
      </c>
      <c r="S314" s="11">
        <f t="shared" si="582"/>
        <v>0</v>
      </c>
      <c r="T314" s="11">
        <f t="shared" si="582"/>
        <v>0</v>
      </c>
      <c r="U314" s="11">
        <f t="shared" si="582"/>
        <v>0</v>
      </c>
      <c r="V314" s="11">
        <f t="shared" si="582"/>
        <v>0</v>
      </c>
      <c r="W314" s="11">
        <f t="shared" si="582"/>
        <v>0</v>
      </c>
      <c r="X314" s="11">
        <f t="shared" si="582"/>
        <v>0</v>
      </c>
      <c r="Y314" s="11">
        <f t="shared" si="582"/>
        <v>0</v>
      </c>
      <c r="Z314" s="11">
        <f t="shared" si="582"/>
        <v>0</v>
      </c>
      <c r="AA314" s="11">
        <f t="shared" si="582"/>
        <v>0</v>
      </c>
      <c r="AB314" s="11">
        <f t="shared" si="582"/>
        <v>0</v>
      </c>
      <c r="AC314" s="11">
        <f t="shared" si="582"/>
        <v>0</v>
      </c>
      <c r="AD314" s="11">
        <f t="shared" si="582"/>
        <v>0</v>
      </c>
      <c r="AE314" s="11">
        <f t="shared" si="582"/>
        <v>0</v>
      </c>
      <c r="AF314" s="11">
        <f t="shared" si="582"/>
        <v>20500000</v>
      </c>
      <c r="AG314" s="11">
        <f t="shared" si="582"/>
        <v>0</v>
      </c>
      <c r="AH314" s="11">
        <f t="shared" si="582"/>
        <v>0</v>
      </c>
      <c r="AI314" s="11">
        <f t="shared" si="582"/>
        <v>0</v>
      </c>
      <c r="AJ314" s="11">
        <f t="shared" si="582"/>
        <v>0</v>
      </c>
      <c r="AK314" s="11">
        <f t="shared" ref="AK314:CV314" si="583">SUM(AK315)</f>
        <v>0</v>
      </c>
      <c r="AL314" s="11">
        <f t="shared" si="583"/>
        <v>0</v>
      </c>
      <c r="AM314" s="11">
        <f t="shared" si="583"/>
        <v>0</v>
      </c>
      <c r="AN314" s="11">
        <f t="shared" si="583"/>
        <v>0</v>
      </c>
      <c r="AO314" s="11">
        <f t="shared" si="583"/>
        <v>0</v>
      </c>
      <c r="AP314" s="11">
        <f t="shared" si="583"/>
        <v>0</v>
      </c>
      <c r="AQ314" s="11">
        <f t="shared" si="583"/>
        <v>0</v>
      </c>
      <c r="AR314" s="11">
        <f t="shared" si="583"/>
        <v>0</v>
      </c>
      <c r="AS314" s="11">
        <f t="shared" si="583"/>
        <v>0</v>
      </c>
      <c r="AT314" s="11">
        <f t="shared" si="583"/>
        <v>0</v>
      </c>
      <c r="AU314" s="11">
        <f t="shared" si="583"/>
        <v>0</v>
      </c>
      <c r="AV314" s="11">
        <f t="shared" si="583"/>
        <v>0</v>
      </c>
      <c r="AW314" s="11">
        <f t="shared" si="583"/>
        <v>0</v>
      </c>
      <c r="AX314" s="11">
        <f t="shared" si="583"/>
        <v>0</v>
      </c>
      <c r="AY314" s="11">
        <f t="shared" si="583"/>
        <v>0</v>
      </c>
      <c r="AZ314" s="11">
        <f t="shared" si="583"/>
        <v>0</v>
      </c>
      <c r="BA314" s="11">
        <f t="shared" si="583"/>
        <v>0</v>
      </c>
      <c r="BB314" s="11">
        <f t="shared" si="583"/>
        <v>20500000</v>
      </c>
      <c r="BC314" s="11">
        <f t="shared" si="583"/>
        <v>0</v>
      </c>
      <c r="BD314" s="11">
        <f t="shared" si="583"/>
        <v>0</v>
      </c>
      <c r="BE314" s="11">
        <f t="shared" si="583"/>
        <v>0</v>
      </c>
      <c r="BF314" s="11">
        <f t="shared" si="583"/>
        <v>0</v>
      </c>
      <c r="BG314" s="11">
        <f t="shared" si="583"/>
        <v>0</v>
      </c>
      <c r="BH314" s="11">
        <f t="shared" si="583"/>
        <v>0</v>
      </c>
      <c r="BI314" s="11">
        <f t="shared" si="583"/>
        <v>0</v>
      </c>
      <c r="BJ314" s="11">
        <f t="shared" si="583"/>
        <v>0</v>
      </c>
      <c r="BK314" s="11">
        <f t="shared" si="583"/>
        <v>0</v>
      </c>
      <c r="BL314" s="11">
        <f t="shared" si="583"/>
        <v>0</v>
      </c>
      <c r="BM314" s="11">
        <f t="shared" si="583"/>
        <v>0</v>
      </c>
      <c r="BN314" s="11">
        <f t="shared" si="583"/>
        <v>0</v>
      </c>
      <c r="BO314" s="11">
        <f t="shared" si="583"/>
        <v>0</v>
      </c>
      <c r="BP314" s="11">
        <f t="shared" si="583"/>
        <v>0</v>
      </c>
      <c r="BQ314" s="11">
        <f t="shared" si="583"/>
        <v>0</v>
      </c>
      <c r="BR314" s="11">
        <f t="shared" si="583"/>
        <v>0</v>
      </c>
      <c r="BS314" s="11">
        <f t="shared" si="583"/>
        <v>0</v>
      </c>
      <c r="BT314" s="11">
        <f t="shared" si="583"/>
        <v>0</v>
      </c>
      <c r="BU314" s="11">
        <f t="shared" si="583"/>
        <v>0</v>
      </c>
      <c r="BV314" s="11">
        <f t="shared" si="583"/>
        <v>0</v>
      </c>
      <c r="BW314" s="11">
        <f t="shared" si="583"/>
        <v>0</v>
      </c>
      <c r="BX314" s="11">
        <f t="shared" si="583"/>
        <v>0</v>
      </c>
      <c r="BY314" s="11">
        <f t="shared" si="583"/>
        <v>0</v>
      </c>
      <c r="BZ314" s="11">
        <f t="shared" si="583"/>
        <v>0</v>
      </c>
      <c r="CA314" s="11">
        <f t="shared" si="583"/>
        <v>0</v>
      </c>
      <c r="CB314" s="11">
        <f t="shared" si="544"/>
        <v>0</v>
      </c>
      <c r="CC314" s="11">
        <f t="shared" si="583"/>
        <v>0</v>
      </c>
      <c r="CD314" s="11">
        <f t="shared" si="583"/>
        <v>0</v>
      </c>
      <c r="CE314" s="11">
        <f t="shared" si="583"/>
        <v>0</v>
      </c>
      <c r="CF314" s="11">
        <f t="shared" si="583"/>
        <v>0</v>
      </c>
      <c r="CG314" s="11">
        <f t="shared" si="583"/>
        <v>0</v>
      </c>
      <c r="CH314" s="11">
        <f t="shared" si="583"/>
        <v>0</v>
      </c>
      <c r="CI314" s="11">
        <f t="shared" si="583"/>
        <v>0</v>
      </c>
      <c r="CJ314" s="11">
        <f t="shared" si="583"/>
        <v>0</v>
      </c>
      <c r="CK314" s="11">
        <f t="shared" si="583"/>
        <v>0</v>
      </c>
      <c r="CL314" s="11">
        <f t="shared" si="583"/>
        <v>0</v>
      </c>
      <c r="CM314" s="11">
        <f t="shared" si="583"/>
        <v>0</v>
      </c>
      <c r="CN314" s="11">
        <f t="shared" si="583"/>
        <v>0</v>
      </c>
      <c r="CO314" s="11">
        <f t="shared" si="583"/>
        <v>0</v>
      </c>
      <c r="CP314" s="11"/>
      <c r="CQ314" s="11">
        <f t="shared" si="583"/>
        <v>0</v>
      </c>
      <c r="CR314" s="11">
        <f t="shared" si="583"/>
        <v>0</v>
      </c>
      <c r="CS314" s="11">
        <f t="shared" si="583"/>
        <v>0</v>
      </c>
      <c r="CT314" s="11">
        <f t="shared" si="583"/>
        <v>0</v>
      </c>
      <c r="CU314" s="11">
        <f t="shared" si="583"/>
        <v>0</v>
      </c>
      <c r="CV314" s="11">
        <f t="shared" si="583"/>
        <v>0</v>
      </c>
      <c r="CW314" s="11">
        <f t="shared" ref="CW314:CX314" si="584">SUM(CW315)</f>
        <v>0</v>
      </c>
      <c r="CX314" s="12">
        <f t="shared" si="584"/>
        <v>0</v>
      </c>
    </row>
    <row r="315" spans="1:102" ht="15.75" x14ac:dyDescent="0.25">
      <c r="A315" s="13"/>
      <c r="B315" s="14" t="s">
        <v>1</v>
      </c>
      <c r="C315" s="14" t="s">
        <v>109</v>
      </c>
      <c r="D315" s="25" t="s">
        <v>454</v>
      </c>
      <c r="E315" s="10">
        <f>SUM(F315+CB315+CU315)</f>
        <v>20500000</v>
      </c>
      <c r="F315" s="11">
        <f>SUM(G315+BC315)</f>
        <v>20500000</v>
      </c>
      <c r="G315" s="11">
        <f>SUM(H315+I315+J315+Q315+T315+U315+V315+AF315+AE315)</f>
        <v>20500000</v>
      </c>
      <c r="H315" s="11"/>
      <c r="I315" s="11"/>
      <c r="J315" s="11">
        <f>SUM(K315:P315)</f>
        <v>0</v>
      </c>
      <c r="K315" s="11"/>
      <c r="L315" s="11"/>
      <c r="M315" s="11"/>
      <c r="N315" s="11"/>
      <c r="O315" s="11"/>
      <c r="P315" s="11"/>
      <c r="Q315" s="11">
        <f>SUM(R315:S315)</f>
        <v>0</v>
      </c>
      <c r="R315" s="11"/>
      <c r="S315" s="11"/>
      <c r="T315" s="11"/>
      <c r="U315" s="11"/>
      <c r="V315" s="11">
        <f t="shared" ref="V315" si="585">SUM(W315:AD315)</f>
        <v>0</v>
      </c>
      <c r="W315" s="11"/>
      <c r="X315" s="11"/>
      <c r="Y315" s="11"/>
      <c r="Z315" s="11"/>
      <c r="AA315" s="11"/>
      <c r="AB315" s="11"/>
      <c r="AC315" s="11"/>
      <c r="AD315" s="11"/>
      <c r="AE315" s="11"/>
      <c r="AF315" s="11">
        <f>SUM(AG315:BB315)</f>
        <v>20500000</v>
      </c>
      <c r="AG315" s="11">
        <v>0</v>
      </c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6">
        <v>20500000</v>
      </c>
      <c r="BC315" s="11">
        <f>SUM(BD315+BH315+BL315+BN315+BP315)</f>
        <v>0</v>
      </c>
      <c r="BD315" s="11">
        <f>SUM(BE315:BG315)</f>
        <v>0</v>
      </c>
      <c r="BE315" s="16"/>
      <c r="BF315" s="11">
        <v>0</v>
      </c>
      <c r="BG315" s="11">
        <v>0</v>
      </c>
      <c r="BH315" s="11">
        <f>SUM(BJ315:BK315)</f>
        <v>0</v>
      </c>
      <c r="BI315" s="11">
        <v>0</v>
      </c>
      <c r="BJ315" s="11">
        <v>0</v>
      </c>
      <c r="BK315" s="11">
        <v>0</v>
      </c>
      <c r="BL315" s="11">
        <v>0</v>
      </c>
      <c r="BM315" s="11">
        <v>0</v>
      </c>
      <c r="BN315" s="11">
        <f>SUM(BO315)</f>
        <v>0</v>
      </c>
      <c r="BO315" s="11">
        <v>0</v>
      </c>
      <c r="BP315" s="11">
        <f>SUM(BQ315:CA315)</f>
        <v>0</v>
      </c>
      <c r="BQ315" s="11">
        <v>0</v>
      </c>
      <c r="BR315" s="11">
        <v>0</v>
      </c>
      <c r="BS315" s="11">
        <v>0</v>
      </c>
      <c r="BT315" s="11">
        <v>0</v>
      </c>
      <c r="BU315" s="11">
        <v>0</v>
      </c>
      <c r="BV315" s="11">
        <v>0</v>
      </c>
      <c r="BW315" s="11">
        <v>0</v>
      </c>
      <c r="BX315" s="11">
        <v>0</v>
      </c>
      <c r="BY315" s="11">
        <v>0</v>
      </c>
      <c r="BZ315" s="11"/>
      <c r="CA315" s="11"/>
      <c r="CB315" s="11">
        <f t="shared" si="544"/>
        <v>0</v>
      </c>
      <c r="CC315" s="11">
        <f>SUM(CD315+CG315+CL315)</f>
        <v>0</v>
      </c>
      <c r="CD315" s="11">
        <f>SUM(CE315:CF315)</f>
        <v>0</v>
      </c>
      <c r="CE315" s="11">
        <v>0</v>
      </c>
      <c r="CF315" s="11"/>
      <c r="CG315" s="11">
        <f>SUM(CH315:CK315)</f>
        <v>0</v>
      </c>
      <c r="CH315" s="11">
        <v>0</v>
      </c>
      <c r="CI315" s="11">
        <v>0</v>
      </c>
      <c r="CJ315" s="11"/>
      <c r="CK315" s="11"/>
      <c r="CL315" s="11">
        <f>SUM(CM315:CQ315)</f>
        <v>0</v>
      </c>
      <c r="CM315" s="11">
        <v>0</v>
      </c>
      <c r="CN315" s="11"/>
      <c r="CO315" s="11"/>
      <c r="CP315" s="11"/>
      <c r="CQ315" s="11">
        <v>0</v>
      </c>
      <c r="CR315" s="11">
        <v>0</v>
      </c>
      <c r="CS315" s="11">
        <v>0</v>
      </c>
      <c r="CT315" s="11">
        <v>0</v>
      </c>
      <c r="CU315" s="11">
        <f>SUM(CV315)</f>
        <v>0</v>
      </c>
      <c r="CV315" s="11">
        <f>SUM(CW315:CX315)</f>
        <v>0</v>
      </c>
      <c r="CW315" s="11">
        <v>0</v>
      </c>
      <c r="CX315" s="12">
        <v>0</v>
      </c>
    </row>
    <row r="316" spans="1:102" ht="31.5" x14ac:dyDescent="0.25">
      <c r="A316" s="7"/>
      <c r="B316" s="8" t="s">
        <v>455</v>
      </c>
      <c r="C316" s="8" t="s">
        <v>1</v>
      </c>
      <c r="D316" s="24" t="s">
        <v>456</v>
      </c>
      <c r="E316" s="10">
        <f t="shared" ref="E316:AL316" si="586">SUM(E317)</f>
        <v>32352240</v>
      </c>
      <c r="F316" s="11">
        <f t="shared" si="586"/>
        <v>32352240</v>
      </c>
      <c r="G316" s="11">
        <f t="shared" si="586"/>
        <v>13108000</v>
      </c>
      <c r="H316" s="11">
        <f t="shared" si="586"/>
        <v>0</v>
      </c>
      <c r="I316" s="11">
        <f t="shared" si="586"/>
        <v>0</v>
      </c>
      <c r="J316" s="11">
        <f t="shared" si="586"/>
        <v>0</v>
      </c>
      <c r="K316" s="11">
        <f t="shared" si="586"/>
        <v>0</v>
      </c>
      <c r="L316" s="11">
        <f t="shared" si="586"/>
        <v>0</v>
      </c>
      <c r="M316" s="11">
        <f t="shared" si="586"/>
        <v>0</v>
      </c>
      <c r="N316" s="11">
        <f t="shared" si="586"/>
        <v>0</v>
      </c>
      <c r="O316" s="11">
        <f t="shared" si="586"/>
        <v>0</v>
      </c>
      <c r="P316" s="11">
        <f t="shared" si="586"/>
        <v>0</v>
      </c>
      <c r="Q316" s="11">
        <f t="shared" si="586"/>
        <v>0</v>
      </c>
      <c r="R316" s="11">
        <f t="shared" si="586"/>
        <v>0</v>
      </c>
      <c r="S316" s="11">
        <f t="shared" si="586"/>
        <v>0</v>
      </c>
      <c r="T316" s="11">
        <f t="shared" si="586"/>
        <v>0</v>
      </c>
      <c r="U316" s="11">
        <f t="shared" si="586"/>
        <v>0</v>
      </c>
      <c r="V316" s="11">
        <f t="shared" si="586"/>
        <v>0</v>
      </c>
      <c r="W316" s="11">
        <f t="shared" si="586"/>
        <v>0</v>
      </c>
      <c r="X316" s="11">
        <f t="shared" si="586"/>
        <v>0</v>
      </c>
      <c r="Y316" s="11">
        <f t="shared" si="586"/>
        <v>0</v>
      </c>
      <c r="Z316" s="11">
        <f t="shared" si="586"/>
        <v>0</v>
      </c>
      <c r="AA316" s="11">
        <f t="shared" si="586"/>
        <v>0</v>
      </c>
      <c r="AB316" s="11">
        <f t="shared" si="586"/>
        <v>0</v>
      </c>
      <c r="AC316" s="11">
        <f t="shared" si="586"/>
        <v>0</v>
      </c>
      <c r="AD316" s="11">
        <f t="shared" si="586"/>
        <v>0</v>
      </c>
      <c r="AE316" s="11">
        <f t="shared" si="586"/>
        <v>0</v>
      </c>
      <c r="AF316" s="11">
        <f t="shared" si="586"/>
        <v>13108000</v>
      </c>
      <c r="AG316" s="11">
        <f t="shared" si="586"/>
        <v>0</v>
      </c>
      <c r="AH316" s="11">
        <f t="shared" si="586"/>
        <v>0</v>
      </c>
      <c r="AI316" s="11">
        <f t="shared" si="586"/>
        <v>0</v>
      </c>
      <c r="AJ316" s="11">
        <f t="shared" si="586"/>
        <v>0</v>
      </c>
      <c r="AK316" s="11">
        <f t="shared" si="586"/>
        <v>0</v>
      </c>
      <c r="AL316" s="11">
        <f t="shared" si="586"/>
        <v>0</v>
      </c>
      <c r="AM316" s="11">
        <f t="shared" ref="AM316:CX316" si="587">SUM(AM317)</f>
        <v>0</v>
      </c>
      <c r="AN316" s="11">
        <f t="shared" si="587"/>
        <v>0</v>
      </c>
      <c r="AO316" s="11">
        <f t="shared" si="587"/>
        <v>0</v>
      </c>
      <c r="AP316" s="11">
        <f t="shared" si="587"/>
        <v>0</v>
      </c>
      <c r="AQ316" s="11">
        <f t="shared" si="587"/>
        <v>0</v>
      </c>
      <c r="AR316" s="11">
        <f t="shared" si="587"/>
        <v>0</v>
      </c>
      <c r="AS316" s="11">
        <f t="shared" si="587"/>
        <v>0</v>
      </c>
      <c r="AT316" s="11">
        <f t="shared" si="587"/>
        <v>0</v>
      </c>
      <c r="AU316" s="11">
        <f t="shared" si="587"/>
        <v>0</v>
      </c>
      <c r="AV316" s="11">
        <f t="shared" si="587"/>
        <v>0</v>
      </c>
      <c r="AW316" s="11">
        <f t="shared" si="587"/>
        <v>0</v>
      </c>
      <c r="AX316" s="11">
        <f t="shared" si="587"/>
        <v>0</v>
      </c>
      <c r="AY316" s="11">
        <f t="shared" si="587"/>
        <v>0</v>
      </c>
      <c r="AZ316" s="11">
        <f t="shared" si="587"/>
        <v>0</v>
      </c>
      <c r="BA316" s="11">
        <f t="shared" si="587"/>
        <v>0</v>
      </c>
      <c r="BB316" s="11">
        <f t="shared" si="587"/>
        <v>13108000</v>
      </c>
      <c r="BC316" s="11">
        <f t="shared" si="587"/>
        <v>19244240</v>
      </c>
      <c r="BD316" s="11">
        <f t="shared" si="587"/>
        <v>19244240</v>
      </c>
      <c r="BE316" s="11">
        <f t="shared" si="587"/>
        <v>19244240</v>
      </c>
      <c r="BF316" s="11">
        <f t="shared" si="587"/>
        <v>0</v>
      </c>
      <c r="BG316" s="11">
        <f t="shared" si="587"/>
        <v>0</v>
      </c>
      <c r="BH316" s="11">
        <f t="shared" si="587"/>
        <v>0</v>
      </c>
      <c r="BI316" s="11">
        <f t="shared" si="587"/>
        <v>0</v>
      </c>
      <c r="BJ316" s="11">
        <f t="shared" si="587"/>
        <v>0</v>
      </c>
      <c r="BK316" s="11">
        <f t="shared" si="587"/>
        <v>0</v>
      </c>
      <c r="BL316" s="11">
        <f t="shared" si="587"/>
        <v>0</v>
      </c>
      <c r="BM316" s="11">
        <f t="shared" si="587"/>
        <v>0</v>
      </c>
      <c r="BN316" s="11">
        <f t="shared" si="587"/>
        <v>0</v>
      </c>
      <c r="BO316" s="11">
        <f t="shared" si="587"/>
        <v>0</v>
      </c>
      <c r="BP316" s="11">
        <f t="shared" si="587"/>
        <v>0</v>
      </c>
      <c r="BQ316" s="11">
        <f t="shared" si="587"/>
        <v>0</v>
      </c>
      <c r="BR316" s="11">
        <f t="shared" si="587"/>
        <v>0</v>
      </c>
      <c r="BS316" s="11">
        <f t="shared" si="587"/>
        <v>0</v>
      </c>
      <c r="BT316" s="11">
        <f t="shared" si="587"/>
        <v>0</v>
      </c>
      <c r="BU316" s="11">
        <f t="shared" si="587"/>
        <v>0</v>
      </c>
      <c r="BV316" s="11">
        <f t="shared" si="587"/>
        <v>0</v>
      </c>
      <c r="BW316" s="11">
        <f t="shared" si="587"/>
        <v>0</v>
      </c>
      <c r="BX316" s="11">
        <f t="shared" si="587"/>
        <v>0</v>
      </c>
      <c r="BY316" s="11">
        <f t="shared" si="587"/>
        <v>0</v>
      </c>
      <c r="BZ316" s="11">
        <f t="shared" si="587"/>
        <v>0</v>
      </c>
      <c r="CA316" s="11">
        <f t="shared" si="587"/>
        <v>0</v>
      </c>
      <c r="CB316" s="11">
        <f t="shared" si="544"/>
        <v>0</v>
      </c>
      <c r="CC316" s="11">
        <f t="shared" si="587"/>
        <v>0</v>
      </c>
      <c r="CD316" s="11">
        <f t="shared" si="587"/>
        <v>0</v>
      </c>
      <c r="CE316" s="11">
        <f t="shared" si="587"/>
        <v>0</v>
      </c>
      <c r="CF316" s="11">
        <f t="shared" si="587"/>
        <v>0</v>
      </c>
      <c r="CG316" s="11">
        <f t="shared" si="587"/>
        <v>0</v>
      </c>
      <c r="CH316" s="11">
        <f t="shared" si="587"/>
        <v>0</v>
      </c>
      <c r="CI316" s="11">
        <f t="shared" si="587"/>
        <v>0</v>
      </c>
      <c r="CJ316" s="11">
        <f t="shared" si="587"/>
        <v>0</v>
      </c>
      <c r="CK316" s="11">
        <f t="shared" si="587"/>
        <v>0</v>
      </c>
      <c r="CL316" s="11">
        <f t="shared" si="587"/>
        <v>0</v>
      </c>
      <c r="CM316" s="11">
        <f t="shared" si="587"/>
        <v>0</v>
      </c>
      <c r="CN316" s="11">
        <f t="shared" si="587"/>
        <v>0</v>
      </c>
      <c r="CO316" s="11">
        <f t="shared" si="587"/>
        <v>0</v>
      </c>
      <c r="CP316" s="11"/>
      <c r="CQ316" s="11">
        <f t="shared" si="587"/>
        <v>0</v>
      </c>
      <c r="CR316" s="11">
        <f t="shared" si="587"/>
        <v>0</v>
      </c>
      <c r="CS316" s="11">
        <f t="shared" si="587"/>
        <v>0</v>
      </c>
      <c r="CT316" s="11">
        <f t="shared" si="587"/>
        <v>0</v>
      </c>
      <c r="CU316" s="11">
        <f t="shared" si="587"/>
        <v>0</v>
      </c>
      <c r="CV316" s="11">
        <f t="shared" si="587"/>
        <v>0</v>
      </c>
      <c r="CW316" s="11">
        <f t="shared" si="587"/>
        <v>0</v>
      </c>
      <c r="CX316" s="12">
        <f t="shared" si="587"/>
        <v>0</v>
      </c>
    </row>
    <row r="317" spans="1:102" ht="15.75" x14ac:dyDescent="0.25">
      <c r="A317" s="13" t="s">
        <v>1</v>
      </c>
      <c r="B317" s="14" t="s">
        <v>1</v>
      </c>
      <c r="C317" s="14" t="s">
        <v>109</v>
      </c>
      <c r="D317" s="25" t="s">
        <v>456</v>
      </c>
      <c r="E317" s="10">
        <f>SUM(F317+CB317+CU317)</f>
        <v>32352240</v>
      </c>
      <c r="F317" s="11">
        <f>SUM(G317+BC317)</f>
        <v>32352240</v>
      </c>
      <c r="G317" s="11">
        <f>SUM(H317+I317+J317+Q317+T317+U317+V317+AF317+AE317)</f>
        <v>13108000</v>
      </c>
      <c r="H317" s="11">
        <v>0</v>
      </c>
      <c r="I317" s="11">
        <v>0</v>
      </c>
      <c r="J317" s="11">
        <f t="shared" si="564"/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f t="shared" si="565"/>
        <v>0</v>
      </c>
      <c r="R317" s="11">
        <v>0</v>
      </c>
      <c r="S317" s="11">
        <v>0</v>
      </c>
      <c r="T317" s="11">
        <v>0</v>
      </c>
      <c r="U317" s="11">
        <v>0</v>
      </c>
      <c r="V317" s="11">
        <f t="shared" ref="V317" si="588">SUM(W317:AD317)</f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f>SUM(AG317:BB317)</f>
        <v>13108000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v>0</v>
      </c>
      <c r="AV317" s="11">
        <v>0</v>
      </c>
      <c r="AW317" s="11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13108000</v>
      </c>
      <c r="BC317" s="11">
        <f>SUM(BD317+BH317+BL317+BN317+BP317)</f>
        <v>19244240</v>
      </c>
      <c r="BD317" s="11">
        <f>SUM(BE317:BG317)</f>
        <v>19244240</v>
      </c>
      <c r="BE317" s="11">
        <v>19244240</v>
      </c>
      <c r="BF317" s="11">
        <v>0</v>
      </c>
      <c r="BG317" s="11">
        <v>0</v>
      </c>
      <c r="BH317" s="11">
        <f t="shared" si="567"/>
        <v>0</v>
      </c>
      <c r="BI317" s="11">
        <v>0</v>
      </c>
      <c r="BJ317" s="11">
        <v>0</v>
      </c>
      <c r="BK317" s="11">
        <v>0</v>
      </c>
      <c r="BL317" s="11"/>
      <c r="BM317" s="11">
        <v>0</v>
      </c>
      <c r="BN317" s="11">
        <f t="shared" si="568"/>
        <v>0</v>
      </c>
      <c r="BO317" s="11">
        <v>0</v>
      </c>
      <c r="BP317" s="11">
        <f t="shared" si="569"/>
        <v>0</v>
      </c>
      <c r="BQ317" s="11">
        <v>0</v>
      </c>
      <c r="BR317" s="11">
        <v>0</v>
      </c>
      <c r="BS317" s="11">
        <v>0</v>
      </c>
      <c r="BT317" s="11">
        <v>0</v>
      </c>
      <c r="BU317" s="11">
        <v>0</v>
      </c>
      <c r="BV317" s="11">
        <v>0</v>
      </c>
      <c r="BW317" s="11">
        <v>0</v>
      </c>
      <c r="BX317" s="11">
        <v>0</v>
      </c>
      <c r="BY317" s="11">
        <v>0</v>
      </c>
      <c r="BZ317" s="11">
        <v>0</v>
      </c>
      <c r="CA317" s="11">
        <v>0</v>
      </c>
      <c r="CB317" s="11">
        <f t="shared" si="544"/>
        <v>0</v>
      </c>
      <c r="CC317" s="11">
        <f>SUM(CD317+CG317+CL317)</f>
        <v>0</v>
      </c>
      <c r="CD317" s="11">
        <f t="shared" si="570"/>
        <v>0</v>
      </c>
      <c r="CE317" s="11">
        <v>0</v>
      </c>
      <c r="CF317" s="11">
        <v>0</v>
      </c>
      <c r="CG317" s="11">
        <f>SUM(CH317:CK317)</f>
        <v>0</v>
      </c>
      <c r="CH317" s="11">
        <v>0</v>
      </c>
      <c r="CI317" s="11">
        <v>0</v>
      </c>
      <c r="CJ317" s="11">
        <v>0</v>
      </c>
      <c r="CK317" s="11">
        <v>0</v>
      </c>
      <c r="CL317" s="11">
        <f>SUM(CM317:CQ317)</f>
        <v>0</v>
      </c>
      <c r="CM317" s="11">
        <v>0</v>
      </c>
      <c r="CN317" s="11">
        <v>0</v>
      </c>
      <c r="CO317" s="11">
        <v>0</v>
      </c>
      <c r="CP317" s="11"/>
      <c r="CQ317" s="11">
        <v>0</v>
      </c>
      <c r="CR317" s="11">
        <v>0</v>
      </c>
      <c r="CS317" s="11">
        <v>0</v>
      </c>
      <c r="CT317" s="11">
        <v>0</v>
      </c>
      <c r="CU317" s="11">
        <f t="shared" si="571"/>
        <v>0</v>
      </c>
      <c r="CV317" s="11">
        <f t="shared" si="572"/>
        <v>0</v>
      </c>
      <c r="CW317" s="11">
        <v>0</v>
      </c>
      <c r="CX317" s="12">
        <v>0</v>
      </c>
    </row>
    <row r="318" spans="1:102" ht="16.5" thickBot="1" x14ac:dyDescent="0.3">
      <c r="A318" s="39" t="s">
        <v>1</v>
      </c>
      <c r="B318" s="40" t="s">
        <v>1</v>
      </c>
      <c r="C318" s="40" t="s">
        <v>1</v>
      </c>
      <c r="D318" s="41" t="s">
        <v>457</v>
      </c>
      <c r="E318" s="42">
        <f t="shared" ref="E318:AJ318" si="589">E16+E53+E64+E69+E74+E92+E104+E107+E111+E116+E127+E148+E163+E173+E186+E222+E228+E232+E296+E299+E225</f>
        <v>4233339904</v>
      </c>
      <c r="F318" s="43">
        <f t="shared" si="589"/>
        <v>3807543990</v>
      </c>
      <c r="G318" s="43">
        <f t="shared" si="589"/>
        <v>2736511368</v>
      </c>
      <c r="H318" s="43">
        <f t="shared" si="589"/>
        <v>1550638750</v>
      </c>
      <c r="I318" s="43">
        <f t="shared" si="589"/>
        <v>245851108</v>
      </c>
      <c r="J318" s="43">
        <f t="shared" si="589"/>
        <v>373276738</v>
      </c>
      <c r="K318" s="43">
        <f t="shared" si="589"/>
        <v>144654674</v>
      </c>
      <c r="L318" s="43">
        <f t="shared" si="589"/>
        <v>56993832</v>
      </c>
      <c r="M318" s="43">
        <f t="shared" si="589"/>
        <v>69686183</v>
      </c>
      <c r="N318" s="43">
        <f t="shared" si="589"/>
        <v>2849769</v>
      </c>
      <c r="O318" s="43">
        <f t="shared" si="589"/>
        <v>64130405</v>
      </c>
      <c r="P318" s="43">
        <f t="shared" si="589"/>
        <v>34961875</v>
      </c>
      <c r="Q318" s="43">
        <f t="shared" si="589"/>
        <v>10828071</v>
      </c>
      <c r="R318" s="43">
        <f t="shared" si="589"/>
        <v>681984</v>
      </c>
      <c r="S318" s="43">
        <f t="shared" si="589"/>
        <v>10146087</v>
      </c>
      <c r="T318" s="43">
        <f t="shared" si="589"/>
        <v>115377</v>
      </c>
      <c r="U318" s="43">
        <f t="shared" si="589"/>
        <v>20419710</v>
      </c>
      <c r="V318" s="43">
        <f t="shared" si="589"/>
        <v>242346883</v>
      </c>
      <c r="W318" s="43">
        <f t="shared" si="589"/>
        <v>5542059</v>
      </c>
      <c r="X318" s="43">
        <f t="shared" si="589"/>
        <v>32190095</v>
      </c>
      <c r="Y318" s="43">
        <f t="shared" si="589"/>
        <v>24895675</v>
      </c>
      <c r="Z318" s="43">
        <f t="shared" si="589"/>
        <v>13776893</v>
      </c>
      <c r="AA318" s="43">
        <f t="shared" si="589"/>
        <v>2451133</v>
      </c>
      <c r="AB318" s="43">
        <f t="shared" si="589"/>
        <v>2385693</v>
      </c>
      <c r="AC318" s="43">
        <f t="shared" si="589"/>
        <v>159395606</v>
      </c>
      <c r="AD318" s="43">
        <f t="shared" si="589"/>
        <v>1709729</v>
      </c>
      <c r="AE318" s="43">
        <f t="shared" si="589"/>
        <v>2897</v>
      </c>
      <c r="AF318" s="43">
        <f t="shared" si="589"/>
        <v>293031834</v>
      </c>
      <c r="AG318" s="43">
        <f t="shared" si="589"/>
        <v>483689</v>
      </c>
      <c r="AH318" s="43">
        <f t="shared" si="589"/>
        <v>7500000</v>
      </c>
      <c r="AI318" s="43">
        <f t="shared" si="589"/>
        <v>4252282</v>
      </c>
      <c r="AJ318" s="43">
        <f t="shared" si="589"/>
        <v>12174297</v>
      </c>
      <c r="AK318" s="43">
        <f t="shared" ref="AK318:BP318" si="590">AK16+AK53+AK64+AK69+AK74+AK92+AK104+AK107+AK111+AK116+AK127+AK148+AK163+AK173+AK186+AK222+AK228+AK232+AK296+AK299+AK225</f>
        <v>1051753</v>
      </c>
      <c r="AL318" s="43">
        <f t="shared" si="590"/>
        <v>2646072</v>
      </c>
      <c r="AM318" s="43">
        <f t="shared" si="590"/>
        <v>1345200</v>
      </c>
      <c r="AN318" s="43">
        <f t="shared" si="590"/>
        <v>2337652</v>
      </c>
      <c r="AO318" s="43">
        <f t="shared" si="590"/>
        <v>7133343</v>
      </c>
      <c r="AP318" s="43">
        <f t="shared" si="590"/>
        <v>5214244</v>
      </c>
      <c r="AQ318" s="43">
        <f t="shared" si="590"/>
        <v>105558</v>
      </c>
      <c r="AR318" s="43">
        <f t="shared" si="590"/>
        <v>0</v>
      </c>
      <c r="AS318" s="43">
        <f t="shared" si="590"/>
        <v>11223334</v>
      </c>
      <c r="AT318" s="43">
        <f t="shared" si="590"/>
        <v>6077916</v>
      </c>
      <c r="AU318" s="43">
        <f t="shared" si="590"/>
        <v>890003</v>
      </c>
      <c r="AV318" s="43">
        <f t="shared" si="590"/>
        <v>524239</v>
      </c>
      <c r="AW318" s="43">
        <f t="shared" si="590"/>
        <v>1586158</v>
      </c>
      <c r="AX318" s="43">
        <f t="shared" si="590"/>
        <v>14265894</v>
      </c>
      <c r="AY318" s="43">
        <f t="shared" si="590"/>
        <v>60194938</v>
      </c>
      <c r="AZ318" s="43">
        <f t="shared" si="590"/>
        <v>1034</v>
      </c>
      <c r="BA318" s="43">
        <f t="shared" si="590"/>
        <v>3240867</v>
      </c>
      <c r="BB318" s="43">
        <f t="shared" si="590"/>
        <v>150783361</v>
      </c>
      <c r="BC318" s="43">
        <f t="shared" si="590"/>
        <v>1071032622</v>
      </c>
      <c r="BD318" s="43">
        <f t="shared" si="590"/>
        <v>237331485</v>
      </c>
      <c r="BE318" s="43">
        <f t="shared" si="590"/>
        <v>212889208</v>
      </c>
      <c r="BF318" s="43">
        <f t="shared" si="590"/>
        <v>4213175</v>
      </c>
      <c r="BG318" s="43">
        <f t="shared" si="590"/>
        <v>20229102</v>
      </c>
      <c r="BH318" s="43">
        <f t="shared" si="590"/>
        <v>15521917</v>
      </c>
      <c r="BI318" s="43">
        <f t="shared" si="590"/>
        <v>1151526</v>
      </c>
      <c r="BJ318" s="43">
        <f t="shared" si="590"/>
        <v>8642083</v>
      </c>
      <c r="BK318" s="43">
        <f t="shared" si="590"/>
        <v>5728308</v>
      </c>
      <c r="BL318" s="43">
        <f t="shared" si="590"/>
        <v>333976340</v>
      </c>
      <c r="BM318" s="43">
        <f t="shared" si="590"/>
        <v>3999587</v>
      </c>
      <c r="BN318" s="43">
        <f t="shared" si="590"/>
        <v>744656</v>
      </c>
      <c r="BO318" s="43">
        <f t="shared" si="590"/>
        <v>744656</v>
      </c>
      <c r="BP318" s="43">
        <f t="shared" si="590"/>
        <v>483458224</v>
      </c>
      <c r="BQ318" s="43">
        <f t="shared" ref="BQ318:CX318" si="591">BQ16+BQ53+BQ64+BQ69+BQ74+BQ92+BQ104+BQ107+BQ111+BQ116+BQ127+BQ148+BQ163+BQ173+BQ186+BQ222+BQ228+BQ232+BQ296+BQ299+BQ225</f>
        <v>57160403</v>
      </c>
      <c r="BR318" s="43">
        <f t="shared" si="591"/>
        <v>4586664</v>
      </c>
      <c r="BS318" s="43">
        <f t="shared" si="591"/>
        <v>16697827</v>
      </c>
      <c r="BT318" s="43">
        <f t="shared" si="591"/>
        <v>17279783</v>
      </c>
      <c r="BU318" s="43">
        <f t="shared" si="591"/>
        <v>100000</v>
      </c>
      <c r="BV318" s="43">
        <f t="shared" si="591"/>
        <v>407888</v>
      </c>
      <c r="BW318" s="43">
        <f t="shared" si="591"/>
        <v>168818987</v>
      </c>
      <c r="BX318" s="43">
        <f t="shared" si="591"/>
        <v>1310400</v>
      </c>
      <c r="BY318" s="43">
        <f t="shared" si="591"/>
        <v>339880</v>
      </c>
      <c r="BZ318" s="43">
        <f t="shared" si="591"/>
        <v>163693215</v>
      </c>
      <c r="CA318" s="43">
        <f t="shared" si="591"/>
        <v>53063177</v>
      </c>
      <c r="CB318" s="43">
        <f t="shared" si="591"/>
        <v>351791914</v>
      </c>
      <c r="CC318" s="43">
        <f t="shared" si="591"/>
        <v>271727350</v>
      </c>
      <c r="CD318" s="43">
        <f t="shared" si="591"/>
        <v>79703590</v>
      </c>
      <c r="CE318" s="43">
        <f t="shared" si="591"/>
        <v>195000</v>
      </c>
      <c r="CF318" s="43">
        <f t="shared" si="591"/>
        <v>79508590</v>
      </c>
      <c r="CG318" s="43">
        <f t="shared" si="591"/>
        <v>100079246</v>
      </c>
      <c r="CH318" s="43">
        <f t="shared" si="591"/>
        <v>795729</v>
      </c>
      <c r="CI318" s="43">
        <f t="shared" si="591"/>
        <v>88814591</v>
      </c>
      <c r="CJ318" s="43">
        <f t="shared" si="591"/>
        <v>9936337</v>
      </c>
      <c r="CK318" s="43">
        <f t="shared" si="591"/>
        <v>532589</v>
      </c>
      <c r="CL318" s="43">
        <f t="shared" si="591"/>
        <v>91944514</v>
      </c>
      <c r="CM318" s="43">
        <f t="shared" si="591"/>
        <v>620000</v>
      </c>
      <c r="CN318" s="43">
        <f t="shared" si="591"/>
        <v>75869913</v>
      </c>
      <c r="CO318" s="43">
        <f t="shared" si="591"/>
        <v>13358417</v>
      </c>
      <c r="CP318" s="43">
        <f t="shared" si="591"/>
        <v>96184</v>
      </c>
      <c r="CQ318" s="43">
        <f t="shared" si="591"/>
        <v>2000000</v>
      </c>
      <c r="CR318" s="43">
        <f t="shared" si="591"/>
        <v>0</v>
      </c>
      <c r="CS318" s="43">
        <f t="shared" si="591"/>
        <v>0</v>
      </c>
      <c r="CT318" s="43">
        <f t="shared" si="591"/>
        <v>80064564</v>
      </c>
      <c r="CU318" s="43">
        <f t="shared" si="591"/>
        <v>74004000</v>
      </c>
      <c r="CV318" s="43">
        <f t="shared" si="591"/>
        <v>74004000</v>
      </c>
      <c r="CW318" s="43">
        <f t="shared" si="591"/>
        <v>4000</v>
      </c>
      <c r="CX318" s="44">
        <f t="shared" si="591"/>
        <v>74000000</v>
      </c>
    </row>
  </sheetData>
  <mergeCells count="104">
    <mergeCell ref="A11:L11"/>
    <mergeCell ref="CW13:CW14"/>
    <mergeCell ref="CX13:CX14"/>
    <mergeCell ref="A14:A15"/>
    <mergeCell ref="B14:B15"/>
    <mergeCell ref="CR13:CR14"/>
    <mergeCell ref="CS13:CS14"/>
    <mergeCell ref="CT13:CT14"/>
    <mergeCell ref="CU13:CU14"/>
    <mergeCell ref="CV13:CV14"/>
    <mergeCell ref="CM13:CM14"/>
    <mergeCell ref="CN13:CN14"/>
    <mergeCell ref="CO13:CO14"/>
    <mergeCell ref="CP13:CP14"/>
    <mergeCell ref="CQ13:CQ14"/>
    <mergeCell ref="CH13:CH14"/>
    <mergeCell ref="CI13:CI14"/>
    <mergeCell ref="CJ13:CJ14"/>
    <mergeCell ref="CK13:CK14"/>
    <mergeCell ref="CL13:CL14"/>
    <mergeCell ref="CC13:CC14"/>
    <mergeCell ref="CD13:CD14"/>
    <mergeCell ref="CE13:CE14"/>
    <mergeCell ref="CF13:CF14"/>
    <mergeCell ref="CG13:CG14"/>
    <mergeCell ref="BX13:BX14"/>
    <mergeCell ref="BY13:BY14"/>
    <mergeCell ref="BZ13:BZ14"/>
    <mergeCell ref="CA13:CA14"/>
    <mergeCell ref="CB13:CB14"/>
    <mergeCell ref="BS13:BS14"/>
    <mergeCell ref="BT13:BT14"/>
    <mergeCell ref="BU13:BU14"/>
    <mergeCell ref="BV13:BV14"/>
    <mergeCell ref="BW13:BW14"/>
    <mergeCell ref="BN13:BN14"/>
    <mergeCell ref="BO13:BO14"/>
    <mergeCell ref="BP13:BP14"/>
    <mergeCell ref="BQ13:BQ14"/>
    <mergeCell ref="BR13:BR14"/>
    <mergeCell ref="BI13:BI14"/>
    <mergeCell ref="BJ13:BJ14"/>
    <mergeCell ref="BK13:BK14"/>
    <mergeCell ref="BL13:BL14"/>
    <mergeCell ref="BM13:BM14"/>
    <mergeCell ref="BD13:BD14"/>
    <mergeCell ref="BE13:BE14"/>
    <mergeCell ref="BF13:BF14"/>
    <mergeCell ref="BG13:BG14"/>
    <mergeCell ref="BH13:BH14"/>
    <mergeCell ref="AY13:AY14"/>
    <mergeCell ref="AZ13:AZ14"/>
    <mergeCell ref="BA13:BA14"/>
    <mergeCell ref="BB13:BB14"/>
    <mergeCell ref="BC13:BC14"/>
    <mergeCell ref="AT13:AT14"/>
    <mergeCell ref="AU13:AU14"/>
    <mergeCell ref="AV13:AV14"/>
    <mergeCell ref="AW13:AW14"/>
    <mergeCell ref="AX13:AX14"/>
    <mergeCell ref="AO13:AO14"/>
    <mergeCell ref="AP13:AP14"/>
    <mergeCell ref="AQ13:AQ14"/>
    <mergeCell ref="AR13:AR14"/>
    <mergeCell ref="AS13:AS14"/>
    <mergeCell ref="AJ13:AJ14"/>
    <mergeCell ref="AK13:AK14"/>
    <mergeCell ref="AL13:AL14"/>
    <mergeCell ref="AM13:AM14"/>
    <mergeCell ref="AN13:AN14"/>
    <mergeCell ref="AE13:AE14"/>
    <mergeCell ref="AF13:AF14"/>
    <mergeCell ref="AG13:AG14"/>
    <mergeCell ref="AH13:AH14"/>
    <mergeCell ref="AI13:AI14"/>
    <mergeCell ref="Z13:Z14"/>
    <mergeCell ref="AA13:AA14"/>
    <mergeCell ref="AB13:AB14"/>
    <mergeCell ref="AC13:AC14"/>
    <mergeCell ref="AD13:AD14"/>
    <mergeCell ref="U13:U14"/>
    <mergeCell ref="V13:V14"/>
    <mergeCell ref="W13:W14"/>
    <mergeCell ref="X13:X14"/>
    <mergeCell ref="Y13:Y14"/>
    <mergeCell ref="P13:P14"/>
    <mergeCell ref="Q13:Q14"/>
    <mergeCell ref="R13:R14"/>
    <mergeCell ref="S13:S14"/>
    <mergeCell ref="T13:T14"/>
    <mergeCell ref="K13:K14"/>
    <mergeCell ref="L13:L14"/>
    <mergeCell ref="M13:M14"/>
    <mergeCell ref="N13:N14"/>
    <mergeCell ref="O13:O14"/>
    <mergeCell ref="F13:F14"/>
    <mergeCell ref="G13:G14"/>
    <mergeCell ref="H13:H14"/>
    <mergeCell ref="I13:I14"/>
    <mergeCell ref="J13:J14"/>
    <mergeCell ref="A13:B13"/>
    <mergeCell ref="C13:C15"/>
    <mergeCell ref="D13:D15"/>
    <mergeCell ref="E13:E15"/>
  </mergeCells>
  <pageMargins left="0.23622047244094491" right="0.19685039370078741" top="0.51181102362204722" bottom="0.23622047244094491" header="0.19685039370078741" footer="0.19685039370078741"/>
  <pageSetup paperSize="9" scale="95" firstPageNumber="17" fitToWidth="200" fitToHeight="13" orientation="landscape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2.2( 158)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2021-05-26T11:39:20Z</dcterms:modified>
</cp:coreProperties>
</file>