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2021\ФЕВРАЛЬ\24 февраля\ЗАКОН\зак пост № 142  п. 26 (Б20-21) (VII)\"/>
    </mc:Choice>
  </mc:AlternateContent>
  <bookViews>
    <workbookView xWindow="0" yWindow="0" windowWidth="20400" windowHeight="7185"/>
  </bookViews>
  <sheets>
    <sheet name="Расходы РБ" sheetId="1" r:id="rId1"/>
  </sheets>
  <definedNames>
    <definedName name="_xlnm.Print_Titles" localSheetId="0">'Расходы РБ'!$A:$D,'Расходы РБ'!$13:$15</definedName>
    <definedName name="_xlnm.Print_Area" localSheetId="0">'Расходы РБ'!$A$1:$CU$299</definedName>
  </definedNames>
  <calcPr calcId="162913" concurrentCalc="0"/>
</workbook>
</file>

<file path=xl/calcChain.xml><?xml version="1.0" encoding="utf-8"?>
<calcChain xmlns="http://schemas.openxmlformats.org/spreadsheetml/2006/main">
  <c r="BW221" i="1" l="1"/>
  <c r="AN221" i="1"/>
  <c r="AL221" i="1"/>
  <c r="H221" i="1"/>
  <c r="AZ60" i="1"/>
  <c r="AD60" i="1"/>
  <c r="Z60" i="1"/>
  <c r="Y60" i="1"/>
  <c r="AL56" i="1"/>
  <c r="Y56" i="1"/>
  <c r="P56" i="1"/>
  <c r="CC172" i="1"/>
  <c r="CC170" i="1"/>
  <c r="W170" i="1"/>
  <c r="P172" i="1"/>
  <c r="P170" i="1"/>
  <c r="BC105" i="1"/>
  <c r="CQ279" i="1"/>
  <c r="BI214" i="1"/>
  <c r="CU284" i="1"/>
  <c r="CU286" i="1"/>
  <c r="CU290" i="1"/>
  <c r="CU292" i="1"/>
  <c r="CU294" i="1"/>
  <c r="CU296" i="1"/>
  <c r="CU288" i="1"/>
  <c r="CU283" i="1"/>
  <c r="CT284" i="1"/>
  <c r="CT286" i="1"/>
  <c r="CT290" i="1"/>
  <c r="CT292" i="1"/>
  <c r="CT294" i="1"/>
  <c r="CT296" i="1"/>
  <c r="CT288" i="1"/>
  <c r="CT283" i="1"/>
  <c r="CS285" i="1"/>
  <c r="CS284" i="1"/>
  <c r="CS287" i="1"/>
  <c r="CS286" i="1"/>
  <c r="CS291" i="1"/>
  <c r="CS290" i="1"/>
  <c r="CS293" i="1"/>
  <c r="CS292" i="1"/>
  <c r="CS295" i="1"/>
  <c r="CS294" i="1"/>
  <c r="CS297" i="1"/>
  <c r="CS296" i="1"/>
  <c r="CS289" i="1"/>
  <c r="CS288" i="1"/>
  <c r="CS283" i="1"/>
  <c r="CR285" i="1"/>
  <c r="CR284" i="1"/>
  <c r="CR287" i="1"/>
  <c r="CR286" i="1"/>
  <c r="CR291" i="1"/>
  <c r="CR290" i="1"/>
  <c r="CR293" i="1"/>
  <c r="CR292" i="1"/>
  <c r="CR295" i="1"/>
  <c r="CR294" i="1"/>
  <c r="CR297" i="1"/>
  <c r="CR296" i="1"/>
  <c r="CR289" i="1"/>
  <c r="CR288" i="1"/>
  <c r="CR283" i="1"/>
  <c r="CQ284" i="1"/>
  <c r="CQ286" i="1"/>
  <c r="CQ290" i="1"/>
  <c r="CQ293" i="1"/>
  <c r="CQ292" i="1"/>
  <c r="CQ294" i="1"/>
  <c r="CQ296" i="1"/>
  <c r="CQ288" i="1"/>
  <c r="CQ283" i="1"/>
  <c r="CP284" i="1"/>
  <c r="CP286" i="1"/>
  <c r="CP290" i="1"/>
  <c r="CP292" i="1"/>
  <c r="CP294" i="1"/>
  <c r="CP296" i="1"/>
  <c r="CP288" i="1"/>
  <c r="CP283" i="1"/>
  <c r="CO284" i="1"/>
  <c r="CO286" i="1"/>
  <c r="CO290" i="1"/>
  <c r="CO292" i="1"/>
  <c r="CO294" i="1"/>
  <c r="CO296" i="1"/>
  <c r="CO288" i="1"/>
  <c r="CO283" i="1"/>
  <c r="CN284" i="1"/>
  <c r="CN286" i="1"/>
  <c r="CN290" i="1"/>
  <c r="CN293" i="1"/>
  <c r="CN292" i="1"/>
  <c r="CN294" i="1"/>
  <c r="CN296" i="1"/>
  <c r="CN288" i="1"/>
  <c r="CN283" i="1"/>
  <c r="CM284" i="1"/>
  <c r="CM287" i="1"/>
  <c r="CM286" i="1"/>
  <c r="CM290" i="1"/>
  <c r="CM293" i="1"/>
  <c r="CM292" i="1"/>
  <c r="CM294" i="1"/>
  <c r="CM296" i="1"/>
  <c r="CM288" i="1"/>
  <c r="CM283" i="1"/>
  <c r="CL284" i="1"/>
  <c r="CL287" i="1"/>
  <c r="CL286" i="1"/>
  <c r="CL290" i="1"/>
  <c r="CL293" i="1"/>
  <c r="CL292" i="1"/>
  <c r="CL294" i="1"/>
  <c r="CL296" i="1"/>
  <c r="CL288" i="1"/>
  <c r="CL283" i="1"/>
  <c r="CK284" i="1"/>
  <c r="CK286" i="1"/>
  <c r="CK290" i="1"/>
  <c r="CK293" i="1"/>
  <c r="CK292" i="1"/>
  <c r="CK294" i="1"/>
  <c r="CK296" i="1"/>
  <c r="CK288" i="1"/>
  <c r="CK283" i="1"/>
  <c r="CJ285" i="1"/>
  <c r="CJ284" i="1"/>
  <c r="CJ287" i="1"/>
  <c r="CJ286" i="1"/>
  <c r="CJ291" i="1"/>
  <c r="CJ290" i="1"/>
  <c r="CJ293" i="1"/>
  <c r="CJ292" i="1"/>
  <c r="CJ295" i="1"/>
  <c r="CJ294" i="1"/>
  <c r="CJ297" i="1"/>
  <c r="CJ296" i="1"/>
  <c r="CJ289" i="1"/>
  <c r="CJ288" i="1"/>
  <c r="CJ283" i="1"/>
  <c r="CI284" i="1"/>
  <c r="CI287" i="1"/>
  <c r="CI286" i="1"/>
  <c r="CI290" i="1"/>
  <c r="CI292" i="1"/>
  <c r="CI294" i="1"/>
  <c r="CI296" i="1"/>
  <c r="CI288" i="1"/>
  <c r="CI283" i="1"/>
  <c r="CH284" i="1"/>
  <c r="CH286" i="1"/>
  <c r="CH290" i="1"/>
  <c r="CH293" i="1"/>
  <c r="CH292" i="1"/>
  <c r="CH294" i="1"/>
  <c r="CH296" i="1"/>
  <c r="CH288" i="1"/>
  <c r="CH283" i="1"/>
  <c r="CG284" i="1"/>
  <c r="CG287" i="1"/>
  <c r="CG286" i="1"/>
  <c r="CG290" i="1"/>
  <c r="CG293" i="1"/>
  <c r="CG292" i="1"/>
  <c r="CG294" i="1"/>
  <c r="CG296" i="1"/>
  <c r="CG288" i="1"/>
  <c r="CG283" i="1"/>
  <c r="CF284" i="1"/>
  <c r="CF286" i="1"/>
  <c r="CF290" i="1"/>
  <c r="CF293" i="1"/>
  <c r="CF292" i="1"/>
  <c r="CF294" i="1"/>
  <c r="CF296" i="1"/>
  <c r="CF288" i="1"/>
  <c r="CF283" i="1"/>
  <c r="CE284" i="1"/>
  <c r="CE286" i="1"/>
  <c r="CE290" i="1"/>
  <c r="CE292" i="1"/>
  <c r="CE294" i="1"/>
  <c r="CE296" i="1"/>
  <c r="CE288" i="1"/>
  <c r="CE283" i="1"/>
  <c r="CD285" i="1"/>
  <c r="CD284" i="1"/>
  <c r="CD287" i="1"/>
  <c r="CD286" i="1"/>
  <c r="CD291" i="1"/>
  <c r="CD290" i="1"/>
  <c r="CD293" i="1"/>
  <c r="CD292" i="1"/>
  <c r="CD295" i="1"/>
  <c r="CD294" i="1"/>
  <c r="CD297" i="1"/>
  <c r="CD296" i="1"/>
  <c r="CD289" i="1"/>
  <c r="CD288" i="1"/>
  <c r="CD283" i="1"/>
  <c r="CC284" i="1"/>
  <c r="CC287" i="1"/>
  <c r="CC286" i="1"/>
  <c r="CC290" i="1"/>
  <c r="CC293" i="1"/>
  <c r="CC292" i="1"/>
  <c r="CC294" i="1"/>
  <c r="CC296" i="1"/>
  <c r="CC288" i="1"/>
  <c r="CC283" i="1"/>
  <c r="CB284" i="1"/>
  <c r="CB286" i="1"/>
  <c r="CB290" i="1"/>
  <c r="CB293" i="1"/>
  <c r="CB292" i="1"/>
  <c r="CB294" i="1"/>
  <c r="CB296" i="1"/>
  <c r="CB288" i="1"/>
  <c r="CB283" i="1"/>
  <c r="CA285" i="1"/>
  <c r="CA284" i="1"/>
  <c r="CA287" i="1"/>
  <c r="CA286" i="1"/>
  <c r="CA291" i="1"/>
  <c r="CA290" i="1"/>
  <c r="CA293" i="1"/>
  <c r="CA292" i="1"/>
  <c r="CA295" i="1"/>
  <c r="CA294" i="1"/>
  <c r="CA297" i="1"/>
  <c r="CA296" i="1"/>
  <c r="CA289" i="1"/>
  <c r="CA288" i="1"/>
  <c r="CA283" i="1"/>
  <c r="BZ285" i="1"/>
  <c r="BZ284" i="1"/>
  <c r="BZ287" i="1"/>
  <c r="BZ286" i="1"/>
  <c r="BZ291" i="1"/>
  <c r="BZ290" i="1"/>
  <c r="BZ293" i="1"/>
  <c r="BZ292" i="1"/>
  <c r="BZ295" i="1"/>
  <c r="BZ294" i="1"/>
  <c r="BZ297" i="1"/>
  <c r="BZ296" i="1"/>
  <c r="BZ289" i="1"/>
  <c r="BZ288" i="1"/>
  <c r="BZ283" i="1"/>
  <c r="BY285" i="1"/>
  <c r="BY284" i="1"/>
  <c r="BY287" i="1"/>
  <c r="BY286" i="1"/>
  <c r="BY291" i="1"/>
  <c r="BY290" i="1"/>
  <c r="BY293" i="1"/>
  <c r="BY292" i="1"/>
  <c r="BY295" i="1"/>
  <c r="BY294" i="1"/>
  <c r="BY297" i="1"/>
  <c r="BY296" i="1"/>
  <c r="BY289" i="1"/>
  <c r="BY288" i="1"/>
  <c r="BY283" i="1"/>
  <c r="BX284" i="1"/>
  <c r="BX287" i="1"/>
  <c r="BX286" i="1"/>
  <c r="BX291" i="1"/>
  <c r="BX290" i="1"/>
  <c r="BX292" i="1"/>
  <c r="BX294" i="1"/>
  <c r="BX296" i="1"/>
  <c r="BX288" i="1"/>
  <c r="BX283" i="1"/>
  <c r="BW284" i="1"/>
  <c r="BW287" i="1"/>
  <c r="BW286" i="1"/>
  <c r="BW290" i="1"/>
  <c r="BW292" i="1"/>
  <c r="BW294" i="1"/>
  <c r="BW296" i="1"/>
  <c r="BW288" i="1"/>
  <c r="BW283" i="1"/>
  <c r="BV284" i="1"/>
  <c r="BV286" i="1"/>
  <c r="BV290" i="1"/>
  <c r="BV292" i="1"/>
  <c r="BV294" i="1"/>
  <c r="BV296" i="1"/>
  <c r="BV288" i="1"/>
  <c r="BV283" i="1"/>
  <c r="BU284" i="1"/>
  <c r="BU286" i="1"/>
  <c r="BU290" i="1"/>
  <c r="BU292" i="1"/>
  <c r="BU294" i="1"/>
  <c r="BU296" i="1"/>
  <c r="BU288" i="1"/>
  <c r="BU283" i="1"/>
  <c r="BT284" i="1"/>
  <c r="BT286" i="1"/>
  <c r="BT290" i="1"/>
  <c r="BT292" i="1"/>
  <c r="BT294" i="1"/>
  <c r="BT296" i="1"/>
  <c r="BT288" i="1"/>
  <c r="BT283" i="1"/>
  <c r="BS284" i="1"/>
  <c r="BS286" i="1"/>
  <c r="BS290" i="1"/>
  <c r="BS292" i="1"/>
  <c r="BS294" i="1"/>
  <c r="BS296" i="1"/>
  <c r="BS288" i="1"/>
  <c r="BS283" i="1"/>
  <c r="BR284" i="1"/>
  <c r="BR286" i="1"/>
  <c r="BR290" i="1"/>
  <c r="BR292" i="1"/>
  <c r="BR294" i="1"/>
  <c r="BR296" i="1"/>
  <c r="BR288" i="1"/>
  <c r="BR283" i="1"/>
  <c r="BQ284" i="1"/>
  <c r="BQ286" i="1"/>
  <c r="BQ290" i="1"/>
  <c r="BQ292" i="1"/>
  <c r="BQ294" i="1"/>
  <c r="BQ296" i="1"/>
  <c r="BQ288" i="1"/>
  <c r="BQ283" i="1"/>
  <c r="BP284" i="1"/>
  <c r="BP286" i="1"/>
  <c r="BP290" i="1"/>
  <c r="BP292" i="1"/>
  <c r="BP294" i="1"/>
  <c r="BP296" i="1"/>
  <c r="BP288" i="1"/>
  <c r="BP283" i="1"/>
  <c r="BO284" i="1"/>
  <c r="BO286" i="1"/>
  <c r="BO290" i="1"/>
  <c r="BO292" i="1"/>
  <c r="BO294" i="1"/>
  <c r="BO296" i="1"/>
  <c r="BO288" i="1"/>
  <c r="BO283" i="1"/>
  <c r="BN284" i="1"/>
  <c r="BN286" i="1"/>
  <c r="BN290" i="1"/>
  <c r="BN292" i="1"/>
  <c r="BN294" i="1"/>
  <c r="BN296" i="1"/>
  <c r="BN288" i="1"/>
  <c r="BN283" i="1"/>
  <c r="BM285" i="1"/>
  <c r="BM284" i="1"/>
  <c r="BM287" i="1"/>
  <c r="BM286" i="1"/>
  <c r="BM291" i="1"/>
  <c r="BM290" i="1"/>
  <c r="BM293" i="1"/>
  <c r="BM292" i="1"/>
  <c r="BM295" i="1"/>
  <c r="BM294" i="1"/>
  <c r="BM297" i="1"/>
  <c r="BM296" i="1"/>
  <c r="BM289" i="1"/>
  <c r="BM288" i="1"/>
  <c r="BM283" i="1"/>
  <c r="BL284" i="1"/>
  <c r="BL286" i="1"/>
  <c r="BL290" i="1"/>
  <c r="BL292" i="1"/>
  <c r="BL294" i="1"/>
  <c r="BL296" i="1"/>
  <c r="BL288" i="1"/>
  <c r="BL283" i="1"/>
  <c r="BK285" i="1"/>
  <c r="BK284" i="1"/>
  <c r="BK287" i="1"/>
  <c r="BK286" i="1"/>
  <c r="BK291" i="1"/>
  <c r="BK290" i="1"/>
  <c r="BK293" i="1"/>
  <c r="BK292" i="1"/>
  <c r="BK295" i="1"/>
  <c r="BK294" i="1"/>
  <c r="BK297" i="1"/>
  <c r="BK296" i="1"/>
  <c r="BK289" i="1"/>
  <c r="BK288" i="1"/>
  <c r="BK283" i="1"/>
  <c r="BJ284" i="1"/>
  <c r="BJ286" i="1"/>
  <c r="BJ290" i="1"/>
  <c r="BJ292" i="1"/>
  <c r="BJ294" i="1"/>
  <c r="BJ296" i="1"/>
  <c r="BJ288" i="1"/>
  <c r="BJ283" i="1"/>
  <c r="BI284" i="1"/>
  <c r="BI286" i="1"/>
  <c r="BI290" i="1"/>
  <c r="BI292" i="1"/>
  <c r="BI294" i="1"/>
  <c r="BI297" i="1"/>
  <c r="BI296" i="1"/>
  <c r="BI288" i="1"/>
  <c r="BI283" i="1"/>
  <c r="BH285" i="1"/>
  <c r="BH284" i="1"/>
  <c r="BH286" i="1"/>
  <c r="BH290" i="1"/>
  <c r="BH292" i="1"/>
  <c r="BH294" i="1"/>
  <c r="BH296" i="1"/>
  <c r="BH288" i="1"/>
  <c r="BH283" i="1"/>
  <c r="BG284" i="1"/>
  <c r="BG286" i="1"/>
  <c r="BG290" i="1"/>
  <c r="BG292" i="1"/>
  <c r="BG294" i="1"/>
  <c r="BG296" i="1"/>
  <c r="BG288" i="1"/>
  <c r="BG283" i="1"/>
  <c r="BF285" i="1"/>
  <c r="BF284" i="1"/>
  <c r="BF287" i="1"/>
  <c r="BF286" i="1"/>
  <c r="BF291" i="1"/>
  <c r="BF290" i="1"/>
  <c r="BF293" i="1"/>
  <c r="BF292" i="1"/>
  <c r="BF295" i="1"/>
  <c r="BF294" i="1"/>
  <c r="BF297" i="1"/>
  <c r="BF296" i="1"/>
  <c r="BF289" i="1"/>
  <c r="BF288" i="1"/>
  <c r="BF283" i="1"/>
  <c r="BE284" i="1"/>
  <c r="BE286" i="1"/>
  <c r="BE290" i="1"/>
  <c r="BE292" i="1"/>
  <c r="BE294" i="1"/>
  <c r="BE296" i="1"/>
  <c r="BE288" i="1"/>
  <c r="BE283" i="1"/>
  <c r="BD284" i="1"/>
  <c r="BD286" i="1"/>
  <c r="BD290" i="1"/>
  <c r="BD292" i="1"/>
  <c r="BD294" i="1"/>
  <c r="BD296" i="1"/>
  <c r="BD288" i="1"/>
  <c r="BD283" i="1"/>
  <c r="BC284" i="1"/>
  <c r="BC286" i="1"/>
  <c r="BC290" i="1"/>
  <c r="BC292" i="1"/>
  <c r="BC294" i="1"/>
  <c r="BC296" i="1"/>
  <c r="BC288" i="1"/>
  <c r="BC283" i="1"/>
  <c r="BB285" i="1"/>
  <c r="BB284" i="1"/>
  <c r="BB287" i="1"/>
  <c r="BB286" i="1"/>
  <c r="BB291" i="1"/>
  <c r="BB290" i="1"/>
  <c r="BB293" i="1"/>
  <c r="BB292" i="1"/>
  <c r="BB295" i="1"/>
  <c r="BB294" i="1"/>
  <c r="BB297" i="1"/>
  <c r="BB296" i="1"/>
  <c r="BB289" i="1"/>
  <c r="BB288" i="1"/>
  <c r="BB283" i="1"/>
  <c r="BA285" i="1"/>
  <c r="BA284" i="1"/>
  <c r="BA287" i="1"/>
  <c r="BA286" i="1"/>
  <c r="BA291" i="1"/>
  <c r="BA290" i="1"/>
  <c r="BA293" i="1"/>
  <c r="BA292" i="1"/>
  <c r="BA295" i="1"/>
  <c r="BA294" i="1"/>
  <c r="BA297" i="1"/>
  <c r="BA296" i="1"/>
  <c r="BA289" i="1"/>
  <c r="BA288" i="1"/>
  <c r="BA283" i="1"/>
  <c r="AZ284" i="1"/>
  <c r="AZ287" i="1"/>
  <c r="AZ286" i="1"/>
  <c r="AZ290" i="1"/>
  <c r="AZ292" i="1"/>
  <c r="AZ295" i="1"/>
  <c r="AZ294" i="1"/>
  <c r="AZ296" i="1"/>
  <c r="AZ288" i="1"/>
  <c r="AZ283" i="1"/>
  <c r="AY284" i="1"/>
  <c r="AY287" i="1"/>
  <c r="AY286" i="1"/>
  <c r="AY290" i="1"/>
  <c r="AY292" i="1"/>
  <c r="AY294" i="1"/>
  <c r="AY296" i="1"/>
  <c r="AY288" i="1"/>
  <c r="AY283" i="1"/>
  <c r="AX284" i="1"/>
  <c r="AX286" i="1"/>
  <c r="AX290" i="1"/>
  <c r="AX292" i="1"/>
  <c r="AX294" i="1"/>
  <c r="AX296" i="1"/>
  <c r="AX288" i="1"/>
  <c r="AX283" i="1"/>
  <c r="AW284" i="1"/>
  <c r="AW287" i="1"/>
  <c r="AW286" i="1"/>
  <c r="AW290" i="1"/>
  <c r="AW292" i="1"/>
  <c r="AW294" i="1"/>
  <c r="AW296" i="1"/>
  <c r="AW288" i="1"/>
  <c r="AW283" i="1"/>
  <c r="AV284" i="1"/>
  <c r="AV286" i="1"/>
  <c r="AV290" i="1"/>
  <c r="AV293" i="1"/>
  <c r="AV292" i="1"/>
  <c r="AV294" i="1"/>
  <c r="AV296" i="1"/>
  <c r="AV288" i="1"/>
  <c r="AV283" i="1"/>
  <c r="AU284" i="1"/>
  <c r="AU286" i="1"/>
  <c r="AU290" i="1"/>
  <c r="AU292" i="1"/>
  <c r="AU294" i="1"/>
  <c r="AU296" i="1"/>
  <c r="AU288" i="1"/>
  <c r="AU283" i="1"/>
  <c r="AT284" i="1"/>
  <c r="AT286" i="1"/>
  <c r="AT290" i="1"/>
  <c r="AT292" i="1"/>
  <c r="AT294" i="1"/>
  <c r="AT296" i="1"/>
  <c r="AT288" i="1"/>
  <c r="AT283" i="1"/>
  <c r="AS284" i="1"/>
  <c r="AS286" i="1"/>
  <c r="AS290" i="1"/>
  <c r="AS292" i="1"/>
  <c r="AS294" i="1"/>
  <c r="AS296" i="1"/>
  <c r="AS288" i="1"/>
  <c r="AS283" i="1"/>
  <c r="AR284" i="1"/>
  <c r="AR286" i="1"/>
  <c r="AR290" i="1"/>
  <c r="AR292" i="1"/>
  <c r="AR294" i="1"/>
  <c r="AR296" i="1"/>
  <c r="AR288" i="1"/>
  <c r="AR283" i="1"/>
  <c r="AQ284" i="1"/>
  <c r="AQ286" i="1"/>
  <c r="AQ290" i="1"/>
  <c r="AQ292" i="1"/>
  <c r="AQ294" i="1"/>
  <c r="AQ296" i="1"/>
  <c r="AQ288" i="1"/>
  <c r="AQ283" i="1"/>
  <c r="AP284" i="1"/>
  <c r="AP286" i="1"/>
  <c r="AP290" i="1"/>
  <c r="AP292" i="1"/>
  <c r="AP294" i="1"/>
  <c r="AP296" i="1"/>
  <c r="AP288" i="1"/>
  <c r="AP283" i="1"/>
  <c r="AO284" i="1"/>
  <c r="AO286" i="1"/>
  <c r="AO290" i="1"/>
  <c r="AO292" i="1"/>
  <c r="AO294" i="1"/>
  <c r="AO296" i="1"/>
  <c r="AO288" i="1"/>
  <c r="AO283" i="1"/>
  <c r="AN284" i="1"/>
  <c r="AN286" i="1"/>
  <c r="AN290" i="1"/>
  <c r="AN292" i="1"/>
  <c r="AN294" i="1"/>
  <c r="AN296" i="1"/>
  <c r="AN288" i="1"/>
  <c r="AN283" i="1"/>
  <c r="AM284" i="1"/>
  <c r="AM287" i="1"/>
  <c r="AM286" i="1"/>
  <c r="AM290" i="1"/>
  <c r="AM292" i="1"/>
  <c r="AM294" i="1"/>
  <c r="AM296" i="1"/>
  <c r="AM288" i="1"/>
  <c r="AM283" i="1"/>
  <c r="AL284" i="1"/>
  <c r="AL287" i="1"/>
  <c r="AL286" i="1"/>
  <c r="AL290" i="1"/>
  <c r="AL292" i="1"/>
  <c r="AL294" i="1"/>
  <c r="AL296" i="1"/>
  <c r="AL288" i="1"/>
  <c r="AL283" i="1"/>
  <c r="AK284" i="1"/>
  <c r="AK287" i="1"/>
  <c r="AK286" i="1"/>
  <c r="AK290" i="1"/>
  <c r="AK292" i="1"/>
  <c r="AK294" i="1"/>
  <c r="AK296" i="1"/>
  <c r="AK288" i="1"/>
  <c r="AK283" i="1"/>
  <c r="AJ284" i="1"/>
  <c r="AJ287" i="1"/>
  <c r="AJ286" i="1"/>
  <c r="AJ290" i="1"/>
  <c r="AJ292" i="1"/>
  <c r="AJ294" i="1"/>
  <c r="AJ296" i="1"/>
  <c r="AJ288" i="1"/>
  <c r="AJ283" i="1"/>
  <c r="AI284" i="1"/>
  <c r="AI286" i="1"/>
  <c r="AI290" i="1"/>
  <c r="AI292" i="1"/>
  <c r="AI294" i="1"/>
  <c r="AI296" i="1"/>
  <c r="AI288" i="1"/>
  <c r="AI283" i="1"/>
  <c r="AH284" i="1"/>
  <c r="AH287" i="1"/>
  <c r="AH286" i="1"/>
  <c r="AH290" i="1"/>
  <c r="AH292" i="1"/>
  <c r="AH294" i="1"/>
  <c r="AH296" i="1"/>
  <c r="AH288" i="1"/>
  <c r="AH283" i="1"/>
  <c r="AG284" i="1"/>
  <c r="AG287" i="1"/>
  <c r="AG286" i="1"/>
  <c r="AG290" i="1"/>
  <c r="AG292" i="1"/>
  <c r="AG294" i="1"/>
  <c r="AG296" i="1"/>
  <c r="AG288" i="1"/>
  <c r="AG283" i="1"/>
  <c r="AF284" i="1"/>
  <c r="AF286" i="1"/>
  <c r="AF290" i="1"/>
  <c r="AF292" i="1"/>
  <c r="AF294" i="1"/>
  <c r="AF296" i="1"/>
  <c r="AF288" i="1"/>
  <c r="AF283" i="1"/>
  <c r="AE285" i="1"/>
  <c r="AE284" i="1"/>
  <c r="AE287" i="1"/>
  <c r="AE286" i="1"/>
  <c r="AE291" i="1"/>
  <c r="AE290" i="1"/>
  <c r="AE293" i="1"/>
  <c r="AE292" i="1"/>
  <c r="AE295" i="1"/>
  <c r="AE294" i="1"/>
  <c r="AE297" i="1"/>
  <c r="AE296" i="1"/>
  <c r="AE289" i="1"/>
  <c r="AE288" i="1"/>
  <c r="AE283" i="1"/>
  <c r="AD284" i="1"/>
  <c r="AD287" i="1"/>
  <c r="AD286" i="1"/>
  <c r="AD290" i="1"/>
  <c r="AD292" i="1"/>
  <c r="AD294" i="1"/>
  <c r="AD296" i="1"/>
  <c r="AD288" i="1"/>
  <c r="AD283" i="1"/>
  <c r="AC284" i="1"/>
  <c r="AC286" i="1"/>
  <c r="AC290" i="1"/>
  <c r="AC292" i="1"/>
  <c r="AC294" i="1"/>
  <c r="AC296" i="1"/>
  <c r="AC288" i="1"/>
  <c r="AC283" i="1"/>
  <c r="AB284" i="1"/>
  <c r="AB286" i="1"/>
  <c r="AB290" i="1"/>
  <c r="AB292" i="1"/>
  <c r="AB294" i="1"/>
  <c r="AB296" i="1"/>
  <c r="AB288" i="1"/>
  <c r="AB283" i="1"/>
  <c r="AA284" i="1"/>
  <c r="AA287" i="1"/>
  <c r="AA286" i="1"/>
  <c r="AA290" i="1"/>
  <c r="AA292" i="1"/>
  <c r="AA294" i="1"/>
  <c r="AA296" i="1"/>
  <c r="AA288" i="1"/>
  <c r="AA283" i="1"/>
  <c r="Z284" i="1"/>
  <c r="Z287" i="1"/>
  <c r="Z286" i="1"/>
  <c r="Z290" i="1"/>
  <c r="Z292" i="1"/>
  <c r="Z294" i="1"/>
  <c r="Z296" i="1"/>
  <c r="Z288" i="1"/>
  <c r="Z283" i="1"/>
  <c r="Y284" i="1"/>
  <c r="Y287" i="1"/>
  <c r="Y286" i="1"/>
  <c r="Y290" i="1"/>
  <c r="Y292" i="1"/>
  <c r="Y294" i="1"/>
  <c r="Y296" i="1"/>
  <c r="Y288" i="1"/>
  <c r="Y283" i="1"/>
  <c r="X284" i="1"/>
  <c r="X287" i="1"/>
  <c r="X286" i="1"/>
  <c r="X290" i="1"/>
  <c r="X292" i="1"/>
  <c r="X294" i="1"/>
  <c r="X296" i="1"/>
  <c r="X288" i="1"/>
  <c r="X283" i="1"/>
  <c r="W284" i="1"/>
  <c r="W287" i="1"/>
  <c r="W286" i="1"/>
  <c r="W290" i="1"/>
  <c r="W292" i="1"/>
  <c r="W294" i="1"/>
  <c r="W296" i="1"/>
  <c r="W288" i="1"/>
  <c r="W283" i="1"/>
  <c r="V285" i="1"/>
  <c r="V284" i="1"/>
  <c r="V287" i="1"/>
  <c r="V286" i="1"/>
  <c r="V291" i="1"/>
  <c r="V290" i="1"/>
  <c r="V293" i="1"/>
  <c r="V292" i="1"/>
  <c r="V295" i="1"/>
  <c r="V294" i="1"/>
  <c r="V297" i="1"/>
  <c r="V296" i="1"/>
  <c r="V289" i="1"/>
  <c r="V288" i="1"/>
  <c r="V283" i="1"/>
  <c r="U284" i="1"/>
  <c r="U287" i="1"/>
  <c r="U286" i="1"/>
  <c r="U290" i="1"/>
  <c r="U292" i="1"/>
  <c r="U294" i="1"/>
  <c r="U296" i="1"/>
  <c r="U288" i="1"/>
  <c r="U283" i="1"/>
  <c r="T284" i="1"/>
  <c r="T287" i="1"/>
  <c r="T286" i="1"/>
  <c r="T290" i="1"/>
  <c r="T292" i="1"/>
  <c r="T294" i="1"/>
  <c r="T296" i="1"/>
  <c r="T288" i="1"/>
  <c r="T283" i="1"/>
  <c r="S284" i="1"/>
  <c r="S287" i="1"/>
  <c r="S286" i="1"/>
  <c r="S290" i="1"/>
  <c r="S292" i="1"/>
  <c r="S294" i="1"/>
  <c r="S296" i="1"/>
  <c r="S288" i="1"/>
  <c r="S283" i="1"/>
  <c r="R284" i="1"/>
  <c r="R287" i="1"/>
  <c r="R286" i="1"/>
  <c r="R290" i="1"/>
  <c r="R292" i="1"/>
  <c r="R294" i="1"/>
  <c r="R296" i="1"/>
  <c r="R288" i="1"/>
  <c r="R283" i="1"/>
  <c r="Q285" i="1"/>
  <c r="Q284" i="1"/>
  <c r="Q287" i="1"/>
  <c r="Q286" i="1"/>
  <c r="Q291" i="1"/>
  <c r="Q290" i="1"/>
  <c r="Q293" i="1"/>
  <c r="Q292" i="1"/>
  <c r="Q295" i="1"/>
  <c r="Q294" i="1"/>
  <c r="Q297" i="1"/>
  <c r="Q296" i="1"/>
  <c r="Q289" i="1"/>
  <c r="Q288" i="1"/>
  <c r="Q283" i="1"/>
  <c r="P284" i="1"/>
  <c r="P287" i="1"/>
  <c r="P286" i="1"/>
  <c r="P290" i="1"/>
  <c r="P293" i="1"/>
  <c r="P292" i="1"/>
  <c r="P294" i="1"/>
  <c r="P296" i="1"/>
  <c r="P288" i="1"/>
  <c r="P283" i="1"/>
  <c r="O284" i="1"/>
  <c r="O287" i="1"/>
  <c r="O286" i="1"/>
  <c r="O290" i="1"/>
  <c r="O293" i="1"/>
  <c r="O292" i="1"/>
  <c r="O294" i="1"/>
  <c r="O296" i="1"/>
  <c r="O288" i="1"/>
  <c r="O283" i="1"/>
  <c r="N284" i="1"/>
  <c r="N287" i="1"/>
  <c r="N286" i="1"/>
  <c r="N290" i="1"/>
  <c r="N292" i="1"/>
  <c r="N294" i="1"/>
  <c r="N296" i="1"/>
  <c r="N288" i="1"/>
  <c r="N283" i="1"/>
  <c r="M284" i="1"/>
  <c r="M286" i="1"/>
  <c r="M290" i="1"/>
  <c r="M292" i="1"/>
  <c r="M294" i="1"/>
  <c r="M296" i="1"/>
  <c r="M288" i="1"/>
  <c r="M283" i="1"/>
  <c r="L284" i="1"/>
  <c r="L287" i="1"/>
  <c r="L286" i="1"/>
  <c r="L290" i="1"/>
  <c r="L292" i="1"/>
  <c r="L294" i="1"/>
  <c r="L296" i="1"/>
  <c r="L288" i="1"/>
  <c r="L283" i="1"/>
  <c r="K284" i="1"/>
  <c r="K287" i="1"/>
  <c r="K286" i="1"/>
  <c r="K290" i="1"/>
  <c r="K293" i="1"/>
  <c r="K292" i="1"/>
  <c r="K294" i="1"/>
  <c r="K296" i="1"/>
  <c r="K288" i="1"/>
  <c r="K283" i="1"/>
  <c r="J285" i="1"/>
  <c r="J284" i="1"/>
  <c r="J287" i="1"/>
  <c r="J286" i="1"/>
  <c r="J291" i="1"/>
  <c r="J290" i="1"/>
  <c r="J293" i="1"/>
  <c r="J292" i="1"/>
  <c r="J295" i="1"/>
  <c r="J294" i="1"/>
  <c r="J297" i="1"/>
  <c r="J296" i="1"/>
  <c r="J289" i="1"/>
  <c r="J288" i="1"/>
  <c r="J283" i="1"/>
  <c r="I284" i="1"/>
  <c r="I287" i="1"/>
  <c r="I286" i="1"/>
  <c r="I290" i="1"/>
  <c r="I292" i="1"/>
  <c r="I294" i="1"/>
  <c r="I296" i="1"/>
  <c r="I288" i="1"/>
  <c r="I283" i="1"/>
  <c r="H284" i="1"/>
  <c r="H287" i="1"/>
  <c r="H286" i="1"/>
  <c r="H290" i="1"/>
  <c r="H292" i="1"/>
  <c r="H294" i="1"/>
  <c r="H296" i="1"/>
  <c r="H288" i="1"/>
  <c r="H283" i="1"/>
  <c r="G285" i="1"/>
  <c r="G284" i="1"/>
  <c r="G287" i="1"/>
  <c r="G286" i="1"/>
  <c r="G291" i="1"/>
  <c r="G290" i="1"/>
  <c r="G293" i="1"/>
  <c r="G292" i="1"/>
  <c r="G295" i="1"/>
  <c r="G294" i="1"/>
  <c r="G297" i="1"/>
  <c r="G296" i="1"/>
  <c r="G289" i="1"/>
  <c r="G288" i="1"/>
  <c r="G283" i="1"/>
  <c r="F285" i="1"/>
  <c r="F284" i="1"/>
  <c r="F287" i="1"/>
  <c r="F286" i="1"/>
  <c r="F291" i="1"/>
  <c r="F290" i="1"/>
  <c r="F293" i="1"/>
  <c r="F292" i="1"/>
  <c r="F295" i="1"/>
  <c r="F294" i="1"/>
  <c r="F297" i="1"/>
  <c r="F296" i="1"/>
  <c r="F289" i="1"/>
  <c r="F288" i="1"/>
  <c r="F283" i="1"/>
  <c r="E285" i="1"/>
  <c r="E284" i="1"/>
  <c r="E287" i="1"/>
  <c r="E286" i="1"/>
  <c r="E291" i="1"/>
  <c r="E290" i="1"/>
  <c r="E293" i="1"/>
  <c r="E292" i="1"/>
  <c r="E295" i="1"/>
  <c r="E294" i="1"/>
  <c r="E297" i="1"/>
  <c r="E296" i="1"/>
  <c r="E289" i="1"/>
  <c r="E288" i="1"/>
  <c r="E283" i="1"/>
  <c r="CU282" i="1"/>
  <c r="CS282" i="1"/>
  <c r="CR282" i="1"/>
  <c r="CJ282" i="1"/>
  <c r="CD282" i="1"/>
  <c r="CA282" i="1"/>
  <c r="BZ282" i="1"/>
  <c r="BY282" i="1"/>
  <c r="BM282" i="1"/>
  <c r="BK282" i="1"/>
  <c r="BF282" i="1"/>
  <c r="BB282" i="1"/>
  <c r="BA282" i="1"/>
  <c r="AE282" i="1"/>
  <c r="V282" i="1"/>
  <c r="Q282" i="1"/>
  <c r="J282" i="1"/>
  <c r="G282" i="1"/>
  <c r="F282" i="1"/>
  <c r="E282" i="1"/>
  <c r="CU281" i="1"/>
  <c r="CT281" i="1"/>
  <c r="CS281" i="1"/>
  <c r="CR281" i="1"/>
  <c r="CQ281" i="1"/>
  <c r="CP281" i="1"/>
  <c r="CO281" i="1"/>
  <c r="CN281" i="1"/>
  <c r="CM281" i="1"/>
  <c r="CL281" i="1"/>
  <c r="CK281" i="1"/>
  <c r="CJ281" i="1"/>
  <c r="CI281" i="1"/>
  <c r="CH281" i="1"/>
  <c r="CG281" i="1"/>
  <c r="CF281" i="1"/>
  <c r="CE281" i="1"/>
  <c r="CD281" i="1"/>
  <c r="CC281" i="1"/>
  <c r="CB281" i="1"/>
  <c r="CA281" i="1"/>
  <c r="BZ281" i="1"/>
  <c r="BY281" i="1"/>
  <c r="BX281" i="1"/>
  <c r="BW281" i="1"/>
  <c r="BV281" i="1"/>
  <c r="BU281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CU280" i="1"/>
  <c r="CT280" i="1"/>
  <c r="CS280" i="1"/>
  <c r="CR280" i="1"/>
  <c r="CQ280" i="1"/>
  <c r="CP280" i="1"/>
  <c r="CO280" i="1"/>
  <c r="CN280" i="1"/>
  <c r="CM280" i="1"/>
  <c r="CL280" i="1"/>
  <c r="CK280" i="1"/>
  <c r="CJ280" i="1"/>
  <c r="CI280" i="1"/>
  <c r="CH280" i="1"/>
  <c r="CG280" i="1"/>
  <c r="CF280" i="1"/>
  <c r="CE280" i="1"/>
  <c r="CD280" i="1"/>
  <c r="CC280" i="1"/>
  <c r="CB280" i="1"/>
  <c r="CA280" i="1"/>
  <c r="BZ280" i="1"/>
  <c r="BY280" i="1"/>
  <c r="BX280" i="1"/>
  <c r="BW280" i="1"/>
  <c r="BV280" i="1"/>
  <c r="BU280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CS279" i="1"/>
  <c r="CR279" i="1"/>
  <c r="CJ279" i="1"/>
  <c r="CD279" i="1"/>
  <c r="CA279" i="1"/>
  <c r="BZ279" i="1"/>
  <c r="BY279" i="1"/>
  <c r="BM279" i="1"/>
  <c r="BK279" i="1"/>
  <c r="BF279" i="1"/>
  <c r="BB279" i="1"/>
  <c r="BA279" i="1"/>
  <c r="AE279" i="1"/>
  <c r="V279" i="1"/>
  <c r="Q279" i="1"/>
  <c r="J279" i="1"/>
  <c r="G279" i="1"/>
  <c r="F279" i="1"/>
  <c r="E279" i="1"/>
  <c r="CU278" i="1"/>
  <c r="CT278" i="1"/>
  <c r="CS278" i="1"/>
  <c r="CR278" i="1"/>
  <c r="CQ278" i="1"/>
  <c r="CP278" i="1"/>
  <c r="CO278" i="1"/>
  <c r="CN278" i="1"/>
  <c r="CM278" i="1"/>
  <c r="CL278" i="1"/>
  <c r="CK278" i="1"/>
  <c r="CJ278" i="1"/>
  <c r="CI278" i="1"/>
  <c r="CH278" i="1"/>
  <c r="CG278" i="1"/>
  <c r="CF278" i="1"/>
  <c r="CE278" i="1"/>
  <c r="CD278" i="1"/>
  <c r="CC278" i="1"/>
  <c r="CB278" i="1"/>
  <c r="CA278" i="1"/>
  <c r="BZ278" i="1"/>
  <c r="BY278" i="1"/>
  <c r="BX278" i="1"/>
  <c r="BW278" i="1"/>
  <c r="BV278" i="1"/>
  <c r="BU278" i="1"/>
  <c r="BT278" i="1"/>
  <c r="BS278" i="1"/>
  <c r="BR278" i="1"/>
  <c r="BQ278" i="1"/>
  <c r="BP278" i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CS277" i="1"/>
  <c r="CR277" i="1"/>
  <c r="CQ277" i="1"/>
  <c r="CJ277" i="1"/>
  <c r="CD277" i="1"/>
  <c r="CA277" i="1"/>
  <c r="BZ277" i="1"/>
  <c r="BY277" i="1"/>
  <c r="BM277" i="1"/>
  <c r="BK277" i="1"/>
  <c r="BF277" i="1"/>
  <c r="BB277" i="1"/>
  <c r="BA277" i="1"/>
  <c r="AE277" i="1"/>
  <c r="V277" i="1"/>
  <c r="Q277" i="1"/>
  <c r="J277" i="1"/>
  <c r="G277" i="1"/>
  <c r="F277" i="1"/>
  <c r="E277" i="1"/>
  <c r="CS276" i="1"/>
  <c r="CR276" i="1"/>
  <c r="CJ276" i="1"/>
  <c r="CD276" i="1"/>
  <c r="CA276" i="1"/>
  <c r="BZ276" i="1"/>
  <c r="BY276" i="1"/>
  <c r="BM276" i="1"/>
  <c r="BK276" i="1"/>
  <c r="BF276" i="1"/>
  <c r="BB276" i="1"/>
  <c r="BA276" i="1"/>
  <c r="AE276" i="1"/>
  <c r="V276" i="1"/>
  <c r="Q276" i="1"/>
  <c r="J276" i="1"/>
  <c r="G276" i="1"/>
  <c r="F276" i="1"/>
  <c r="E276" i="1"/>
  <c r="CS275" i="1"/>
  <c r="CR275" i="1"/>
  <c r="CQ275" i="1"/>
  <c r="CJ275" i="1"/>
  <c r="CD275" i="1"/>
  <c r="CA275" i="1"/>
  <c r="BZ275" i="1"/>
  <c r="BY275" i="1"/>
  <c r="BM275" i="1"/>
  <c r="BK275" i="1"/>
  <c r="BF275" i="1"/>
  <c r="BB275" i="1"/>
  <c r="BA275" i="1"/>
  <c r="AE275" i="1"/>
  <c r="V275" i="1"/>
  <c r="Q275" i="1"/>
  <c r="J275" i="1"/>
  <c r="G275" i="1"/>
  <c r="F275" i="1"/>
  <c r="E275" i="1"/>
  <c r="CS274" i="1"/>
  <c r="CR274" i="1"/>
  <c r="CQ274" i="1"/>
  <c r="CJ274" i="1"/>
  <c r="CD274" i="1"/>
  <c r="CA274" i="1"/>
  <c r="BZ274" i="1"/>
  <c r="BY274" i="1"/>
  <c r="BM274" i="1"/>
  <c r="BK274" i="1"/>
  <c r="BF274" i="1"/>
  <c r="BB274" i="1"/>
  <c r="BA274" i="1"/>
  <c r="AE274" i="1"/>
  <c r="V274" i="1"/>
  <c r="Q274" i="1"/>
  <c r="J274" i="1"/>
  <c r="G274" i="1"/>
  <c r="F274" i="1"/>
  <c r="E274" i="1"/>
  <c r="CS273" i="1"/>
  <c r="CR273" i="1"/>
  <c r="CQ273" i="1"/>
  <c r="CJ273" i="1"/>
  <c r="CD273" i="1"/>
  <c r="CA273" i="1"/>
  <c r="BZ273" i="1"/>
  <c r="BY273" i="1"/>
  <c r="BM273" i="1"/>
  <c r="BK273" i="1"/>
  <c r="BF273" i="1"/>
  <c r="BB273" i="1"/>
  <c r="BA273" i="1"/>
  <c r="AE273" i="1"/>
  <c r="V273" i="1"/>
  <c r="Q273" i="1"/>
  <c r="J273" i="1"/>
  <c r="G273" i="1"/>
  <c r="F273" i="1"/>
  <c r="E273" i="1"/>
  <c r="CS272" i="1"/>
  <c r="CR272" i="1"/>
  <c r="CQ272" i="1"/>
  <c r="CJ272" i="1"/>
  <c r="CD272" i="1"/>
  <c r="CA272" i="1"/>
  <c r="BZ272" i="1"/>
  <c r="BY272" i="1"/>
  <c r="BM272" i="1"/>
  <c r="BK272" i="1"/>
  <c r="BF272" i="1"/>
  <c r="BB272" i="1"/>
  <c r="BA272" i="1"/>
  <c r="AE272" i="1"/>
  <c r="V272" i="1"/>
  <c r="Q272" i="1"/>
  <c r="J272" i="1"/>
  <c r="G272" i="1"/>
  <c r="F272" i="1"/>
  <c r="E272" i="1"/>
  <c r="CS271" i="1"/>
  <c r="CR271" i="1"/>
  <c r="CQ271" i="1"/>
  <c r="CJ271" i="1"/>
  <c r="CD271" i="1"/>
  <c r="CA271" i="1"/>
  <c r="BZ271" i="1"/>
  <c r="BY271" i="1"/>
  <c r="BM271" i="1"/>
  <c r="BK271" i="1"/>
  <c r="BF271" i="1"/>
  <c r="BB271" i="1"/>
  <c r="BA271" i="1"/>
  <c r="AE271" i="1"/>
  <c r="V271" i="1"/>
  <c r="Q271" i="1"/>
  <c r="J271" i="1"/>
  <c r="G271" i="1"/>
  <c r="F271" i="1"/>
  <c r="E271" i="1"/>
  <c r="CS270" i="1"/>
  <c r="CR270" i="1"/>
  <c r="CJ270" i="1"/>
  <c r="CD270" i="1"/>
  <c r="CA270" i="1"/>
  <c r="BZ270" i="1"/>
  <c r="BY270" i="1"/>
  <c r="BM270" i="1"/>
  <c r="BK270" i="1"/>
  <c r="BF270" i="1"/>
  <c r="BB270" i="1"/>
  <c r="BA270" i="1"/>
  <c r="AE270" i="1"/>
  <c r="V270" i="1"/>
  <c r="Q270" i="1"/>
  <c r="J270" i="1"/>
  <c r="G270" i="1"/>
  <c r="F270" i="1"/>
  <c r="E270" i="1"/>
  <c r="CS269" i="1"/>
  <c r="CR269" i="1"/>
  <c r="CJ269" i="1"/>
  <c r="CD269" i="1"/>
  <c r="CA269" i="1"/>
  <c r="BZ269" i="1"/>
  <c r="BY269" i="1"/>
  <c r="BM269" i="1"/>
  <c r="BK269" i="1"/>
  <c r="BF269" i="1"/>
  <c r="BB269" i="1"/>
  <c r="BA269" i="1"/>
  <c r="AE269" i="1"/>
  <c r="V269" i="1"/>
  <c r="Q269" i="1"/>
  <c r="J269" i="1"/>
  <c r="G269" i="1"/>
  <c r="F269" i="1"/>
  <c r="E269" i="1"/>
  <c r="CS268" i="1"/>
  <c r="CR268" i="1"/>
  <c r="CQ268" i="1"/>
  <c r="CJ268" i="1"/>
  <c r="CD268" i="1"/>
  <c r="CA268" i="1"/>
  <c r="BZ268" i="1"/>
  <c r="BY268" i="1"/>
  <c r="BM268" i="1"/>
  <c r="BK268" i="1"/>
  <c r="BF268" i="1"/>
  <c r="BB268" i="1"/>
  <c r="BA268" i="1"/>
  <c r="AE268" i="1"/>
  <c r="V268" i="1"/>
  <c r="Q268" i="1"/>
  <c r="J268" i="1"/>
  <c r="G268" i="1"/>
  <c r="F268" i="1"/>
  <c r="E268" i="1"/>
  <c r="CS267" i="1"/>
  <c r="CR267" i="1"/>
  <c r="CJ267" i="1"/>
  <c r="CD267" i="1"/>
  <c r="CA267" i="1"/>
  <c r="BZ267" i="1"/>
  <c r="BY267" i="1"/>
  <c r="BM267" i="1"/>
  <c r="BK267" i="1"/>
  <c r="BF267" i="1"/>
  <c r="BB267" i="1"/>
  <c r="BA267" i="1"/>
  <c r="AE267" i="1"/>
  <c r="V267" i="1"/>
  <c r="Q267" i="1"/>
  <c r="J267" i="1"/>
  <c r="G267" i="1"/>
  <c r="F267" i="1"/>
  <c r="E267" i="1"/>
  <c r="CS266" i="1"/>
  <c r="CR266" i="1"/>
  <c r="CJ266" i="1"/>
  <c r="CD266" i="1"/>
  <c r="CA266" i="1"/>
  <c r="BZ266" i="1"/>
  <c r="BY266" i="1"/>
  <c r="BM266" i="1"/>
  <c r="BK266" i="1"/>
  <c r="BF266" i="1"/>
  <c r="BB266" i="1"/>
  <c r="BA266" i="1"/>
  <c r="AE266" i="1"/>
  <c r="V266" i="1"/>
  <c r="Q266" i="1"/>
  <c r="J266" i="1"/>
  <c r="G266" i="1"/>
  <c r="F266" i="1"/>
  <c r="E266" i="1"/>
  <c r="CS265" i="1"/>
  <c r="CR265" i="1"/>
  <c r="CJ265" i="1"/>
  <c r="CD265" i="1"/>
  <c r="CA265" i="1"/>
  <c r="BZ265" i="1"/>
  <c r="BY265" i="1"/>
  <c r="BM265" i="1"/>
  <c r="BK265" i="1"/>
  <c r="BF265" i="1"/>
  <c r="BB265" i="1"/>
  <c r="BA265" i="1"/>
  <c r="AE265" i="1"/>
  <c r="V265" i="1"/>
  <c r="Q265" i="1"/>
  <c r="J265" i="1"/>
  <c r="G265" i="1"/>
  <c r="F265" i="1"/>
  <c r="E265" i="1"/>
  <c r="CU264" i="1"/>
  <c r="CT264" i="1"/>
  <c r="CS264" i="1"/>
  <c r="CR264" i="1"/>
  <c r="CQ264" i="1"/>
  <c r="CP264" i="1"/>
  <c r="CO264" i="1"/>
  <c r="CN264" i="1"/>
  <c r="CM264" i="1"/>
  <c r="CL264" i="1"/>
  <c r="CK264" i="1"/>
  <c r="CJ264" i="1"/>
  <c r="CI264" i="1"/>
  <c r="CH264" i="1"/>
  <c r="CG264" i="1"/>
  <c r="CF264" i="1"/>
  <c r="CE264" i="1"/>
  <c r="CD264" i="1"/>
  <c r="CC264" i="1"/>
  <c r="CB264" i="1"/>
  <c r="CA264" i="1"/>
  <c r="BZ264" i="1"/>
  <c r="BY264" i="1"/>
  <c r="BX264" i="1"/>
  <c r="BW264" i="1"/>
  <c r="BV264" i="1"/>
  <c r="BU264" i="1"/>
  <c r="BT264" i="1"/>
  <c r="BS264" i="1"/>
  <c r="BR264" i="1"/>
  <c r="BQ264" i="1"/>
  <c r="BP264" i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CS263" i="1"/>
  <c r="CR263" i="1"/>
  <c r="CJ263" i="1"/>
  <c r="CD263" i="1"/>
  <c r="CC263" i="1"/>
  <c r="CA263" i="1"/>
  <c r="BZ263" i="1"/>
  <c r="BY263" i="1"/>
  <c r="BM263" i="1"/>
  <c r="BK263" i="1"/>
  <c r="BF263" i="1"/>
  <c r="BB263" i="1"/>
  <c r="BA263" i="1"/>
  <c r="AE263" i="1"/>
  <c r="AD263" i="1"/>
  <c r="Z263" i="1"/>
  <c r="V263" i="1"/>
  <c r="Q263" i="1"/>
  <c r="J263" i="1"/>
  <c r="G263" i="1"/>
  <c r="F263" i="1"/>
  <c r="E263" i="1"/>
  <c r="CS262" i="1"/>
  <c r="CR262" i="1"/>
  <c r="CJ262" i="1"/>
  <c r="CD262" i="1"/>
  <c r="CC262" i="1"/>
  <c r="CA262" i="1"/>
  <c r="BZ262" i="1"/>
  <c r="BY262" i="1"/>
  <c r="BM262" i="1"/>
  <c r="BK262" i="1"/>
  <c r="BF262" i="1"/>
  <c r="BB262" i="1"/>
  <c r="BA262" i="1"/>
  <c r="AE262" i="1"/>
  <c r="V262" i="1"/>
  <c r="R262" i="1"/>
  <c r="Q262" i="1"/>
  <c r="J262" i="1"/>
  <c r="G262" i="1"/>
  <c r="F262" i="1"/>
  <c r="E262" i="1"/>
  <c r="CS261" i="1"/>
  <c r="CR261" i="1"/>
  <c r="CJ261" i="1"/>
  <c r="CD261" i="1"/>
  <c r="CA261" i="1"/>
  <c r="BZ261" i="1"/>
  <c r="BY261" i="1"/>
  <c r="BM261" i="1"/>
  <c r="BK261" i="1"/>
  <c r="BF261" i="1"/>
  <c r="BB261" i="1"/>
  <c r="BA261" i="1"/>
  <c r="AM261" i="1"/>
  <c r="AH261" i="1"/>
  <c r="AE261" i="1"/>
  <c r="Z261" i="1"/>
  <c r="Y261" i="1"/>
  <c r="X261" i="1"/>
  <c r="V261" i="1"/>
  <c r="Q261" i="1"/>
  <c r="J261" i="1"/>
  <c r="G261" i="1"/>
  <c r="F261" i="1"/>
  <c r="E261" i="1"/>
  <c r="CS260" i="1"/>
  <c r="CR260" i="1"/>
  <c r="CJ260" i="1"/>
  <c r="CD260" i="1"/>
  <c r="CA260" i="1"/>
  <c r="BZ260" i="1"/>
  <c r="BY260" i="1"/>
  <c r="BM260" i="1"/>
  <c r="BK260" i="1"/>
  <c r="BF260" i="1"/>
  <c r="BB260" i="1"/>
  <c r="BA260" i="1"/>
  <c r="AE260" i="1"/>
  <c r="AD260" i="1"/>
  <c r="Z260" i="1"/>
  <c r="Y260" i="1"/>
  <c r="X260" i="1"/>
  <c r="V260" i="1"/>
  <c r="Q260" i="1"/>
  <c r="J260" i="1"/>
  <c r="G260" i="1"/>
  <c r="F260" i="1"/>
  <c r="E260" i="1"/>
  <c r="CS259" i="1"/>
  <c r="CR259" i="1"/>
  <c r="CJ259" i="1"/>
  <c r="CD259" i="1"/>
  <c r="CA259" i="1"/>
  <c r="BZ259" i="1"/>
  <c r="BY259" i="1"/>
  <c r="BM259" i="1"/>
  <c r="BK259" i="1"/>
  <c r="BF259" i="1"/>
  <c r="BB259" i="1"/>
  <c r="BA259" i="1"/>
  <c r="AZ259" i="1"/>
  <c r="AE259" i="1"/>
  <c r="Z259" i="1"/>
  <c r="Y259" i="1"/>
  <c r="X259" i="1"/>
  <c r="V259" i="1"/>
  <c r="Q259" i="1"/>
  <c r="J259" i="1"/>
  <c r="G259" i="1"/>
  <c r="F259" i="1"/>
  <c r="E259" i="1"/>
  <c r="CS258" i="1"/>
  <c r="CR258" i="1"/>
  <c r="CJ258" i="1"/>
  <c r="CD258" i="1"/>
  <c r="CA258" i="1"/>
  <c r="BZ258" i="1"/>
  <c r="BY258" i="1"/>
  <c r="BM258" i="1"/>
  <c r="BK258" i="1"/>
  <c r="BF258" i="1"/>
  <c r="BB258" i="1"/>
  <c r="BA258" i="1"/>
  <c r="AZ258" i="1"/>
  <c r="AE258" i="1"/>
  <c r="AD258" i="1"/>
  <c r="Z258" i="1"/>
  <c r="Y258" i="1"/>
  <c r="X258" i="1"/>
  <c r="V258" i="1"/>
  <c r="Q258" i="1"/>
  <c r="J258" i="1"/>
  <c r="G258" i="1"/>
  <c r="F258" i="1"/>
  <c r="E258" i="1"/>
  <c r="CS257" i="1"/>
  <c r="CR257" i="1"/>
  <c r="CJ257" i="1"/>
  <c r="CD257" i="1"/>
  <c r="CA257" i="1"/>
  <c r="BZ257" i="1"/>
  <c r="BY257" i="1"/>
  <c r="BM257" i="1"/>
  <c r="BK257" i="1"/>
  <c r="BF257" i="1"/>
  <c r="BB257" i="1"/>
  <c r="BA257" i="1"/>
  <c r="AZ257" i="1"/>
  <c r="AE257" i="1"/>
  <c r="Z257" i="1"/>
  <c r="Y257" i="1"/>
  <c r="X257" i="1"/>
  <c r="V257" i="1"/>
  <c r="Q257" i="1"/>
  <c r="J257" i="1"/>
  <c r="G257" i="1"/>
  <c r="F257" i="1"/>
  <c r="E257" i="1"/>
  <c r="CS256" i="1"/>
  <c r="CR256" i="1"/>
  <c r="CJ256" i="1"/>
  <c r="CD256" i="1"/>
  <c r="CC256" i="1"/>
  <c r="CA256" i="1"/>
  <c r="BZ256" i="1"/>
  <c r="BY256" i="1"/>
  <c r="BM256" i="1"/>
  <c r="BK256" i="1"/>
  <c r="BF256" i="1"/>
  <c r="BB256" i="1"/>
  <c r="BA256" i="1"/>
  <c r="AZ256" i="1"/>
  <c r="AP256" i="1"/>
  <c r="AH256" i="1"/>
  <c r="AE256" i="1"/>
  <c r="AA256" i="1"/>
  <c r="Z256" i="1"/>
  <c r="Y256" i="1"/>
  <c r="X256" i="1"/>
  <c r="V256" i="1"/>
  <c r="Q256" i="1"/>
  <c r="P256" i="1"/>
  <c r="J256" i="1"/>
  <c r="I256" i="1"/>
  <c r="G256" i="1"/>
  <c r="F256" i="1"/>
  <c r="E256" i="1"/>
  <c r="CS255" i="1"/>
  <c r="CR255" i="1"/>
  <c r="CJ255" i="1"/>
  <c r="CD255" i="1"/>
  <c r="CC255" i="1"/>
  <c r="CA255" i="1"/>
  <c r="BZ255" i="1"/>
  <c r="BY255" i="1"/>
  <c r="BM255" i="1"/>
  <c r="BK255" i="1"/>
  <c r="BF255" i="1"/>
  <c r="BB255" i="1"/>
  <c r="BA255" i="1"/>
  <c r="AZ255" i="1"/>
  <c r="AG255" i="1"/>
  <c r="AE255" i="1"/>
  <c r="Z255" i="1"/>
  <c r="Y255" i="1"/>
  <c r="X255" i="1"/>
  <c r="W255" i="1"/>
  <c r="V255" i="1"/>
  <c r="U255" i="1"/>
  <c r="Q255" i="1"/>
  <c r="P255" i="1"/>
  <c r="J255" i="1"/>
  <c r="G255" i="1"/>
  <c r="F255" i="1"/>
  <c r="E255" i="1"/>
  <c r="CS254" i="1"/>
  <c r="CR254" i="1"/>
  <c r="CJ254" i="1"/>
  <c r="CD254" i="1"/>
  <c r="CA254" i="1"/>
  <c r="BZ254" i="1"/>
  <c r="BY254" i="1"/>
  <c r="BM254" i="1"/>
  <c r="BK254" i="1"/>
  <c r="BF254" i="1"/>
  <c r="BB254" i="1"/>
  <c r="BA254" i="1"/>
  <c r="AZ254" i="1"/>
  <c r="AE254" i="1"/>
  <c r="AD254" i="1"/>
  <c r="Z254" i="1"/>
  <c r="Y254" i="1"/>
  <c r="W254" i="1"/>
  <c r="V254" i="1"/>
  <c r="Q254" i="1"/>
  <c r="P254" i="1"/>
  <c r="J254" i="1"/>
  <c r="G254" i="1"/>
  <c r="F254" i="1"/>
  <c r="E254" i="1"/>
  <c r="CS253" i="1"/>
  <c r="CR253" i="1"/>
  <c r="CJ253" i="1"/>
  <c r="CD253" i="1"/>
  <c r="CC253" i="1"/>
  <c r="CA253" i="1"/>
  <c r="BZ253" i="1"/>
  <c r="BY253" i="1"/>
  <c r="BM253" i="1"/>
  <c r="BK253" i="1"/>
  <c r="BF253" i="1"/>
  <c r="BB253" i="1"/>
  <c r="BA253" i="1"/>
  <c r="AZ253" i="1"/>
  <c r="AH253" i="1"/>
  <c r="AE253" i="1"/>
  <c r="AD253" i="1"/>
  <c r="Z253" i="1"/>
  <c r="Y253" i="1"/>
  <c r="X253" i="1"/>
  <c r="V253" i="1"/>
  <c r="U253" i="1"/>
  <c r="Q253" i="1"/>
  <c r="L253" i="1"/>
  <c r="J253" i="1"/>
  <c r="I253" i="1"/>
  <c r="H253" i="1"/>
  <c r="G253" i="1"/>
  <c r="F253" i="1"/>
  <c r="E253" i="1"/>
  <c r="CS252" i="1"/>
  <c r="CR252" i="1"/>
  <c r="CL252" i="1"/>
  <c r="CJ252" i="1"/>
  <c r="CD252" i="1"/>
  <c r="CC252" i="1"/>
  <c r="CA252" i="1"/>
  <c r="BZ252" i="1"/>
  <c r="BY252" i="1"/>
  <c r="BM252" i="1"/>
  <c r="BK252" i="1"/>
  <c r="BF252" i="1"/>
  <c r="BB252" i="1"/>
  <c r="BA252" i="1"/>
  <c r="AZ252" i="1"/>
  <c r="AP252" i="1"/>
  <c r="AM252" i="1"/>
  <c r="AL252" i="1"/>
  <c r="AJ252" i="1"/>
  <c r="AI252" i="1"/>
  <c r="AH252" i="1"/>
  <c r="AG252" i="1"/>
  <c r="AE252" i="1"/>
  <c r="AA252" i="1"/>
  <c r="Z252" i="1"/>
  <c r="Y252" i="1"/>
  <c r="X252" i="1"/>
  <c r="W252" i="1"/>
  <c r="V252" i="1"/>
  <c r="U252" i="1"/>
  <c r="S252" i="1"/>
  <c r="R252" i="1"/>
  <c r="Q252" i="1"/>
  <c r="P252" i="1"/>
  <c r="O252" i="1"/>
  <c r="M252" i="1"/>
  <c r="K252" i="1"/>
  <c r="J252" i="1"/>
  <c r="I252" i="1"/>
  <c r="H252" i="1"/>
  <c r="G252" i="1"/>
  <c r="F252" i="1"/>
  <c r="E252" i="1"/>
  <c r="CS251" i="1"/>
  <c r="CR251" i="1"/>
  <c r="CJ251" i="1"/>
  <c r="CD251" i="1"/>
  <c r="CA251" i="1"/>
  <c r="BZ251" i="1"/>
  <c r="BY251" i="1"/>
  <c r="BM251" i="1"/>
  <c r="BK251" i="1"/>
  <c r="BF251" i="1"/>
  <c r="BB251" i="1"/>
  <c r="BA251" i="1"/>
  <c r="AZ251" i="1"/>
  <c r="AE251" i="1"/>
  <c r="V251" i="1"/>
  <c r="Q251" i="1"/>
  <c r="J251" i="1"/>
  <c r="G251" i="1"/>
  <c r="F251" i="1"/>
  <c r="E251" i="1"/>
  <c r="CS250" i="1"/>
  <c r="CR250" i="1"/>
  <c r="CJ250" i="1"/>
  <c r="CD250" i="1"/>
  <c r="CC250" i="1"/>
  <c r="CA250" i="1"/>
  <c r="BZ250" i="1"/>
  <c r="BY250" i="1"/>
  <c r="BM250" i="1"/>
  <c r="BK250" i="1"/>
  <c r="BF250" i="1"/>
  <c r="BB250" i="1"/>
  <c r="BA250" i="1"/>
  <c r="AG250" i="1"/>
  <c r="AE250" i="1"/>
  <c r="Z250" i="1"/>
  <c r="Y250" i="1"/>
  <c r="X250" i="1"/>
  <c r="V250" i="1"/>
  <c r="Q250" i="1"/>
  <c r="J250" i="1"/>
  <c r="G250" i="1"/>
  <c r="F250" i="1"/>
  <c r="E250" i="1"/>
  <c r="CS249" i="1"/>
  <c r="CR249" i="1"/>
  <c r="CJ249" i="1"/>
  <c r="CD249" i="1"/>
  <c r="CC249" i="1"/>
  <c r="CA249" i="1"/>
  <c r="BZ249" i="1"/>
  <c r="BY249" i="1"/>
  <c r="BM249" i="1"/>
  <c r="BK249" i="1"/>
  <c r="BF249" i="1"/>
  <c r="BB249" i="1"/>
  <c r="BA249" i="1"/>
  <c r="AZ249" i="1"/>
  <c r="AE249" i="1"/>
  <c r="AD249" i="1"/>
  <c r="Z249" i="1"/>
  <c r="W249" i="1"/>
  <c r="V249" i="1"/>
  <c r="Q249" i="1"/>
  <c r="P249" i="1"/>
  <c r="O249" i="1"/>
  <c r="J249" i="1"/>
  <c r="G249" i="1"/>
  <c r="F249" i="1"/>
  <c r="E249" i="1"/>
  <c r="CS248" i="1"/>
  <c r="CR248" i="1"/>
  <c r="CJ248" i="1"/>
  <c r="CD248" i="1"/>
  <c r="CC248" i="1"/>
  <c r="CA248" i="1"/>
  <c r="BZ248" i="1"/>
  <c r="BY248" i="1"/>
  <c r="BM248" i="1"/>
  <c r="BK248" i="1"/>
  <c r="BF248" i="1"/>
  <c r="BB248" i="1"/>
  <c r="BA248" i="1"/>
  <c r="AZ248" i="1"/>
  <c r="AR248" i="1"/>
  <c r="AJ248" i="1"/>
  <c r="AH248" i="1"/>
  <c r="AG248" i="1"/>
  <c r="AE248" i="1"/>
  <c r="AD248" i="1"/>
  <c r="Z248" i="1"/>
  <c r="Y248" i="1"/>
  <c r="X248" i="1"/>
  <c r="V248" i="1"/>
  <c r="Q248" i="1"/>
  <c r="P248" i="1"/>
  <c r="O248" i="1"/>
  <c r="J248" i="1"/>
  <c r="I248" i="1"/>
  <c r="H248" i="1"/>
  <c r="G248" i="1"/>
  <c r="F248" i="1"/>
  <c r="E248" i="1"/>
  <c r="CS247" i="1"/>
  <c r="CR247" i="1"/>
  <c r="CN247" i="1"/>
  <c r="CL247" i="1"/>
  <c r="CJ247" i="1"/>
  <c r="CD247" i="1"/>
  <c r="CB247" i="1"/>
  <c r="CA247" i="1"/>
  <c r="BZ247" i="1"/>
  <c r="BY247" i="1"/>
  <c r="BM247" i="1"/>
  <c r="BK247" i="1"/>
  <c r="BF247" i="1"/>
  <c r="BB247" i="1"/>
  <c r="BA247" i="1"/>
  <c r="AZ247" i="1"/>
  <c r="AL247" i="1"/>
  <c r="AG247" i="1"/>
  <c r="AE247" i="1"/>
  <c r="AD247" i="1"/>
  <c r="Z247" i="1"/>
  <c r="Y247" i="1"/>
  <c r="X247" i="1"/>
  <c r="V247" i="1"/>
  <c r="U247" i="1"/>
  <c r="Q247" i="1"/>
  <c r="P247" i="1"/>
  <c r="O247" i="1"/>
  <c r="J247" i="1"/>
  <c r="I247" i="1"/>
  <c r="H247" i="1"/>
  <c r="G247" i="1"/>
  <c r="F247" i="1"/>
  <c r="E247" i="1"/>
  <c r="CS246" i="1"/>
  <c r="CR246" i="1"/>
  <c r="CJ246" i="1"/>
  <c r="CD246" i="1"/>
  <c r="CC246" i="1"/>
  <c r="CA246" i="1"/>
  <c r="BZ246" i="1"/>
  <c r="BY246" i="1"/>
  <c r="BM246" i="1"/>
  <c r="BK246" i="1"/>
  <c r="BF246" i="1"/>
  <c r="BB246" i="1"/>
  <c r="BA246" i="1"/>
  <c r="AZ246" i="1"/>
  <c r="AS246" i="1"/>
  <c r="AL246" i="1"/>
  <c r="AH246" i="1"/>
  <c r="AG246" i="1"/>
  <c r="AE246" i="1"/>
  <c r="AD246" i="1"/>
  <c r="AB246" i="1"/>
  <c r="Z246" i="1"/>
  <c r="Y246" i="1"/>
  <c r="V246" i="1"/>
  <c r="T246" i="1"/>
  <c r="Q246" i="1"/>
  <c r="P246" i="1"/>
  <c r="O246" i="1"/>
  <c r="J246" i="1"/>
  <c r="I246" i="1"/>
  <c r="H246" i="1"/>
  <c r="G246" i="1"/>
  <c r="F246" i="1"/>
  <c r="E246" i="1"/>
  <c r="CS245" i="1"/>
  <c r="CR245" i="1"/>
  <c r="CM245" i="1"/>
  <c r="CJ245" i="1"/>
  <c r="CD245" i="1"/>
  <c r="CC245" i="1"/>
  <c r="CA245" i="1"/>
  <c r="BZ245" i="1"/>
  <c r="BY245" i="1"/>
  <c r="BM245" i="1"/>
  <c r="BK245" i="1"/>
  <c r="BF245" i="1"/>
  <c r="BB245" i="1"/>
  <c r="BA245" i="1"/>
  <c r="AZ245" i="1"/>
  <c r="AS245" i="1"/>
  <c r="AQ245" i="1"/>
  <c r="AJ245" i="1"/>
  <c r="AH245" i="1"/>
  <c r="AG245" i="1"/>
  <c r="AE245" i="1"/>
  <c r="AD245" i="1"/>
  <c r="Z245" i="1"/>
  <c r="Y245" i="1"/>
  <c r="X245" i="1"/>
  <c r="W245" i="1"/>
  <c r="V245" i="1"/>
  <c r="U245" i="1"/>
  <c r="Q245" i="1"/>
  <c r="P245" i="1"/>
  <c r="O245" i="1"/>
  <c r="M245" i="1"/>
  <c r="L245" i="1"/>
  <c r="K245" i="1"/>
  <c r="J245" i="1"/>
  <c r="I245" i="1"/>
  <c r="H245" i="1"/>
  <c r="G245" i="1"/>
  <c r="F245" i="1"/>
  <c r="E245" i="1"/>
  <c r="CS244" i="1"/>
  <c r="CR244" i="1"/>
  <c r="CJ244" i="1"/>
  <c r="CD244" i="1"/>
  <c r="CA244" i="1"/>
  <c r="BZ244" i="1"/>
  <c r="BY244" i="1"/>
  <c r="BM244" i="1"/>
  <c r="BK244" i="1"/>
  <c r="BF244" i="1"/>
  <c r="BB244" i="1"/>
  <c r="BA244" i="1"/>
  <c r="AE244" i="1"/>
  <c r="Z244" i="1"/>
  <c r="Y244" i="1"/>
  <c r="X244" i="1"/>
  <c r="V244" i="1"/>
  <c r="Q244" i="1"/>
  <c r="P244" i="1"/>
  <c r="J244" i="1"/>
  <c r="G244" i="1"/>
  <c r="F244" i="1"/>
  <c r="E244" i="1"/>
  <c r="CS243" i="1"/>
  <c r="CR243" i="1"/>
  <c r="CL243" i="1"/>
  <c r="CJ243" i="1"/>
  <c r="CD243" i="1"/>
  <c r="CA243" i="1"/>
  <c r="BZ243" i="1"/>
  <c r="BY243" i="1"/>
  <c r="BM243" i="1"/>
  <c r="BK243" i="1"/>
  <c r="BF243" i="1"/>
  <c r="BB243" i="1"/>
  <c r="BA243" i="1"/>
  <c r="AZ243" i="1"/>
  <c r="AM243" i="1"/>
  <c r="AL243" i="1"/>
  <c r="AJ243" i="1"/>
  <c r="AG243" i="1"/>
  <c r="AE243" i="1"/>
  <c r="AD243" i="1"/>
  <c r="AA243" i="1"/>
  <c r="Z243" i="1"/>
  <c r="Y243" i="1"/>
  <c r="X243" i="1"/>
  <c r="W243" i="1"/>
  <c r="V243" i="1"/>
  <c r="U243" i="1"/>
  <c r="R243" i="1"/>
  <c r="Q243" i="1"/>
  <c r="P243" i="1"/>
  <c r="O243" i="1"/>
  <c r="J243" i="1"/>
  <c r="I243" i="1"/>
  <c r="H243" i="1"/>
  <c r="G243" i="1"/>
  <c r="F243" i="1"/>
  <c r="E243" i="1"/>
  <c r="CS242" i="1"/>
  <c r="CR242" i="1"/>
  <c r="CJ242" i="1"/>
  <c r="CD242" i="1"/>
  <c r="CC242" i="1"/>
  <c r="CA242" i="1"/>
  <c r="BZ242" i="1"/>
  <c r="BY242" i="1"/>
  <c r="BM242" i="1"/>
  <c r="BK242" i="1"/>
  <c r="BF242" i="1"/>
  <c r="BB242" i="1"/>
  <c r="BA242" i="1"/>
  <c r="AZ242" i="1"/>
  <c r="AH242" i="1"/>
  <c r="AE242" i="1"/>
  <c r="AD242" i="1"/>
  <c r="Z242" i="1"/>
  <c r="Y242" i="1"/>
  <c r="X242" i="1"/>
  <c r="V242" i="1"/>
  <c r="Q242" i="1"/>
  <c r="P242" i="1"/>
  <c r="O242" i="1"/>
  <c r="K242" i="1"/>
  <c r="J242" i="1"/>
  <c r="I242" i="1"/>
  <c r="H242" i="1"/>
  <c r="G242" i="1"/>
  <c r="F242" i="1"/>
  <c r="E242" i="1"/>
  <c r="CS241" i="1"/>
  <c r="CR241" i="1"/>
  <c r="CJ241" i="1"/>
  <c r="CD241" i="1"/>
  <c r="CC241" i="1"/>
  <c r="CA241" i="1"/>
  <c r="BZ241" i="1"/>
  <c r="BY241" i="1"/>
  <c r="BM241" i="1"/>
  <c r="BK241" i="1"/>
  <c r="BF241" i="1"/>
  <c r="BB241" i="1"/>
  <c r="BA241" i="1"/>
  <c r="AZ241" i="1"/>
  <c r="AS241" i="1"/>
  <c r="AM241" i="1"/>
  <c r="AJ241" i="1"/>
  <c r="AH241" i="1"/>
  <c r="AE241" i="1"/>
  <c r="AD241" i="1"/>
  <c r="AA241" i="1"/>
  <c r="Z241" i="1"/>
  <c r="Y241" i="1"/>
  <c r="X241" i="1"/>
  <c r="V241" i="1"/>
  <c r="U241" i="1"/>
  <c r="Q241" i="1"/>
  <c r="P241" i="1"/>
  <c r="O241" i="1"/>
  <c r="J241" i="1"/>
  <c r="G241" i="1"/>
  <c r="F241" i="1"/>
  <c r="E241" i="1"/>
  <c r="CS240" i="1"/>
  <c r="CR240" i="1"/>
  <c r="CJ240" i="1"/>
  <c r="CD240" i="1"/>
  <c r="CC240" i="1"/>
  <c r="CA240" i="1"/>
  <c r="BZ240" i="1"/>
  <c r="BY240" i="1"/>
  <c r="BM240" i="1"/>
  <c r="BK240" i="1"/>
  <c r="BF240" i="1"/>
  <c r="BB240" i="1"/>
  <c r="BA240" i="1"/>
  <c r="AZ240" i="1"/>
  <c r="AS240" i="1"/>
  <c r="AM240" i="1"/>
  <c r="AL240" i="1"/>
  <c r="AJ240" i="1"/>
  <c r="AH240" i="1"/>
  <c r="AG240" i="1"/>
  <c r="AE240" i="1"/>
  <c r="AD240" i="1"/>
  <c r="Z240" i="1"/>
  <c r="Y240" i="1"/>
  <c r="X240" i="1"/>
  <c r="W240" i="1"/>
  <c r="V240" i="1"/>
  <c r="U240" i="1"/>
  <c r="Q240" i="1"/>
  <c r="P240" i="1"/>
  <c r="O240" i="1"/>
  <c r="M240" i="1"/>
  <c r="L240" i="1"/>
  <c r="K240" i="1"/>
  <c r="J240" i="1"/>
  <c r="I240" i="1"/>
  <c r="H240" i="1"/>
  <c r="G240" i="1"/>
  <c r="F240" i="1"/>
  <c r="E240" i="1"/>
  <c r="CS239" i="1"/>
  <c r="CR239" i="1"/>
  <c r="CJ239" i="1"/>
  <c r="CD239" i="1"/>
  <c r="CA239" i="1"/>
  <c r="BZ239" i="1"/>
  <c r="BY239" i="1"/>
  <c r="BM239" i="1"/>
  <c r="BK239" i="1"/>
  <c r="BF239" i="1"/>
  <c r="BB239" i="1"/>
  <c r="BA239" i="1"/>
  <c r="AZ239" i="1"/>
  <c r="AS239" i="1"/>
  <c r="AH239" i="1"/>
  <c r="AG239" i="1"/>
  <c r="AE239" i="1"/>
  <c r="Z239" i="1"/>
  <c r="Y239" i="1"/>
  <c r="X239" i="1"/>
  <c r="V239" i="1"/>
  <c r="Q239" i="1"/>
  <c r="J239" i="1"/>
  <c r="G239" i="1"/>
  <c r="F239" i="1"/>
  <c r="E239" i="1"/>
  <c r="CS238" i="1"/>
  <c r="CR238" i="1"/>
  <c r="CJ238" i="1"/>
  <c r="CD238" i="1"/>
  <c r="CA238" i="1"/>
  <c r="BZ238" i="1"/>
  <c r="BY238" i="1"/>
  <c r="BM238" i="1"/>
  <c r="BK238" i="1"/>
  <c r="BF238" i="1"/>
  <c r="BB238" i="1"/>
  <c r="BA238" i="1"/>
  <c r="AZ238" i="1"/>
  <c r="AE238" i="1"/>
  <c r="V238" i="1"/>
  <c r="Q238" i="1"/>
  <c r="J238" i="1"/>
  <c r="G238" i="1"/>
  <c r="F238" i="1"/>
  <c r="E238" i="1"/>
  <c r="CS237" i="1"/>
  <c r="CR237" i="1"/>
  <c r="CJ237" i="1"/>
  <c r="CD237" i="1"/>
  <c r="CA237" i="1"/>
  <c r="BZ237" i="1"/>
  <c r="BY237" i="1"/>
  <c r="BM237" i="1"/>
  <c r="BK237" i="1"/>
  <c r="BF237" i="1"/>
  <c r="BB237" i="1"/>
  <c r="BA237" i="1"/>
  <c r="AZ237" i="1"/>
  <c r="AE237" i="1"/>
  <c r="V237" i="1"/>
  <c r="Q237" i="1"/>
  <c r="J237" i="1"/>
  <c r="G237" i="1"/>
  <c r="F237" i="1"/>
  <c r="E237" i="1"/>
  <c r="CU236" i="1"/>
  <c r="CT236" i="1"/>
  <c r="CS236" i="1"/>
  <c r="CR236" i="1"/>
  <c r="CQ236" i="1"/>
  <c r="CP236" i="1"/>
  <c r="CO236" i="1"/>
  <c r="CN236" i="1"/>
  <c r="CM236" i="1"/>
  <c r="CL236" i="1"/>
  <c r="CK236" i="1"/>
  <c r="CJ236" i="1"/>
  <c r="CI236" i="1"/>
  <c r="CH236" i="1"/>
  <c r="CG236" i="1"/>
  <c r="CF236" i="1"/>
  <c r="CE236" i="1"/>
  <c r="CD236" i="1"/>
  <c r="CC236" i="1"/>
  <c r="CB236" i="1"/>
  <c r="CA236" i="1"/>
  <c r="BZ236" i="1"/>
  <c r="BY236" i="1"/>
  <c r="BX236" i="1"/>
  <c r="BW236" i="1"/>
  <c r="BV236" i="1"/>
  <c r="BU236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CS235" i="1"/>
  <c r="CR235" i="1"/>
  <c r="CJ235" i="1"/>
  <c r="CD235" i="1"/>
  <c r="CA235" i="1"/>
  <c r="BZ235" i="1"/>
  <c r="BY235" i="1"/>
  <c r="BM235" i="1"/>
  <c r="BK235" i="1"/>
  <c r="BI235" i="1"/>
  <c r="BF235" i="1"/>
  <c r="BB235" i="1"/>
  <c r="BA235" i="1"/>
  <c r="AE235" i="1"/>
  <c r="V235" i="1"/>
  <c r="Q235" i="1"/>
  <c r="J235" i="1"/>
  <c r="G235" i="1"/>
  <c r="F235" i="1"/>
  <c r="E235" i="1"/>
  <c r="CS234" i="1"/>
  <c r="CR234" i="1"/>
  <c r="CJ234" i="1"/>
  <c r="CD234" i="1"/>
  <c r="CA234" i="1"/>
  <c r="BZ234" i="1"/>
  <c r="BY234" i="1"/>
  <c r="BM234" i="1"/>
  <c r="BK234" i="1"/>
  <c r="BF234" i="1"/>
  <c r="BB234" i="1"/>
  <c r="BA234" i="1"/>
  <c r="AE234" i="1"/>
  <c r="V234" i="1"/>
  <c r="Q234" i="1"/>
  <c r="J234" i="1"/>
  <c r="G234" i="1"/>
  <c r="F234" i="1"/>
  <c r="E234" i="1"/>
  <c r="CS233" i="1"/>
  <c r="CR233" i="1"/>
  <c r="CO233" i="1"/>
  <c r="CJ233" i="1"/>
  <c r="CD233" i="1"/>
  <c r="CA233" i="1"/>
  <c r="BZ233" i="1"/>
  <c r="BY233" i="1"/>
  <c r="BM233" i="1"/>
  <c r="BK233" i="1"/>
  <c r="BF233" i="1"/>
  <c r="BB233" i="1"/>
  <c r="BA233" i="1"/>
  <c r="AZ233" i="1"/>
  <c r="AE233" i="1"/>
  <c r="V233" i="1"/>
  <c r="Q233" i="1"/>
  <c r="J233" i="1"/>
  <c r="G233" i="1"/>
  <c r="F233" i="1"/>
  <c r="E233" i="1"/>
  <c r="CS232" i="1"/>
  <c r="CR232" i="1"/>
  <c r="CJ232" i="1"/>
  <c r="CD232" i="1"/>
  <c r="CA232" i="1"/>
  <c r="BZ232" i="1"/>
  <c r="BY232" i="1"/>
  <c r="BM232" i="1"/>
  <c r="BK232" i="1"/>
  <c r="BJ232" i="1"/>
  <c r="BI232" i="1"/>
  <c r="BF232" i="1"/>
  <c r="BB232" i="1"/>
  <c r="BA232" i="1"/>
  <c r="AE232" i="1"/>
  <c r="V232" i="1"/>
  <c r="Q232" i="1"/>
  <c r="J232" i="1"/>
  <c r="G232" i="1"/>
  <c r="F232" i="1"/>
  <c r="E232" i="1"/>
  <c r="CS231" i="1"/>
  <c r="CR231" i="1"/>
  <c r="CJ231" i="1"/>
  <c r="CD231" i="1"/>
  <c r="CA231" i="1"/>
  <c r="BZ231" i="1"/>
  <c r="BY231" i="1"/>
  <c r="BM231" i="1"/>
  <c r="BK231" i="1"/>
  <c r="BF231" i="1"/>
  <c r="BB231" i="1"/>
  <c r="BA231" i="1"/>
  <c r="AE231" i="1"/>
  <c r="V231" i="1"/>
  <c r="Q231" i="1"/>
  <c r="J231" i="1"/>
  <c r="G231" i="1"/>
  <c r="F231" i="1"/>
  <c r="E231" i="1"/>
  <c r="CS230" i="1"/>
  <c r="CR230" i="1"/>
  <c r="CO230" i="1"/>
  <c r="CJ230" i="1"/>
  <c r="CD230" i="1"/>
  <c r="CA230" i="1"/>
  <c r="BZ230" i="1"/>
  <c r="BY230" i="1"/>
  <c r="BM230" i="1"/>
  <c r="BK230" i="1"/>
  <c r="BF230" i="1"/>
  <c r="BB230" i="1"/>
  <c r="BA230" i="1"/>
  <c r="AZ230" i="1"/>
  <c r="AE230" i="1"/>
  <c r="V230" i="1"/>
  <c r="Q230" i="1"/>
  <c r="J230" i="1"/>
  <c r="G230" i="1"/>
  <c r="F230" i="1"/>
  <c r="E230" i="1"/>
  <c r="CS229" i="1"/>
  <c r="CR229" i="1"/>
  <c r="CJ229" i="1"/>
  <c r="CD229" i="1"/>
  <c r="CA229" i="1"/>
  <c r="BZ229" i="1"/>
  <c r="BY229" i="1"/>
  <c r="BM229" i="1"/>
  <c r="BK229" i="1"/>
  <c r="BF229" i="1"/>
  <c r="BB229" i="1"/>
  <c r="BA229" i="1"/>
  <c r="AE229" i="1"/>
  <c r="V229" i="1"/>
  <c r="Q229" i="1"/>
  <c r="J229" i="1"/>
  <c r="G229" i="1"/>
  <c r="F229" i="1"/>
  <c r="E229" i="1"/>
  <c r="CS228" i="1"/>
  <c r="CR228" i="1"/>
  <c r="CJ228" i="1"/>
  <c r="CD228" i="1"/>
  <c r="CA228" i="1"/>
  <c r="BZ228" i="1"/>
  <c r="BY228" i="1"/>
  <c r="BM228" i="1"/>
  <c r="BK228" i="1"/>
  <c r="BF228" i="1"/>
  <c r="BB228" i="1"/>
  <c r="BA228" i="1"/>
  <c r="AE228" i="1"/>
  <c r="V228" i="1"/>
  <c r="Q228" i="1"/>
  <c r="J228" i="1"/>
  <c r="G228" i="1"/>
  <c r="F228" i="1"/>
  <c r="E228" i="1"/>
  <c r="CS227" i="1"/>
  <c r="CR227" i="1"/>
  <c r="CJ227" i="1"/>
  <c r="CD227" i="1"/>
  <c r="CB227" i="1"/>
  <c r="CA227" i="1"/>
  <c r="BZ227" i="1"/>
  <c r="BY227" i="1"/>
  <c r="BM227" i="1"/>
  <c r="BK227" i="1"/>
  <c r="BF227" i="1"/>
  <c r="BB227" i="1"/>
  <c r="BA227" i="1"/>
  <c r="AE227" i="1"/>
  <c r="V227" i="1"/>
  <c r="Q227" i="1"/>
  <c r="J227" i="1"/>
  <c r="G227" i="1"/>
  <c r="F227" i="1"/>
  <c r="E227" i="1"/>
  <c r="CS226" i="1"/>
  <c r="CR226" i="1"/>
  <c r="CO226" i="1"/>
  <c r="CJ226" i="1"/>
  <c r="CD226" i="1"/>
  <c r="CA226" i="1"/>
  <c r="BZ226" i="1"/>
  <c r="BY226" i="1"/>
  <c r="BM226" i="1"/>
  <c r="BK226" i="1"/>
  <c r="BF226" i="1"/>
  <c r="BB226" i="1"/>
  <c r="BA226" i="1"/>
  <c r="AZ226" i="1"/>
  <c r="AE226" i="1"/>
  <c r="V226" i="1"/>
  <c r="Q226" i="1"/>
  <c r="J226" i="1"/>
  <c r="G226" i="1"/>
  <c r="F226" i="1"/>
  <c r="E226" i="1"/>
  <c r="CS225" i="1"/>
  <c r="CR225" i="1"/>
  <c r="CJ225" i="1"/>
  <c r="CD225" i="1"/>
  <c r="CA225" i="1"/>
  <c r="BZ225" i="1"/>
  <c r="BY225" i="1"/>
  <c r="BM225" i="1"/>
  <c r="BK225" i="1"/>
  <c r="BF225" i="1"/>
  <c r="BB225" i="1"/>
  <c r="BA225" i="1"/>
  <c r="AE225" i="1"/>
  <c r="V225" i="1"/>
  <c r="Q225" i="1"/>
  <c r="J225" i="1"/>
  <c r="G225" i="1"/>
  <c r="F225" i="1"/>
  <c r="E225" i="1"/>
  <c r="CS224" i="1"/>
  <c r="CR224" i="1"/>
  <c r="CJ224" i="1"/>
  <c r="CD224" i="1"/>
  <c r="CA224" i="1"/>
  <c r="BZ224" i="1"/>
  <c r="BY224" i="1"/>
  <c r="BM224" i="1"/>
  <c r="BK224" i="1"/>
  <c r="BF224" i="1"/>
  <c r="BB224" i="1"/>
  <c r="BA224" i="1"/>
  <c r="AE224" i="1"/>
  <c r="V224" i="1"/>
  <c r="Q224" i="1"/>
  <c r="J224" i="1"/>
  <c r="G224" i="1"/>
  <c r="F224" i="1"/>
  <c r="E224" i="1"/>
  <c r="CS223" i="1"/>
  <c r="CR223" i="1"/>
  <c r="CJ223" i="1"/>
  <c r="CD223" i="1"/>
  <c r="CA223" i="1"/>
  <c r="BZ223" i="1"/>
  <c r="BY223" i="1"/>
  <c r="BM223" i="1"/>
  <c r="BK223" i="1"/>
  <c r="BF223" i="1"/>
  <c r="BB223" i="1"/>
  <c r="BA223" i="1"/>
  <c r="AQ223" i="1"/>
  <c r="AE223" i="1"/>
  <c r="V223" i="1"/>
  <c r="Q223" i="1"/>
  <c r="J223" i="1"/>
  <c r="G223" i="1"/>
  <c r="F223" i="1"/>
  <c r="E223" i="1"/>
  <c r="CU222" i="1"/>
  <c r="CT222" i="1"/>
  <c r="CS222" i="1"/>
  <c r="CR222" i="1"/>
  <c r="CQ222" i="1"/>
  <c r="CP222" i="1"/>
  <c r="CO222" i="1"/>
  <c r="CN222" i="1"/>
  <c r="CM222" i="1"/>
  <c r="CL222" i="1"/>
  <c r="CK222" i="1"/>
  <c r="CJ222" i="1"/>
  <c r="CI222" i="1"/>
  <c r="CH222" i="1"/>
  <c r="CG222" i="1"/>
  <c r="CF222" i="1"/>
  <c r="CE222" i="1"/>
  <c r="CD222" i="1"/>
  <c r="CC222" i="1"/>
  <c r="CB222" i="1"/>
  <c r="CA222" i="1"/>
  <c r="BZ222" i="1"/>
  <c r="BY222" i="1"/>
  <c r="BX222" i="1"/>
  <c r="BW222" i="1"/>
  <c r="BV222" i="1"/>
  <c r="BU222" i="1"/>
  <c r="BT222" i="1"/>
  <c r="BS222" i="1"/>
  <c r="BR222" i="1"/>
  <c r="BQ222" i="1"/>
  <c r="BP222" i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CS221" i="1"/>
  <c r="CR221" i="1"/>
  <c r="CJ221" i="1"/>
  <c r="CD221" i="1"/>
  <c r="CA221" i="1"/>
  <c r="BZ221" i="1"/>
  <c r="BY221" i="1"/>
  <c r="BM221" i="1"/>
  <c r="BK221" i="1"/>
  <c r="BF221" i="1"/>
  <c r="BB221" i="1"/>
  <c r="BA221" i="1"/>
  <c r="AW221" i="1"/>
  <c r="AR221" i="1"/>
  <c r="AE221" i="1"/>
  <c r="Y221" i="1"/>
  <c r="X221" i="1"/>
  <c r="V221" i="1"/>
  <c r="Q221" i="1"/>
  <c r="P221" i="1"/>
  <c r="J221" i="1"/>
  <c r="G221" i="1"/>
  <c r="F221" i="1"/>
  <c r="E221" i="1"/>
  <c r="CS220" i="1"/>
  <c r="CR220" i="1"/>
  <c r="CJ220" i="1"/>
  <c r="CD220" i="1"/>
  <c r="CA220" i="1"/>
  <c r="BZ220" i="1"/>
  <c r="BY220" i="1"/>
  <c r="BM220" i="1"/>
  <c r="BK220" i="1"/>
  <c r="BF220" i="1"/>
  <c r="BB220" i="1"/>
  <c r="BA220" i="1"/>
  <c r="AE220" i="1"/>
  <c r="V220" i="1"/>
  <c r="Q220" i="1"/>
  <c r="J220" i="1"/>
  <c r="G220" i="1"/>
  <c r="F220" i="1"/>
  <c r="E220" i="1"/>
  <c r="CU219" i="1"/>
  <c r="CT219" i="1"/>
  <c r="CS219" i="1"/>
  <c r="CR219" i="1"/>
  <c r="CQ219" i="1"/>
  <c r="CP219" i="1"/>
  <c r="CO219" i="1"/>
  <c r="CN219" i="1"/>
  <c r="CM219" i="1"/>
  <c r="CL219" i="1"/>
  <c r="CK219" i="1"/>
  <c r="CJ219" i="1"/>
  <c r="CI219" i="1"/>
  <c r="CH219" i="1"/>
  <c r="CG219" i="1"/>
  <c r="CF219" i="1"/>
  <c r="CE219" i="1"/>
  <c r="CD219" i="1"/>
  <c r="CC219" i="1"/>
  <c r="CB219" i="1"/>
  <c r="CA219" i="1"/>
  <c r="BZ219" i="1"/>
  <c r="BY219" i="1"/>
  <c r="BX219" i="1"/>
  <c r="BW219" i="1"/>
  <c r="BV219" i="1"/>
  <c r="BU219" i="1"/>
  <c r="BT219" i="1"/>
  <c r="BS219" i="1"/>
  <c r="BR219" i="1"/>
  <c r="BQ219" i="1"/>
  <c r="BP219" i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CS218" i="1"/>
  <c r="CR218" i="1"/>
  <c r="CQ218" i="1"/>
  <c r="CJ218" i="1"/>
  <c r="CD218" i="1"/>
  <c r="CA218" i="1"/>
  <c r="BZ218" i="1"/>
  <c r="BY218" i="1"/>
  <c r="BM218" i="1"/>
  <c r="BK218" i="1"/>
  <c r="BF218" i="1"/>
  <c r="BB218" i="1"/>
  <c r="BA218" i="1"/>
  <c r="AE218" i="1"/>
  <c r="V218" i="1"/>
  <c r="Q218" i="1"/>
  <c r="J218" i="1"/>
  <c r="G218" i="1"/>
  <c r="F218" i="1"/>
  <c r="E218" i="1"/>
  <c r="CU217" i="1"/>
  <c r="CT217" i="1"/>
  <c r="CS217" i="1"/>
  <c r="CR217" i="1"/>
  <c r="CQ217" i="1"/>
  <c r="CP217" i="1"/>
  <c r="CO217" i="1"/>
  <c r="CN217" i="1"/>
  <c r="CM217" i="1"/>
  <c r="CL217" i="1"/>
  <c r="CK217" i="1"/>
  <c r="CJ217" i="1"/>
  <c r="CI217" i="1"/>
  <c r="CH217" i="1"/>
  <c r="CG217" i="1"/>
  <c r="CF217" i="1"/>
  <c r="CE217" i="1"/>
  <c r="CD217" i="1"/>
  <c r="CC217" i="1"/>
  <c r="CB217" i="1"/>
  <c r="CA217" i="1"/>
  <c r="BZ217" i="1"/>
  <c r="BY217" i="1"/>
  <c r="BX217" i="1"/>
  <c r="BW217" i="1"/>
  <c r="BV217" i="1"/>
  <c r="BU217" i="1"/>
  <c r="BT217" i="1"/>
  <c r="BS217" i="1"/>
  <c r="BR217" i="1"/>
  <c r="BQ217" i="1"/>
  <c r="BP217" i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CU216" i="1"/>
  <c r="CT216" i="1"/>
  <c r="CS216" i="1"/>
  <c r="CR216" i="1"/>
  <c r="CQ216" i="1"/>
  <c r="CP216" i="1"/>
  <c r="CO216" i="1"/>
  <c r="CN216" i="1"/>
  <c r="CM216" i="1"/>
  <c r="CL216" i="1"/>
  <c r="CK216" i="1"/>
  <c r="CJ216" i="1"/>
  <c r="CI216" i="1"/>
  <c r="CH216" i="1"/>
  <c r="CG216" i="1"/>
  <c r="CF216" i="1"/>
  <c r="CE216" i="1"/>
  <c r="CD216" i="1"/>
  <c r="CC216" i="1"/>
  <c r="CB216" i="1"/>
  <c r="CA216" i="1"/>
  <c r="BZ216" i="1"/>
  <c r="BY216" i="1"/>
  <c r="BX216" i="1"/>
  <c r="BW216" i="1"/>
  <c r="BV216" i="1"/>
  <c r="BU216" i="1"/>
  <c r="BT216" i="1"/>
  <c r="BS216" i="1"/>
  <c r="BR216" i="1"/>
  <c r="BQ216" i="1"/>
  <c r="BP216" i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CS215" i="1"/>
  <c r="CR215" i="1"/>
  <c r="CJ215" i="1"/>
  <c r="CD215" i="1"/>
  <c r="CA215" i="1"/>
  <c r="BZ215" i="1"/>
  <c r="BY215" i="1"/>
  <c r="BM215" i="1"/>
  <c r="BK215" i="1"/>
  <c r="BF215" i="1"/>
  <c r="BB215" i="1"/>
  <c r="BA215" i="1"/>
  <c r="AE215" i="1"/>
  <c r="V215" i="1"/>
  <c r="Q215" i="1"/>
  <c r="J215" i="1"/>
  <c r="G215" i="1"/>
  <c r="F215" i="1"/>
  <c r="E215" i="1"/>
  <c r="CS214" i="1"/>
  <c r="CR214" i="1"/>
  <c r="CJ214" i="1"/>
  <c r="CD214" i="1"/>
  <c r="CA214" i="1"/>
  <c r="BZ214" i="1"/>
  <c r="BY214" i="1"/>
  <c r="BM214" i="1"/>
  <c r="BK214" i="1"/>
  <c r="BF214" i="1"/>
  <c r="BB214" i="1"/>
  <c r="BA214" i="1"/>
  <c r="AE214" i="1"/>
  <c r="V214" i="1"/>
  <c r="Q214" i="1"/>
  <c r="J214" i="1"/>
  <c r="G214" i="1"/>
  <c r="F214" i="1"/>
  <c r="E214" i="1"/>
  <c r="CU213" i="1"/>
  <c r="CT213" i="1"/>
  <c r="CS213" i="1"/>
  <c r="CR213" i="1"/>
  <c r="CQ213" i="1"/>
  <c r="CP213" i="1"/>
  <c r="CO213" i="1"/>
  <c r="CN213" i="1"/>
  <c r="CM213" i="1"/>
  <c r="CL213" i="1"/>
  <c r="CK213" i="1"/>
  <c r="CJ213" i="1"/>
  <c r="CI213" i="1"/>
  <c r="CH213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CU212" i="1"/>
  <c r="CT212" i="1"/>
  <c r="CS212" i="1"/>
  <c r="CR212" i="1"/>
  <c r="CQ212" i="1"/>
  <c r="CP212" i="1"/>
  <c r="CO212" i="1"/>
  <c r="CN212" i="1"/>
  <c r="CM212" i="1"/>
  <c r="CL212" i="1"/>
  <c r="CK212" i="1"/>
  <c r="CJ212" i="1"/>
  <c r="CI212" i="1"/>
  <c r="CH212" i="1"/>
  <c r="CG212" i="1"/>
  <c r="CF212" i="1"/>
  <c r="CE212" i="1"/>
  <c r="CD212" i="1"/>
  <c r="CC212" i="1"/>
  <c r="CB212" i="1"/>
  <c r="CA212" i="1"/>
  <c r="BZ212" i="1"/>
  <c r="BY212" i="1"/>
  <c r="BX212" i="1"/>
  <c r="BW212" i="1"/>
  <c r="BV212" i="1"/>
  <c r="BU212" i="1"/>
  <c r="BT212" i="1"/>
  <c r="BS212" i="1"/>
  <c r="BR212" i="1"/>
  <c r="BQ212" i="1"/>
  <c r="BP212" i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CS211" i="1"/>
  <c r="CR211" i="1"/>
  <c r="CP211" i="1"/>
  <c r="CO211" i="1"/>
  <c r="CJ211" i="1"/>
  <c r="CD211" i="1"/>
  <c r="CA211" i="1"/>
  <c r="BZ211" i="1"/>
  <c r="BY211" i="1"/>
  <c r="BM211" i="1"/>
  <c r="BK211" i="1"/>
  <c r="BF211" i="1"/>
  <c r="BB211" i="1"/>
  <c r="BA211" i="1"/>
  <c r="AE211" i="1"/>
  <c r="V211" i="1"/>
  <c r="Q211" i="1"/>
  <c r="J211" i="1"/>
  <c r="G211" i="1"/>
  <c r="F211" i="1"/>
  <c r="E211" i="1"/>
  <c r="CU210" i="1"/>
  <c r="CT210" i="1"/>
  <c r="CS210" i="1"/>
  <c r="CR210" i="1"/>
  <c r="CQ210" i="1"/>
  <c r="CP210" i="1"/>
  <c r="CO210" i="1"/>
  <c r="CN210" i="1"/>
  <c r="CM210" i="1"/>
  <c r="CL210" i="1"/>
  <c r="CK210" i="1"/>
  <c r="CJ210" i="1"/>
  <c r="CI210" i="1"/>
  <c r="CH210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CU209" i="1"/>
  <c r="CT209" i="1"/>
  <c r="CS209" i="1"/>
  <c r="CR209" i="1"/>
  <c r="CQ209" i="1"/>
  <c r="CP209" i="1"/>
  <c r="CO209" i="1"/>
  <c r="CN209" i="1"/>
  <c r="CM209" i="1"/>
  <c r="CL209" i="1"/>
  <c r="CK209" i="1"/>
  <c r="CJ209" i="1"/>
  <c r="CI209" i="1"/>
  <c r="CH209" i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CS208" i="1"/>
  <c r="CR208" i="1"/>
  <c r="CJ208" i="1"/>
  <c r="CD208" i="1"/>
  <c r="CA208" i="1"/>
  <c r="BZ208" i="1"/>
  <c r="BY208" i="1"/>
  <c r="BM208" i="1"/>
  <c r="BK208" i="1"/>
  <c r="BF208" i="1"/>
  <c r="BB208" i="1"/>
  <c r="BA208" i="1"/>
  <c r="AE208" i="1"/>
  <c r="V208" i="1"/>
  <c r="Q208" i="1"/>
  <c r="J208" i="1"/>
  <c r="G208" i="1"/>
  <c r="F208" i="1"/>
  <c r="E208" i="1"/>
  <c r="CU207" i="1"/>
  <c r="CT207" i="1"/>
  <c r="CS207" i="1"/>
  <c r="CR207" i="1"/>
  <c r="CQ207" i="1"/>
  <c r="CP207" i="1"/>
  <c r="CO207" i="1"/>
  <c r="CN207" i="1"/>
  <c r="CM207" i="1"/>
  <c r="CL207" i="1"/>
  <c r="CK207" i="1"/>
  <c r="CJ207" i="1"/>
  <c r="CI207" i="1"/>
  <c r="CH207" i="1"/>
  <c r="CG207" i="1"/>
  <c r="CF207" i="1"/>
  <c r="CE207" i="1"/>
  <c r="CD207" i="1"/>
  <c r="CC207" i="1"/>
  <c r="CB207" i="1"/>
  <c r="CA207" i="1"/>
  <c r="BZ207" i="1"/>
  <c r="BY207" i="1"/>
  <c r="BX207" i="1"/>
  <c r="BW207" i="1"/>
  <c r="BV207" i="1"/>
  <c r="BU207" i="1"/>
  <c r="BT207" i="1"/>
  <c r="BS207" i="1"/>
  <c r="BR207" i="1"/>
  <c r="BQ207" i="1"/>
  <c r="BP207" i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CU206" i="1"/>
  <c r="CT206" i="1"/>
  <c r="CS206" i="1"/>
  <c r="CR206" i="1"/>
  <c r="CQ206" i="1"/>
  <c r="CP206" i="1"/>
  <c r="CO206" i="1"/>
  <c r="CN206" i="1"/>
  <c r="CM206" i="1"/>
  <c r="CL206" i="1"/>
  <c r="CK206" i="1"/>
  <c r="CJ206" i="1"/>
  <c r="CI206" i="1"/>
  <c r="CH206" i="1"/>
  <c r="CG206" i="1"/>
  <c r="CF206" i="1"/>
  <c r="CE206" i="1"/>
  <c r="CD206" i="1"/>
  <c r="CC206" i="1"/>
  <c r="CB206" i="1"/>
  <c r="CA206" i="1"/>
  <c r="BZ206" i="1"/>
  <c r="BY206" i="1"/>
  <c r="BX206" i="1"/>
  <c r="BW206" i="1"/>
  <c r="BV206" i="1"/>
  <c r="BU206" i="1"/>
  <c r="BT206" i="1"/>
  <c r="BS206" i="1"/>
  <c r="BR206" i="1"/>
  <c r="BQ206" i="1"/>
  <c r="BP206" i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CS205" i="1"/>
  <c r="CR205" i="1"/>
  <c r="CJ205" i="1"/>
  <c r="CD205" i="1"/>
  <c r="CA205" i="1"/>
  <c r="BZ205" i="1"/>
  <c r="BY205" i="1"/>
  <c r="BM205" i="1"/>
  <c r="BK205" i="1"/>
  <c r="BF205" i="1"/>
  <c r="BB205" i="1"/>
  <c r="BA205" i="1"/>
  <c r="AE205" i="1"/>
  <c r="V205" i="1"/>
  <c r="Q205" i="1"/>
  <c r="J205" i="1"/>
  <c r="G205" i="1"/>
  <c r="F205" i="1"/>
  <c r="E205" i="1"/>
  <c r="CU204" i="1"/>
  <c r="CT204" i="1"/>
  <c r="CS204" i="1"/>
  <c r="CR204" i="1"/>
  <c r="CQ204" i="1"/>
  <c r="CP204" i="1"/>
  <c r="CO204" i="1"/>
  <c r="CN204" i="1"/>
  <c r="CM204" i="1"/>
  <c r="CL204" i="1"/>
  <c r="CK204" i="1"/>
  <c r="CJ204" i="1"/>
  <c r="CI204" i="1"/>
  <c r="CH204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S203" i="1"/>
  <c r="CR203" i="1"/>
  <c r="CJ203" i="1"/>
  <c r="CD203" i="1"/>
  <c r="CA203" i="1"/>
  <c r="BZ203" i="1"/>
  <c r="BY203" i="1"/>
  <c r="BM203" i="1"/>
  <c r="BK203" i="1"/>
  <c r="BF203" i="1"/>
  <c r="BB203" i="1"/>
  <c r="BA203" i="1"/>
  <c r="AE203" i="1"/>
  <c r="V203" i="1"/>
  <c r="Q203" i="1"/>
  <c r="J203" i="1"/>
  <c r="G203" i="1"/>
  <c r="F203" i="1"/>
  <c r="E203" i="1"/>
  <c r="CS202" i="1"/>
  <c r="CR202" i="1"/>
  <c r="CJ202" i="1"/>
  <c r="CD202" i="1"/>
  <c r="CA202" i="1"/>
  <c r="BZ202" i="1"/>
  <c r="BY202" i="1"/>
  <c r="BX202" i="1"/>
  <c r="BM202" i="1"/>
  <c r="BK202" i="1"/>
  <c r="BF202" i="1"/>
  <c r="BB202" i="1"/>
  <c r="BA202" i="1"/>
  <c r="AE202" i="1"/>
  <c r="V202" i="1"/>
  <c r="Q202" i="1"/>
  <c r="J202" i="1"/>
  <c r="G202" i="1"/>
  <c r="F202" i="1"/>
  <c r="E202" i="1"/>
  <c r="CS201" i="1"/>
  <c r="CR201" i="1"/>
  <c r="CJ201" i="1"/>
  <c r="CD201" i="1"/>
  <c r="CA201" i="1"/>
  <c r="BZ201" i="1"/>
  <c r="BY201" i="1"/>
  <c r="BW201" i="1"/>
  <c r="BM201" i="1"/>
  <c r="BK201" i="1"/>
  <c r="BF201" i="1"/>
  <c r="BB201" i="1"/>
  <c r="BA201" i="1"/>
  <c r="AE201" i="1"/>
  <c r="V201" i="1"/>
  <c r="Q201" i="1"/>
  <c r="J201" i="1"/>
  <c r="G201" i="1"/>
  <c r="F201" i="1"/>
  <c r="E201" i="1"/>
  <c r="CS200" i="1"/>
  <c r="CR200" i="1"/>
  <c r="CJ200" i="1"/>
  <c r="CD200" i="1"/>
  <c r="CA200" i="1"/>
  <c r="BZ200" i="1"/>
  <c r="BY200" i="1"/>
  <c r="BW200" i="1"/>
  <c r="BM200" i="1"/>
  <c r="BK200" i="1"/>
  <c r="BF200" i="1"/>
  <c r="BB200" i="1"/>
  <c r="BA200" i="1"/>
  <c r="AE200" i="1"/>
  <c r="V200" i="1"/>
  <c r="Q200" i="1"/>
  <c r="J200" i="1"/>
  <c r="G200" i="1"/>
  <c r="F200" i="1"/>
  <c r="E200" i="1"/>
  <c r="CS199" i="1"/>
  <c r="CR199" i="1"/>
  <c r="CJ199" i="1"/>
  <c r="CD199" i="1"/>
  <c r="CA199" i="1"/>
  <c r="BZ199" i="1"/>
  <c r="BY199" i="1"/>
  <c r="BX199" i="1"/>
  <c r="BW199" i="1"/>
  <c r="BV199" i="1"/>
  <c r="BM199" i="1"/>
  <c r="BK199" i="1"/>
  <c r="BF199" i="1"/>
  <c r="BB199" i="1"/>
  <c r="BA199" i="1"/>
  <c r="AE199" i="1"/>
  <c r="V199" i="1"/>
  <c r="Q199" i="1"/>
  <c r="J199" i="1"/>
  <c r="G199" i="1"/>
  <c r="F199" i="1"/>
  <c r="E199" i="1"/>
  <c r="CS198" i="1"/>
  <c r="CR198" i="1"/>
  <c r="CJ198" i="1"/>
  <c r="CD198" i="1"/>
  <c r="CA198" i="1"/>
  <c r="BZ198" i="1"/>
  <c r="BY198" i="1"/>
  <c r="BM198" i="1"/>
  <c r="BK198" i="1"/>
  <c r="BF198" i="1"/>
  <c r="BB198" i="1"/>
  <c r="BA198" i="1"/>
  <c r="AE198" i="1"/>
  <c r="V198" i="1"/>
  <c r="Q198" i="1"/>
  <c r="J198" i="1"/>
  <c r="G198" i="1"/>
  <c r="F198" i="1"/>
  <c r="E198" i="1"/>
  <c r="CS197" i="1"/>
  <c r="CR197" i="1"/>
  <c r="CJ197" i="1"/>
  <c r="CD197" i="1"/>
  <c r="CA197" i="1"/>
  <c r="BZ197" i="1"/>
  <c r="BY197" i="1"/>
  <c r="BM197" i="1"/>
  <c r="BK197" i="1"/>
  <c r="BF197" i="1"/>
  <c r="BB197" i="1"/>
  <c r="BA197" i="1"/>
  <c r="AE197" i="1"/>
  <c r="V197" i="1"/>
  <c r="Q197" i="1"/>
  <c r="J197" i="1"/>
  <c r="G197" i="1"/>
  <c r="F197" i="1"/>
  <c r="E197" i="1"/>
  <c r="CU196" i="1"/>
  <c r="CT196" i="1"/>
  <c r="CS196" i="1"/>
  <c r="CR196" i="1"/>
  <c r="CQ196" i="1"/>
  <c r="CP196" i="1"/>
  <c r="CO196" i="1"/>
  <c r="CN196" i="1"/>
  <c r="CM196" i="1"/>
  <c r="CL196" i="1"/>
  <c r="CK196" i="1"/>
  <c r="CJ196" i="1"/>
  <c r="CI196" i="1"/>
  <c r="CH196" i="1"/>
  <c r="CG196" i="1"/>
  <c r="CF196" i="1"/>
  <c r="CE196" i="1"/>
  <c r="CD196" i="1"/>
  <c r="CC196" i="1"/>
  <c r="CB196" i="1"/>
  <c r="CA196" i="1"/>
  <c r="BZ196" i="1"/>
  <c r="BY196" i="1"/>
  <c r="BX196" i="1"/>
  <c r="BW196" i="1"/>
  <c r="BV196" i="1"/>
  <c r="BU196" i="1"/>
  <c r="BT196" i="1"/>
  <c r="BS196" i="1"/>
  <c r="BR196" i="1"/>
  <c r="BQ196" i="1"/>
  <c r="BP196" i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CS195" i="1"/>
  <c r="CR195" i="1"/>
  <c r="CJ195" i="1"/>
  <c r="CD195" i="1"/>
  <c r="CA195" i="1"/>
  <c r="BZ195" i="1"/>
  <c r="BY195" i="1"/>
  <c r="BM195" i="1"/>
  <c r="BK195" i="1"/>
  <c r="BF195" i="1"/>
  <c r="BB195" i="1"/>
  <c r="BA195" i="1"/>
  <c r="AE195" i="1"/>
  <c r="V195" i="1"/>
  <c r="Q195" i="1"/>
  <c r="J195" i="1"/>
  <c r="G195" i="1"/>
  <c r="F195" i="1"/>
  <c r="E195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CS193" i="1"/>
  <c r="CR193" i="1"/>
  <c r="CJ193" i="1"/>
  <c r="CD193" i="1"/>
  <c r="CA193" i="1"/>
  <c r="BZ193" i="1"/>
  <c r="BY193" i="1"/>
  <c r="BM193" i="1"/>
  <c r="BK193" i="1"/>
  <c r="BF193" i="1"/>
  <c r="BB193" i="1"/>
  <c r="BA193" i="1"/>
  <c r="AE193" i="1"/>
  <c r="V193" i="1"/>
  <c r="Q193" i="1"/>
  <c r="J193" i="1"/>
  <c r="G193" i="1"/>
  <c r="F193" i="1"/>
  <c r="E193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CS191" i="1"/>
  <c r="CR191" i="1"/>
  <c r="CJ191" i="1"/>
  <c r="CD191" i="1"/>
  <c r="CA191" i="1"/>
  <c r="BZ191" i="1"/>
  <c r="BY191" i="1"/>
  <c r="BM191" i="1"/>
  <c r="BK191" i="1"/>
  <c r="BF191" i="1"/>
  <c r="BB191" i="1"/>
  <c r="BA191" i="1"/>
  <c r="AE191" i="1"/>
  <c r="V191" i="1"/>
  <c r="Q191" i="1"/>
  <c r="J191" i="1"/>
  <c r="G191" i="1"/>
  <c r="F191" i="1"/>
  <c r="E191" i="1"/>
  <c r="CU190" i="1"/>
  <c r="CT190" i="1"/>
  <c r="CS190" i="1"/>
  <c r="CR190" i="1"/>
  <c r="CQ190" i="1"/>
  <c r="CP190" i="1"/>
  <c r="CO190" i="1"/>
  <c r="CN190" i="1"/>
  <c r="CM190" i="1"/>
  <c r="CL190" i="1"/>
  <c r="CK190" i="1"/>
  <c r="CJ190" i="1"/>
  <c r="CI190" i="1"/>
  <c r="CH190" i="1"/>
  <c r="CG190" i="1"/>
  <c r="CF190" i="1"/>
  <c r="CE190" i="1"/>
  <c r="CD190" i="1"/>
  <c r="CC190" i="1"/>
  <c r="CB190" i="1"/>
  <c r="CA190" i="1"/>
  <c r="BZ190" i="1"/>
  <c r="BY190" i="1"/>
  <c r="BX190" i="1"/>
  <c r="BW190" i="1"/>
  <c r="BV190" i="1"/>
  <c r="BU190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CS189" i="1"/>
  <c r="CR189" i="1"/>
  <c r="CJ189" i="1"/>
  <c r="CD189" i="1"/>
  <c r="CA189" i="1"/>
  <c r="BZ189" i="1"/>
  <c r="BY189" i="1"/>
  <c r="BW189" i="1"/>
  <c r="BT189" i="1"/>
  <c r="BM189" i="1"/>
  <c r="BK189" i="1"/>
  <c r="BF189" i="1"/>
  <c r="BB189" i="1"/>
  <c r="BA189" i="1"/>
  <c r="AE189" i="1"/>
  <c r="V189" i="1"/>
  <c r="Q189" i="1"/>
  <c r="J189" i="1"/>
  <c r="G189" i="1"/>
  <c r="F189" i="1"/>
  <c r="E189" i="1"/>
  <c r="CU188" i="1"/>
  <c r="CT188" i="1"/>
  <c r="CS188" i="1"/>
  <c r="CR188" i="1"/>
  <c r="CQ188" i="1"/>
  <c r="CP188" i="1"/>
  <c r="CO188" i="1"/>
  <c r="CN188" i="1"/>
  <c r="CM188" i="1"/>
  <c r="CL188" i="1"/>
  <c r="CK188" i="1"/>
  <c r="CJ188" i="1"/>
  <c r="CI188" i="1"/>
  <c r="CH188" i="1"/>
  <c r="CG188" i="1"/>
  <c r="CF188" i="1"/>
  <c r="CE188" i="1"/>
  <c r="CD188" i="1"/>
  <c r="CC188" i="1"/>
  <c r="CB188" i="1"/>
  <c r="CA188" i="1"/>
  <c r="BZ188" i="1"/>
  <c r="BY188" i="1"/>
  <c r="BX188" i="1"/>
  <c r="BW188" i="1"/>
  <c r="BV188" i="1"/>
  <c r="BU188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CS187" i="1"/>
  <c r="CR187" i="1"/>
  <c r="CJ187" i="1"/>
  <c r="CD187" i="1"/>
  <c r="CA187" i="1"/>
  <c r="BZ187" i="1"/>
  <c r="BY187" i="1"/>
  <c r="BM187" i="1"/>
  <c r="BK187" i="1"/>
  <c r="BF187" i="1"/>
  <c r="BB187" i="1"/>
  <c r="BA187" i="1"/>
  <c r="AE187" i="1"/>
  <c r="V187" i="1"/>
  <c r="Q187" i="1"/>
  <c r="J187" i="1"/>
  <c r="G187" i="1"/>
  <c r="F187" i="1"/>
  <c r="E187" i="1"/>
  <c r="CS186" i="1"/>
  <c r="CR186" i="1"/>
  <c r="CJ186" i="1"/>
  <c r="CD186" i="1"/>
  <c r="CA186" i="1"/>
  <c r="BZ186" i="1"/>
  <c r="BY186" i="1"/>
  <c r="BM186" i="1"/>
  <c r="BK186" i="1"/>
  <c r="BF186" i="1"/>
  <c r="BB186" i="1"/>
  <c r="BA186" i="1"/>
  <c r="AE186" i="1"/>
  <c r="V186" i="1"/>
  <c r="Q186" i="1"/>
  <c r="J186" i="1"/>
  <c r="H186" i="1"/>
  <c r="G186" i="1"/>
  <c r="F186" i="1"/>
  <c r="E186" i="1"/>
  <c r="CS185" i="1"/>
  <c r="CR185" i="1"/>
  <c r="CJ185" i="1"/>
  <c r="CD185" i="1"/>
  <c r="CA185" i="1"/>
  <c r="BZ185" i="1"/>
  <c r="BY185" i="1"/>
  <c r="BM185" i="1"/>
  <c r="BK185" i="1"/>
  <c r="BF185" i="1"/>
  <c r="BB185" i="1"/>
  <c r="BA185" i="1"/>
  <c r="AE185" i="1"/>
  <c r="V185" i="1"/>
  <c r="Q185" i="1"/>
  <c r="J185" i="1"/>
  <c r="G185" i="1"/>
  <c r="F185" i="1"/>
  <c r="E185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CS183" i="1"/>
  <c r="CR183" i="1"/>
  <c r="CJ183" i="1"/>
  <c r="CD183" i="1"/>
  <c r="CA183" i="1"/>
  <c r="BZ183" i="1"/>
  <c r="BY183" i="1"/>
  <c r="BX183" i="1"/>
  <c r="BM183" i="1"/>
  <c r="BK183" i="1"/>
  <c r="BF183" i="1"/>
  <c r="BB183" i="1"/>
  <c r="BA183" i="1"/>
  <c r="AE183" i="1"/>
  <c r="V183" i="1"/>
  <c r="Q183" i="1"/>
  <c r="J183" i="1"/>
  <c r="G183" i="1"/>
  <c r="F183" i="1"/>
  <c r="E183" i="1"/>
  <c r="CS182" i="1"/>
  <c r="CR182" i="1"/>
  <c r="CJ182" i="1"/>
  <c r="CD182" i="1"/>
  <c r="CA182" i="1"/>
  <c r="BZ182" i="1"/>
  <c r="BY182" i="1"/>
  <c r="BX182" i="1"/>
  <c r="BW182" i="1"/>
  <c r="BN182" i="1"/>
  <c r="BM182" i="1"/>
  <c r="BK182" i="1"/>
  <c r="BF182" i="1"/>
  <c r="BB182" i="1"/>
  <c r="BA182" i="1"/>
  <c r="AE182" i="1"/>
  <c r="V182" i="1"/>
  <c r="Q182" i="1"/>
  <c r="J182" i="1"/>
  <c r="G182" i="1"/>
  <c r="F182" i="1"/>
  <c r="E182" i="1"/>
  <c r="CU181" i="1"/>
  <c r="CT181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CS180" i="1"/>
  <c r="CR180" i="1"/>
  <c r="CJ180" i="1"/>
  <c r="CD180" i="1"/>
  <c r="CA180" i="1"/>
  <c r="BZ180" i="1"/>
  <c r="BY180" i="1"/>
  <c r="BM180" i="1"/>
  <c r="BK180" i="1"/>
  <c r="BF180" i="1"/>
  <c r="BB180" i="1"/>
  <c r="BA180" i="1"/>
  <c r="AE180" i="1"/>
  <c r="V180" i="1"/>
  <c r="Q180" i="1"/>
  <c r="J180" i="1"/>
  <c r="G180" i="1"/>
  <c r="F180" i="1"/>
  <c r="E180" i="1"/>
  <c r="CU179" i="1"/>
  <c r="CT179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CS178" i="1"/>
  <c r="CR178" i="1"/>
  <c r="CJ178" i="1"/>
  <c r="CD178" i="1"/>
  <c r="CA178" i="1"/>
  <c r="BZ178" i="1"/>
  <c r="BY178" i="1"/>
  <c r="BM178" i="1"/>
  <c r="BK178" i="1"/>
  <c r="BF178" i="1"/>
  <c r="BB178" i="1"/>
  <c r="BA178" i="1"/>
  <c r="AV178" i="1"/>
  <c r="AE178" i="1"/>
  <c r="V178" i="1"/>
  <c r="Q178" i="1"/>
  <c r="J178" i="1"/>
  <c r="G178" i="1"/>
  <c r="F178" i="1"/>
  <c r="E178" i="1"/>
  <c r="CU177" i="1"/>
  <c r="CT177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CS176" i="1"/>
  <c r="CR176" i="1"/>
  <c r="CJ176" i="1"/>
  <c r="CD176" i="1"/>
  <c r="CA176" i="1"/>
  <c r="BZ176" i="1"/>
  <c r="BY176" i="1"/>
  <c r="BM176" i="1"/>
  <c r="BK176" i="1"/>
  <c r="BF176" i="1"/>
  <c r="BB176" i="1"/>
  <c r="BA176" i="1"/>
  <c r="AE176" i="1"/>
  <c r="V176" i="1"/>
  <c r="Q176" i="1"/>
  <c r="J176" i="1"/>
  <c r="I176" i="1"/>
  <c r="H176" i="1"/>
  <c r="G176" i="1"/>
  <c r="F176" i="1"/>
  <c r="E176" i="1"/>
  <c r="CS175" i="1"/>
  <c r="CR175" i="1"/>
  <c r="CJ175" i="1"/>
  <c r="CD175" i="1"/>
  <c r="CA175" i="1"/>
  <c r="BZ175" i="1"/>
  <c r="BY175" i="1"/>
  <c r="BM175" i="1"/>
  <c r="BK175" i="1"/>
  <c r="BF175" i="1"/>
  <c r="BB175" i="1"/>
  <c r="BA175" i="1"/>
  <c r="AE175" i="1"/>
  <c r="V175" i="1"/>
  <c r="Q175" i="1"/>
  <c r="J175" i="1"/>
  <c r="G175" i="1"/>
  <c r="F175" i="1"/>
  <c r="E175" i="1"/>
  <c r="CU174" i="1"/>
  <c r="CT174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CS173" i="1"/>
  <c r="CR173" i="1"/>
  <c r="CJ173" i="1"/>
  <c r="CD173" i="1"/>
  <c r="CA173" i="1"/>
  <c r="BZ173" i="1"/>
  <c r="BY173" i="1"/>
  <c r="BM173" i="1"/>
  <c r="BK173" i="1"/>
  <c r="BF173" i="1"/>
  <c r="BB173" i="1"/>
  <c r="BA173" i="1"/>
  <c r="AE173" i="1"/>
  <c r="AA173" i="1"/>
  <c r="V173" i="1"/>
  <c r="Q173" i="1"/>
  <c r="J173" i="1"/>
  <c r="I173" i="1"/>
  <c r="H173" i="1"/>
  <c r="G173" i="1"/>
  <c r="F173" i="1"/>
  <c r="E173" i="1"/>
  <c r="CS172" i="1"/>
  <c r="CR172" i="1"/>
  <c r="CJ172" i="1"/>
  <c r="CD172" i="1"/>
  <c r="CA172" i="1"/>
  <c r="BZ172" i="1"/>
  <c r="BY172" i="1"/>
  <c r="BM172" i="1"/>
  <c r="BK172" i="1"/>
  <c r="BF172" i="1"/>
  <c r="BB172" i="1"/>
  <c r="BA172" i="1"/>
  <c r="AZ172" i="1"/>
  <c r="AH172" i="1"/>
  <c r="AE172" i="1"/>
  <c r="V172" i="1"/>
  <c r="Q172" i="1"/>
  <c r="K172" i="1"/>
  <c r="J172" i="1"/>
  <c r="I172" i="1"/>
  <c r="H172" i="1"/>
  <c r="G172" i="1"/>
  <c r="F172" i="1"/>
  <c r="E172" i="1"/>
  <c r="CU171" i="1"/>
  <c r="CT171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CS170" i="1"/>
  <c r="CR170" i="1"/>
  <c r="CJ170" i="1"/>
  <c r="CD170" i="1"/>
  <c r="CA170" i="1"/>
  <c r="BZ170" i="1"/>
  <c r="BY170" i="1"/>
  <c r="BM170" i="1"/>
  <c r="BK170" i="1"/>
  <c r="BF170" i="1"/>
  <c r="BB170" i="1"/>
  <c r="BA170" i="1"/>
  <c r="AZ170" i="1"/>
  <c r="AU170" i="1"/>
  <c r="AH170" i="1"/>
  <c r="AE170" i="1"/>
  <c r="V170" i="1"/>
  <c r="Q170" i="1"/>
  <c r="M170" i="1"/>
  <c r="L170" i="1"/>
  <c r="K170" i="1"/>
  <c r="J170" i="1"/>
  <c r="I170" i="1"/>
  <c r="H170" i="1"/>
  <c r="G170" i="1"/>
  <c r="F170" i="1"/>
  <c r="E170" i="1"/>
  <c r="CU169" i="1"/>
  <c r="CT169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CU168" i="1"/>
  <c r="CT168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CS167" i="1"/>
  <c r="CR167" i="1"/>
  <c r="CJ167" i="1"/>
  <c r="CD167" i="1"/>
  <c r="CA167" i="1"/>
  <c r="BZ167" i="1"/>
  <c r="BY167" i="1"/>
  <c r="BM167" i="1"/>
  <c r="BK167" i="1"/>
  <c r="BF167" i="1"/>
  <c r="BB167" i="1"/>
  <c r="BA167" i="1"/>
  <c r="AE167" i="1"/>
  <c r="V167" i="1"/>
  <c r="Q167" i="1"/>
  <c r="J167" i="1"/>
  <c r="G167" i="1"/>
  <c r="F167" i="1"/>
  <c r="E167" i="1"/>
  <c r="CS166" i="1"/>
  <c r="CR166" i="1"/>
  <c r="CJ166" i="1"/>
  <c r="CD166" i="1"/>
  <c r="CA166" i="1"/>
  <c r="BZ166" i="1"/>
  <c r="BY166" i="1"/>
  <c r="BM166" i="1"/>
  <c r="BK166" i="1"/>
  <c r="BF166" i="1"/>
  <c r="BB166" i="1"/>
  <c r="BA166" i="1"/>
  <c r="AE166" i="1"/>
  <c r="V166" i="1"/>
  <c r="Q166" i="1"/>
  <c r="J166" i="1"/>
  <c r="I166" i="1"/>
  <c r="H166" i="1"/>
  <c r="G166" i="1"/>
  <c r="F166" i="1"/>
  <c r="E166" i="1"/>
  <c r="CU165" i="1"/>
  <c r="CT165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CS164" i="1"/>
  <c r="CR164" i="1"/>
  <c r="CJ164" i="1"/>
  <c r="CD164" i="1"/>
  <c r="CA164" i="1"/>
  <c r="BZ164" i="1"/>
  <c r="BY164" i="1"/>
  <c r="BM164" i="1"/>
  <c r="BK164" i="1"/>
  <c r="BF164" i="1"/>
  <c r="BB164" i="1"/>
  <c r="BA164" i="1"/>
  <c r="AZ164" i="1"/>
  <c r="AE164" i="1"/>
  <c r="V164" i="1"/>
  <c r="Q164" i="1"/>
  <c r="J164" i="1"/>
  <c r="G164" i="1"/>
  <c r="F164" i="1"/>
  <c r="E164" i="1"/>
  <c r="CS163" i="1"/>
  <c r="CR163" i="1"/>
  <c r="CJ163" i="1"/>
  <c r="CD163" i="1"/>
  <c r="CA163" i="1"/>
  <c r="BZ163" i="1"/>
  <c r="BY163" i="1"/>
  <c r="BM163" i="1"/>
  <c r="BK163" i="1"/>
  <c r="BF163" i="1"/>
  <c r="BB163" i="1"/>
  <c r="BA163" i="1"/>
  <c r="AE163" i="1"/>
  <c r="V163" i="1"/>
  <c r="Q163" i="1"/>
  <c r="J163" i="1"/>
  <c r="G163" i="1"/>
  <c r="F163" i="1"/>
  <c r="E163" i="1"/>
  <c r="CU162" i="1"/>
  <c r="CT162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CU161" i="1"/>
  <c r="CT161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CS160" i="1"/>
  <c r="CR160" i="1"/>
  <c r="CJ160" i="1"/>
  <c r="CD160" i="1"/>
  <c r="CA160" i="1"/>
  <c r="BZ160" i="1"/>
  <c r="BY160" i="1"/>
  <c r="BM160" i="1"/>
  <c r="BK160" i="1"/>
  <c r="BF160" i="1"/>
  <c r="BB160" i="1"/>
  <c r="BA160" i="1"/>
  <c r="AZ160" i="1"/>
  <c r="AE160" i="1"/>
  <c r="V160" i="1"/>
  <c r="Q160" i="1"/>
  <c r="J160" i="1"/>
  <c r="G160" i="1"/>
  <c r="F160" i="1"/>
  <c r="E160" i="1"/>
  <c r="CS159" i="1"/>
  <c r="CR159" i="1"/>
  <c r="CJ159" i="1"/>
  <c r="CD159" i="1"/>
  <c r="CA159" i="1"/>
  <c r="BZ159" i="1"/>
  <c r="BY159" i="1"/>
  <c r="BM159" i="1"/>
  <c r="BK159" i="1"/>
  <c r="BF159" i="1"/>
  <c r="BB159" i="1"/>
  <c r="BA159" i="1"/>
  <c r="AE159" i="1"/>
  <c r="V159" i="1"/>
  <c r="Q159" i="1"/>
  <c r="J159" i="1"/>
  <c r="I159" i="1"/>
  <c r="H159" i="1"/>
  <c r="G159" i="1"/>
  <c r="F159" i="1"/>
  <c r="E159" i="1"/>
  <c r="CS158" i="1"/>
  <c r="CR158" i="1"/>
  <c r="CJ158" i="1"/>
  <c r="CD158" i="1"/>
  <c r="CA158" i="1"/>
  <c r="BZ158" i="1"/>
  <c r="BY158" i="1"/>
  <c r="BM158" i="1"/>
  <c r="BK158" i="1"/>
  <c r="BF158" i="1"/>
  <c r="BB158" i="1"/>
  <c r="BA158" i="1"/>
  <c r="AE158" i="1"/>
  <c r="V158" i="1"/>
  <c r="Q158" i="1"/>
  <c r="J158" i="1"/>
  <c r="G158" i="1"/>
  <c r="F158" i="1"/>
  <c r="E158" i="1"/>
  <c r="CS157" i="1"/>
  <c r="CR157" i="1"/>
  <c r="CJ157" i="1"/>
  <c r="CD157" i="1"/>
  <c r="CA157" i="1"/>
  <c r="BZ157" i="1"/>
  <c r="BY157" i="1"/>
  <c r="BM157" i="1"/>
  <c r="BK157" i="1"/>
  <c r="BF157" i="1"/>
  <c r="BB157" i="1"/>
  <c r="BA157" i="1"/>
  <c r="AZ157" i="1"/>
  <c r="AE157" i="1"/>
  <c r="V157" i="1"/>
  <c r="Q157" i="1"/>
  <c r="P157" i="1"/>
  <c r="K157" i="1"/>
  <c r="J157" i="1"/>
  <c r="G157" i="1"/>
  <c r="F157" i="1"/>
  <c r="E157" i="1"/>
  <c r="CS156" i="1"/>
  <c r="CR156" i="1"/>
  <c r="CJ156" i="1"/>
  <c r="CD156" i="1"/>
  <c r="CA156" i="1"/>
  <c r="BZ156" i="1"/>
  <c r="BY156" i="1"/>
  <c r="BM156" i="1"/>
  <c r="BK156" i="1"/>
  <c r="BF156" i="1"/>
  <c r="BB156" i="1"/>
  <c r="BA156" i="1"/>
  <c r="AE156" i="1"/>
  <c r="V156" i="1"/>
  <c r="Q156" i="1"/>
  <c r="J156" i="1"/>
  <c r="G156" i="1"/>
  <c r="F156" i="1"/>
  <c r="E156" i="1"/>
  <c r="CS155" i="1"/>
  <c r="CR155" i="1"/>
  <c r="CJ155" i="1"/>
  <c r="CD155" i="1"/>
  <c r="CA155" i="1"/>
  <c r="BZ155" i="1"/>
  <c r="BY155" i="1"/>
  <c r="BM155" i="1"/>
  <c r="BK155" i="1"/>
  <c r="BF155" i="1"/>
  <c r="BB155" i="1"/>
  <c r="BA155" i="1"/>
  <c r="AE155" i="1"/>
  <c r="X155" i="1"/>
  <c r="V155" i="1"/>
  <c r="Q155" i="1"/>
  <c r="O155" i="1"/>
  <c r="J155" i="1"/>
  <c r="I155" i="1"/>
  <c r="H155" i="1"/>
  <c r="G155" i="1"/>
  <c r="F155" i="1"/>
  <c r="E155" i="1"/>
  <c r="CU154" i="1"/>
  <c r="CT154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CS153" i="1"/>
  <c r="CR153" i="1"/>
  <c r="CJ153" i="1"/>
  <c r="CD153" i="1"/>
  <c r="CA153" i="1"/>
  <c r="BZ153" i="1"/>
  <c r="BY153" i="1"/>
  <c r="BM153" i="1"/>
  <c r="BK153" i="1"/>
  <c r="BF153" i="1"/>
  <c r="BB153" i="1"/>
  <c r="BA153" i="1"/>
  <c r="AZ153" i="1"/>
  <c r="AE153" i="1"/>
  <c r="V153" i="1"/>
  <c r="Q153" i="1"/>
  <c r="J153" i="1"/>
  <c r="G153" i="1"/>
  <c r="F153" i="1"/>
  <c r="E153" i="1"/>
  <c r="CS152" i="1"/>
  <c r="CR152" i="1"/>
  <c r="CJ152" i="1"/>
  <c r="CD152" i="1"/>
  <c r="CA152" i="1"/>
  <c r="BZ152" i="1"/>
  <c r="BY152" i="1"/>
  <c r="BM152" i="1"/>
  <c r="BK152" i="1"/>
  <c r="BF152" i="1"/>
  <c r="BB152" i="1"/>
  <c r="BA152" i="1"/>
  <c r="AZ152" i="1"/>
  <c r="AE152" i="1"/>
  <c r="V152" i="1"/>
  <c r="Q152" i="1"/>
  <c r="J152" i="1"/>
  <c r="G152" i="1"/>
  <c r="F152" i="1"/>
  <c r="E152" i="1"/>
  <c r="CU151" i="1"/>
  <c r="CT151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CS150" i="1"/>
  <c r="CR150" i="1"/>
  <c r="CJ150" i="1"/>
  <c r="CD150" i="1"/>
  <c r="CA150" i="1"/>
  <c r="BZ150" i="1"/>
  <c r="BY150" i="1"/>
  <c r="BM150" i="1"/>
  <c r="BK150" i="1"/>
  <c r="BF150" i="1"/>
  <c r="BB150" i="1"/>
  <c r="BA150" i="1"/>
  <c r="AE150" i="1"/>
  <c r="V150" i="1"/>
  <c r="Q150" i="1"/>
  <c r="J150" i="1"/>
  <c r="G150" i="1"/>
  <c r="F150" i="1"/>
  <c r="E150" i="1"/>
  <c r="CS149" i="1"/>
  <c r="CR149" i="1"/>
  <c r="CJ149" i="1"/>
  <c r="CD149" i="1"/>
  <c r="CC149" i="1"/>
  <c r="CA149" i="1"/>
  <c r="BZ149" i="1"/>
  <c r="BY149" i="1"/>
  <c r="BM149" i="1"/>
  <c r="BK149" i="1"/>
  <c r="BF149" i="1"/>
  <c r="BB149" i="1"/>
  <c r="BA149" i="1"/>
  <c r="AE149" i="1"/>
  <c r="V149" i="1"/>
  <c r="Q149" i="1"/>
  <c r="P149" i="1"/>
  <c r="J149" i="1"/>
  <c r="G149" i="1"/>
  <c r="F149" i="1"/>
  <c r="E149" i="1"/>
  <c r="CS148" i="1"/>
  <c r="CR148" i="1"/>
  <c r="CJ148" i="1"/>
  <c r="CD148" i="1"/>
  <c r="CA148" i="1"/>
  <c r="BZ148" i="1"/>
  <c r="BY148" i="1"/>
  <c r="BM148" i="1"/>
  <c r="BK148" i="1"/>
  <c r="BF148" i="1"/>
  <c r="BB148" i="1"/>
  <c r="BA148" i="1"/>
  <c r="AE148" i="1"/>
  <c r="X148" i="1"/>
  <c r="V148" i="1"/>
  <c r="Q148" i="1"/>
  <c r="P148" i="1"/>
  <c r="J148" i="1"/>
  <c r="G148" i="1"/>
  <c r="F148" i="1"/>
  <c r="E148" i="1"/>
  <c r="CU147" i="1"/>
  <c r="CT147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CU146" i="1"/>
  <c r="CT146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CS145" i="1"/>
  <c r="CR145" i="1"/>
  <c r="CJ145" i="1"/>
  <c r="CD145" i="1"/>
  <c r="CA145" i="1"/>
  <c r="BZ145" i="1"/>
  <c r="BY145" i="1"/>
  <c r="BM145" i="1"/>
  <c r="BK145" i="1"/>
  <c r="BF145" i="1"/>
  <c r="BB145" i="1"/>
  <c r="BA145" i="1"/>
  <c r="AE145" i="1"/>
  <c r="V145" i="1"/>
  <c r="Q145" i="1"/>
  <c r="J145" i="1"/>
  <c r="G145" i="1"/>
  <c r="F145" i="1"/>
  <c r="E145" i="1"/>
  <c r="CS144" i="1"/>
  <c r="CR144" i="1"/>
  <c r="CJ144" i="1"/>
  <c r="CD144" i="1"/>
  <c r="CA144" i="1"/>
  <c r="BZ144" i="1"/>
  <c r="BY144" i="1"/>
  <c r="BM144" i="1"/>
  <c r="BK144" i="1"/>
  <c r="BF144" i="1"/>
  <c r="BB144" i="1"/>
  <c r="BA144" i="1"/>
  <c r="AE144" i="1"/>
  <c r="V144" i="1"/>
  <c r="Q144" i="1"/>
  <c r="J144" i="1"/>
  <c r="G144" i="1"/>
  <c r="F144" i="1"/>
  <c r="E144" i="1"/>
  <c r="CS143" i="1"/>
  <c r="CR143" i="1"/>
  <c r="CJ143" i="1"/>
  <c r="CD143" i="1"/>
  <c r="CA143" i="1"/>
  <c r="BZ143" i="1"/>
  <c r="BY143" i="1"/>
  <c r="BM143" i="1"/>
  <c r="BK143" i="1"/>
  <c r="BF143" i="1"/>
  <c r="BB143" i="1"/>
  <c r="BA143" i="1"/>
  <c r="AE143" i="1"/>
  <c r="V143" i="1"/>
  <c r="Q143" i="1"/>
  <c r="J143" i="1"/>
  <c r="G143" i="1"/>
  <c r="F143" i="1"/>
  <c r="E143" i="1"/>
  <c r="CU142" i="1"/>
  <c r="CT142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CS141" i="1"/>
  <c r="CR141" i="1"/>
  <c r="CJ141" i="1"/>
  <c r="CD141" i="1"/>
  <c r="CA141" i="1"/>
  <c r="BZ141" i="1"/>
  <c r="BY141" i="1"/>
  <c r="BM141" i="1"/>
  <c r="BK141" i="1"/>
  <c r="BF141" i="1"/>
  <c r="BB141" i="1"/>
  <c r="BA141" i="1"/>
  <c r="AE141" i="1"/>
  <c r="V141" i="1"/>
  <c r="Q141" i="1"/>
  <c r="J141" i="1"/>
  <c r="G141" i="1"/>
  <c r="F141" i="1"/>
  <c r="E141" i="1"/>
  <c r="CU140" i="1"/>
  <c r="CT140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CS139" i="1"/>
  <c r="CR139" i="1"/>
  <c r="CJ139" i="1"/>
  <c r="CD139" i="1"/>
  <c r="CA139" i="1"/>
  <c r="BZ139" i="1"/>
  <c r="BY139" i="1"/>
  <c r="BM139" i="1"/>
  <c r="BK139" i="1"/>
  <c r="BF139" i="1"/>
  <c r="BB139" i="1"/>
  <c r="BA139" i="1"/>
  <c r="AE139" i="1"/>
  <c r="V139" i="1"/>
  <c r="Q139" i="1"/>
  <c r="J139" i="1"/>
  <c r="G139" i="1"/>
  <c r="F139" i="1"/>
  <c r="E139" i="1"/>
  <c r="CU138" i="1"/>
  <c r="CT138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CS137" i="1"/>
  <c r="CR137" i="1"/>
  <c r="CJ137" i="1"/>
  <c r="CD137" i="1"/>
  <c r="CC137" i="1"/>
  <c r="CA137" i="1"/>
  <c r="BZ137" i="1"/>
  <c r="BY137" i="1"/>
  <c r="BM137" i="1"/>
  <c r="BK137" i="1"/>
  <c r="BF137" i="1"/>
  <c r="BB137" i="1"/>
  <c r="BA137" i="1"/>
  <c r="AT137" i="1"/>
  <c r="AS137" i="1"/>
  <c r="AL137" i="1"/>
  <c r="AE137" i="1"/>
  <c r="X137" i="1"/>
  <c r="V137" i="1"/>
  <c r="Q137" i="1"/>
  <c r="P137" i="1"/>
  <c r="O137" i="1"/>
  <c r="M137" i="1"/>
  <c r="J137" i="1"/>
  <c r="I137" i="1"/>
  <c r="H137" i="1"/>
  <c r="G137" i="1"/>
  <c r="F137" i="1"/>
  <c r="E137" i="1"/>
  <c r="CS136" i="1"/>
  <c r="CR136" i="1"/>
  <c r="CJ136" i="1"/>
  <c r="CD136" i="1"/>
  <c r="CA136" i="1"/>
  <c r="BZ136" i="1"/>
  <c r="BY136" i="1"/>
  <c r="BP136" i="1"/>
  <c r="BM136" i="1"/>
  <c r="BK136" i="1"/>
  <c r="BF136" i="1"/>
  <c r="BB136" i="1"/>
  <c r="BA136" i="1"/>
  <c r="AE136" i="1"/>
  <c r="V136" i="1"/>
  <c r="R136" i="1"/>
  <c r="Q136" i="1"/>
  <c r="M136" i="1"/>
  <c r="J136" i="1"/>
  <c r="I136" i="1"/>
  <c r="H136" i="1"/>
  <c r="G136" i="1"/>
  <c r="F136" i="1"/>
  <c r="E136" i="1"/>
  <c r="CS135" i="1"/>
  <c r="CR135" i="1"/>
  <c r="CJ135" i="1"/>
  <c r="CD135" i="1"/>
  <c r="CA135" i="1"/>
  <c r="BZ135" i="1"/>
  <c r="BY135" i="1"/>
  <c r="BM135" i="1"/>
  <c r="BK135" i="1"/>
  <c r="BF135" i="1"/>
  <c r="BB135" i="1"/>
  <c r="BA135" i="1"/>
  <c r="AE135" i="1"/>
  <c r="V135" i="1"/>
  <c r="Q135" i="1"/>
  <c r="J135" i="1"/>
  <c r="G135" i="1"/>
  <c r="F135" i="1"/>
  <c r="E135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CS133" i="1"/>
  <c r="CR133" i="1"/>
  <c r="CJ133" i="1"/>
  <c r="CD133" i="1"/>
  <c r="CC133" i="1"/>
  <c r="CA133" i="1"/>
  <c r="BZ133" i="1"/>
  <c r="BY133" i="1"/>
  <c r="BM133" i="1"/>
  <c r="BK133" i="1"/>
  <c r="BF133" i="1"/>
  <c r="BB133" i="1"/>
  <c r="BA133" i="1"/>
  <c r="AE133" i="1"/>
  <c r="V133" i="1"/>
  <c r="Q133" i="1"/>
  <c r="M133" i="1"/>
  <c r="J133" i="1"/>
  <c r="G133" i="1"/>
  <c r="F133" i="1"/>
  <c r="E133" i="1"/>
  <c r="CS132" i="1"/>
  <c r="CR132" i="1"/>
  <c r="CJ132" i="1"/>
  <c r="CD132" i="1"/>
  <c r="CC132" i="1"/>
  <c r="CA132" i="1"/>
  <c r="BZ132" i="1"/>
  <c r="BY132" i="1"/>
  <c r="BM132" i="1"/>
  <c r="BK132" i="1"/>
  <c r="BF132" i="1"/>
  <c r="BB132" i="1"/>
  <c r="BA132" i="1"/>
  <c r="AL132" i="1"/>
  <c r="AI132" i="1"/>
  <c r="AE132" i="1"/>
  <c r="V132" i="1"/>
  <c r="Q132" i="1"/>
  <c r="P132" i="1"/>
  <c r="M132" i="1"/>
  <c r="J132" i="1"/>
  <c r="I132" i="1"/>
  <c r="H132" i="1"/>
  <c r="G132" i="1"/>
  <c r="F132" i="1"/>
  <c r="E132" i="1"/>
  <c r="CS131" i="1"/>
  <c r="CR131" i="1"/>
  <c r="CJ131" i="1"/>
  <c r="CD131" i="1"/>
  <c r="CA131" i="1"/>
  <c r="BZ131" i="1"/>
  <c r="BY131" i="1"/>
  <c r="BM131" i="1"/>
  <c r="BK131" i="1"/>
  <c r="BF131" i="1"/>
  <c r="BB131" i="1"/>
  <c r="BA131" i="1"/>
  <c r="AE131" i="1"/>
  <c r="V131" i="1"/>
  <c r="Q131" i="1"/>
  <c r="J131" i="1"/>
  <c r="G131" i="1"/>
  <c r="F131" i="1"/>
  <c r="E131" i="1"/>
  <c r="CU130" i="1"/>
  <c r="CT130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CS129" i="1"/>
  <c r="CR129" i="1"/>
  <c r="CJ129" i="1"/>
  <c r="CD129" i="1"/>
  <c r="CA129" i="1"/>
  <c r="BZ129" i="1"/>
  <c r="BY129" i="1"/>
  <c r="BM129" i="1"/>
  <c r="BK129" i="1"/>
  <c r="BF129" i="1"/>
  <c r="BB129" i="1"/>
  <c r="BA129" i="1"/>
  <c r="AE129" i="1"/>
  <c r="V129" i="1"/>
  <c r="Q129" i="1"/>
  <c r="J129" i="1"/>
  <c r="G129" i="1"/>
  <c r="F129" i="1"/>
  <c r="E129" i="1"/>
  <c r="CS128" i="1"/>
  <c r="CR128" i="1"/>
  <c r="CJ128" i="1"/>
  <c r="CD128" i="1"/>
  <c r="CA128" i="1"/>
  <c r="BZ128" i="1"/>
  <c r="BY128" i="1"/>
  <c r="BM128" i="1"/>
  <c r="BK128" i="1"/>
  <c r="BF128" i="1"/>
  <c r="BB128" i="1"/>
  <c r="BA128" i="1"/>
  <c r="AE128" i="1"/>
  <c r="V128" i="1"/>
  <c r="Q128" i="1"/>
  <c r="J128" i="1"/>
  <c r="G128" i="1"/>
  <c r="F128" i="1"/>
  <c r="E128" i="1"/>
  <c r="CS127" i="1"/>
  <c r="CR127" i="1"/>
  <c r="CJ127" i="1"/>
  <c r="CD127" i="1"/>
  <c r="CA127" i="1"/>
  <c r="BZ127" i="1"/>
  <c r="BY127" i="1"/>
  <c r="BM127" i="1"/>
  <c r="BK127" i="1"/>
  <c r="BF127" i="1"/>
  <c r="BB127" i="1"/>
  <c r="BA127" i="1"/>
  <c r="AE127" i="1"/>
  <c r="V127" i="1"/>
  <c r="Q127" i="1"/>
  <c r="J127" i="1"/>
  <c r="G127" i="1"/>
  <c r="F127" i="1"/>
  <c r="E127" i="1"/>
  <c r="CU126" i="1"/>
  <c r="CT126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CU125" i="1"/>
  <c r="CT125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CS124" i="1"/>
  <c r="CR124" i="1"/>
  <c r="CJ124" i="1"/>
  <c r="CD124" i="1"/>
  <c r="CA124" i="1"/>
  <c r="BZ124" i="1"/>
  <c r="BY124" i="1"/>
  <c r="BM124" i="1"/>
  <c r="BK124" i="1"/>
  <c r="BF124" i="1"/>
  <c r="BB124" i="1"/>
  <c r="BA124" i="1"/>
  <c r="AE124" i="1"/>
  <c r="V124" i="1"/>
  <c r="Q124" i="1"/>
  <c r="J124" i="1"/>
  <c r="G124" i="1"/>
  <c r="F124" i="1"/>
  <c r="E124" i="1"/>
  <c r="CU123" i="1"/>
  <c r="CT123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CS122" i="1"/>
  <c r="CR122" i="1"/>
  <c r="CJ122" i="1"/>
  <c r="CD122" i="1"/>
  <c r="CA122" i="1"/>
  <c r="BZ122" i="1"/>
  <c r="BY122" i="1"/>
  <c r="BM122" i="1"/>
  <c r="BK122" i="1"/>
  <c r="BF122" i="1"/>
  <c r="BB122" i="1"/>
  <c r="BA122" i="1"/>
  <c r="AZ122" i="1"/>
  <c r="AE122" i="1"/>
  <c r="V122" i="1"/>
  <c r="Q122" i="1"/>
  <c r="J122" i="1"/>
  <c r="G122" i="1"/>
  <c r="F122" i="1"/>
  <c r="E122" i="1"/>
  <c r="CS121" i="1"/>
  <c r="CR121" i="1"/>
  <c r="CJ121" i="1"/>
  <c r="CD121" i="1"/>
  <c r="CA121" i="1"/>
  <c r="BZ121" i="1"/>
  <c r="BY121" i="1"/>
  <c r="BM121" i="1"/>
  <c r="BK121" i="1"/>
  <c r="BF121" i="1"/>
  <c r="BB121" i="1"/>
  <c r="BA121" i="1"/>
  <c r="AZ121" i="1"/>
  <c r="AE121" i="1"/>
  <c r="V121" i="1"/>
  <c r="Q121" i="1"/>
  <c r="J121" i="1"/>
  <c r="G121" i="1"/>
  <c r="F121" i="1"/>
  <c r="E121" i="1"/>
  <c r="CU120" i="1"/>
  <c r="CT120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S119" i="1"/>
  <c r="CR119" i="1"/>
  <c r="CJ119" i="1"/>
  <c r="CD119" i="1"/>
  <c r="CA119" i="1"/>
  <c r="BZ119" i="1"/>
  <c r="BY119" i="1"/>
  <c r="BM119" i="1"/>
  <c r="BK119" i="1"/>
  <c r="BF119" i="1"/>
  <c r="BB119" i="1"/>
  <c r="BA119" i="1"/>
  <c r="AE119" i="1"/>
  <c r="V119" i="1"/>
  <c r="Q119" i="1"/>
  <c r="J119" i="1"/>
  <c r="G119" i="1"/>
  <c r="F119" i="1"/>
  <c r="E119" i="1"/>
  <c r="CU118" i="1"/>
  <c r="CT118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CS117" i="1"/>
  <c r="CR117" i="1"/>
  <c r="CJ117" i="1"/>
  <c r="CD117" i="1"/>
  <c r="CA117" i="1"/>
  <c r="BZ117" i="1"/>
  <c r="BY117" i="1"/>
  <c r="BM117" i="1"/>
  <c r="BK117" i="1"/>
  <c r="BF117" i="1"/>
  <c r="BB117" i="1"/>
  <c r="BA117" i="1"/>
  <c r="AE117" i="1"/>
  <c r="V117" i="1"/>
  <c r="Q117" i="1"/>
  <c r="J117" i="1"/>
  <c r="G117" i="1"/>
  <c r="F117" i="1"/>
  <c r="E117" i="1"/>
  <c r="CU116" i="1"/>
  <c r="CT116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CU115" i="1"/>
  <c r="CT115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CS114" i="1"/>
  <c r="CR114" i="1"/>
  <c r="CJ114" i="1"/>
  <c r="CD114" i="1"/>
  <c r="CA114" i="1"/>
  <c r="BZ114" i="1"/>
  <c r="BY114" i="1"/>
  <c r="BM114" i="1"/>
  <c r="BK114" i="1"/>
  <c r="BF114" i="1"/>
  <c r="BB114" i="1"/>
  <c r="BA114" i="1"/>
  <c r="AE114" i="1"/>
  <c r="V114" i="1"/>
  <c r="Q114" i="1"/>
  <c r="J114" i="1"/>
  <c r="G114" i="1"/>
  <c r="F114" i="1"/>
  <c r="E114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CS112" i="1"/>
  <c r="CR112" i="1"/>
  <c r="CJ112" i="1"/>
  <c r="CD112" i="1"/>
  <c r="CA112" i="1"/>
  <c r="BZ112" i="1"/>
  <c r="BY112" i="1"/>
  <c r="BM112" i="1"/>
  <c r="BK112" i="1"/>
  <c r="BF112" i="1"/>
  <c r="BB112" i="1"/>
  <c r="BA112" i="1"/>
  <c r="AE112" i="1"/>
  <c r="V112" i="1"/>
  <c r="Q112" i="1"/>
  <c r="J112" i="1"/>
  <c r="G112" i="1"/>
  <c r="F112" i="1"/>
  <c r="E112" i="1"/>
  <c r="CU111" i="1"/>
  <c r="CT111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CS109" i="1"/>
  <c r="CR109" i="1"/>
  <c r="CJ109" i="1"/>
  <c r="CD109" i="1"/>
  <c r="CA109" i="1"/>
  <c r="BZ109" i="1"/>
  <c r="BY109" i="1"/>
  <c r="BM109" i="1"/>
  <c r="BK109" i="1"/>
  <c r="BF109" i="1"/>
  <c r="BB109" i="1"/>
  <c r="BA109" i="1"/>
  <c r="AE109" i="1"/>
  <c r="V109" i="1"/>
  <c r="Q109" i="1"/>
  <c r="J109" i="1"/>
  <c r="G109" i="1"/>
  <c r="F109" i="1"/>
  <c r="E109" i="1"/>
  <c r="CS108" i="1"/>
  <c r="CR108" i="1"/>
  <c r="CJ108" i="1"/>
  <c r="CD108" i="1"/>
  <c r="CA108" i="1"/>
  <c r="BZ108" i="1"/>
  <c r="BY108" i="1"/>
  <c r="BM108" i="1"/>
  <c r="BK108" i="1"/>
  <c r="BF108" i="1"/>
  <c r="BB108" i="1"/>
  <c r="BA108" i="1"/>
  <c r="AE108" i="1"/>
  <c r="V108" i="1"/>
  <c r="Q108" i="1"/>
  <c r="J108" i="1"/>
  <c r="G108" i="1"/>
  <c r="F108" i="1"/>
  <c r="E108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CS105" i="1"/>
  <c r="CR105" i="1"/>
  <c r="CJ105" i="1"/>
  <c r="CD105" i="1"/>
  <c r="CA105" i="1"/>
  <c r="BZ105" i="1"/>
  <c r="BY105" i="1"/>
  <c r="BM105" i="1"/>
  <c r="BK105" i="1"/>
  <c r="BF105" i="1"/>
  <c r="BB105" i="1"/>
  <c r="BA105" i="1"/>
  <c r="AE105" i="1"/>
  <c r="V105" i="1"/>
  <c r="Q105" i="1"/>
  <c r="J105" i="1"/>
  <c r="G105" i="1"/>
  <c r="F105" i="1"/>
  <c r="E105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CS102" i="1"/>
  <c r="CR102" i="1"/>
  <c r="CJ102" i="1"/>
  <c r="CD102" i="1"/>
  <c r="CA102" i="1"/>
  <c r="BZ102" i="1"/>
  <c r="BY102" i="1"/>
  <c r="BM102" i="1"/>
  <c r="BK102" i="1"/>
  <c r="BF102" i="1"/>
  <c r="BB102" i="1"/>
  <c r="BA102" i="1"/>
  <c r="AF102" i="1"/>
  <c r="AE102" i="1"/>
  <c r="V102" i="1"/>
  <c r="Q102" i="1"/>
  <c r="J102" i="1"/>
  <c r="G102" i="1"/>
  <c r="F102" i="1"/>
  <c r="E102" i="1"/>
  <c r="CS101" i="1"/>
  <c r="CR101" i="1"/>
  <c r="CJ101" i="1"/>
  <c r="CD101" i="1"/>
  <c r="CA101" i="1"/>
  <c r="BZ101" i="1"/>
  <c r="BY101" i="1"/>
  <c r="BM101" i="1"/>
  <c r="BK101" i="1"/>
  <c r="BF101" i="1"/>
  <c r="BB101" i="1"/>
  <c r="BA101" i="1"/>
  <c r="AE101" i="1"/>
  <c r="V101" i="1"/>
  <c r="Q101" i="1"/>
  <c r="J101" i="1"/>
  <c r="G101" i="1"/>
  <c r="F101" i="1"/>
  <c r="E101" i="1"/>
  <c r="CS100" i="1"/>
  <c r="CR100" i="1"/>
  <c r="CJ100" i="1"/>
  <c r="CD100" i="1"/>
  <c r="CA100" i="1"/>
  <c r="BZ100" i="1"/>
  <c r="BY100" i="1"/>
  <c r="BM100" i="1"/>
  <c r="BK100" i="1"/>
  <c r="BF100" i="1"/>
  <c r="BB100" i="1"/>
  <c r="BA100" i="1"/>
  <c r="AE100" i="1"/>
  <c r="V100" i="1"/>
  <c r="Q100" i="1"/>
  <c r="J100" i="1"/>
  <c r="G100" i="1"/>
  <c r="F100" i="1"/>
  <c r="E100" i="1"/>
  <c r="CS99" i="1"/>
  <c r="CR99" i="1"/>
  <c r="CJ99" i="1"/>
  <c r="CD99" i="1"/>
  <c r="CA99" i="1"/>
  <c r="BZ99" i="1"/>
  <c r="BY99" i="1"/>
  <c r="BM99" i="1"/>
  <c r="BK99" i="1"/>
  <c r="BF99" i="1"/>
  <c r="BB99" i="1"/>
  <c r="BA99" i="1"/>
  <c r="AE99" i="1"/>
  <c r="V99" i="1"/>
  <c r="Q99" i="1"/>
  <c r="J99" i="1"/>
  <c r="G99" i="1"/>
  <c r="F99" i="1"/>
  <c r="E99" i="1"/>
  <c r="CS98" i="1"/>
  <c r="CR98" i="1"/>
  <c r="CJ98" i="1"/>
  <c r="CD98" i="1"/>
  <c r="CA98" i="1"/>
  <c r="BZ98" i="1"/>
  <c r="BY98" i="1"/>
  <c r="BM98" i="1"/>
  <c r="BK98" i="1"/>
  <c r="BF98" i="1"/>
  <c r="BB98" i="1"/>
  <c r="BA98" i="1"/>
  <c r="AE98" i="1"/>
  <c r="V98" i="1"/>
  <c r="Q98" i="1"/>
  <c r="J98" i="1"/>
  <c r="G98" i="1"/>
  <c r="F98" i="1"/>
  <c r="E98" i="1"/>
  <c r="CS97" i="1"/>
  <c r="CR97" i="1"/>
  <c r="CJ97" i="1"/>
  <c r="CD97" i="1"/>
  <c r="CA97" i="1"/>
  <c r="BZ97" i="1"/>
  <c r="BY97" i="1"/>
  <c r="BM97" i="1"/>
  <c r="BK97" i="1"/>
  <c r="BF97" i="1"/>
  <c r="BB97" i="1"/>
  <c r="BA97" i="1"/>
  <c r="AE97" i="1"/>
  <c r="V97" i="1"/>
  <c r="Q97" i="1"/>
  <c r="J97" i="1"/>
  <c r="G97" i="1"/>
  <c r="F97" i="1"/>
  <c r="E97" i="1"/>
  <c r="CS96" i="1"/>
  <c r="CR96" i="1"/>
  <c r="CJ96" i="1"/>
  <c r="CD96" i="1"/>
  <c r="CA96" i="1"/>
  <c r="BZ96" i="1"/>
  <c r="BY96" i="1"/>
  <c r="BM96" i="1"/>
  <c r="BK96" i="1"/>
  <c r="BF96" i="1"/>
  <c r="BB96" i="1"/>
  <c r="BA96" i="1"/>
  <c r="AE96" i="1"/>
  <c r="V96" i="1"/>
  <c r="Q96" i="1"/>
  <c r="J96" i="1"/>
  <c r="G96" i="1"/>
  <c r="F96" i="1"/>
  <c r="E96" i="1"/>
  <c r="CS95" i="1"/>
  <c r="CR95" i="1"/>
  <c r="CJ95" i="1"/>
  <c r="CD95" i="1"/>
  <c r="CA95" i="1"/>
  <c r="BZ95" i="1"/>
  <c r="BY95" i="1"/>
  <c r="BM95" i="1"/>
  <c r="BK95" i="1"/>
  <c r="BF95" i="1"/>
  <c r="BB95" i="1"/>
  <c r="BA95" i="1"/>
  <c r="AE95" i="1"/>
  <c r="V95" i="1"/>
  <c r="Q95" i="1"/>
  <c r="J95" i="1"/>
  <c r="G95" i="1"/>
  <c r="F95" i="1"/>
  <c r="E95" i="1"/>
  <c r="CS94" i="1"/>
  <c r="CR94" i="1"/>
  <c r="CJ94" i="1"/>
  <c r="CD94" i="1"/>
  <c r="CA94" i="1"/>
  <c r="BZ94" i="1"/>
  <c r="BY94" i="1"/>
  <c r="BM94" i="1"/>
  <c r="BK94" i="1"/>
  <c r="BF94" i="1"/>
  <c r="BB94" i="1"/>
  <c r="BA94" i="1"/>
  <c r="AE94" i="1"/>
  <c r="V94" i="1"/>
  <c r="Q94" i="1"/>
  <c r="J94" i="1"/>
  <c r="G94" i="1"/>
  <c r="F94" i="1"/>
  <c r="E94" i="1"/>
  <c r="CU93" i="1"/>
  <c r="CT93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CS92" i="1"/>
  <c r="CR92" i="1"/>
  <c r="CJ92" i="1"/>
  <c r="CD92" i="1"/>
  <c r="CA92" i="1"/>
  <c r="BZ92" i="1"/>
  <c r="BY92" i="1"/>
  <c r="BM92" i="1"/>
  <c r="BK92" i="1"/>
  <c r="BF92" i="1"/>
  <c r="BB92" i="1"/>
  <c r="BA92" i="1"/>
  <c r="AE92" i="1"/>
  <c r="V92" i="1"/>
  <c r="Q92" i="1"/>
  <c r="J92" i="1"/>
  <c r="I92" i="1"/>
  <c r="H92" i="1"/>
  <c r="G92" i="1"/>
  <c r="F92" i="1"/>
  <c r="E92" i="1"/>
  <c r="CS91" i="1"/>
  <c r="CR91" i="1"/>
  <c r="CJ91" i="1"/>
  <c r="CD91" i="1"/>
  <c r="CA91" i="1"/>
  <c r="BZ91" i="1"/>
  <c r="BY91" i="1"/>
  <c r="BP91" i="1"/>
  <c r="BM91" i="1"/>
  <c r="BK91" i="1"/>
  <c r="BF91" i="1"/>
  <c r="BB91" i="1"/>
  <c r="BA91" i="1"/>
  <c r="AY91" i="1"/>
  <c r="AL91" i="1"/>
  <c r="AE91" i="1"/>
  <c r="V91" i="1"/>
  <c r="Q91" i="1"/>
  <c r="J91" i="1"/>
  <c r="I91" i="1"/>
  <c r="H91" i="1"/>
  <c r="G91" i="1"/>
  <c r="F91" i="1"/>
  <c r="E91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CS88" i="1"/>
  <c r="CR88" i="1"/>
  <c r="CJ88" i="1"/>
  <c r="CD88" i="1"/>
  <c r="CA88" i="1"/>
  <c r="BZ88" i="1"/>
  <c r="BY88" i="1"/>
  <c r="BX88" i="1"/>
  <c r="BM88" i="1"/>
  <c r="BK88" i="1"/>
  <c r="BF88" i="1"/>
  <c r="BB88" i="1"/>
  <c r="BA88" i="1"/>
  <c r="AZ88" i="1"/>
  <c r="AE88" i="1"/>
  <c r="V88" i="1"/>
  <c r="Q88" i="1"/>
  <c r="J88" i="1"/>
  <c r="G88" i="1"/>
  <c r="F88" i="1"/>
  <c r="E88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CS86" i="1"/>
  <c r="CR86" i="1"/>
  <c r="CJ86" i="1"/>
  <c r="CD86" i="1"/>
  <c r="CA86" i="1"/>
  <c r="BZ86" i="1"/>
  <c r="BY86" i="1"/>
  <c r="BW86" i="1"/>
  <c r="BM86" i="1"/>
  <c r="BK86" i="1"/>
  <c r="BF86" i="1"/>
  <c r="BB86" i="1"/>
  <c r="BA86" i="1"/>
  <c r="AL86" i="1"/>
  <c r="AE86" i="1"/>
  <c r="Z86" i="1"/>
  <c r="Y86" i="1"/>
  <c r="X86" i="1"/>
  <c r="V86" i="1"/>
  <c r="U86" i="1"/>
  <c r="Q86" i="1"/>
  <c r="L86" i="1"/>
  <c r="J86" i="1"/>
  <c r="G86" i="1"/>
  <c r="F86" i="1"/>
  <c r="E86" i="1"/>
  <c r="CU85" i="1"/>
  <c r="CT85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CS84" i="1"/>
  <c r="CR84" i="1"/>
  <c r="CM84" i="1"/>
  <c r="CJ84" i="1"/>
  <c r="CD84" i="1"/>
  <c r="CC84" i="1"/>
  <c r="CA84" i="1"/>
  <c r="BZ84" i="1"/>
  <c r="BY84" i="1"/>
  <c r="BM84" i="1"/>
  <c r="BK84" i="1"/>
  <c r="BF84" i="1"/>
  <c r="BB84" i="1"/>
  <c r="BA84" i="1"/>
  <c r="AZ84" i="1"/>
  <c r="AM84" i="1"/>
  <c r="AL84" i="1"/>
  <c r="AK84" i="1"/>
  <c r="AE84" i="1"/>
  <c r="V84" i="1"/>
  <c r="Q84" i="1"/>
  <c r="P84" i="1"/>
  <c r="L84" i="1"/>
  <c r="J84" i="1"/>
  <c r="H84" i="1"/>
  <c r="G84" i="1"/>
  <c r="F84" i="1"/>
  <c r="E84" i="1"/>
  <c r="CU83" i="1"/>
  <c r="CT83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CS82" i="1"/>
  <c r="CR82" i="1"/>
  <c r="CJ82" i="1"/>
  <c r="CD82" i="1"/>
  <c r="CC82" i="1"/>
  <c r="CA82" i="1"/>
  <c r="BZ82" i="1"/>
  <c r="BY82" i="1"/>
  <c r="BM82" i="1"/>
  <c r="BK82" i="1"/>
  <c r="BF82" i="1"/>
  <c r="BB82" i="1"/>
  <c r="BA82" i="1"/>
  <c r="AZ82" i="1"/>
  <c r="AW82" i="1"/>
  <c r="AL82" i="1"/>
  <c r="AK82" i="1"/>
  <c r="AE82" i="1"/>
  <c r="V82" i="1"/>
  <c r="Q82" i="1"/>
  <c r="P82" i="1"/>
  <c r="O82" i="1"/>
  <c r="J82" i="1"/>
  <c r="I82" i="1"/>
  <c r="H82" i="1"/>
  <c r="G82" i="1"/>
  <c r="F82" i="1"/>
  <c r="E82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CS80" i="1"/>
  <c r="CR80" i="1"/>
  <c r="CJ80" i="1"/>
  <c r="CD80" i="1"/>
  <c r="CC80" i="1"/>
  <c r="CA80" i="1"/>
  <c r="BZ80" i="1"/>
  <c r="BY80" i="1"/>
  <c r="BM80" i="1"/>
  <c r="BK80" i="1"/>
  <c r="BF80" i="1"/>
  <c r="BB80" i="1"/>
  <c r="BA80" i="1"/>
  <c r="AQ80" i="1"/>
  <c r="AE80" i="1"/>
  <c r="AD80" i="1"/>
  <c r="Z80" i="1"/>
  <c r="V80" i="1"/>
  <c r="Q80" i="1"/>
  <c r="N80" i="1"/>
  <c r="J80" i="1"/>
  <c r="I80" i="1"/>
  <c r="H80" i="1"/>
  <c r="G80" i="1"/>
  <c r="F80" i="1"/>
  <c r="E80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CS78" i="1"/>
  <c r="CR78" i="1"/>
  <c r="CJ78" i="1"/>
  <c r="CD78" i="1"/>
  <c r="CA78" i="1"/>
  <c r="BZ78" i="1"/>
  <c r="BY78" i="1"/>
  <c r="BM78" i="1"/>
  <c r="BK78" i="1"/>
  <c r="BF78" i="1"/>
  <c r="BB78" i="1"/>
  <c r="BA78" i="1"/>
  <c r="AZ78" i="1"/>
  <c r="AM78" i="1"/>
  <c r="AL78" i="1"/>
  <c r="AE78" i="1"/>
  <c r="V78" i="1"/>
  <c r="Q78" i="1"/>
  <c r="O78" i="1"/>
  <c r="J78" i="1"/>
  <c r="H78" i="1"/>
  <c r="G78" i="1"/>
  <c r="F78" i="1"/>
  <c r="E78" i="1"/>
  <c r="CS77" i="1"/>
  <c r="CR77" i="1"/>
  <c r="CJ77" i="1"/>
  <c r="CD77" i="1"/>
  <c r="CA77" i="1"/>
  <c r="BZ77" i="1"/>
  <c r="BY77" i="1"/>
  <c r="BM77" i="1"/>
  <c r="BK77" i="1"/>
  <c r="BF77" i="1"/>
  <c r="BB77" i="1"/>
  <c r="BA77" i="1"/>
  <c r="AE77" i="1"/>
  <c r="V77" i="1"/>
  <c r="Q77" i="1"/>
  <c r="J77" i="1"/>
  <c r="G77" i="1"/>
  <c r="F77" i="1"/>
  <c r="E77" i="1"/>
  <c r="CU76" i="1"/>
  <c r="CT76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CS75" i="1"/>
  <c r="CR75" i="1"/>
  <c r="CM75" i="1"/>
  <c r="CJ75" i="1"/>
  <c r="CG75" i="1"/>
  <c r="CD75" i="1"/>
  <c r="CC75" i="1"/>
  <c r="CA75" i="1"/>
  <c r="BZ75" i="1"/>
  <c r="BY75" i="1"/>
  <c r="BM75" i="1"/>
  <c r="BK75" i="1"/>
  <c r="BF75" i="1"/>
  <c r="BB75" i="1"/>
  <c r="BA75" i="1"/>
  <c r="AZ75" i="1"/>
  <c r="AW75" i="1"/>
  <c r="AQ75" i="1"/>
  <c r="AM75" i="1"/>
  <c r="AL75" i="1"/>
  <c r="AK75" i="1"/>
  <c r="AJ75" i="1"/>
  <c r="AI75" i="1"/>
  <c r="AH75" i="1"/>
  <c r="AG75" i="1"/>
  <c r="AE75" i="1"/>
  <c r="AD75" i="1"/>
  <c r="Z75" i="1"/>
  <c r="Y75" i="1"/>
  <c r="X75" i="1"/>
  <c r="W75" i="1"/>
  <c r="V75" i="1"/>
  <c r="U75" i="1"/>
  <c r="Q75" i="1"/>
  <c r="P75" i="1"/>
  <c r="O75" i="1"/>
  <c r="J75" i="1"/>
  <c r="H75" i="1"/>
  <c r="G75" i="1"/>
  <c r="F75" i="1"/>
  <c r="E75" i="1"/>
  <c r="CU74" i="1"/>
  <c r="CT74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CU73" i="1"/>
  <c r="CT73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CS72" i="1"/>
  <c r="CR72" i="1"/>
  <c r="CJ72" i="1"/>
  <c r="CD72" i="1"/>
  <c r="CA72" i="1"/>
  <c r="BZ72" i="1"/>
  <c r="BY72" i="1"/>
  <c r="BM72" i="1"/>
  <c r="BK72" i="1"/>
  <c r="BF72" i="1"/>
  <c r="BB72" i="1"/>
  <c r="BA72" i="1"/>
  <c r="AE72" i="1"/>
  <c r="V72" i="1"/>
  <c r="Q72" i="1"/>
  <c r="J72" i="1"/>
  <c r="G72" i="1"/>
  <c r="F72" i="1"/>
  <c r="E72" i="1"/>
  <c r="CU71" i="1"/>
  <c r="CT71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CS70" i="1"/>
  <c r="CR70" i="1"/>
  <c r="CJ70" i="1"/>
  <c r="CD70" i="1"/>
  <c r="CA70" i="1"/>
  <c r="BZ70" i="1"/>
  <c r="BY70" i="1"/>
  <c r="BM70" i="1"/>
  <c r="BK70" i="1"/>
  <c r="BF70" i="1"/>
  <c r="BB70" i="1"/>
  <c r="BA70" i="1"/>
  <c r="AH70" i="1"/>
  <c r="AE70" i="1"/>
  <c r="AD70" i="1"/>
  <c r="V70" i="1"/>
  <c r="Q70" i="1"/>
  <c r="L70" i="1"/>
  <c r="J70" i="1"/>
  <c r="H70" i="1"/>
  <c r="G70" i="1"/>
  <c r="F70" i="1"/>
  <c r="E70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CS67" i="1"/>
  <c r="CR67" i="1"/>
  <c r="CJ67" i="1"/>
  <c r="CD67" i="1"/>
  <c r="CA67" i="1"/>
  <c r="BZ67" i="1"/>
  <c r="BY67" i="1"/>
  <c r="BM67" i="1"/>
  <c r="BK67" i="1"/>
  <c r="BF67" i="1"/>
  <c r="BB67" i="1"/>
  <c r="BA67" i="1"/>
  <c r="AZ67" i="1"/>
  <c r="AE67" i="1"/>
  <c r="V67" i="1"/>
  <c r="Q67" i="1"/>
  <c r="J67" i="1"/>
  <c r="G67" i="1"/>
  <c r="F67" i="1"/>
  <c r="E67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CS65" i="1"/>
  <c r="CR65" i="1"/>
  <c r="CJ65" i="1"/>
  <c r="CD65" i="1"/>
  <c r="CA65" i="1"/>
  <c r="BZ65" i="1"/>
  <c r="BY65" i="1"/>
  <c r="BM65" i="1"/>
  <c r="BK65" i="1"/>
  <c r="BF65" i="1"/>
  <c r="BB65" i="1"/>
  <c r="BA65" i="1"/>
  <c r="AE65" i="1"/>
  <c r="V65" i="1"/>
  <c r="Q65" i="1"/>
  <c r="J65" i="1"/>
  <c r="G65" i="1"/>
  <c r="F65" i="1"/>
  <c r="E65" i="1"/>
  <c r="CU64" i="1"/>
  <c r="CT64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CS62" i="1"/>
  <c r="CR62" i="1"/>
  <c r="CJ62" i="1"/>
  <c r="CD62" i="1"/>
  <c r="CA62" i="1"/>
  <c r="BZ62" i="1"/>
  <c r="BY62" i="1"/>
  <c r="BM62" i="1"/>
  <c r="BK62" i="1"/>
  <c r="BF62" i="1"/>
  <c r="BB62" i="1"/>
  <c r="BA62" i="1"/>
  <c r="AE62" i="1"/>
  <c r="V62" i="1"/>
  <c r="Q62" i="1"/>
  <c r="J62" i="1"/>
  <c r="G62" i="1"/>
  <c r="F62" i="1"/>
  <c r="E62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CS60" i="1"/>
  <c r="CR60" i="1"/>
  <c r="CJ60" i="1"/>
  <c r="CD60" i="1"/>
  <c r="CA60" i="1"/>
  <c r="BZ60" i="1"/>
  <c r="BY60" i="1"/>
  <c r="BM60" i="1"/>
  <c r="BK60" i="1"/>
  <c r="BF60" i="1"/>
  <c r="BB60" i="1"/>
  <c r="BA60" i="1"/>
  <c r="AE60" i="1"/>
  <c r="V60" i="1"/>
  <c r="Q60" i="1"/>
  <c r="J60" i="1"/>
  <c r="G60" i="1"/>
  <c r="F60" i="1"/>
  <c r="E60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CS58" i="1"/>
  <c r="CR58" i="1"/>
  <c r="CJ58" i="1"/>
  <c r="CD58" i="1"/>
  <c r="CA58" i="1"/>
  <c r="BZ58" i="1"/>
  <c r="BY58" i="1"/>
  <c r="BM58" i="1"/>
  <c r="BK58" i="1"/>
  <c r="BF58" i="1"/>
  <c r="BB58" i="1"/>
  <c r="BA58" i="1"/>
  <c r="AE58" i="1"/>
  <c r="V58" i="1"/>
  <c r="Q58" i="1"/>
  <c r="J58" i="1"/>
  <c r="G58" i="1"/>
  <c r="F58" i="1"/>
  <c r="E58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S56" i="1"/>
  <c r="CR56" i="1"/>
  <c r="CJ56" i="1"/>
  <c r="CD56" i="1"/>
  <c r="CA56" i="1"/>
  <c r="BZ56" i="1"/>
  <c r="BY56" i="1"/>
  <c r="BM56" i="1"/>
  <c r="BK56" i="1"/>
  <c r="BF56" i="1"/>
  <c r="BB56" i="1"/>
  <c r="BA56" i="1"/>
  <c r="AE56" i="1"/>
  <c r="V56" i="1"/>
  <c r="Q56" i="1"/>
  <c r="J56" i="1"/>
  <c r="G56" i="1"/>
  <c r="F56" i="1"/>
  <c r="E56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S54" i="1"/>
  <c r="CR54" i="1"/>
  <c r="CJ54" i="1"/>
  <c r="CD54" i="1"/>
  <c r="CA54" i="1"/>
  <c r="BZ54" i="1"/>
  <c r="BY54" i="1"/>
  <c r="BM54" i="1"/>
  <c r="BK54" i="1"/>
  <c r="BF54" i="1"/>
  <c r="BB54" i="1"/>
  <c r="BA54" i="1"/>
  <c r="AE54" i="1"/>
  <c r="V54" i="1"/>
  <c r="Q54" i="1"/>
  <c r="J54" i="1"/>
  <c r="G54" i="1"/>
  <c r="F54" i="1"/>
  <c r="E54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CS51" i="1"/>
  <c r="CR51" i="1"/>
  <c r="CM51" i="1"/>
  <c r="CJ51" i="1"/>
  <c r="CD51" i="1"/>
  <c r="CA51" i="1"/>
  <c r="BZ51" i="1"/>
  <c r="BY51" i="1"/>
  <c r="BM51" i="1"/>
  <c r="BK51" i="1"/>
  <c r="BF51" i="1"/>
  <c r="BB51" i="1"/>
  <c r="BA51" i="1"/>
  <c r="AZ51" i="1"/>
  <c r="AY51" i="1"/>
  <c r="AS51" i="1"/>
  <c r="AN51" i="1"/>
  <c r="AH51" i="1"/>
  <c r="AG51" i="1"/>
  <c r="AE51" i="1"/>
  <c r="W51" i="1"/>
  <c r="V51" i="1"/>
  <c r="U51" i="1"/>
  <c r="Q51" i="1"/>
  <c r="J51" i="1"/>
  <c r="I51" i="1"/>
  <c r="H51" i="1"/>
  <c r="G51" i="1"/>
  <c r="F51" i="1"/>
  <c r="E51" i="1"/>
  <c r="CU50" i="1"/>
  <c r="CT50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CS49" i="1"/>
  <c r="CR49" i="1"/>
  <c r="CJ49" i="1"/>
  <c r="CD49" i="1"/>
  <c r="CA49" i="1"/>
  <c r="BZ49" i="1"/>
  <c r="BY49" i="1"/>
  <c r="BM49" i="1"/>
  <c r="BK49" i="1"/>
  <c r="BF49" i="1"/>
  <c r="BB49" i="1"/>
  <c r="BA49" i="1"/>
  <c r="AE49" i="1"/>
  <c r="V49" i="1"/>
  <c r="U49" i="1"/>
  <c r="Q49" i="1"/>
  <c r="J49" i="1"/>
  <c r="G49" i="1"/>
  <c r="F49" i="1"/>
  <c r="E49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CS47" i="1"/>
  <c r="CR47" i="1"/>
  <c r="CJ47" i="1"/>
  <c r="CD47" i="1"/>
  <c r="CA47" i="1"/>
  <c r="BZ47" i="1"/>
  <c r="BY47" i="1"/>
  <c r="BM47" i="1"/>
  <c r="BK47" i="1"/>
  <c r="BF47" i="1"/>
  <c r="BB47" i="1"/>
  <c r="BA47" i="1"/>
  <c r="AE47" i="1"/>
  <c r="AD47" i="1"/>
  <c r="V47" i="1"/>
  <c r="Q47" i="1"/>
  <c r="J47" i="1"/>
  <c r="I47" i="1"/>
  <c r="H47" i="1"/>
  <c r="G47" i="1"/>
  <c r="F47" i="1"/>
  <c r="E47" i="1"/>
  <c r="CS46" i="1"/>
  <c r="CR46" i="1"/>
  <c r="CJ46" i="1"/>
  <c r="CD46" i="1"/>
  <c r="CA46" i="1"/>
  <c r="BZ46" i="1"/>
  <c r="BY46" i="1"/>
  <c r="BW46" i="1"/>
  <c r="BM46" i="1"/>
  <c r="BK46" i="1"/>
  <c r="BF46" i="1"/>
  <c r="BB46" i="1"/>
  <c r="BA46" i="1"/>
  <c r="AZ46" i="1"/>
  <c r="AM46" i="1"/>
  <c r="AL46" i="1"/>
  <c r="AJ46" i="1"/>
  <c r="AH46" i="1"/>
  <c r="AG46" i="1"/>
  <c r="AE46" i="1"/>
  <c r="AD46" i="1"/>
  <c r="AB46" i="1"/>
  <c r="AA46" i="1"/>
  <c r="W46" i="1"/>
  <c r="V46" i="1"/>
  <c r="U46" i="1"/>
  <c r="Q46" i="1"/>
  <c r="P46" i="1"/>
  <c r="O46" i="1"/>
  <c r="L46" i="1"/>
  <c r="J46" i="1"/>
  <c r="G46" i="1"/>
  <c r="F46" i="1"/>
  <c r="E46" i="1"/>
  <c r="CS45" i="1"/>
  <c r="CR45" i="1"/>
  <c r="CJ45" i="1"/>
  <c r="CD45" i="1"/>
  <c r="CA45" i="1"/>
  <c r="BZ45" i="1"/>
  <c r="BY45" i="1"/>
  <c r="BM45" i="1"/>
  <c r="BK45" i="1"/>
  <c r="BF45" i="1"/>
  <c r="BB45" i="1"/>
  <c r="BA45" i="1"/>
  <c r="AE45" i="1"/>
  <c r="V45" i="1"/>
  <c r="Q45" i="1"/>
  <c r="J45" i="1"/>
  <c r="I45" i="1"/>
  <c r="H45" i="1"/>
  <c r="G45" i="1"/>
  <c r="F45" i="1"/>
  <c r="E45" i="1"/>
  <c r="CS44" i="1"/>
  <c r="CR44" i="1"/>
  <c r="CJ44" i="1"/>
  <c r="CD44" i="1"/>
  <c r="CC44" i="1"/>
  <c r="CA44" i="1"/>
  <c r="BZ44" i="1"/>
  <c r="BY44" i="1"/>
  <c r="BM44" i="1"/>
  <c r="BK44" i="1"/>
  <c r="BF44" i="1"/>
  <c r="BB44" i="1"/>
  <c r="BA44" i="1"/>
  <c r="AZ44" i="1"/>
  <c r="AE44" i="1"/>
  <c r="V44" i="1"/>
  <c r="Q44" i="1"/>
  <c r="O44" i="1"/>
  <c r="J44" i="1"/>
  <c r="I44" i="1"/>
  <c r="H44" i="1"/>
  <c r="G44" i="1"/>
  <c r="F44" i="1"/>
  <c r="E44" i="1"/>
  <c r="CS43" i="1"/>
  <c r="CR43" i="1"/>
  <c r="CJ43" i="1"/>
  <c r="CD43" i="1"/>
  <c r="CC43" i="1"/>
  <c r="CA43" i="1"/>
  <c r="BZ43" i="1"/>
  <c r="BY43" i="1"/>
  <c r="BM43" i="1"/>
  <c r="BK43" i="1"/>
  <c r="BF43" i="1"/>
  <c r="BB43" i="1"/>
  <c r="BA43" i="1"/>
  <c r="AZ43" i="1"/>
  <c r="AY43" i="1"/>
  <c r="AE43" i="1"/>
  <c r="V43" i="1"/>
  <c r="S43" i="1"/>
  <c r="Q43" i="1"/>
  <c r="P43" i="1"/>
  <c r="J43" i="1"/>
  <c r="G43" i="1"/>
  <c r="F43" i="1"/>
  <c r="E43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CS41" i="1"/>
  <c r="CR41" i="1"/>
  <c r="CJ41" i="1"/>
  <c r="CD41" i="1"/>
  <c r="CA41" i="1"/>
  <c r="BZ41" i="1"/>
  <c r="BY41" i="1"/>
  <c r="BM41" i="1"/>
  <c r="BK41" i="1"/>
  <c r="BF41" i="1"/>
  <c r="BB41" i="1"/>
  <c r="BA41" i="1"/>
  <c r="AW41" i="1"/>
  <c r="AM41" i="1"/>
  <c r="AE41" i="1"/>
  <c r="Z41" i="1"/>
  <c r="Y41" i="1"/>
  <c r="X41" i="1"/>
  <c r="V41" i="1"/>
  <c r="Q41" i="1"/>
  <c r="J41" i="1"/>
  <c r="H41" i="1"/>
  <c r="G41" i="1"/>
  <c r="F41" i="1"/>
  <c r="E41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CS39" i="1"/>
  <c r="CR39" i="1"/>
  <c r="CJ39" i="1"/>
  <c r="CD39" i="1"/>
  <c r="CA39" i="1"/>
  <c r="BZ39" i="1"/>
  <c r="BY39" i="1"/>
  <c r="BM39" i="1"/>
  <c r="BK39" i="1"/>
  <c r="BF39" i="1"/>
  <c r="BB39" i="1"/>
  <c r="BA39" i="1"/>
  <c r="AE39" i="1"/>
  <c r="V39" i="1"/>
  <c r="Q39" i="1"/>
  <c r="J39" i="1"/>
  <c r="G39" i="1"/>
  <c r="F39" i="1"/>
  <c r="E39" i="1"/>
  <c r="CS38" i="1"/>
  <c r="CR38" i="1"/>
  <c r="CJ38" i="1"/>
  <c r="CG38" i="1"/>
  <c r="CD38" i="1"/>
  <c r="CA38" i="1"/>
  <c r="BZ38" i="1"/>
  <c r="BY38" i="1"/>
  <c r="BM38" i="1"/>
  <c r="BK38" i="1"/>
  <c r="BF38" i="1"/>
  <c r="BB38" i="1"/>
  <c r="BA38" i="1"/>
  <c r="AE38" i="1"/>
  <c r="AA38" i="1"/>
  <c r="Z38" i="1"/>
  <c r="Y38" i="1"/>
  <c r="V38" i="1"/>
  <c r="Q38" i="1"/>
  <c r="J38" i="1"/>
  <c r="G38" i="1"/>
  <c r="F38" i="1"/>
  <c r="E38" i="1"/>
  <c r="CS37" i="1"/>
  <c r="CR37" i="1"/>
  <c r="CJ37" i="1"/>
  <c r="CD37" i="1"/>
  <c r="CA37" i="1"/>
  <c r="BZ37" i="1"/>
  <c r="BY37" i="1"/>
  <c r="BM37" i="1"/>
  <c r="BK37" i="1"/>
  <c r="BF37" i="1"/>
  <c r="BB37" i="1"/>
  <c r="BA37" i="1"/>
  <c r="AE37" i="1"/>
  <c r="Z37" i="1"/>
  <c r="Y37" i="1"/>
  <c r="X37" i="1"/>
  <c r="V37" i="1"/>
  <c r="U37" i="1"/>
  <c r="Q37" i="1"/>
  <c r="J37" i="1"/>
  <c r="I37" i="1"/>
  <c r="H37" i="1"/>
  <c r="G37" i="1"/>
  <c r="F37" i="1"/>
  <c r="E37" i="1"/>
  <c r="CS36" i="1"/>
  <c r="CR36" i="1"/>
  <c r="CJ36" i="1"/>
  <c r="CD36" i="1"/>
  <c r="CC36" i="1"/>
  <c r="CA36" i="1"/>
  <c r="BZ36" i="1"/>
  <c r="BY36" i="1"/>
  <c r="BM36" i="1"/>
  <c r="BK36" i="1"/>
  <c r="BF36" i="1"/>
  <c r="BB36" i="1"/>
  <c r="BA36" i="1"/>
  <c r="AE36" i="1"/>
  <c r="AA36" i="1"/>
  <c r="V36" i="1"/>
  <c r="Q36" i="1"/>
  <c r="P36" i="1"/>
  <c r="J36" i="1"/>
  <c r="I36" i="1"/>
  <c r="H36" i="1"/>
  <c r="G36" i="1"/>
  <c r="F36" i="1"/>
  <c r="E36" i="1"/>
  <c r="CS35" i="1"/>
  <c r="CR35" i="1"/>
  <c r="CJ35" i="1"/>
  <c r="CD35" i="1"/>
  <c r="CA35" i="1"/>
  <c r="BZ35" i="1"/>
  <c r="BY35" i="1"/>
  <c r="BM35" i="1"/>
  <c r="BK35" i="1"/>
  <c r="BF35" i="1"/>
  <c r="BB35" i="1"/>
  <c r="BA35" i="1"/>
  <c r="AH35" i="1"/>
  <c r="AE35" i="1"/>
  <c r="V35" i="1"/>
  <c r="S35" i="1"/>
  <c r="Q35" i="1"/>
  <c r="J35" i="1"/>
  <c r="I35" i="1"/>
  <c r="H35" i="1"/>
  <c r="G35" i="1"/>
  <c r="F35" i="1"/>
  <c r="E35" i="1"/>
  <c r="CS34" i="1"/>
  <c r="CR34" i="1"/>
  <c r="CJ34" i="1"/>
  <c r="CD34" i="1"/>
  <c r="CA34" i="1"/>
  <c r="BZ34" i="1"/>
  <c r="BY34" i="1"/>
  <c r="BM34" i="1"/>
  <c r="BK34" i="1"/>
  <c r="BF34" i="1"/>
  <c r="BB34" i="1"/>
  <c r="BA34" i="1"/>
  <c r="AE34" i="1"/>
  <c r="V34" i="1"/>
  <c r="U34" i="1"/>
  <c r="Q34" i="1"/>
  <c r="J34" i="1"/>
  <c r="G34" i="1"/>
  <c r="F34" i="1"/>
  <c r="E34" i="1"/>
  <c r="CS33" i="1"/>
  <c r="CR33" i="1"/>
  <c r="CJ33" i="1"/>
  <c r="CD33" i="1"/>
  <c r="CA33" i="1"/>
  <c r="BZ33" i="1"/>
  <c r="BY33" i="1"/>
  <c r="BM33" i="1"/>
  <c r="BK33" i="1"/>
  <c r="BF33" i="1"/>
  <c r="BB33" i="1"/>
  <c r="BA33" i="1"/>
  <c r="AE33" i="1"/>
  <c r="V33" i="1"/>
  <c r="Q33" i="1"/>
  <c r="J33" i="1"/>
  <c r="G33" i="1"/>
  <c r="F33" i="1"/>
  <c r="E33" i="1"/>
  <c r="CS32" i="1"/>
  <c r="CR32" i="1"/>
  <c r="CJ32" i="1"/>
  <c r="CD32" i="1"/>
  <c r="CC32" i="1"/>
  <c r="CA32" i="1"/>
  <c r="BZ32" i="1"/>
  <c r="BY32" i="1"/>
  <c r="BM32" i="1"/>
  <c r="BK32" i="1"/>
  <c r="BF32" i="1"/>
  <c r="BB32" i="1"/>
  <c r="BA32" i="1"/>
  <c r="AE32" i="1"/>
  <c r="V32" i="1"/>
  <c r="Q32" i="1"/>
  <c r="P32" i="1"/>
  <c r="J32" i="1"/>
  <c r="G32" i="1"/>
  <c r="F32" i="1"/>
  <c r="E32" i="1"/>
  <c r="CS31" i="1"/>
  <c r="CR31" i="1"/>
  <c r="CJ31" i="1"/>
  <c r="CD31" i="1"/>
  <c r="CA31" i="1"/>
  <c r="BZ31" i="1"/>
  <c r="BY31" i="1"/>
  <c r="BM31" i="1"/>
  <c r="BK31" i="1"/>
  <c r="BF31" i="1"/>
  <c r="BB31" i="1"/>
  <c r="BA31" i="1"/>
  <c r="AE31" i="1"/>
  <c r="V31" i="1"/>
  <c r="Q31" i="1"/>
  <c r="J31" i="1"/>
  <c r="G31" i="1"/>
  <c r="F31" i="1"/>
  <c r="E31" i="1"/>
  <c r="CS30" i="1"/>
  <c r="CR30" i="1"/>
  <c r="CJ30" i="1"/>
  <c r="CD30" i="1"/>
  <c r="CA30" i="1"/>
  <c r="BZ30" i="1"/>
  <c r="BY30" i="1"/>
  <c r="BM30" i="1"/>
  <c r="BK30" i="1"/>
  <c r="BF30" i="1"/>
  <c r="BB30" i="1"/>
  <c r="BA30" i="1"/>
  <c r="AE30" i="1"/>
  <c r="V30" i="1"/>
  <c r="Q30" i="1"/>
  <c r="J30" i="1"/>
  <c r="G30" i="1"/>
  <c r="F30" i="1"/>
  <c r="E30" i="1"/>
  <c r="CS29" i="1"/>
  <c r="CR29" i="1"/>
  <c r="CJ29" i="1"/>
  <c r="CD29" i="1"/>
  <c r="CA29" i="1"/>
  <c r="BZ29" i="1"/>
  <c r="BY29" i="1"/>
  <c r="BM29" i="1"/>
  <c r="BK29" i="1"/>
  <c r="BF29" i="1"/>
  <c r="BB29" i="1"/>
  <c r="BA29" i="1"/>
  <c r="AE29" i="1"/>
  <c r="Z29" i="1"/>
  <c r="W29" i="1"/>
  <c r="V29" i="1"/>
  <c r="Q29" i="1"/>
  <c r="J29" i="1"/>
  <c r="G29" i="1"/>
  <c r="F29" i="1"/>
  <c r="E29" i="1"/>
  <c r="CS28" i="1"/>
  <c r="CR28" i="1"/>
  <c r="CJ28" i="1"/>
  <c r="CD28" i="1"/>
  <c r="CA28" i="1"/>
  <c r="BZ28" i="1"/>
  <c r="BY28" i="1"/>
  <c r="BW28" i="1"/>
  <c r="BM28" i="1"/>
  <c r="BK28" i="1"/>
  <c r="BF28" i="1"/>
  <c r="BB28" i="1"/>
  <c r="BA28" i="1"/>
  <c r="AL28" i="1"/>
  <c r="AE28" i="1"/>
  <c r="V28" i="1"/>
  <c r="U28" i="1"/>
  <c r="Q28" i="1"/>
  <c r="L28" i="1"/>
  <c r="J28" i="1"/>
  <c r="I28" i="1"/>
  <c r="H28" i="1"/>
  <c r="G28" i="1"/>
  <c r="F28" i="1"/>
  <c r="E28" i="1"/>
  <c r="CS27" i="1"/>
  <c r="CR27" i="1"/>
  <c r="CJ27" i="1"/>
  <c r="CD27" i="1"/>
  <c r="CA27" i="1"/>
  <c r="BZ27" i="1"/>
  <c r="BY27" i="1"/>
  <c r="BM27" i="1"/>
  <c r="BK27" i="1"/>
  <c r="BF27" i="1"/>
  <c r="BB27" i="1"/>
  <c r="BA27" i="1"/>
  <c r="AS27" i="1"/>
  <c r="AR27" i="1"/>
  <c r="AL27" i="1"/>
  <c r="AE27" i="1"/>
  <c r="V27" i="1"/>
  <c r="U27" i="1"/>
  <c r="Q27" i="1"/>
  <c r="O27" i="1"/>
  <c r="J27" i="1"/>
  <c r="I27" i="1"/>
  <c r="H27" i="1"/>
  <c r="G27" i="1"/>
  <c r="F27" i="1"/>
  <c r="E27" i="1"/>
  <c r="CS26" i="1"/>
  <c r="CR26" i="1"/>
  <c r="CJ26" i="1"/>
  <c r="CD26" i="1"/>
  <c r="CA26" i="1"/>
  <c r="BZ26" i="1"/>
  <c r="BY26" i="1"/>
  <c r="BM26" i="1"/>
  <c r="BK26" i="1"/>
  <c r="BF26" i="1"/>
  <c r="BB26" i="1"/>
  <c r="BA26" i="1"/>
  <c r="AE26" i="1"/>
  <c r="V26" i="1"/>
  <c r="Q26" i="1"/>
  <c r="J26" i="1"/>
  <c r="H26" i="1"/>
  <c r="G26" i="1"/>
  <c r="F26" i="1"/>
  <c r="E26" i="1"/>
  <c r="CS25" i="1"/>
  <c r="CR25" i="1"/>
  <c r="CJ25" i="1"/>
  <c r="CD25" i="1"/>
  <c r="CC25" i="1"/>
  <c r="CA25" i="1"/>
  <c r="BZ25" i="1"/>
  <c r="BY25" i="1"/>
  <c r="BM25" i="1"/>
  <c r="BK25" i="1"/>
  <c r="BF25" i="1"/>
  <c r="BB25" i="1"/>
  <c r="BA25" i="1"/>
  <c r="AZ25" i="1"/>
  <c r="AE25" i="1"/>
  <c r="V25" i="1"/>
  <c r="Q25" i="1"/>
  <c r="P25" i="1"/>
  <c r="J25" i="1"/>
  <c r="G25" i="1"/>
  <c r="F25" i="1"/>
  <c r="E25" i="1"/>
  <c r="CS24" i="1"/>
  <c r="CR24" i="1"/>
  <c r="CJ24" i="1"/>
  <c r="CD24" i="1"/>
  <c r="CC24" i="1"/>
  <c r="CA24" i="1"/>
  <c r="BZ24" i="1"/>
  <c r="BY24" i="1"/>
  <c r="BM24" i="1"/>
  <c r="BK24" i="1"/>
  <c r="BF24" i="1"/>
  <c r="BB24" i="1"/>
  <c r="BA24" i="1"/>
  <c r="AZ24" i="1"/>
  <c r="AE24" i="1"/>
  <c r="V24" i="1"/>
  <c r="Q24" i="1"/>
  <c r="P24" i="1"/>
  <c r="J24" i="1"/>
  <c r="I24" i="1"/>
  <c r="H24" i="1"/>
  <c r="G24" i="1"/>
  <c r="F24" i="1"/>
  <c r="E24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CS22" i="1"/>
  <c r="CR22" i="1"/>
  <c r="CJ22" i="1"/>
  <c r="CD22" i="1"/>
  <c r="CA22" i="1"/>
  <c r="BZ22" i="1"/>
  <c r="BY22" i="1"/>
  <c r="BM22" i="1"/>
  <c r="BK22" i="1"/>
  <c r="BF22" i="1"/>
  <c r="BB22" i="1"/>
  <c r="BA22" i="1"/>
  <c r="AE22" i="1"/>
  <c r="V22" i="1"/>
  <c r="S22" i="1"/>
  <c r="Q22" i="1"/>
  <c r="J22" i="1"/>
  <c r="G22" i="1"/>
  <c r="F22" i="1"/>
  <c r="E22" i="1"/>
  <c r="CS21" i="1"/>
  <c r="CR21" i="1"/>
  <c r="CJ21" i="1"/>
  <c r="CD21" i="1"/>
  <c r="CA21" i="1"/>
  <c r="BZ21" i="1"/>
  <c r="BY21" i="1"/>
  <c r="BM21" i="1"/>
  <c r="BK21" i="1"/>
  <c r="BF21" i="1"/>
  <c r="BB21" i="1"/>
  <c r="BA21" i="1"/>
  <c r="AJ21" i="1"/>
  <c r="AE21" i="1"/>
  <c r="Y21" i="1"/>
  <c r="X21" i="1"/>
  <c r="W21" i="1"/>
  <c r="V21" i="1"/>
  <c r="Q21" i="1"/>
  <c r="J21" i="1"/>
  <c r="G21" i="1"/>
  <c r="F21" i="1"/>
  <c r="E21" i="1"/>
  <c r="CS20" i="1"/>
  <c r="CR20" i="1"/>
  <c r="CO20" i="1"/>
  <c r="CJ20" i="1"/>
  <c r="CD20" i="1"/>
  <c r="CC20" i="1"/>
  <c r="CA20" i="1"/>
  <c r="BZ20" i="1"/>
  <c r="BY20" i="1"/>
  <c r="BM20" i="1"/>
  <c r="BK20" i="1"/>
  <c r="BF20" i="1"/>
  <c r="BB20" i="1"/>
  <c r="BA20" i="1"/>
  <c r="AH20" i="1"/>
  <c r="AE20" i="1"/>
  <c r="Y20" i="1"/>
  <c r="X20" i="1"/>
  <c r="V20" i="1"/>
  <c r="Q20" i="1"/>
  <c r="J20" i="1"/>
  <c r="G20" i="1"/>
  <c r="F20" i="1"/>
  <c r="E20" i="1"/>
  <c r="CU19" i="1"/>
  <c r="CT19" i="1"/>
  <c r="CS19" i="1"/>
  <c r="CR19" i="1"/>
  <c r="CQ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X19" i="1"/>
  <c r="AW19" i="1"/>
  <c r="AV19" i="1"/>
  <c r="AU19" i="1"/>
  <c r="AT19" i="1"/>
  <c r="AS19" i="1"/>
  <c r="AR19" i="1"/>
  <c r="AQ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CS18" i="1"/>
  <c r="CR18" i="1"/>
  <c r="CO18" i="1"/>
  <c r="CJ18" i="1"/>
  <c r="CD18" i="1"/>
  <c r="CA18" i="1"/>
  <c r="BZ18" i="1"/>
  <c r="BY18" i="1"/>
  <c r="BM18" i="1"/>
  <c r="BK18" i="1"/>
  <c r="BF18" i="1"/>
  <c r="BB18" i="1"/>
  <c r="BA18" i="1"/>
  <c r="AE18" i="1"/>
  <c r="X18" i="1"/>
  <c r="V18" i="1"/>
  <c r="Q18" i="1"/>
  <c r="O18" i="1"/>
  <c r="J18" i="1"/>
  <c r="G18" i="1"/>
  <c r="F18" i="1"/>
  <c r="E18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CU298" i="1"/>
  <c r="CT298" i="1"/>
  <c r="CS298" i="1"/>
  <c r="CR298" i="1"/>
  <c r="CQ298" i="1"/>
  <c r="CP298" i="1"/>
  <c r="CO298" i="1"/>
  <c r="CN298" i="1"/>
  <c r="CM298" i="1"/>
  <c r="CL298" i="1"/>
  <c r="CK298" i="1"/>
  <c r="CJ298" i="1"/>
  <c r="CI298" i="1"/>
  <c r="CH298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</calcChain>
</file>

<file path=xl/sharedStrings.xml><?xml version="1.0" encoding="utf-8"?>
<sst xmlns="http://schemas.openxmlformats.org/spreadsheetml/2006/main" count="1331" uniqueCount="557">
  <si>
    <t>0100</t>
  </si>
  <si>
    <t/>
  </si>
  <si>
    <t>ГОСУДАРСТВЕННОЕ УПРАВЛЕНИЕ И МЕСТНОЕ САМОУПРАВЛЕНИЕ</t>
  </si>
  <si>
    <t>01</t>
  </si>
  <si>
    <t>Функционирование главы государства - Президента ПМР</t>
  </si>
  <si>
    <t>102</t>
  </si>
  <si>
    <t>Администрация Президента ПМР</t>
  </si>
  <si>
    <t>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</si>
  <si>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</si>
  <si>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</si>
  <si>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</si>
  <si>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</si>
  <si>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Счётная палата ПМР</t>
  </si>
  <si>
    <t>148</t>
  </si>
  <si>
    <t>Аппарат Уполномоченного по правам человека в ПМР</t>
  </si>
  <si>
    <t>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</si>
  <si>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</si>
  <si>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</si>
  <si>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</si>
  <si>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</si>
  <si>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</si>
  <si>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</si>
  <si>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</si>
  <si>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</si>
  <si>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</si>
  <si>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</si>
  <si>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</si>
  <si>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</si>
  <si>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</si>
  <si>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</si>
  <si>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</si>
  <si>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</si>
  <si>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</si>
  <si>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</si>
  <si>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143</t>
  </si>
  <si>
    <t>ГС средств массовой информации ПМР (аппарат)</t>
  </si>
  <si>
    <t>144</t>
  </si>
  <si>
    <t>ГС связи ПМР (аппарат)</t>
  </si>
  <si>
    <t>145</t>
  </si>
  <si>
    <t>146</t>
  </si>
  <si>
    <t>ГС экологического контроля и охраны ок. среды ПМР</t>
  </si>
  <si>
    <t>149</t>
  </si>
  <si>
    <t>Фонд государственного резерва ПМР (аппарат)</t>
  </si>
  <si>
    <t>150</t>
  </si>
  <si>
    <t>Министерство финансов ПМР (аппарат)</t>
  </si>
  <si>
    <t>154</t>
  </si>
  <si>
    <t>ГС статистики ПМР (аппарат)</t>
  </si>
  <si>
    <t>04</t>
  </si>
  <si>
    <t>Деятельность финансовых и налоговых органов</t>
  </si>
  <si>
    <t>Министерство финансов (подведомственные)</t>
  </si>
  <si>
    <t>05</t>
  </si>
  <si>
    <t>Прочие расходы на общегосударственное управление</t>
  </si>
  <si>
    <t>Министерство юстиции (ГС РиН, БСЭ)</t>
  </si>
  <si>
    <t>Мин-во с/х и природных ресурсов (террит. управления)</t>
  </si>
  <si>
    <t>08</t>
  </si>
  <si>
    <t>Функционирование органов статистики</t>
  </si>
  <si>
    <t>ГС статистики ПМР (территор.упр-я статистики)</t>
  </si>
  <si>
    <t>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</si>
  <si>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</si>
  <si>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</si>
  <si>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</si>
  <si>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</si>
  <si>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</si>
  <si>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Конституционный суд</t>
  </si>
  <si>
    <t>125</t>
  </si>
  <si>
    <t>Конституционный суд ПМР</t>
  </si>
  <si>
    <t>Верховный суд</t>
  </si>
  <si>
    <t>106</t>
  </si>
  <si>
    <t>Верховный суд ПМР</t>
  </si>
  <si>
    <t>Судебные органы</t>
  </si>
  <si>
    <t>139</t>
  </si>
  <si>
    <t>Судебный департамент  при Верховном суде ПМР</t>
  </si>
  <si>
    <t>Арбитражный суд</t>
  </si>
  <si>
    <t>107</t>
  </si>
  <si>
    <t>Арбитражный суд ПМР</t>
  </si>
  <si>
    <t>Органы судебной власти, не отн. к др.гр.</t>
  </si>
  <si>
    <t>Оплата труда адвокатов</t>
  </si>
  <si>
    <t>0300</t>
  </si>
  <si>
    <t>МЕЖДУНАРОДНАЯ ДЕЯТЕЛЬНОСТЬ</t>
  </si>
  <si>
    <t>Международное сотрудничество</t>
  </si>
  <si>
    <t>Министерство иностранных дел (представительства)</t>
  </si>
  <si>
    <t>Реализация международных соглашений</t>
  </si>
  <si>
    <t>0400</t>
  </si>
  <si>
    <t>ГОСУДАРСТВЕННАЯ ОБОРОНА</t>
  </si>
  <si>
    <t>Государственная армия</t>
  </si>
  <si>
    <t>116</t>
  </si>
  <si>
    <t>Министерство обороны ПМР</t>
  </si>
  <si>
    <t>Миротворческие силы</t>
  </si>
  <si>
    <t>0500</t>
  </si>
  <si>
    <t>ПРАВООХРАНИТЕЛЬНАЯ ДЕЯТЕЛЬНОСТЬ И ОБЕСПЕЧ. БЕЗОПАСНОСТИ ГОС-ВА</t>
  </si>
  <si>
    <t>Органы внутренних дел</t>
  </si>
  <si>
    <t>117</t>
  </si>
  <si>
    <t>Министерство внутренних дел ПМР</t>
  </si>
  <si>
    <t>137</t>
  </si>
  <si>
    <t>ГС судебных исполнителей МЮ ПМР</t>
  </si>
  <si>
    <t>138</t>
  </si>
  <si>
    <t>ГС исполнения наказаний МЮ ПМР</t>
  </si>
  <si>
    <t>Органы государственной безопасности</t>
  </si>
  <si>
    <t>118</t>
  </si>
  <si>
    <t>Министерство государственной безопасности ПМР</t>
  </si>
  <si>
    <t>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</si>
  <si>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</si>
  <si>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</si>
  <si>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</si>
  <si>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</si>
  <si>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</si>
  <si>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</si>
  <si>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09</t>
  </si>
  <si>
    <t>Надзорные органы</t>
  </si>
  <si>
    <t>151</t>
  </si>
  <si>
    <t>Служба государственного надзора МЮ ПМР</t>
  </si>
  <si>
    <t>13</t>
  </si>
  <si>
    <t>Органы и учреждения, не отн. к др.гр.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</si>
  <si>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</si>
  <si>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</si>
  <si>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</si>
  <si>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</si>
  <si>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</si>
  <si>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</si>
  <si>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</si>
  <si>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</si>
  <si>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Учр. и меропр. в области науч. иссл., не отн. к др.гр.</t>
  </si>
  <si>
    <t>136</t>
  </si>
  <si>
    <t>ГС по культуре  и историческому наследию ПМР (НИЛ)</t>
  </si>
  <si>
    <t>0700</t>
  </si>
  <si>
    <t>ПРОМЫШЛЕННОСТЬ, ЭНЕРГЕТИКА И СТРОИТЕЛЬСТВО</t>
  </si>
  <si>
    <t>Деят-ность и усл.в обл. пром-ти, энер-ки и стр., не отн.к др.гр.</t>
  </si>
  <si>
    <t>Компенсация разницы в тарифах</t>
  </si>
  <si>
    <t>0800</t>
  </si>
  <si>
    <t>СЕЛЬСКОЕ ХОЗЯЙСТВО</t>
  </si>
  <si>
    <t>Деят-сть и усл. в области сельского хоз-ва, не отн. к др.гр.</t>
  </si>
  <si>
    <t>Мин-во с/х и прир.рес. (оросительные системы)</t>
  </si>
  <si>
    <t>Мин-во с/х и прир.рес. (РЦ ВСиФСБ)</t>
  </si>
  <si>
    <t>0900</t>
  </si>
  <si>
    <t>ОХРАНА ОКРУЖ. СРЕДЫ, ГИДРОМЕТЕОРОЛОГИЯ, ЛЕСНОЕ, РЫБНОЕ И ВОДНОЕ ХОЗ-ВО</t>
  </si>
  <si>
    <t>Лесное хозяйство</t>
  </si>
  <si>
    <t>Гидрометеорология</t>
  </si>
  <si>
    <t>Мин-во с/х и прир.рес. (Республиканский  ГМЦ)</t>
  </si>
  <si>
    <t>1000</t>
  </si>
  <si>
    <t>ТРАНСПОРТ, ДОРОЖНОЕ ХОЗЯЙСТВО, СВЯЗЬ И ИНФОРМАТИКА</t>
  </si>
  <si>
    <t>Автомобильный и электротранспорт</t>
  </si>
  <si>
    <t>Возмещение льгот по транспорту</t>
  </si>
  <si>
    <t>Связь</t>
  </si>
  <si>
    <t>ГС связи (почты)</t>
  </si>
  <si>
    <t>Информатика</t>
  </si>
  <si>
    <t>Госзаказ по созданию ГИС</t>
  </si>
  <si>
    <t>Расходы в обл. тр-та, дор. хоз-ва, связи и информатики</t>
  </si>
  <si>
    <t>ГС связи (лицензионный сбор)</t>
  </si>
  <si>
    <t>1300</t>
  </si>
  <si>
    <t>ОБРАЗОВАНИЕ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</si>
  <si>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</si>
  <si>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</si>
  <si>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</si>
  <si>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</si>
  <si>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</si>
  <si>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</si>
  <si>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</si>
  <si>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Высшее образование</t>
  </si>
  <si>
    <t>Высшие колледжи</t>
  </si>
  <si>
    <t>Университет</t>
  </si>
  <si>
    <t>Высшие колледжи ГС К и ИН</t>
  </si>
  <si>
    <t>Курсы и учреждения по повышению квалификации</t>
  </si>
  <si>
    <t>ГИПК (курсы и учреждения по повышению квалификации)</t>
  </si>
  <si>
    <t>Детские дома, детские дома семейного типа</t>
  </si>
  <si>
    <t>Детский дом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</si>
  <si>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</si>
  <si>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</si>
  <si>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Прочие мероприятия в области образования</t>
  </si>
  <si>
    <t>Центр экспертизы качества образования</t>
  </si>
  <si>
    <t>1400</t>
  </si>
  <si>
    <t>КУЛЬТУРА, ИСКУССТВО, КИНЕМАТОГРАФИЯ</t>
  </si>
  <si>
    <t>14</t>
  </si>
  <si>
    <t>Деятельность в области культуры и искусства</t>
  </si>
  <si>
    <t>Дворцы и дома культуры, клубы и др.учр-я ГСКиИН</t>
  </si>
  <si>
    <t>Музеи и выставки ГСКиИН</t>
  </si>
  <si>
    <t>Спорт и мероприятия для молодежи</t>
  </si>
  <si>
    <t>Мероприятия для молодежи</t>
  </si>
  <si>
    <t>Мероприятия по спорту</t>
  </si>
  <si>
    <t>Учр. и меропр. в обл. культ.,искус.,спорта, не отн.к др.гр.</t>
  </si>
  <si>
    <t>Респ.спорт.-реаб.центр инвалидов</t>
  </si>
  <si>
    <t>Республиканский стадион</t>
  </si>
  <si>
    <t>РЦОП</t>
  </si>
  <si>
    <t>СДЮШОР</t>
  </si>
  <si>
    <t>Прочие мероприятия по культуре и искусству ГСКиИН</t>
  </si>
  <si>
    <t>1500</t>
  </si>
  <si>
    <t>СРЕДСТВА МАССОВОЙ ИНФОРМАЦИИ</t>
  </si>
  <si>
    <t>15</t>
  </si>
  <si>
    <t>Телевидение и радиовещание</t>
  </si>
  <si>
    <t>ГС СМИ (ПГТРК)</t>
  </si>
  <si>
    <t>ГС связи (ретрансляция)</t>
  </si>
  <si>
    <t>Периодическая печать и издательства</t>
  </si>
  <si>
    <t>ГИИЦ</t>
  </si>
  <si>
    <t>ГС  СМИ (газета)</t>
  </si>
  <si>
    <t>1600</t>
  </si>
  <si>
    <t>ЗДРАВООХРАНЕНИЕ</t>
  </si>
  <si>
    <t>16</t>
  </si>
  <si>
    <t>Больницы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</si>
  <si>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</si>
  <si>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</si>
  <si>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</si>
  <si>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</si>
  <si>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</si>
  <si>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</si>
  <si>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Мед., протезы и продукц., исп. в мед. практике</t>
  </si>
  <si>
    <t>Мед., протезы и продукция, использ. по предп.врача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</si>
  <si>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</si>
  <si>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</si>
  <si>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</si>
  <si>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</si>
  <si>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</t>
  </si>
  <si>
    <t>Пенсии военнослужащим</t>
  </si>
  <si>
    <t>134</t>
  </si>
  <si>
    <t>Пенсии и пособия работн. органов судебной власти и прокурат.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</si>
  <si>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</si>
  <si>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</si>
  <si>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</si>
  <si>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</si>
  <si>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Пенсии и пособия, возмещаемые из бюджета</t>
  </si>
  <si>
    <t>Пенсии и пособия, возмещаемые  из бюджета</t>
  </si>
  <si>
    <t>Поэтапная индексация вкладов населения</t>
  </si>
  <si>
    <t>Индексация вкладов населения</t>
  </si>
  <si>
    <t>Индексация страх. взносов по договорам добровольн. страх.</t>
  </si>
  <si>
    <t>Индексация страховых взносов населения</t>
  </si>
  <si>
    <t>Повышение пенсий за особые заслуги перед гос-вом</t>
  </si>
  <si>
    <t>Повышение пенсий за особые заслуги</t>
  </si>
  <si>
    <t>11</t>
  </si>
  <si>
    <t>Учрежд. и усл. в обл. соц.обесп. и поддержки, не отн. к др.гр.</t>
  </si>
  <si>
    <t>Выплаты и гарантии бывшим руковод.должн.лицам (ВС)</t>
  </si>
  <si>
    <t>Выплаты и гарантии бывшим руковод.должн.лицам (АП)</t>
  </si>
  <si>
    <t>Возмещение вреда по трудовому увечью</t>
  </si>
  <si>
    <t>Выплата компенс. гр-нам, участ. ликв. аварии на ЧАЭС</t>
  </si>
  <si>
    <t>Гос.пособия гражданам, имеющим детей</t>
  </si>
  <si>
    <t>Учр-я и услуги в области соц.обеспеч., не отн. к др. гр.</t>
  </si>
  <si>
    <t>12</t>
  </si>
  <si>
    <t>Льготы отдельным категориям населения на ЖКУ</t>
  </si>
  <si>
    <t>1800</t>
  </si>
  <si>
    <t>ОБСЛУЖИВАНИЕ ГОСУДАРСТВЕННОГО ДОЛГА</t>
  </si>
  <si>
    <t>18</t>
  </si>
  <si>
    <t>Обслуживание внутреннего гос.долга</t>
  </si>
  <si>
    <t>2000</t>
  </si>
  <si>
    <t>ФИНАНСОВАЯ ПОМОЩЬ БЮДЖЕТАМ ДРУГИХ УРОВНЕЙ</t>
  </si>
  <si>
    <t>20</t>
  </si>
  <si>
    <t>Финансовая помощь бюджетам др. уровней</t>
  </si>
  <si>
    <t>Трансферты на обеспечение социальных выплат МБ</t>
  </si>
  <si>
    <t>Трансферты на покрытие разницы в ценах и тарифах на ЖКУ</t>
  </si>
  <si>
    <t>3000</t>
  </si>
  <si>
    <t>ПРОЧИЕ РАСХОДЫ</t>
  </si>
  <si>
    <t>30</t>
  </si>
  <si>
    <t>Резервный фонд Президента ПМР</t>
  </si>
  <si>
    <t>130</t>
  </si>
  <si>
    <t>Проведение выборов и референдумов</t>
  </si>
  <si>
    <t>112</t>
  </si>
  <si>
    <t>Проведение выборов депутатов ВС ПМР</t>
  </si>
  <si>
    <t>Центральная избирательная комиссия ПМР</t>
  </si>
  <si>
    <t>Расходы, не отнесённые к другим группам</t>
  </si>
  <si>
    <t>Обеспечение миротворческой деятельности</t>
  </si>
  <si>
    <t>ГИС в сфере закупок</t>
  </si>
  <si>
    <t>Консалтинговые услуги ОАО ГУК</t>
  </si>
  <si>
    <t>Расходы от оказ.плат.усл. (Минэкономразвития, ГИИЦ)</t>
  </si>
  <si>
    <t>Расходы от оказ.плат.усл. (Мин-во СЗиТ, соц.патронаж)</t>
  </si>
  <si>
    <t>Расходы от оказ.плат.усл. (Минздрав, больницы)</t>
  </si>
  <si>
    <t>Расходы от оказ.плат.усл. (Минздрав, медколледжи)</t>
  </si>
  <si>
    <t>Расходы от оказ.плат.усл. (Минздрав, поликлиники)</t>
  </si>
  <si>
    <t>Расходы от оказ.плат.усл. (Минздрав, СЭС)</t>
  </si>
  <si>
    <t>Мероприятия по обнов. уч. фондов орг. общего образования</t>
  </si>
  <si>
    <t>Мероприятия по оснащению раб. тетрадями</t>
  </si>
  <si>
    <t>Расходы от оказ.плат.усл. (Минпрос, образование)</t>
  </si>
  <si>
    <t>Расходы от оказ.плат.усл. (Минюст, ГУ "Юр.литер-ра")</t>
  </si>
  <si>
    <t>Расходы от оказ.плат.усл. (МВД)</t>
  </si>
  <si>
    <t>Расходы на формирование зем.участков и сост.планов зем.уч.</t>
  </si>
  <si>
    <t>Расходы от оказ.плат.усл. (Мин.с/х и прир.рес., ГМЦ)</t>
  </si>
  <si>
    <t>Расходы от оказ.плат.усл. (Мин.с/х и прир.рес., ГУ "РЦ ВСиФСБ")</t>
  </si>
  <si>
    <t>Расходы от оказ.плат.усл. (Мин.с/х и прир.рес., наука)</t>
  </si>
  <si>
    <t>Расходы от оказ.плат.усл. (Мин.с/х и прир.рес., оросит.системы)</t>
  </si>
  <si>
    <t>124</t>
  </si>
  <si>
    <t>Расходы от оказ.плат.усл. (ГУ ЦКОМФП)</t>
  </si>
  <si>
    <t>Расходы от оказ.плат.усл. (ПГУ)</t>
  </si>
  <si>
    <t>Расходы от оказ.плат.усл. (ГС СИ МЮ)</t>
  </si>
  <si>
    <t>Расходы от оказ.плат.усл. (ГС ИН)</t>
  </si>
  <si>
    <t>Расходы от оказ.плат.усл. (ГС по спорту)</t>
  </si>
  <si>
    <t>Расходы от оказ.плат.усл.  РКВЦ</t>
  </si>
  <si>
    <t>Расходы от оказ.плат.усл. ГС КиИН, ГОУ</t>
  </si>
  <si>
    <t>Расходы от оказ.плат.усл. ГС КиИН, культура и искусство</t>
  </si>
  <si>
    <t>Расходы от оказ.плат.усл. (ГС СМИ,  ПГТРК)</t>
  </si>
  <si>
    <t>Расходы от оказ.плат.усл. (ГС СМИ, газета)</t>
  </si>
  <si>
    <t>Расходы от оказ.плат.усл. (ГС экологического кон., наука)</t>
  </si>
  <si>
    <t>147</t>
  </si>
  <si>
    <t>Субсидии на развитие дорожного хозяйства</t>
  </si>
  <si>
    <t>Целевые программы</t>
  </si>
  <si>
    <t>ГЦП "Профилактика туберкулеза"</t>
  </si>
  <si>
    <t>Целевая программа "Иммунизация населения ПМР"</t>
  </si>
  <si>
    <t>Целевая программа "Онкология"</t>
  </si>
  <si>
    <t>Целевая программа ВИЧ-СПИД</t>
  </si>
  <si>
    <t>Целевая программа "Учебник"</t>
  </si>
  <si>
    <t>ГЦП развития АПК</t>
  </si>
  <si>
    <t>Резервный фонд Правительства ПМР</t>
  </si>
  <si>
    <t>126</t>
  </si>
  <si>
    <t>3100</t>
  </si>
  <si>
    <t>ВОЗВРАТ КРЕДИТОВ ПО ГОСУДАРСТВЕННОМУ  ДОЛГУ</t>
  </si>
  <si>
    <t>31</t>
  </si>
  <si>
    <t>Возврат кредитов по внутреннему гос. долгу</t>
  </si>
  <si>
    <t>Возврат кредитов по внутреннему гос.долгу</t>
  </si>
  <si>
    <t>3200</t>
  </si>
  <si>
    <t>ЦЕЛЕВЫЕ БЮДЖЕТНЫЕ ФОНДЫ</t>
  </si>
  <si>
    <t>32</t>
  </si>
  <si>
    <t>Республиканский экологический фонд ПМР</t>
  </si>
  <si>
    <t>127</t>
  </si>
  <si>
    <t>Государственный целевой фонд таможенных органов ПМР</t>
  </si>
  <si>
    <t>Фонд по обесп.гос.гарантий гр-м, имеющим право на зем.долю (пай)</t>
  </si>
  <si>
    <t>Фонд по обесп.гос.гарантий гр-м, имеющим право на зем.долю</t>
  </si>
  <si>
    <t>Фонд капитальных вложений</t>
  </si>
  <si>
    <t>133</t>
  </si>
  <si>
    <t>Фонд  развития предпринимательства</t>
  </si>
  <si>
    <t>Фонд стимулирования и развития тер.</t>
  </si>
  <si>
    <t>Фонд развития и стимулирования тер.</t>
  </si>
  <si>
    <t>Функцион.</t>
  </si>
  <si>
    <t>Раздел</t>
  </si>
  <si>
    <t>Код пр-пол.</t>
  </si>
  <si>
    <t>Наименование</t>
  </si>
  <si>
    <t>Всего</t>
  </si>
  <si>
    <t>ТЕКУЩИЕ РАСХОДЫ</t>
  </si>
  <si>
    <t>[100000]</t>
  </si>
  <si>
    <t>ЗАКУПКА ТОВАРОВ И ОПЛАТА УСЛУГ</t>
  </si>
  <si>
    <t>[110000]</t>
  </si>
  <si>
    <t>ОПЛАТА ТРУДА</t>
  </si>
  <si>
    <t>[110100]</t>
  </si>
  <si>
    <t>НАЧИСЛЕНИЯ НА ОПЛАТУ ТРУДА</t>
  </si>
  <si>
    <t>[110200]</t>
  </si>
  <si>
    <t>ПРИОБР. ПРЕДМ. СНАБЖ. И РАСХ. МАТЕРИАЛОВ</t>
  </si>
  <si>
    <t>[110300]</t>
  </si>
  <si>
    <t>Медикаменты</t>
  </si>
  <si>
    <t>[110310]</t>
  </si>
  <si>
    <t>Мягкий инвент. и обмундир.</t>
  </si>
  <si>
    <t>[110320]</t>
  </si>
  <si>
    <t>Продукты питания</t>
  </si>
  <si>
    <t>[110330]</t>
  </si>
  <si>
    <t>Оплата топлива</t>
  </si>
  <si>
    <t>[110340]</t>
  </si>
  <si>
    <t>Содерж. автотр-та</t>
  </si>
  <si>
    <t>[110350]</t>
  </si>
  <si>
    <t>Проч. расх. мат-лы и предм. снаб-я</t>
  </si>
  <si>
    <t>[110360]</t>
  </si>
  <si>
    <t>[110400]</t>
  </si>
  <si>
    <t>Внутри республики</t>
  </si>
  <si>
    <t>[110410]</t>
  </si>
  <si>
    <t>За пределы республики</t>
  </si>
  <si>
    <t>[110420]</t>
  </si>
  <si>
    <t>ТРАНСП. УСЛУГИ</t>
  </si>
  <si>
    <t>[110500]</t>
  </si>
  <si>
    <t>ОПЛАТА УСЛУГ СВЯЗИ</t>
  </si>
  <si>
    <t>[110600]</t>
  </si>
  <si>
    <t>ОПЛАТА КОММУН. УСЛУГ</t>
  </si>
  <si>
    <t>[110700]</t>
  </si>
  <si>
    <t>Содержание помещений</t>
  </si>
  <si>
    <t>[110710]</t>
  </si>
  <si>
    <t>Оплата тепловой энергии</t>
  </si>
  <si>
    <t>[110720]</t>
  </si>
  <si>
    <t>Освещение помещений</t>
  </si>
  <si>
    <t>[110730]</t>
  </si>
  <si>
    <t>Водоснабж-е помещений</t>
  </si>
  <si>
    <t>[110740]</t>
  </si>
  <si>
    <t>Вывоз мусора</t>
  </si>
  <si>
    <t>[110750]</t>
  </si>
  <si>
    <t>Аренда помещений</t>
  </si>
  <si>
    <t>[110760]</t>
  </si>
  <si>
    <t>Льготы по коммун. услугам</t>
  </si>
  <si>
    <t>[110770]</t>
  </si>
  <si>
    <t>Оплата газа</t>
  </si>
  <si>
    <t>[110780]</t>
  </si>
  <si>
    <t>ПРОЧ. ТЕК. РАСХ. НА ЗАКУП. ТОВ. И ОПЛ. УСЛУГ</t>
  </si>
  <si>
    <t>[111000]</t>
  </si>
  <si>
    <t>Усл. науч-исслед. орг-ций</t>
  </si>
  <si>
    <t>[111010]</t>
  </si>
  <si>
    <t>Текущ. рем. оборуд. и инвент.</t>
  </si>
  <si>
    <t>[111020]</t>
  </si>
  <si>
    <t>Текущ. рем. зданий и помещ.</t>
  </si>
  <si>
    <t>[111030]</t>
  </si>
  <si>
    <t>Учебн.-нагляд. пособия</t>
  </si>
  <si>
    <t>[111041]</t>
  </si>
  <si>
    <t>Книги и период. издания</t>
  </si>
  <si>
    <t>[111042]</t>
  </si>
  <si>
    <t>Гос. и местн. символика, знаки отличия</t>
  </si>
  <si>
    <t>[111043]</t>
  </si>
  <si>
    <t>Переподготовка кадров</t>
  </si>
  <si>
    <t>[111044]</t>
  </si>
  <si>
    <t>Издат. услуги</t>
  </si>
  <si>
    <t>[111045]</t>
  </si>
  <si>
    <t>Представит. расходы</t>
  </si>
  <si>
    <t>[111046]</t>
  </si>
  <si>
    <t>Приобр. и установ. счетчик.</t>
  </si>
  <si>
    <t>[111047]</t>
  </si>
  <si>
    <t>Проч. спец. расходы</t>
  </si>
  <si>
    <t>[111049]</t>
  </si>
  <si>
    <t>Вневед. охрана</t>
  </si>
  <si>
    <t>[111050]</t>
  </si>
  <si>
    <t>Информ.-вычисл. работы</t>
  </si>
  <si>
    <t>[111051]</t>
  </si>
  <si>
    <t>Участие адвокатов</t>
  </si>
  <si>
    <t>[111052]</t>
  </si>
  <si>
    <t>Молоч. смеси для детей</t>
  </si>
  <si>
    <t>[111053]</t>
  </si>
  <si>
    <t>[111054]</t>
  </si>
  <si>
    <t>Денеж. компенсация</t>
  </si>
  <si>
    <t>[111055]</t>
  </si>
  <si>
    <t>[111056]</t>
  </si>
  <si>
    <t>Тов. и усл., не отнес. к др. гр.</t>
  </si>
  <si>
    <t>[111070]</t>
  </si>
  <si>
    <t>[130000]</t>
  </si>
  <si>
    <t>Тек. трансф. на продукцию и услуги</t>
  </si>
  <si>
    <t>[130100]</t>
  </si>
  <si>
    <t>[130110]</t>
  </si>
  <si>
    <t>На покрытие потерь от льгот по тр-ту</t>
  </si>
  <si>
    <t>[130120]</t>
  </si>
  <si>
    <t>Проч. тр-ты на прод. и услуги</t>
  </si>
  <si>
    <t>[130140]</t>
  </si>
  <si>
    <t>Трансферты на произв. цели</t>
  </si>
  <si>
    <t>[130200]</t>
  </si>
  <si>
    <t>Проч. тр-ты на произв. цели</t>
  </si>
  <si>
    <t>[130270]</t>
  </si>
  <si>
    <t>[130280]</t>
  </si>
  <si>
    <t>[130300]</t>
  </si>
  <si>
    <t>[130310]</t>
  </si>
  <si>
    <t>Тр-ты фин. учр. и др. орг-циям</t>
  </si>
  <si>
    <t>[130400]</t>
  </si>
  <si>
    <t>Страх. комп. на обяз. гос., личн. страхование</t>
  </si>
  <si>
    <t>[130410]</t>
  </si>
  <si>
    <t>[130500]</t>
  </si>
  <si>
    <t>Пенсии и пожизн. содержание</t>
  </si>
  <si>
    <t>[130510]</t>
  </si>
  <si>
    <t>Повышение пенсий за особ. засл. перед гос-вом</t>
  </si>
  <si>
    <t>[130530]</t>
  </si>
  <si>
    <t>Стипендии</t>
  </si>
  <si>
    <t>[130550]</t>
  </si>
  <si>
    <t>[130560]</t>
  </si>
  <si>
    <t>Индексация страховых взносов</t>
  </si>
  <si>
    <t>[130570]</t>
  </si>
  <si>
    <t>Оплата квартир и комм. услуг</t>
  </si>
  <si>
    <t>[130580]</t>
  </si>
  <si>
    <t>[130610]</t>
  </si>
  <si>
    <t>Приобретение тр-ных ср-в для инвалидов</t>
  </si>
  <si>
    <t>[130630]</t>
  </si>
  <si>
    <t>Компенсация тр-ных расх. инвалидам</t>
  </si>
  <si>
    <t>[130640]</t>
  </si>
  <si>
    <t>Денежные компенсации</t>
  </si>
  <si>
    <t>[130650]</t>
  </si>
  <si>
    <t>Прочие тр-ты населению</t>
  </si>
  <si>
    <t>[130660]</t>
  </si>
  <si>
    <t>[200000]</t>
  </si>
  <si>
    <t>КАП. ВЛОЖЕНИЯ В ОСНОВНЫЕ ФОНДЫ</t>
  </si>
  <si>
    <t>[240000]</t>
  </si>
  <si>
    <t>Приобр. оборуд.</t>
  </si>
  <si>
    <t>[240100]</t>
  </si>
  <si>
    <t>Приобр. произв. оборуд.</t>
  </si>
  <si>
    <t>[240110]</t>
  </si>
  <si>
    <t>Приобр. непроизв. оборуд.</t>
  </si>
  <si>
    <t>[240120]</t>
  </si>
  <si>
    <t>Кап. влож. в строительство</t>
  </si>
  <si>
    <t>[240200]</t>
  </si>
  <si>
    <t>В жил. строительство</t>
  </si>
  <si>
    <t>[240210]</t>
  </si>
  <si>
    <t>[240230]</t>
  </si>
  <si>
    <t>В строит. админ. зданий</t>
  </si>
  <si>
    <t>[240240]</t>
  </si>
  <si>
    <t>В строит. коммун. объектов</t>
  </si>
  <si>
    <t>[240250]</t>
  </si>
  <si>
    <t>Капитальный ремонт</t>
  </si>
  <si>
    <t>[240300]</t>
  </si>
  <si>
    <t>[240310]</t>
  </si>
  <si>
    <t>[240330]</t>
  </si>
  <si>
    <t>[240340]</t>
  </si>
  <si>
    <t>[240360]</t>
  </si>
  <si>
    <t>УЧАСТИЕ ПРАВ-ВА В ОСУЩ-ИИ ОТД-Х ПРОГРАММ</t>
  </si>
  <si>
    <t>[290000]</t>
  </si>
  <si>
    <t>[400000]</t>
  </si>
  <si>
    <t>Уплата % и погашение внутр-х кредитов</t>
  </si>
  <si>
    <t>[420000]</t>
  </si>
  <si>
    <t>Уплата % по внутр-м кредитам</t>
  </si>
  <si>
    <t>[420100]</t>
  </si>
  <si>
    <t>Погашение внутр-х кредитов</t>
  </si>
  <si>
    <t>[420200]</t>
  </si>
  <si>
    <t>Приложение № 2</t>
  </si>
  <si>
    <t>к Закону Приднестровской Молдавской Республики</t>
  </si>
  <si>
    <t>Плановые расходы республиканского бюджета на 2020 год</t>
  </si>
  <si>
    <t>Расходы от оказ.плат.усл.</t>
  </si>
  <si>
    <t>"О республиканском бюджете на 2020 год"</t>
  </si>
  <si>
    <t>Протези-рование</t>
  </si>
  <si>
    <t>Услуги судмед-экспертизы</t>
  </si>
  <si>
    <t>КОМАНДИ-РОВКИ И СЛУЖЕБНЫЕ РАЗЪЕЗДЫ</t>
  </si>
  <si>
    <t>Под-раздел</t>
  </si>
  <si>
    <t>ГС по культуре  и историческому наследию ПМР (аппарат)</t>
  </si>
  <si>
    <t>ГС управления документацией и архивами ПМР (аппарат)</t>
  </si>
  <si>
    <t>ГУ "Агентство по инвестициям и развитию ПМР"</t>
  </si>
  <si>
    <t>ГУ "Агентство по туризму ПМР"</t>
  </si>
  <si>
    <t>ГУ "Единый аукционный центр"</t>
  </si>
  <si>
    <t>ГУ "Агентство по инв. "Торговый проект"</t>
  </si>
  <si>
    <t>Органы, исполняющие наказания и судебные решения</t>
  </si>
  <si>
    <t>Мин-во с/х и прир.рес. (ГУП "Приднестровье-лес")</t>
  </si>
  <si>
    <t>ГОУ СПО "Училище олимпийского резерва"</t>
  </si>
  <si>
    <t>Создание информац. ресурсов в сфере налогооблажения</t>
  </si>
  <si>
    <t>Субсидии на осуществление программы "Столица"</t>
  </si>
  <si>
    <t>Расходы от оказ.плат.усл., театр</t>
  </si>
  <si>
    <t>Расходы от оказ. плат. усл. (ГУ "Архивы Приднестровья")</t>
  </si>
  <si>
    <t>Программа обеспечения жильем детей-сирот</t>
  </si>
  <si>
    <t>ГП воспроизводства минерально-сырьевой базы ПМР</t>
  </si>
  <si>
    <t>ГЦП "Стратегия развития ПГУ им. Т. Г. Шевченко"</t>
  </si>
  <si>
    <t>ГЦП "Равные возможности" на 2019-2022 годы</t>
  </si>
  <si>
    <t>ГЦП "Сохран. недвижимых объектов культурного наследия"</t>
  </si>
  <si>
    <t>ИТОГО</t>
  </si>
  <si>
    <t>Расходы на осуществление г. Тирасполем функций столицы</t>
  </si>
  <si>
    <t>ПГУ им. Т. Г. Шевченко (Центр российского образования и науки)</t>
  </si>
  <si>
    <t>Приднестровский гос. театр драмы и комедии им. Н. С. Аронецкой ГС КиИН</t>
  </si>
  <si>
    <t>Министерство экономического развития ПМР</t>
  </si>
  <si>
    <t>Министерство здравоохранения  ПМР</t>
  </si>
  <si>
    <t>Министерство просвещения ПМР</t>
  </si>
  <si>
    <t>Министерство с/х и природных ресурсов</t>
  </si>
  <si>
    <t>Министерство юстиции ПМР</t>
  </si>
  <si>
    <t>1900</t>
  </si>
  <si>
    <t>19</t>
  </si>
  <si>
    <t>Фонд государственного резерва ПМР</t>
  </si>
  <si>
    <t>ПОПОЛНЕНИЕ ГОСУДАРСТВЕННЫХ РЕЗЕРВОВ</t>
  </si>
  <si>
    <t>ГП на проведение приватизации и расзгосударствления</t>
  </si>
  <si>
    <t>Штрафы</t>
  </si>
  <si>
    <t>Денежное вознаг. за выполненные работы, услуги</t>
  </si>
  <si>
    <t>Создание госрезервов</t>
  </si>
  <si>
    <t>МЭР мост. сооруж.</t>
  </si>
  <si>
    <t>[111048]</t>
  </si>
  <si>
    <t>[111058]</t>
  </si>
  <si>
    <t>[250000]</t>
  </si>
  <si>
    <t>[250100]</t>
  </si>
  <si>
    <t>Расходы от оказ.плат.усл. (по госзаказу ПГУ)</t>
  </si>
  <si>
    <t>(руб.)</t>
  </si>
  <si>
    <t>Погашение к/з по програм. стр-ва и ремонта систем водоснабжения</t>
  </si>
  <si>
    <t>СРЕДСТВА, ПЕРЕДАВ. БЮДЖ. ДР. УР.</t>
  </si>
  <si>
    <t>КАПИТ. РАСХОДЫ</t>
  </si>
  <si>
    <t>В строит. объект. соц.- культ. назнач.</t>
  </si>
  <si>
    <t>СОЗДАНИЕ ГОСУДАРСТ. РЕЗЕРВОВ</t>
  </si>
  <si>
    <t xml:space="preserve"> [240270] </t>
  </si>
  <si>
    <t>Государственная служба охраны ПМР</t>
  </si>
  <si>
    <t>Субсидии с/х производителей</t>
  </si>
  <si>
    <t>В строит. прочих объектов</t>
  </si>
  <si>
    <t>Мероприятия по развитию мин.-сырьевой базы и охраны недр</t>
  </si>
  <si>
    <t>Сред., направляемые на покрытия дефицита ГЦФТО</t>
  </si>
  <si>
    <t>жилого фонда</t>
  </si>
  <si>
    <t>объект. соц.-культ. назнач.</t>
  </si>
  <si>
    <t>админ. зданий</t>
  </si>
  <si>
    <t>прочих объектов</t>
  </si>
  <si>
    <t>ГСКиИН ПМР "Центр национальных культур Приднестровья"</t>
  </si>
  <si>
    <t>Республиканский фонд науки и инноваций</t>
  </si>
  <si>
    <t>Правительство ПМР</t>
  </si>
  <si>
    <t>Приложение № 4</t>
  </si>
  <si>
    <t>Приднестровской Молдавской Республики</t>
  </si>
  <si>
    <t>ТЕКУЩИЕ ТРАНСФЕР-ТЫ</t>
  </si>
  <si>
    <t>На покрытие разницы в це- нах и тарифах</t>
  </si>
  <si>
    <t>Из Экологичес- кого фонда</t>
  </si>
  <si>
    <t>ТРАНС- ФЕРТЫ НАСЕЛЕ- НИЮ</t>
  </si>
  <si>
    <t>УПЛАТА % И ПОГАШ. КРЕДИТОВ СОГЛ. ДОГОВО- РАМ, ЗАК- ЛЮЧ-М С ГЛ.РАСП-МИ КРЕД.</t>
  </si>
  <si>
    <t>"О внсении изменений и дополнения в Закон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</si>
</sst>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#,##0;\-#,##0;;@"/>
  </numFmts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horizontal="right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vertical="center"/>
    </xf>
    <xf numFmtId="164" fontId="9" fillId="2" borderId="4" xfId="0" applyNumberFormat="1" applyFont="1" applyFill="1" applyBorder="1" applyAlignment="1">
      <alignment vertical="center"/>
    </xf>
    <xf numFmtId="164" fontId="9" fillId="2" borderId="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164" fontId="10" fillId="0" borderId="7" xfId="0" applyNumberFormat="1" applyFont="1" applyBorder="1" applyAlignment="1">
      <alignment vertical="center"/>
    </xf>
    <xf numFmtId="164" fontId="10" fillId="0" borderId="8" xfId="0" applyNumberFormat="1" applyFont="1" applyBorder="1" applyAlignment="1">
      <alignment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vertical="center"/>
    </xf>
    <xf numFmtId="164" fontId="9" fillId="2" borderId="7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0" fillId="0" borderId="0" xfId="0" applyBorder="1"/>
    <xf numFmtId="164" fontId="13" fillId="0" borderId="0" xfId="0" applyNumberFormat="1" applyFont="1" applyAlignment="1">
      <alignment horizontal="right" vertical="center"/>
    </xf>
    <xf numFmtId="165" fontId="0" fillId="0" borderId="0" xfId="0" applyNumberFormat="1"/>
    <xf numFmtId="164" fontId="10" fillId="0" borderId="7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165" fontId="7" fillId="0" borderId="7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vertical="center" wrapText="1"/>
    </xf>
    <xf numFmtId="164" fontId="7" fillId="0" borderId="7" xfId="0" applyNumberFormat="1" applyFont="1" applyFill="1" applyBorder="1" applyAlignment="1">
      <alignment vertical="center"/>
    </xf>
    <xf numFmtId="164" fontId="10" fillId="0" borderId="8" xfId="0" applyNumberFormat="1" applyFont="1" applyFill="1" applyBorder="1" applyAlignment="1">
      <alignment vertical="center"/>
    </xf>
    <xf numFmtId="165" fontId="0" fillId="0" borderId="0" xfId="0" applyNumberFormat="1" applyFill="1"/>
    <xf numFmtId="0" fontId="0" fillId="0" borderId="0" xfId="0" applyFill="1"/>
    <xf numFmtId="0" fontId="4" fillId="0" borderId="7" xfId="0" applyFont="1" applyFill="1" applyBorder="1" applyAlignment="1">
      <alignment vertical="center" wrapText="1"/>
    </xf>
    <xf numFmtId="0" fontId="14" fillId="0" borderId="0" xfId="0" applyFont="1"/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right" vertical="center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vertical="center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299"/>
  <sheetViews>
    <sheetView tabSelected="1" view="pageBreakPreview" zoomScale="80" zoomScaleNormal="90" zoomScaleSheetLayoutView="80" workbookViewId="0">
      <pane xSplit="5" ySplit="15" topLeftCell="F292" activePane="bottomRight" state="frozenSplit"/>
      <selection pane="topRight" activeCell="I1" sqref="I1"/>
      <selection pane="bottomLeft" activeCell="A10" sqref="A10"/>
      <selection pane="bottomRight" activeCell="F3" sqref="F3:J3"/>
    </sheetView>
  </sheetViews>
  <sheetFormatPr defaultRowHeight="15" x14ac:dyDescent="0.25"/>
  <cols>
    <col min="1" max="3" width="6.7109375" style="1" customWidth="1"/>
    <col min="4" max="4" width="50.7109375" style="2" customWidth="1"/>
    <col min="5" max="5" width="11.5703125" style="3" customWidth="1"/>
    <col min="6" max="7" width="11.42578125" style="4" customWidth="1"/>
    <col min="8" max="8" width="10.7109375" style="4" customWidth="1"/>
    <col min="9" max="9" width="13.28515625" style="4" customWidth="1"/>
    <col min="10" max="10" width="13.42578125" style="4" customWidth="1"/>
    <col min="11" max="11" width="12.140625" style="4" customWidth="1"/>
    <col min="12" max="15" width="10.7109375" style="4" customWidth="1"/>
    <col min="16" max="16" width="11.140625" style="4" customWidth="1"/>
    <col min="17" max="17" width="12.42578125" style="4" customWidth="1"/>
    <col min="18" max="37" width="10.7109375" style="4" customWidth="1"/>
    <col min="38" max="38" width="11.140625" style="4" customWidth="1"/>
    <col min="39" max="50" width="10.7109375" style="4" customWidth="1"/>
    <col min="51" max="51" width="12.85546875" style="4" customWidth="1"/>
    <col min="52" max="53" width="10.7109375" style="4" customWidth="1"/>
    <col min="54" max="54" width="13.5703125" style="4" customWidth="1"/>
    <col min="55" max="56" width="10.7109375" style="4" customWidth="1"/>
    <col min="57" max="57" width="13.7109375" style="4" customWidth="1"/>
    <col min="58" max="58" width="13.5703125" style="4" customWidth="1"/>
    <col min="59" max="59" width="11.140625" style="4" customWidth="1"/>
    <col min="60" max="60" width="10.7109375" style="4" customWidth="1"/>
    <col min="61" max="61" width="11.85546875" style="4" customWidth="1"/>
    <col min="62" max="62" width="12.85546875" style="4" customWidth="1"/>
    <col min="63" max="69" width="10.7109375" style="4" customWidth="1"/>
    <col min="70" max="70" width="12.28515625" style="4" customWidth="1"/>
    <col min="71" max="71" width="11.85546875" style="4" customWidth="1"/>
    <col min="72" max="72" width="12.28515625" style="4" customWidth="1"/>
    <col min="73" max="73" width="10.7109375" style="4" customWidth="1"/>
    <col min="74" max="74" width="15" style="4" customWidth="1"/>
    <col min="75" max="75" width="13.42578125" style="4" customWidth="1"/>
    <col min="76" max="78" width="10.7109375" style="4" customWidth="1"/>
    <col min="79" max="79" width="13.42578125" style="4" customWidth="1"/>
    <col min="80" max="81" width="12.7109375" style="4" customWidth="1"/>
    <col min="82" max="84" width="10.7109375" style="4" customWidth="1"/>
    <col min="85" max="85" width="11.85546875" style="4" customWidth="1"/>
    <col min="86" max="90" width="10.7109375" style="4" customWidth="1"/>
    <col min="91" max="91" width="13.28515625" style="4" customWidth="1"/>
    <col min="92" max="92" width="12.140625" style="4" customWidth="1"/>
    <col min="93" max="93" width="11.42578125" style="4" customWidth="1"/>
    <col min="94" max="95" width="10.7109375" style="4" customWidth="1"/>
    <col min="96" max="96" width="9.7109375" customWidth="1"/>
    <col min="97" max="97" width="10.85546875" customWidth="1"/>
    <col min="98" max="98" width="9.140625" customWidth="1"/>
    <col min="99" max="99" width="9.5703125" customWidth="1"/>
    <col min="100" max="100" width="9.140625" customWidth="1"/>
  </cols>
  <sheetData>
    <row r="1" spans="1:100" ht="15.75" x14ac:dyDescent="0.25">
      <c r="F1" s="37"/>
      <c r="G1" s="37"/>
      <c r="H1" s="37"/>
      <c r="I1" s="67" t="s">
        <v>549</v>
      </c>
      <c r="J1" s="67"/>
    </row>
    <row r="2" spans="1:100" ht="15.75" x14ac:dyDescent="0.25">
      <c r="F2" s="67" t="s">
        <v>481</v>
      </c>
      <c r="G2" s="67"/>
      <c r="H2" s="67"/>
      <c r="I2" s="67"/>
      <c r="J2" s="67"/>
    </row>
    <row r="3" spans="1:100" ht="15.75" x14ac:dyDescent="0.25">
      <c r="F3" s="67" t="s">
        <v>556</v>
      </c>
      <c r="G3" s="67"/>
      <c r="H3" s="67"/>
      <c r="I3" s="67"/>
      <c r="J3" s="67"/>
    </row>
    <row r="4" spans="1:100" ht="15.75" x14ac:dyDescent="0.25">
      <c r="F4" s="37"/>
      <c r="G4" s="67" t="s">
        <v>550</v>
      </c>
      <c r="H4" s="67"/>
      <c r="I4" s="67"/>
      <c r="J4" s="67"/>
    </row>
    <row r="5" spans="1:100" ht="13.5" customHeight="1" x14ac:dyDescent="0.25">
      <c r="F5" s="37"/>
      <c r="G5" s="67" t="s">
        <v>484</v>
      </c>
      <c r="H5" s="67"/>
      <c r="I5" s="67"/>
      <c r="J5" s="67"/>
    </row>
    <row r="6" spans="1:100" ht="4.5" customHeight="1" x14ac:dyDescent="0.25">
      <c r="G6" s="50"/>
      <c r="H6" s="50"/>
      <c r="I6" s="50"/>
      <c r="J6" s="50"/>
    </row>
    <row r="7" spans="1:100" ht="15.75" x14ac:dyDescent="0.25">
      <c r="A7" s="49"/>
      <c r="B7"/>
      <c r="C7"/>
      <c r="D7"/>
      <c r="E7"/>
      <c r="F7"/>
      <c r="G7"/>
      <c r="I7"/>
      <c r="J7" s="5" t="s">
        <v>480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</row>
    <row r="8" spans="1:100" ht="15.75" x14ac:dyDescent="0.25">
      <c r="A8"/>
      <c r="B8"/>
      <c r="C8"/>
      <c r="D8"/>
      <c r="E8"/>
      <c r="F8"/>
      <c r="G8"/>
      <c r="I8"/>
      <c r="J8" s="5" t="s">
        <v>481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</row>
    <row r="9" spans="1:100" ht="15.75" x14ac:dyDescent="0.25">
      <c r="A9"/>
      <c r="B9"/>
      <c r="C9"/>
      <c r="D9"/>
      <c r="E9"/>
      <c r="F9"/>
      <c r="G9"/>
      <c r="I9"/>
      <c r="J9" s="5" t="s">
        <v>484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</row>
    <row r="10" spans="1:100" ht="8.25" customHeight="1" x14ac:dyDescent="0.25"/>
    <row r="11" spans="1:100" ht="15.75" x14ac:dyDescent="0.25">
      <c r="B11" s="51"/>
      <c r="C11" s="51"/>
      <c r="D11" s="51"/>
      <c r="E11" s="51" t="s">
        <v>482</v>
      </c>
      <c r="F11" s="51"/>
      <c r="G11" s="51"/>
      <c r="H11" s="51"/>
      <c r="I11" s="51"/>
      <c r="J11" s="5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</row>
    <row r="12" spans="1:100" ht="16.5" customHeight="1" thickBot="1" x14ac:dyDescent="0.3">
      <c r="J12" s="52" t="s">
        <v>530</v>
      </c>
      <c r="CR12" s="4"/>
      <c r="CS12" s="4"/>
      <c r="CT12" s="4"/>
      <c r="CU12" s="4"/>
    </row>
    <row r="13" spans="1:100" x14ac:dyDescent="0.25">
      <c r="A13" s="55" t="s">
        <v>315</v>
      </c>
      <c r="B13" s="56"/>
      <c r="C13" s="56" t="s">
        <v>317</v>
      </c>
      <c r="D13" s="61" t="s">
        <v>318</v>
      </c>
      <c r="E13" s="64" t="s">
        <v>319</v>
      </c>
      <c r="F13" s="53" t="s">
        <v>320</v>
      </c>
      <c r="G13" s="53" t="s">
        <v>322</v>
      </c>
      <c r="H13" s="53" t="s">
        <v>324</v>
      </c>
      <c r="I13" s="53" t="s">
        <v>326</v>
      </c>
      <c r="J13" s="53" t="s">
        <v>328</v>
      </c>
      <c r="K13" s="53" t="s">
        <v>330</v>
      </c>
      <c r="L13" s="53" t="s">
        <v>332</v>
      </c>
      <c r="M13" s="53" t="s">
        <v>334</v>
      </c>
      <c r="N13" s="53" t="s">
        <v>336</v>
      </c>
      <c r="O13" s="53" t="s">
        <v>338</v>
      </c>
      <c r="P13" s="53" t="s">
        <v>340</v>
      </c>
      <c r="Q13" s="53" t="s">
        <v>487</v>
      </c>
      <c r="R13" s="53" t="s">
        <v>343</v>
      </c>
      <c r="S13" s="53" t="s">
        <v>345</v>
      </c>
      <c r="T13" s="53" t="s">
        <v>347</v>
      </c>
      <c r="U13" s="53" t="s">
        <v>349</v>
      </c>
      <c r="V13" s="53" t="s">
        <v>351</v>
      </c>
      <c r="W13" s="53" t="s">
        <v>353</v>
      </c>
      <c r="X13" s="53" t="s">
        <v>355</v>
      </c>
      <c r="Y13" s="53" t="s">
        <v>357</v>
      </c>
      <c r="Z13" s="53" t="s">
        <v>359</v>
      </c>
      <c r="AA13" s="53" t="s">
        <v>361</v>
      </c>
      <c r="AB13" s="53" t="s">
        <v>363</v>
      </c>
      <c r="AC13" s="53" t="s">
        <v>365</v>
      </c>
      <c r="AD13" s="53" t="s">
        <v>367</v>
      </c>
      <c r="AE13" s="53" t="s">
        <v>369</v>
      </c>
      <c r="AF13" s="53" t="s">
        <v>371</v>
      </c>
      <c r="AG13" s="53" t="s">
        <v>373</v>
      </c>
      <c r="AH13" s="53" t="s">
        <v>375</v>
      </c>
      <c r="AI13" s="53" t="s">
        <v>377</v>
      </c>
      <c r="AJ13" s="53" t="s">
        <v>379</v>
      </c>
      <c r="AK13" s="53" t="s">
        <v>381</v>
      </c>
      <c r="AL13" s="53" t="s">
        <v>383</v>
      </c>
      <c r="AM13" s="53" t="s">
        <v>385</v>
      </c>
      <c r="AN13" s="53" t="s">
        <v>387</v>
      </c>
      <c r="AO13" s="53" t="s">
        <v>389</v>
      </c>
      <c r="AP13" s="53" t="s">
        <v>521</v>
      </c>
      <c r="AQ13" s="53" t="s">
        <v>391</v>
      </c>
      <c r="AR13" s="53" t="s">
        <v>393</v>
      </c>
      <c r="AS13" s="53" t="s">
        <v>395</v>
      </c>
      <c r="AT13" s="53" t="s">
        <v>397</v>
      </c>
      <c r="AU13" s="53" t="s">
        <v>399</v>
      </c>
      <c r="AV13" s="53" t="s">
        <v>485</v>
      </c>
      <c r="AW13" s="53" t="s">
        <v>402</v>
      </c>
      <c r="AX13" s="53" t="s">
        <v>486</v>
      </c>
      <c r="AY13" s="53" t="s">
        <v>522</v>
      </c>
      <c r="AZ13" s="53" t="s">
        <v>405</v>
      </c>
      <c r="BA13" s="53" t="s">
        <v>551</v>
      </c>
      <c r="BB13" s="53" t="s">
        <v>408</v>
      </c>
      <c r="BC13" s="53" t="s">
        <v>552</v>
      </c>
      <c r="BD13" s="53" t="s">
        <v>411</v>
      </c>
      <c r="BE13" s="53" t="s">
        <v>413</v>
      </c>
      <c r="BF13" s="53" t="s">
        <v>415</v>
      </c>
      <c r="BG13" s="53" t="s">
        <v>417</v>
      </c>
      <c r="BH13" s="53" t="s">
        <v>553</v>
      </c>
      <c r="BI13" s="53" t="s">
        <v>532</v>
      </c>
      <c r="BJ13" s="53" t="s">
        <v>508</v>
      </c>
      <c r="BK13" s="53" t="s">
        <v>422</v>
      </c>
      <c r="BL13" s="53" t="s">
        <v>424</v>
      </c>
      <c r="BM13" s="53" t="s">
        <v>554</v>
      </c>
      <c r="BN13" s="53" t="s">
        <v>427</v>
      </c>
      <c r="BO13" s="53" t="s">
        <v>429</v>
      </c>
      <c r="BP13" s="53" t="s">
        <v>431</v>
      </c>
      <c r="BQ13" s="53" t="s">
        <v>220</v>
      </c>
      <c r="BR13" s="53" t="s">
        <v>434</v>
      </c>
      <c r="BS13" s="53" t="s">
        <v>436</v>
      </c>
      <c r="BT13" s="53" t="s">
        <v>217</v>
      </c>
      <c r="BU13" s="53" t="s">
        <v>439</v>
      </c>
      <c r="BV13" s="53" t="s">
        <v>441</v>
      </c>
      <c r="BW13" s="53" t="s">
        <v>443</v>
      </c>
      <c r="BX13" s="53" t="s">
        <v>445</v>
      </c>
      <c r="BY13" s="53" t="s">
        <v>533</v>
      </c>
      <c r="BZ13" s="53" t="s">
        <v>448</v>
      </c>
      <c r="CA13" s="53" t="s">
        <v>450</v>
      </c>
      <c r="CB13" s="53" t="s">
        <v>452</v>
      </c>
      <c r="CC13" s="53" t="s">
        <v>454</v>
      </c>
      <c r="CD13" s="53" t="s">
        <v>456</v>
      </c>
      <c r="CE13" s="53" t="s">
        <v>458</v>
      </c>
      <c r="CF13" s="53" t="s">
        <v>534</v>
      </c>
      <c r="CG13" s="53" t="s">
        <v>461</v>
      </c>
      <c r="CH13" s="53" t="s">
        <v>463</v>
      </c>
      <c r="CI13" s="53" t="s">
        <v>539</v>
      </c>
      <c r="CJ13" s="53" t="s">
        <v>465</v>
      </c>
      <c r="CK13" s="53" t="s">
        <v>542</v>
      </c>
      <c r="CL13" s="53" t="s">
        <v>543</v>
      </c>
      <c r="CM13" s="53" t="s">
        <v>544</v>
      </c>
      <c r="CN13" s="53" t="s">
        <v>545</v>
      </c>
      <c r="CO13" s="53" t="s">
        <v>535</v>
      </c>
      <c r="CP13" s="53" t="s">
        <v>523</v>
      </c>
      <c r="CQ13" s="53" t="s">
        <v>471</v>
      </c>
      <c r="CR13" s="53" t="s">
        <v>555</v>
      </c>
      <c r="CS13" s="53" t="s">
        <v>474</v>
      </c>
      <c r="CT13" s="53" t="s">
        <v>476</v>
      </c>
      <c r="CU13" s="68" t="s">
        <v>478</v>
      </c>
    </row>
    <row r="14" spans="1:100" ht="87" customHeight="1" x14ac:dyDescent="0.25">
      <c r="A14" s="57" t="s">
        <v>316</v>
      </c>
      <c r="B14" s="59" t="s">
        <v>488</v>
      </c>
      <c r="C14" s="59"/>
      <c r="D14" s="62"/>
      <c r="E14" s="65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69"/>
    </row>
    <row r="15" spans="1:100" ht="0.75" customHeight="1" thickBot="1" x14ac:dyDescent="0.3">
      <c r="A15" s="58"/>
      <c r="B15" s="60"/>
      <c r="C15" s="60"/>
      <c r="D15" s="63"/>
      <c r="E15" s="66"/>
      <c r="F15" s="6" t="s">
        <v>321</v>
      </c>
      <c r="G15" s="6" t="s">
        <v>323</v>
      </c>
      <c r="H15" s="6" t="s">
        <v>325</v>
      </c>
      <c r="I15" s="6" t="s">
        <v>327</v>
      </c>
      <c r="J15" s="6" t="s">
        <v>329</v>
      </c>
      <c r="K15" s="6" t="s">
        <v>331</v>
      </c>
      <c r="L15" s="6" t="s">
        <v>333</v>
      </c>
      <c r="M15" s="6" t="s">
        <v>335</v>
      </c>
      <c r="N15" s="6" t="s">
        <v>337</v>
      </c>
      <c r="O15" s="6" t="s">
        <v>339</v>
      </c>
      <c r="P15" s="6" t="s">
        <v>341</v>
      </c>
      <c r="Q15" s="6" t="s">
        <v>342</v>
      </c>
      <c r="R15" s="6" t="s">
        <v>344</v>
      </c>
      <c r="S15" s="6" t="s">
        <v>346</v>
      </c>
      <c r="T15" s="6" t="s">
        <v>348</v>
      </c>
      <c r="U15" s="6" t="s">
        <v>350</v>
      </c>
      <c r="V15" s="6" t="s">
        <v>352</v>
      </c>
      <c r="W15" s="6" t="s">
        <v>354</v>
      </c>
      <c r="X15" s="6" t="s">
        <v>356</v>
      </c>
      <c r="Y15" s="6" t="s">
        <v>358</v>
      </c>
      <c r="Z15" s="6" t="s">
        <v>360</v>
      </c>
      <c r="AA15" s="6" t="s">
        <v>362</v>
      </c>
      <c r="AB15" s="6" t="s">
        <v>364</v>
      </c>
      <c r="AC15" s="6" t="s">
        <v>366</v>
      </c>
      <c r="AD15" s="6" t="s">
        <v>368</v>
      </c>
      <c r="AE15" s="6" t="s">
        <v>370</v>
      </c>
      <c r="AF15" s="6" t="s">
        <v>372</v>
      </c>
      <c r="AG15" s="6" t="s">
        <v>374</v>
      </c>
      <c r="AH15" s="6" t="s">
        <v>376</v>
      </c>
      <c r="AI15" s="6" t="s">
        <v>378</v>
      </c>
      <c r="AJ15" s="6" t="s">
        <v>380</v>
      </c>
      <c r="AK15" s="6" t="s">
        <v>382</v>
      </c>
      <c r="AL15" s="6" t="s">
        <v>384</v>
      </c>
      <c r="AM15" s="6" t="s">
        <v>386</v>
      </c>
      <c r="AN15" s="6" t="s">
        <v>388</v>
      </c>
      <c r="AO15" s="6" t="s">
        <v>390</v>
      </c>
      <c r="AP15" s="6" t="s">
        <v>525</v>
      </c>
      <c r="AQ15" s="6" t="s">
        <v>392</v>
      </c>
      <c r="AR15" s="6" t="s">
        <v>394</v>
      </c>
      <c r="AS15" s="6" t="s">
        <v>396</v>
      </c>
      <c r="AT15" s="6" t="s">
        <v>398</v>
      </c>
      <c r="AU15" s="6" t="s">
        <v>400</v>
      </c>
      <c r="AV15" s="6" t="s">
        <v>401</v>
      </c>
      <c r="AW15" s="6" t="s">
        <v>403</v>
      </c>
      <c r="AX15" s="6" t="s">
        <v>404</v>
      </c>
      <c r="AY15" s="6" t="s">
        <v>526</v>
      </c>
      <c r="AZ15" s="6" t="s">
        <v>406</v>
      </c>
      <c r="BA15" s="6" t="s">
        <v>407</v>
      </c>
      <c r="BB15" s="6" t="s">
        <v>409</v>
      </c>
      <c r="BC15" s="6" t="s">
        <v>410</v>
      </c>
      <c r="BD15" s="6" t="s">
        <v>412</v>
      </c>
      <c r="BE15" s="6" t="s">
        <v>414</v>
      </c>
      <c r="BF15" s="6" t="s">
        <v>416</v>
      </c>
      <c r="BG15" s="6" t="s">
        <v>418</v>
      </c>
      <c r="BH15" s="6" t="s">
        <v>419</v>
      </c>
      <c r="BI15" s="6" t="s">
        <v>420</v>
      </c>
      <c r="BJ15" s="6" t="s">
        <v>421</v>
      </c>
      <c r="BK15" s="6" t="s">
        <v>423</v>
      </c>
      <c r="BL15" s="6" t="s">
        <v>425</v>
      </c>
      <c r="BM15" s="6" t="s">
        <v>426</v>
      </c>
      <c r="BN15" s="6" t="s">
        <v>428</v>
      </c>
      <c r="BO15" s="6" t="s">
        <v>430</v>
      </c>
      <c r="BP15" s="6" t="s">
        <v>432</v>
      </c>
      <c r="BQ15" s="6" t="s">
        <v>433</v>
      </c>
      <c r="BR15" s="6" t="s">
        <v>435</v>
      </c>
      <c r="BS15" s="6" t="s">
        <v>437</v>
      </c>
      <c r="BT15" s="6" t="s">
        <v>438</v>
      </c>
      <c r="BU15" s="6" t="s">
        <v>440</v>
      </c>
      <c r="BV15" s="6" t="s">
        <v>442</v>
      </c>
      <c r="BW15" s="6" t="s">
        <v>444</v>
      </c>
      <c r="BX15" s="6" t="s">
        <v>446</v>
      </c>
      <c r="BY15" s="6" t="s">
        <v>447</v>
      </c>
      <c r="BZ15" s="6" t="s">
        <v>449</v>
      </c>
      <c r="CA15" s="6" t="s">
        <v>451</v>
      </c>
      <c r="CB15" s="6" t="s">
        <v>453</v>
      </c>
      <c r="CC15" s="6" t="s">
        <v>455</v>
      </c>
      <c r="CD15" s="6" t="s">
        <v>457</v>
      </c>
      <c r="CE15" s="6" t="s">
        <v>459</v>
      </c>
      <c r="CF15" s="6" t="s">
        <v>460</v>
      </c>
      <c r="CG15" s="6" t="s">
        <v>462</v>
      </c>
      <c r="CH15" s="6" t="s">
        <v>464</v>
      </c>
      <c r="CI15" s="6" t="s">
        <v>536</v>
      </c>
      <c r="CJ15" s="6" t="s">
        <v>466</v>
      </c>
      <c r="CK15" s="6" t="s">
        <v>467</v>
      </c>
      <c r="CL15" s="6" t="s">
        <v>468</v>
      </c>
      <c r="CM15" s="6" t="s">
        <v>469</v>
      </c>
      <c r="CN15" s="6" t="s">
        <v>470</v>
      </c>
      <c r="CO15" s="6" t="s">
        <v>527</v>
      </c>
      <c r="CP15" s="6" t="s">
        <v>528</v>
      </c>
      <c r="CQ15" s="6" t="s">
        <v>472</v>
      </c>
      <c r="CR15" s="6" t="s">
        <v>473</v>
      </c>
      <c r="CS15" s="6" t="s">
        <v>475</v>
      </c>
      <c r="CT15" s="6" t="s">
        <v>477</v>
      </c>
      <c r="CU15" s="7" t="s">
        <v>479</v>
      </c>
    </row>
    <row r="16" spans="1:100" ht="31.5" x14ac:dyDescent="0.25">
      <c r="A16" s="8" t="s">
        <v>0</v>
      </c>
      <c r="B16" s="9" t="s">
        <v>1</v>
      </c>
      <c r="C16" s="9" t="s">
        <v>1</v>
      </c>
      <c r="D16" s="29" t="s">
        <v>2</v>
      </c>
      <c r="E16" s="10">
        <f t="shared" ref="E16:AJ16" si="0">SUM(E17+E19+E23+E40+E42+E48+E50)</f>
        <v>207579390</v>
      </c>
      <c r="F16" s="11">
        <f t="shared" si="0"/>
        <v>196320173</v>
      </c>
      <c r="G16" s="11">
        <f t="shared" si="0"/>
        <v>191222555</v>
      </c>
      <c r="H16" s="11">
        <f t="shared" si="0"/>
        <v>128576782</v>
      </c>
      <c r="I16" s="11">
        <f t="shared" si="0"/>
        <v>27058535</v>
      </c>
      <c r="J16" s="11">
        <f t="shared" si="0"/>
        <v>11999087</v>
      </c>
      <c r="K16" s="11">
        <f t="shared" si="0"/>
        <v>0</v>
      </c>
      <c r="L16" s="11">
        <f t="shared" si="0"/>
        <v>1441250</v>
      </c>
      <c r="M16" s="11">
        <f t="shared" si="0"/>
        <v>0</v>
      </c>
      <c r="N16" s="11">
        <f t="shared" si="0"/>
        <v>0</v>
      </c>
      <c r="O16" s="11">
        <f t="shared" si="0"/>
        <v>7461480</v>
      </c>
      <c r="P16" s="11">
        <f t="shared" si="0"/>
        <v>3096357</v>
      </c>
      <c r="Q16" s="11">
        <f t="shared" si="0"/>
        <v>3318457</v>
      </c>
      <c r="R16" s="11">
        <f t="shared" si="0"/>
        <v>19859</v>
      </c>
      <c r="S16" s="11">
        <f t="shared" si="0"/>
        <v>3298598</v>
      </c>
      <c r="T16" s="11">
        <f t="shared" si="0"/>
        <v>0</v>
      </c>
      <c r="U16" s="11">
        <f t="shared" si="0"/>
        <v>5543629</v>
      </c>
      <c r="V16" s="11">
        <f t="shared" si="0"/>
        <v>2754168</v>
      </c>
      <c r="W16" s="11">
        <f t="shared" si="0"/>
        <v>735027</v>
      </c>
      <c r="X16" s="11">
        <f t="shared" si="0"/>
        <v>502290</v>
      </c>
      <c r="Y16" s="11">
        <f t="shared" si="0"/>
        <v>657451</v>
      </c>
      <c r="Z16" s="11">
        <f t="shared" si="0"/>
        <v>98283</v>
      </c>
      <c r="AA16" s="11">
        <f t="shared" si="0"/>
        <v>118525</v>
      </c>
      <c r="AB16" s="11">
        <f t="shared" si="0"/>
        <v>585464</v>
      </c>
      <c r="AC16" s="11">
        <f t="shared" si="0"/>
        <v>0</v>
      </c>
      <c r="AD16" s="11">
        <f t="shared" ref="AD16" si="1">SUM(AD17+AD19+AD23+AD40+AD42+AD48+AD50)</f>
        <v>57128</v>
      </c>
      <c r="AE16" s="11">
        <f t="shared" si="0"/>
        <v>11971897</v>
      </c>
      <c r="AF16" s="11">
        <f t="shared" si="0"/>
        <v>0</v>
      </c>
      <c r="AG16" s="11">
        <f t="shared" si="0"/>
        <v>472019</v>
      </c>
      <c r="AH16" s="11">
        <f t="shared" si="0"/>
        <v>646150</v>
      </c>
      <c r="AI16" s="11">
        <f t="shared" si="0"/>
        <v>0</v>
      </c>
      <c r="AJ16" s="11">
        <f t="shared" si="0"/>
        <v>151534</v>
      </c>
      <c r="AK16" s="11">
        <f t="shared" ref="AK16:BP16" si="2">SUM(AK17+AK19+AK23+AK40+AK42+AK48+AK50)</f>
        <v>1000740</v>
      </c>
      <c r="AL16" s="11">
        <f t="shared" si="2"/>
        <v>1079983</v>
      </c>
      <c r="AM16" s="11">
        <f t="shared" si="2"/>
        <v>735546</v>
      </c>
      <c r="AN16" s="11">
        <f t="shared" si="2"/>
        <v>4173146</v>
      </c>
      <c r="AO16" s="11">
        <f t="shared" si="2"/>
        <v>120688</v>
      </c>
      <c r="AP16" s="11">
        <f t="shared" si="2"/>
        <v>0</v>
      </c>
      <c r="AQ16" s="11">
        <f t="shared" si="2"/>
        <v>0</v>
      </c>
      <c r="AR16" s="11">
        <f t="shared" si="2"/>
        <v>569729</v>
      </c>
      <c r="AS16" s="11">
        <f t="shared" si="2"/>
        <v>122513</v>
      </c>
      <c r="AT16" s="11">
        <f t="shared" si="2"/>
        <v>0</v>
      </c>
      <c r="AU16" s="11">
        <f t="shared" si="2"/>
        <v>0</v>
      </c>
      <c r="AV16" s="11">
        <f t="shared" si="2"/>
        <v>0</v>
      </c>
      <c r="AW16" s="11">
        <f t="shared" si="2"/>
        <v>1001409</v>
      </c>
      <c r="AX16" s="11">
        <f t="shared" si="2"/>
        <v>0</v>
      </c>
      <c r="AY16" s="11">
        <f t="shared" si="2"/>
        <v>43660</v>
      </c>
      <c r="AZ16" s="11">
        <f t="shared" si="2"/>
        <v>1854780</v>
      </c>
      <c r="BA16" s="11">
        <f t="shared" si="2"/>
        <v>5097618</v>
      </c>
      <c r="BB16" s="11">
        <f t="shared" si="2"/>
        <v>0</v>
      </c>
      <c r="BC16" s="11">
        <f t="shared" si="2"/>
        <v>0</v>
      </c>
      <c r="BD16" s="11">
        <f t="shared" si="2"/>
        <v>0</v>
      </c>
      <c r="BE16" s="11">
        <f t="shared" si="2"/>
        <v>0</v>
      </c>
      <c r="BF16" s="11">
        <f t="shared" si="2"/>
        <v>0</v>
      </c>
      <c r="BG16" s="11">
        <f t="shared" si="2"/>
        <v>0</v>
      </c>
      <c r="BH16" s="11">
        <f t="shared" si="2"/>
        <v>0</v>
      </c>
      <c r="BI16" s="11">
        <f t="shared" si="2"/>
        <v>0</v>
      </c>
      <c r="BJ16" s="11">
        <f t="shared" si="2"/>
        <v>0</v>
      </c>
      <c r="BK16" s="11">
        <f t="shared" si="2"/>
        <v>0</v>
      </c>
      <c r="BL16" s="11">
        <f t="shared" si="2"/>
        <v>0</v>
      </c>
      <c r="BM16" s="11">
        <f t="shared" si="2"/>
        <v>5097618</v>
      </c>
      <c r="BN16" s="11">
        <f t="shared" si="2"/>
        <v>0</v>
      </c>
      <c r="BO16" s="11">
        <f t="shared" si="2"/>
        <v>0</v>
      </c>
      <c r="BP16" s="11">
        <f t="shared" si="2"/>
        <v>0</v>
      </c>
      <c r="BQ16" s="11">
        <f t="shared" ref="BQ16:CU16" si="3">SUM(BQ17+BQ19+BQ23+BQ40+BQ42+BQ48+BQ50)</f>
        <v>0</v>
      </c>
      <c r="BR16" s="11">
        <f t="shared" si="3"/>
        <v>0</v>
      </c>
      <c r="BS16" s="11">
        <f t="shared" si="3"/>
        <v>0</v>
      </c>
      <c r="BT16" s="11">
        <f t="shared" si="3"/>
        <v>0</v>
      </c>
      <c r="BU16" s="11">
        <f t="shared" si="3"/>
        <v>0</v>
      </c>
      <c r="BV16" s="11">
        <f t="shared" si="3"/>
        <v>0</v>
      </c>
      <c r="BW16" s="11">
        <f t="shared" si="3"/>
        <v>5097618</v>
      </c>
      <c r="BX16" s="11">
        <f t="shared" si="3"/>
        <v>0</v>
      </c>
      <c r="BY16" s="11">
        <f t="shared" si="3"/>
        <v>11259217</v>
      </c>
      <c r="BZ16" s="11">
        <f t="shared" si="3"/>
        <v>11259217</v>
      </c>
      <c r="CA16" s="11">
        <f t="shared" si="3"/>
        <v>4539285</v>
      </c>
      <c r="CB16" s="11">
        <f t="shared" si="3"/>
        <v>0</v>
      </c>
      <c r="CC16" s="11">
        <f t="shared" si="3"/>
        <v>4539285</v>
      </c>
      <c r="CD16" s="11">
        <f t="shared" si="3"/>
        <v>5220912</v>
      </c>
      <c r="CE16" s="11">
        <f t="shared" si="3"/>
        <v>1267875</v>
      </c>
      <c r="CF16" s="11">
        <f t="shared" si="3"/>
        <v>0</v>
      </c>
      <c r="CG16" s="11">
        <f t="shared" si="3"/>
        <v>3953037</v>
      </c>
      <c r="CH16" s="11">
        <f t="shared" si="3"/>
        <v>0</v>
      </c>
      <c r="CI16" s="11">
        <f t="shared" ref="CI16" si="4">SUM(CI17+CI19+CI23+CI40+CI42+CI48+CI50)</f>
        <v>0</v>
      </c>
      <c r="CJ16" s="11">
        <f t="shared" si="3"/>
        <v>1499020</v>
      </c>
      <c r="CK16" s="11">
        <f t="shared" si="3"/>
        <v>0</v>
      </c>
      <c r="CL16" s="11">
        <f t="shared" si="3"/>
        <v>0</v>
      </c>
      <c r="CM16" s="11">
        <f t="shared" si="3"/>
        <v>1499020</v>
      </c>
      <c r="CN16" s="11">
        <f t="shared" si="3"/>
        <v>0</v>
      </c>
      <c r="CO16" s="11">
        <f t="shared" si="3"/>
        <v>0</v>
      </c>
      <c r="CP16" s="11">
        <f t="shared" si="3"/>
        <v>0</v>
      </c>
      <c r="CQ16" s="11">
        <f t="shared" si="3"/>
        <v>0</v>
      </c>
      <c r="CR16" s="11">
        <f t="shared" si="3"/>
        <v>0</v>
      </c>
      <c r="CS16" s="11">
        <f t="shared" si="3"/>
        <v>0</v>
      </c>
      <c r="CT16" s="11">
        <f t="shared" si="3"/>
        <v>0</v>
      </c>
      <c r="CU16" s="12">
        <f t="shared" si="3"/>
        <v>0</v>
      </c>
      <c r="CV16" s="38"/>
    </row>
    <row r="17" spans="1:100" ht="31.5" x14ac:dyDescent="0.25">
      <c r="A17" s="13" t="s">
        <v>3</v>
      </c>
      <c r="B17" s="14" t="s">
        <v>3</v>
      </c>
      <c r="C17" s="14" t="s">
        <v>1</v>
      </c>
      <c r="D17" s="30" t="s">
        <v>4</v>
      </c>
      <c r="E17" s="15">
        <f>SUM(E18)</f>
        <v>20869636</v>
      </c>
      <c r="F17" s="16">
        <f t="shared" ref="F17:BS17" si="5">SUM(F18)</f>
        <v>19317055</v>
      </c>
      <c r="G17" s="16">
        <f t="shared" si="5"/>
        <v>19285233</v>
      </c>
      <c r="H17" s="16">
        <f t="shared" si="5"/>
        <v>8640021</v>
      </c>
      <c r="I17" s="16">
        <f t="shared" si="5"/>
        <v>2061842</v>
      </c>
      <c r="J17" s="16">
        <f t="shared" si="5"/>
        <v>2447752</v>
      </c>
      <c r="K17" s="16">
        <f t="shared" si="5"/>
        <v>0</v>
      </c>
      <c r="L17" s="16">
        <f t="shared" si="5"/>
        <v>19272</v>
      </c>
      <c r="M17" s="16">
        <f t="shared" si="5"/>
        <v>0</v>
      </c>
      <c r="N17" s="16">
        <f t="shared" si="5"/>
        <v>0</v>
      </c>
      <c r="O17" s="16">
        <f t="shared" si="5"/>
        <v>1869040</v>
      </c>
      <c r="P17" s="16">
        <f t="shared" si="5"/>
        <v>559440</v>
      </c>
      <c r="Q17" s="16">
        <f t="shared" si="5"/>
        <v>435133</v>
      </c>
      <c r="R17" s="16">
        <f t="shared" si="5"/>
        <v>856</v>
      </c>
      <c r="S17" s="16">
        <f t="shared" si="5"/>
        <v>434277</v>
      </c>
      <c r="T17" s="16">
        <f t="shared" si="5"/>
        <v>0</v>
      </c>
      <c r="U17" s="16">
        <f t="shared" si="5"/>
        <v>868840</v>
      </c>
      <c r="V17" s="16">
        <f t="shared" si="5"/>
        <v>332604</v>
      </c>
      <c r="W17" s="16">
        <f t="shared" si="5"/>
        <v>114772</v>
      </c>
      <c r="X17" s="16">
        <f t="shared" si="5"/>
        <v>40006</v>
      </c>
      <c r="Y17" s="16">
        <f t="shared" si="5"/>
        <v>112439</v>
      </c>
      <c r="Z17" s="16">
        <f t="shared" si="5"/>
        <v>17150</v>
      </c>
      <c r="AA17" s="16">
        <f t="shared" si="5"/>
        <v>30451</v>
      </c>
      <c r="AB17" s="16">
        <f t="shared" si="5"/>
        <v>0</v>
      </c>
      <c r="AC17" s="16">
        <f t="shared" si="5"/>
        <v>0</v>
      </c>
      <c r="AD17" s="16">
        <f t="shared" si="5"/>
        <v>17786</v>
      </c>
      <c r="AE17" s="16">
        <f t="shared" si="5"/>
        <v>4499041</v>
      </c>
      <c r="AF17" s="16">
        <f t="shared" si="5"/>
        <v>0</v>
      </c>
      <c r="AG17" s="16">
        <f t="shared" si="5"/>
        <v>41883</v>
      </c>
      <c r="AH17" s="16">
        <f t="shared" si="5"/>
        <v>51101</v>
      </c>
      <c r="AI17" s="16">
        <f t="shared" si="5"/>
        <v>0</v>
      </c>
      <c r="AJ17" s="16">
        <f t="shared" si="5"/>
        <v>21455</v>
      </c>
      <c r="AK17" s="16">
        <f t="shared" si="5"/>
        <v>980574</v>
      </c>
      <c r="AL17" s="16">
        <f t="shared" si="5"/>
        <v>77747</v>
      </c>
      <c r="AM17" s="16">
        <f t="shared" si="5"/>
        <v>137000</v>
      </c>
      <c r="AN17" s="16">
        <f t="shared" si="5"/>
        <v>2574685</v>
      </c>
      <c r="AO17" s="16">
        <f t="shared" si="5"/>
        <v>7326</v>
      </c>
      <c r="AP17" s="16">
        <f t="shared" si="5"/>
        <v>0</v>
      </c>
      <c r="AQ17" s="16">
        <f t="shared" si="5"/>
        <v>0</v>
      </c>
      <c r="AR17" s="16">
        <f t="shared" si="5"/>
        <v>0</v>
      </c>
      <c r="AS17" s="16">
        <f t="shared" si="5"/>
        <v>13574</v>
      </c>
      <c r="AT17" s="16">
        <f t="shared" si="5"/>
        <v>0</v>
      </c>
      <c r="AU17" s="16">
        <f t="shared" si="5"/>
        <v>0</v>
      </c>
      <c r="AV17" s="16">
        <f t="shared" si="5"/>
        <v>0</v>
      </c>
      <c r="AW17" s="16">
        <f t="shared" si="5"/>
        <v>0</v>
      </c>
      <c r="AX17" s="16">
        <f t="shared" si="5"/>
        <v>0</v>
      </c>
      <c r="AY17" s="16">
        <f t="shared" si="5"/>
        <v>0</v>
      </c>
      <c r="AZ17" s="16">
        <f t="shared" si="5"/>
        <v>593696</v>
      </c>
      <c r="BA17" s="16">
        <f t="shared" si="5"/>
        <v>31822</v>
      </c>
      <c r="BB17" s="16">
        <f t="shared" si="5"/>
        <v>0</v>
      </c>
      <c r="BC17" s="16">
        <f t="shared" si="5"/>
        <v>0</v>
      </c>
      <c r="BD17" s="16">
        <f t="shared" si="5"/>
        <v>0</v>
      </c>
      <c r="BE17" s="16">
        <f t="shared" si="5"/>
        <v>0</v>
      </c>
      <c r="BF17" s="16">
        <f t="shared" si="5"/>
        <v>0</v>
      </c>
      <c r="BG17" s="16">
        <f t="shared" si="5"/>
        <v>0</v>
      </c>
      <c r="BH17" s="16">
        <f t="shared" si="5"/>
        <v>0</v>
      </c>
      <c r="BI17" s="16">
        <f t="shared" si="5"/>
        <v>0</v>
      </c>
      <c r="BJ17" s="16">
        <f t="shared" si="5"/>
        <v>0</v>
      </c>
      <c r="BK17" s="16">
        <f t="shared" si="5"/>
        <v>0</v>
      </c>
      <c r="BL17" s="16">
        <f t="shared" si="5"/>
        <v>0</v>
      </c>
      <c r="BM17" s="16">
        <f t="shared" si="5"/>
        <v>31822</v>
      </c>
      <c r="BN17" s="16">
        <f t="shared" si="5"/>
        <v>0</v>
      </c>
      <c r="BO17" s="16">
        <f t="shared" si="5"/>
        <v>0</v>
      </c>
      <c r="BP17" s="16">
        <f t="shared" si="5"/>
        <v>0</v>
      </c>
      <c r="BQ17" s="16">
        <f t="shared" si="5"/>
        <v>0</v>
      </c>
      <c r="BR17" s="16">
        <f t="shared" si="5"/>
        <v>0</v>
      </c>
      <c r="BS17" s="16">
        <f t="shared" si="5"/>
        <v>0</v>
      </c>
      <c r="BT17" s="16">
        <f t="shared" ref="BT17:CU17" si="6">SUM(BT18)</f>
        <v>0</v>
      </c>
      <c r="BU17" s="16">
        <f t="shared" si="6"/>
        <v>0</v>
      </c>
      <c r="BV17" s="16">
        <f t="shared" si="6"/>
        <v>0</v>
      </c>
      <c r="BW17" s="16">
        <f t="shared" si="6"/>
        <v>31822</v>
      </c>
      <c r="BX17" s="16">
        <f t="shared" si="6"/>
        <v>0</v>
      </c>
      <c r="BY17" s="16">
        <f t="shared" si="6"/>
        <v>1552581</v>
      </c>
      <c r="BZ17" s="16">
        <f t="shared" si="6"/>
        <v>1552581</v>
      </c>
      <c r="CA17" s="16">
        <f t="shared" si="6"/>
        <v>777466</v>
      </c>
      <c r="CB17" s="16">
        <f t="shared" si="6"/>
        <v>0</v>
      </c>
      <c r="CC17" s="16">
        <f t="shared" si="6"/>
        <v>777466</v>
      </c>
      <c r="CD17" s="16">
        <f t="shared" si="6"/>
        <v>0</v>
      </c>
      <c r="CE17" s="16">
        <f t="shared" si="6"/>
        <v>0</v>
      </c>
      <c r="CF17" s="16">
        <f t="shared" si="6"/>
        <v>0</v>
      </c>
      <c r="CG17" s="16">
        <f t="shared" si="6"/>
        <v>0</v>
      </c>
      <c r="CH17" s="16">
        <f t="shared" si="6"/>
        <v>0</v>
      </c>
      <c r="CI17" s="16">
        <f t="shared" si="6"/>
        <v>0</v>
      </c>
      <c r="CJ17" s="16">
        <f t="shared" si="6"/>
        <v>775115</v>
      </c>
      <c r="CK17" s="16">
        <f t="shared" si="6"/>
        <v>0</v>
      </c>
      <c r="CL17" s="16">
        <f t="shared" si="6"/>
        <v>0</v>
      </c>
      <c r="CM17" s="16">
        <f t="shared" si="6"/>
        <v>775115</v>
      </c>
      <c r="CN17" s="16">
        <f t="shared" si="6"/>
        <v>0</v>
      </c>
      <c r="CO17" s="16">
        <f t="shared" si="6"/>
        <v>0</v>
      </c>
      <c r="CP17" s="16">
        <f t="shared" si="6"/>
        <v>0</v>
      </c>
      <c r="CQ17" s="16">
        <f t="shared" si="6"/>
        <v>0</v>
      </c>
      <c r="CR17" s="16">
        <f t="shared" si="6"/>
        <v>0</v>
      </c>
      <c r="CS17" s="16">
        <f t="shared" si="6"/>
        <v>0</v>
      </c>
      <c r="CT17" s="16">
        <f t="shared" si="6"/>
        <v>0</v>
      </c>
      <c r="CU17" s="17">
        <f t="shared" si="6"/>
        <v>0</v>
      </c>
      <c r="CV17" s="38"/>
    </row>
    <row r="18" spans="1:100" ht="15.75" x14ac:dyDescent="0.25">
      <c r="A18" s="13" t="s">
        <v>1</v>
      </c>
      <c r="B18" s="14" t="s">
        <v>1</v>
      </c>
      <c r="C18" s="14" t="s">
        <v>5</v>
      </c>
      <c r="D18" s="30" t="s">
        <v>6</v>
      </c>
      <c r="E18" s="15">
        <f>SUM(F18+BY18+CR18)</f>
        <v>20869636</v>
      </c>
      <c r="F18" s="16">
        <f>SUM(G18+BA18)</f>
        <v>19317055</v>
      </c>
      <c r="G18" s="16">
        <f>SUM(H18+I18+J18+Q18+T18+U18+V18+AE18)</f>
        <v>19285233</v>
      </c>
      <c r="H18" s="16">
        <v>8640021</v>
      </c>
      <c r="I18" s="16">
        <v>2061842</v>
      </c>
      <c r="J18" s="16">
        <f t="shared" ref="J18:J80" si="7">SUM(K18:P18)</f>
        <v>2447752</v>
      </c>
      <c r="K18" s="16">
        <v>0</v>
      </c>
      <c r="L18" s="16">
        <v>19272</v>
      </c>
      <c r="M18" s="16">
        <v>0</v>
      </c>
      <c r="N18" s="16">
        <v>0</v>
      </c>
      <c r="O18" s="16">
        <f>1876650-7610</f>
        <v>1869040</v>
      </c>
      <c r="P18" s="16">
        <v>559440</v>
      </c>
      <c r="Q18" s="16">
        <f t="shared" ref="Q18:Q80" si="8">SUM(R18:S18)</f>
        <v>435133</v>
      </c>
      <c r="R18" s="16">
        <v>856</v>
      </c>
      <c r="S18" s="16">
        <v>434277</v>
      </c>
      <c r="T18" s="16">
        <v>0</v>
      </c>
      <c r="U18" s="16">
        <v>868840</v>
      </c>
      <c r="V18" s="16">
        <f>SUM(W18:AD18)</f>
        <v>332604</v>
      </c>
      <c r="W18" s="16">
        <v>114772</v>
      </c>
      <c r="X18" s="16">
        <f>32396+7610</f>
        <v>40006</v>
      </c>
      <c r="Y18" s="16">
        <v>112439</v>
      </c>
      <c r="Z18" s="16">
        <v>17150</v>
      </c>
      <c r="AA18" s="16">
        <v>30451</v>
      </c>
      <c r="AB18" s="16">
        <v>0</v>
      </c>
      <c r="AC18" s="16">
        <v>0</v>
      </c>
      <c r="AD18" s="16">
        <v>17786</v>
      </c>
      <c r="AE18" s="16">
        <f>SUM(AF18:AZ18)</f>
        <v>4499041</v>
      </c>
      <c r="AF18" s="16">
        <v>0</v>
      </c>
      <c r="AG18" s="16">
        <v>41883</v>
      </c>
      <c r="AH18" s="16">
        <v>51101</v>
      </c>
      <c r="AI18" s="16">
        <v>0</v>
      </c>
      <c r="AJ18" s="16">
        <v>21455</v>
      </c>
      <c r="AK18" s="16">
        <v>980574</v>
      </c>
      <c r="AL18" s="16">
        <v>77747</v>
      </c>
      <c r="AM18" s="16">
        <v>137000</v>
      </c>
      <c r="AN18" s="16">
        <v>2574685</v>
      </c>
      <c r="AO18" s="16">
        <v>7326</v>
      </c>
      <c r="AP18" s="16"/>
      <c r="AQ18" s="16">
        <v>0</v>
      </c>
      <c r="AR18" s="16">
        <v>0</v>
      </c>
      <c r="AS18" s="16">
        <v>13574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/>
      <c r="AZ18" s="16">
        <v>593696</v>
      </c>
      <c r="BA18" s="16">
        <f>SUM(BB18+BF18+BI18+BK18+BM18)</f>
        <v>31822</v>
      </c>
      <c r="BB18" s="16">
        <f>SUM(BC18:BE18)</f>
        <v>0</v>
      </c>
      <c r="BC18" s="16">
        <v>0</v>
      </c>
      <c r="BD18" s="16">
        <v>0</v>
      </c>
      <c r="BE18" s="16">
        <v>0</v>
      </c>
      <c r="BF18" s="16">
        <f t="shared" ref="BF18:BF80" si="9">SUM(BG18:BH18)</f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ref="BK18:BK80" si="10">SUM(BL18)</f>
        <v>0</v>
      </c>
      <c r="BL18" s="16">
        <v>0</v>
      </c>
      <c r="BM18" s="16">
        <f t="shared" ref="BM18:BM80" si="11">SUM(BN18:BX18)</f>
        <v>31822</v>
      </c>
      <c r="BN18" s="16">
        <v>0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31822</v>
      </c>
      <c r="BX18" s="16">
        <v>0</v>
      </c>
      <c r="BY18" s="16">
        <f>SUM(BZ18+CQ18)</f>
        <v>1552581</v>
      </c>
      <c r="BZ18" s="16">
        <f>SUM(CA18+CD18+CJ18)</f>
        <v>1552581</v>
      </c>
      <c r="CA18" s="16">
        <f t="shared" ref="CA18:CA80" si="12">SUM(CB18:CC18)</f>
        <v>777466</v>
      </c>
      <c r="CB18" s="16">
        <v>0</v>
      </c>
      <c r="CC18" s="16">
        <v>777466</v>
      </c>
      <c r="CD18" s="16">
        <f>SUM(CE18:CH18)</f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f>SUM(CK18:CN18)</f>
        <v>775115</v>
      </c>
      <c r="CK18" s="16">
        <v>0</v>
      </c>
      <c r="CL18" s="16">
        <v>0</v>
      </c>
      <c r="CM18" s="16">
        <v>775115</v>
      </c>
      <c r="CN18" s="16">
        <v>0</v>
      </c>
      <c r="CO18" s="16">
        <f>SUM(CP18)</f>
        <v>0</v>
      </c>
      <c r="CP18" s="16"/>
      <c r="CQ18" s="16">
        <v>0</v>
      </c>
      <c r="CR18" s="16">
        <f t="shared" ref="CR18:CR80" si="13">SUM(CS18)</f>
        <v>0</v>
      </c>
      <c r="CS18" s="16">
        <f t="shared" ref="CS18:CS80" si="14">SUM(CT18:CU18)</f>
        <v>0</v>
      </c>
      <c r="CT18" s="16">
        <v>0</v>
      </c>
      <c r="CU18" s="17">
        <v>0</v>
      </c>
      <c r="CV18" s="38"/>
    </row>
    <row r="19" spans="1:100" ht="31.5" x14ac:dyDescent="0.25">
      <c r="A19" s="13" t="s">
        <v>3</v>
      </c>
      <c r="B19" s="14" t="s">
        <v>7</v>
      </c>
      <c r="C19" s="14" t="s">
        <v>1</v>
      </c>
      <c r="D19" s="30" t="s">
        <v>8</v>
      </c>
      <c r="E19" s="15">
        <f>SUM(E20:E22)</f>
        <v>39021020</v>
      </c>
      <c r="F19" s="16">
        <f t="shared" ref="F19:BS19" si="15">SUM(F20:F22)</f>
        <v>36218366</v>
      </c>
      <c r="G19" s="16">
        <f t="shared" si="15"/>
        <v>33813648</v>
      </c>
      <c r="H19" s="16">
        <f t="shared" si="15"/>
        <v>21975058</v>
      </c>
      <c r="I19" s="16">
        <f t="shared" si="15"/>
        <v>5268641</v>
      </c>
      <c r="J19" s="16">
        <f t="shared" si="15"/>
        <v>3193895</v>
      </c>
      <c r="K19" s="16">
        <f t="shared" si="15"/>
        <v>0</v>
      </c>
      <c r="L19" s="16">
        <f t="shared" si="15"/>
        <v>87018</v>
      </c>
      <c r="M19" s="16">
        <f t="shared" si="15"/>
        <v>0</v>
      </c>
      <c r="N19" s="16">
        <f t="shared" si="15"/>
        <v>0</v>
      </c>
      <c r="O19" s="16">
        <f t="shared" si="15"/>
        <v>2135643</v>
      </c>
      <c r="P19" s="16">
        <f t="shared" si="15"/>
        <v>971234</v>
      </c>
      <c r="Q19" s="16">
        <f t="shared" si="15"/>
        <v>720002</v>
      </c>
      <c r="R19" s="16">
        <f t="shared" si="15"/>
        <v>0</v>
      </c>
      <c r="S19" s="16">
        <f t="shared" si="15"/>
        <v>720002</v>
      </c>
      <c r="T19" s="16">
        <f t="shared" si="15"/>
        <v>0</v>
      </c>
      <c r="U19" s="16">
        <f t="shared" si="15"/>
        <v>970685</v>
      </c>
      <c r="V19" s="16">
        <f t="shared" si="15"/>
        <v>87412</v>
      </c>
      <c r="W19" s="16">
        <f t="shared" si="15"/>
        <v>3606</v>
      </c>
      <c r="X19" s="16">
        <f t="shared" si="15"/>
        <v>19275</v>
      </c>
      <c r="Y19" s="16">
        <f t="shared" si="15"/>
        <v>41958</v>
      </c>
      <c r="Z19" s="16">
        <f t="shared" si="15"/>
        <v>7858</v>
      </c>
      <c r="AA19" s="16">
        <f t="shared" si="15"/>
        <v>5156</v>
      </c>
      <c r="AB19" s="16">
        <f t="shared" si="15"/>
        <v>648</v>
      </c>
      <c r="AC19" s="16">
        <f t="shared" si="15"/>
        <v>0</v>
      </c>
      <c r="AD19" s="16">
        <f t="shared" ref="AD19" si="16">SUM(AD20:AD22)</f>
        <v>8911</v>
      </c>
      <c r="AE19" s="16">
        <f t="shared" si="15"/>
        <v>1597955</v>
      </c>
      <c r="AF19" s="16">
        <f t="shared" si="15"/>
        <v>0</v>
      </c>
      <c r="AG19" s="16">
        <f t="shared" si="15"/>
        <v>87752</v>
      </c>
      <c r="AH19" s="16">
        <f t="shared" si="15"/>
        <v>116813</v>
      </c>
      <c r="AI19" s="16">
        <f t="shared" si="15"/>
        <v>0</v>
      </c>
      <c r="AJ19" s="16">
        <f t="shared" si="15"/>
        <v>39180</v>
      </c>
      <c r="AK19" s="16">
        <f t="shared" si="15"/>
        <v>0</v>
      </c>
      <c r="AL19" s="16">
        <f t="shared" si="15"/>
        <v>227044</v>
      </c>
      <c r="AM19" s="16">
        <f t="shared" si="15"/>
        <v>70164</v>
      </c>
      <c r="AN19" s="16">
        <f t="shared" si="15"/>
        <v>903693</v>
      </c>
      <c r="AO19" s="16">
        <f t="shared" si="15"/>
        <v>0</v>
      </c>
      <c r="AP19" s="16"/>
      <c r="AQ19" s="16">
        <f t="shared" si="15"/>
        <v>0</v>
      </c>
      <c r="AR19" s="16">
        <f t="shared" si="15"/>
        <v>42153</v>
      </c>
      <c r="AS19" s="16">
        <f t="shared" si="15"/>
        <v>27042</v>
      </c>
      <c r="AT19" s="16">
        <f t="shared" si="15"/>
        <v>0</v>
      </c>
      <c r="AU19" s="16">
        <f t="shared" si="15"/>
        <v>0</v>
      </c>
      <c r="AV19" s="16">
        <f t="shared" si="15"/>
        <v>0</v>
      </c>
      <c r="AW19" s="16">
        <f t="shared" si="15"/>
        <v>0</v>
      </c>
      <c r="AX19" s="16">
        <f t="shared" si="15"/>
        <v>0</v>
      </c>
      <c r="AY19" s="16"/>
      <c r="AZ19" s="16">
        <f t="shared" si="15"/>
        <v>84114</v>
      </c>
      <c r="BA19" s="16">
        <f t="shared" si="15"/>
        <v>2404718</v>
      </c>
      <c r="BB19" s="16">
        <f t="shared" si="15"/>
        <v>0</v>
      </c>
      <c r="BC19" s="16">
        <f t="shared" si="15"/>
        <v>0</v>
      </c>
      <c r="BD19" s="16">
        <f t="shared" si="15"/>
        <v>0</v>
      </c>
      <c r="BE19" s="16">
        <f t="shared" si="15"/>
        <v>0</v>
      </c>
      <c r="BF19" s="16">
        <f t="shared" si="15"/>
        <v>0</v>
      </c>
      <c r="BG19" s="16">
        <f t="shared" si="15"/>
        <v>0</v>
      </c>
      <c r="BH19" s="16">
        <f t="shared" si="15"/>
        <v>0</v>
      </c>
      <c r="BI19" s="16">
        <f t="shared" si="15"/>
        <v>0</v>
      </c>
      <c r="BJ19" s="16">
        <f t="shared" si="15"/>
        <v>0</v>
      </c>
      <c r="BK19" s="16">
        <f t="shared" si="15"/>
        <v>0</v>
      </c>
      <c r="BL19" s="16">
        <f t="shared" si="15"/>
        <v>0</v>
      </c>
      <c r="BM19" s="16">
        <f t="shared" si="15"/>
        <v>2404718</v>
      </c>
      <c r="BN19" s="16">
        <f t="shared" si="15"/>
        <v>0</v>
      </c>
      <c r="BO19" s="16">
        <f t="shared" si="15"/>
        <v>0</v>
      </c>
      <c r="BP19" s="16">
        <f t="shared" si="15"/>
        <v>0</v>
      </c>
      <c r="BQ19" s="16">
        <f t="shared" si="15"/>
        <v>0</v>
      </c>
      <c r="BR19" s="16">
        <f t="shared" si="15"/>
        <v>0</v>
      </c>
      <c r="BS19" s="16">
        <f t="shared" si="15"/>
        <v>0</v>
      </c>
      <c r="BT19" s="16">
        <f t="shared" ref="BT19:CU19" si="17">SUM(BT20:BT22)</f>
        <v>0</v>
      </c>
      <c r="BU19" s="16">
        <f t="shared" si="17"/>
        <v>0</v>
      </c>
      <c r="BV19" s="16">
        <f t="shared" si="17"/>
        <v>0</v>
      </c>
      <c r="BW19" s="16">
        <f t="shared" si="17"/>
        <v>2404718</v>
      </c>
      <c r="BX19" s="16">
        <f t="shared" si="17"/>
        <v>0</v>
      </c>
      <c r="BY19" s="16">
        <f t="shared" si="17"/>
        <v>2802654</v>
      </c>
      <c r="BZ19" s="16">
        <f t="shared" si="17"/>
        <v>2802654</v>
      </c>
      <c r="CA19" s="16">
        <f t="shared" si="17"/>
        <v>1534779</v>
      </c>
      <c r="CB19" s="16">
        <f t="shared" si="17"/>
        <v>0</v>
      </c>
      <c r="CC19" s="16">
        <f t="shared" si="17"/>
        <v>1534779</v>
      </c>
      <c r="CD19" s="16">
        <f t="shared" si="17"/>
        <v>1267875</v>
      </c>
      <c r="CE19" s="16">
        <f t="shared" si="17"/>
        <v>1267875</v>
      </c>
      <c r="CF19" s="16">
        <f t="shared" si="17"/>
        <v>0</v>
      </c>
      <c r="CG19" s="16">
        <f t="shared" si="17"/>
        <v>0</v>
      </c>
      <c r="CH19" s="16">
        <f t="shared" si="17"/>
        <v>0</v>
      </c>
      <c r="CI19" s="16">
        <f t="shared" ref="CI19" si="18">SUM(CI20:CI22)</f>
        <v>0</v>
      </c>
      <c r="CJ19" s="16">
        <f t="shared" si="17"/>
        <v>0</v>
      </c>
      <c r="CK19" s="16">
        <f t="shared" si="17"/>
        <v>0</v>
      </c>
      <c r="CL19" s="16">
        <f t="shared" si="17"/>
        <v>0</v>
      </c>
      <c r="CM19" s="16">
        <f t="shared" si="17"/>
        <v>0</v>
      </c>
      <c r="CN19" s="16">
        <f t="shared" si="17"/>
        <v>0</v>
      </c>
      <c r="CO19" s="16">
        <f>SUM(CP19)</f>
        <v>0</v>
      </c>
      <c r="CP19" s="16"/>
      <c r="CQ19" s="16">
        <f t="shared" si="17"/>
        <v>0</v>
      </c>
      <c r="CR19" s="16">
        <f t="shared" si="17"/>
        <v>0</v>
      </c>
      <c r="CS19" s="16">
        <f t="shared" si="17"/>
        <v>0</v>
      </c>
      <c r="CT19" s="16">
        <f t="shared" si="17"/>
        <v>0</v>
      </c>
      <c r="CU19" s="17">
        <f t="shared" si="17"/>
        <v>0</v>
      </c>
      <c r="CV19" s="38"/>
    </row>
    <row r="20" spans="1:100" ht="15.75" x14ac:dyDescent="0.25">
      <c r="A20" s="13" t="s">
        <v>1</v>
      </c>
      <c r="B20" s="14" t="s">
        <v>1</v>
      </c>
      <c r="C20" s="14" t="s">
        <v>9</v>
      </c>
      <c r="D20" s="30" t="s">
        <v>10</v>
      </c>
      <c r="E20" s="15">
        <f>SUM(F20+BY20+CR20)</f>
        <v>26639946</v>
      </c>
      <c r="F20" s="16">
        <f>SUM(G20+BA20)</f>
        <v>24501923</v>
      </c>
      <c r="G20" s="16">
        <f>SUM(H20+I20+J20+Q20+T20+U20+V20+AE20)</f>
        <v>22110231</v>
      </c>
      <c r="H20" s="16">
        <v>13873375</v>
      </c>
      <c r="I20" s="16">
        <v>3336840</v>
      </c>
      <c r="J20" s="16">
        <f t="shared" si="7"/>
        <v>2271467</v>
      </c>
      <c r="K20" s="16">
        <v>0</v>
      </c>
      <c r="L20" s="16">
        <v>0</v>
      </c>
      <c r="M20" s="16">
        <v>0</v>
      </c>
      <c r="N20" s="16">
        <v>0</v>
      </c>
      <c r="O20" s="16">
        <v>1658609</v>
      </c>
      <c r="P20" s="16">
        <v>612858</v>
      </c>
      <c r="Q20" s="16">
        <f t="shared" si="8"/>
        <v>640000</v>
      </c>
      <c r="R20" s="16">
        <v>0</v>
      </c>
      <c r="S20" s="16">
        <v>640000</v>
      </c>
      <c r="T20" s="16">
        <v>0</v>
      </c>
      <c r="U20" s="16">
        <v>797759</v>
      </c>
      <c r="V20" s="16">
        <f>SUM(W20:AD20)</f>
        <v>5936</v>
      </c>
      <c r="W20" s="16"/>
      <c r="X20" s="16">
        <f>0+1200+1800</f>
        <v>3000</v>
      </c>
      <c r="Y20" s="16">
        <f>1548+54</f>
        <v>1602</v>
      </c>
      <c r="Z20" s="16">
        <v>964</v>
      </c>
      <c r="AA20" s="16">
        <v>370</v>
      </c>
      <c r="AB20" s="16">
        <v>0</v>
      </c>
      <c r="AC20" s="16">
        <v>0</v>
      </c>
      <c r="AD20" s="16">
        <v>0</v>
      </c>
      <c r="AE20" s="16">
        <f>SUM(AF20:AZ20)</f>
        <v>1184854</v>
      </c>
      <c r="AF20" s="16">
        <v>0</v>
      </c>
      <c r="AG20" s="16">
        <v>72672</v>
      </c>
      <c r="AH20" s="16">
        <f>100000</f>
        <v>100000</v>
      </c>
      <c r="AI20" s="16">
        <v>0</v>
      </c>
      <c r="AJ20" s="16">
        <v>9558</v>
      </c>
      <c r="AK20" s="16">
        <v>0</v>
      </c>
      <c r="AL20" s="16">
        <v>122572</v>
      </c>
      <c r="AM20" s="16">
        <v>62208</v>
      </c>
      <c r="AN20" s="16">
        <v>785400</v>
      </c>
      <c r="AO20" s="16">
        <v>0</v>
      </c>
      <c r="AP20" s="16">
        <v>0</v>
      </c>
      <c r="AQ20" s="16">
        <v>0</v>
      </c>
      <c r="AR20" s="16">
        <v>13008</v>
      </c>
      <c r="AS20" s="16">
        <v>15842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3594</v>
      </c>
      <c r="BA20" s="16">
        <f>SUM(BB20+BF20+BI20+BK20+BM20)</f>
        <v>2391692</v>
      </c>
      <c r="BB20" s="16">
        <f>SUM(BC20:BE20)</f>
        <v>0</v>
      </c>
      <c r="BC20" s="16">
        <v>0</v>
      </c>
      <c r="BD20" s="16">
        <v>0</v>
      </c>
      <c r="BE20" s="16">
        <v>0</v>
      </c>
      <c r="BF20" s="16">
        <f t="shared" si="9"/>
        <v>0</v>
      </c>
      <c r="BG20" s="16">
        <v>0</v>
      </c>
      <c r="BH20" s="16">
        <v>0</v>
      </c>
      <c r="BI20" s="16">
        <v>0</v>
      </c>
      <c r="BJ20" s="16">
        <v>0</v>
      </c>
      <c r="BK20" s="16">
        <f t="shared" si="10"/>
        <v>0</v>
      </c>
      <c r="BL20" s="16">
        <v>0</v>
      </c>
      <c r="BM20" s="16">
        <f t="shared" si="11"/>
        <v>2391692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2391692</v>
      </c>
      <c r="BX20" s="16">
        <v>0</v>
      </c>
      <c r="BY20" s="16">
        <f>SUM(BZ20+CQ20)</f>
        <v>2138023</v>
      </c>
      <c r="BZ20" s="16">
        <f>SUM(CA20+CD20+CJ20)</f>
        <v>2138023</v>
      </c>
      <c r="CA20" s="16">
        <f t="shared" si="12"/>
        <v>1172023</v>
      </c>
      <c r="CB20" s="16">
        <v>0</v>
      </c>
      <c r="CC20" s="16">
        <f>1225716-50639-1200-1854</f>
        <v>1172023</v>
      </c>
      <c r="CD20" s="16">
        <f>SUM(CE20:CH20)</f>
        <v>966000</v>
      </c>
      <c r="CE20" s="16">
        <v>966000</v>
      </c>
      <c r="CF20" s="16">
        <v>0</v>
      </c>
      <c r="CG20" s="16">
        <v>0</v>
      </c>
      <c r="CH20" s="16">
        <v>0</v>
      </c>
      <c r="CI20" s="16">
        <v>0</v>
      </c>
      <c r="CJ20" s="16">
        <f>SUM(CK20:CN20)</f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f>SUM(CP20)</f>
        <v>0</v>
      </c>
      <c r="CP20" s="16">
        <v>0</v>
      </c>
      <c r="CQ20" s="16">
        <v>0</v>
      </c>
      <c r="CR20" s="16">
        <f t="shared" si="13"/>
        <v>0</v>
      </c>
      <c r="CS20" s="16">
        <f t="shared" si="14"/>
        <v>0</v>
      </c>
      <c r="CT20" s="16">
        <v>0</v>
      </c>
      <c r="CU20" s="17">
        <v>0</v>
      </c>
      <c r="CV20" s="38"/>
    </row>
    <row r="21" spans="1:100" ht="15.75" x14ac:dyDescent="0.25">
      <c r="A21" s="13" t="s">
        <v>1</v>
      </c>
      <c r="B21" s="14" t="s">
        <v>1</v>
      </c>
      <c r="C21" s="14" t="s">
        <v>11</v>
      </c>
      <c r="D21" s="30" t="s">
        <v>12</v>
      </c>
      <c r="E21" s="15">
        <f>SUM(F21+BY21+CR21)</f>
        <v>10783642</v>
      </c>
      <c r="F21" s="16">
        <f>SUM(G21+BA21)</f>
        <v>10139599</v>
      </c>
      <c r="G21" s="16">
        <f>SUM(H21+I21+J21+Q21+T21+U21+V21+AE21)</f>
        <v>10132324</v>
      </c>
      <c r="H21" s="16">
        <v>7005911</v>
      </c>
      <c r="I21" s="16">
        <v>1667464</v>
      </c>
      <c r="J21" s="16">
        <f t="shared" si="7"/>
        <v>851847</v>
      </c>
      <c r="K21" s="16">
        <v>0</v>
      </c>
      <c r="L21" s="16">
        <v>87018</v>
      </c>
      <c r="M21" s="16">
        <v>0</v>
      </c>
      <c r="N21" s="16">
        <v>0</v>
      </c>
      <c r="O21" s="16">
        <v>422661</v>
      </c>
      <c r="P21" s="16">
        <v>342168</v>
      </c>
      <c r="Q21" s="16">
        <f t="shared" si="8"/>
        <v>65755</v>
      </c>
      <c r="R21" s="16">
        <v>0</v>
      </c>
      <c r="S21" s="16">
        <v>65755</v>
      </c>
      <c r="T21" s="16">
        <v>0</v>
      </c>
      <c r="U21" s="16">
        <v>110927</v>
      </c>
      <c r="V21" s="16">
        <f>SUM(W21:AD21)</f>
        <v>74361</v>
      </c>
      <c r="W21" s="16">
        <f>16979-13373</f>
        <v>3606</v>
      </c>
      <c r="X21" s="16">
        <f>12125+1315</f>
        <v>13440</v>
      </c>
      <c r="Y21" s="16">
        <f>40799-180-3983</f>
        <v>36636</v>
      </c>
      <c r="Z21" s="16">
        <v>6334</v>
      </c>
      <c r="AA21" s="16">
        <v>4786</v>
      </c>
      <c r="AB21" s="16">
        <v>648</v>
      </c>
      <c r="AC21" s="16">
        <v>0</v>
      </c>
      <c r="AD21" s="16">
        <v>8911</v>
      </c>
      <c r="AE21" s="16">
        <f>SUM(AF21:AZ21)</f>
        <v>356059</v>
      </c>
      <c r="AF21" s="16">
        <v>0</v>
      </c>
      <c r="AG21" s="16">
        <v>13978</v>
      </c>
      <c r="AH21" s="16">
        <v>15587</v>
      </c>
      <c r="AI21" s="16">
        <v>0</v>
      </c>
      <c r="AJ21" s="16">
        <f>30937-1315</f>
        <v>29622</v>
      </c>
      <c r="AK21" s="16">
        <v>0</v>
      </c>
      <c r="AL21" s="16">
        <v>104472</v>
      </c>
      <c r="AM21" s="16">
        <v>0</v>
      </c>
      <c r="AN21" s="16">
        <v>100680</v>
      </c>
      <c r="AO21" s="16">
        <v>0</v>
      </c>
      <c r="AP21" s="16">
        <v>0</v>
      </c>
      <c r="AQ21" s="16">
        <v>0</v>
      </c>
      <c r="AR21" s="16">
        <v>0</v>
      </c>
      <c r="AS21" s="16">
        <v>11200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80520</v>
      </c>
      <c r="BA21" s="16">
        <f>SUM(BB21+BF21+BI21+BK21+BM21)</f>
        <v>7275</v>
      </c>
      <c r="BB21" s="16">
        <f>SUM(BC21:BE21)</f>
        <v>0</v>
      </c>
      <c r="BC21" s="16">
        <v>0</v>
      </c>
      <c r="BD21" s="16">
        <v>0</v>
      </c>
      <c r="BE21" s="16">
        <v>0</v>
      </c>
      <c r="BF21" s="16">
        <f t="shared" si="9"/>
        <v>0</v>
      </c>
      <c r="BG21" s="16">
        <v>0</v>
      </c>
      <c r="BH21" s="16">
        <v>0</v>
      </c>
      <c r="BI21" s="16">
        <v>0</v>
      </c>
      <c r="BJ21" s="16">
        <v>0</v>
      </c>
      <c r="BK21" s="16">
        <f t="shared" si="10"/>
        <v>0</v>
      </c>
      <c r="BL21" s="16">
        <v>0</v>
      </c>
      <c r="BM21" s="16">
        <f t="shared" si="11"/>
        <v>7275</v>
      </c>
      <c r="BN21" s="16">
        <v>0</v>
      </c>
      <c r="BO21" s="16">
        <v>0</v>
      </c>
      <c r="BP21" s="16">
        <v>0</v>
      </c>
      <c r="BQ21" s="16">
        <v>0</v>
      </c>
      <c r="BR21" s="16">
        <v>0</v>
      </c>
      <c r="BS21" s="16">
        <v>0</v>
      </c>
      <c r="BT21" s="16">
        <v>0</v>
      </c>
      <c r="BU21" s="16">
        <v>0</v>
      </c>
      <c r="BV21" s="16">
        <v>0</v>
      </c>
      <c r="BW21" s="16">
        <v>7275</v>
      </c>
      <c r="BX21" s="16">
        <v>0</v>
      </c>
      <c r="BY21" s="16">
        <f>SUM(BZ21+CQ21)</f>
        <v>644043</v>
      </c>
      <c r="BZ21" s="16">
        <f>SUM(CA21+CD21+CJ21)</f>
        <v>644043</v>
      </c>
      <c r="CA21" s="16">
        <f t="shared" si="12"/>
        <v>342168</v>
      </c>
      <c r="CB21" s="16">
        <v>0</v>
      </c>
      <c r="CC21" s="16">
        <v>342168</v>
      </c>
      <c r="CD21" s="16">
        <f>SUM(CE21:CH21)</f>
        <v>301875</v>
      </c>
      <c r="CE21" s="16">
        <v>301875</v>
      </c>
      <c r="CF21" s="16">
        <v>0</v>
      </c>
      <c r="CG21" s="16">
        <v>0</v>
      </c>
      <c r="CH21" s="16">
        <v>0</v>
      </c>
      <c r="CI21" s="16">
        <v>0</v>
      </c>
      <c r="CJ21" s="16">
        <f>SUM(CK21:CN21)</f>
        <v>0</v>
      </c>
      <c r="CK21" s="16">
        <v>0</v>
      </c>
      <c r="CL21" s="16">
        <v>0</v>
      </c>
      <c r="CM21" s="16">
        <v>0</v>
      </c>
      <c r="CN21" s="16">
        <v>0</v>
      </c>
      <c r="CO21" s="16">
        <v>0</v>
      </c>
      <c r="CP21" s="16">
        <v>0</v>
      </c>
      <c r="CQ21" s="16">
        <v>0</v>
      </c>
      <c r="CR21" s="16">
        <f t="shared" si="13"/>
        <v>0</v>
      </c>
      <c r="CS21" s="16">
        <f t="shared" si="14"/>
        <v>0</v>
      </c>
      <c r="CT21" s="16">
        <v>0</v>
      </c>
      <c r="CU21" s="17">
        <v>0</v>
      </c>
      <c r="CV21" s="38"/>
    </row>
    <row r="22" spans="1:100" ht="31.5" x14ac:dyDescent="0.25">
      <c r="A22" s="13" t="s">
        <v>1</v>
      </c>
      <c r="B22" s="14" t="s">
        <v>1</v>
      </c>
      <c r="C22" s="14" t="s">
        <v>13</v>
      </c>
      <c r="D22" s="30" t="s">
        <v>14</v>
      </c>
      <c r="E22" s="15">
        <f>SUM(F22+BY22+CR22)</f>
        <v>1597432</v>
      </c>
      <c r="F22" s="16">
        <f>SUM(G22+BA22)</f>
        <v>1576844</v>
      </c>
      <c r="G22" s="16">
        <f>SUM(H22+I22+J22+Q22+T22+U22+V22+AE22)</f>
        <v>1571093</v>
      </c>
      <c r="H22" s="16">
        <v>1095772</v>
      </c>
      <c r="I22" s="16">
        <v>264337</v>
      </c>
      <c r="J22" s="16">
        <f t="shared" si="7"/>
        <v>70581</v>
      </c>
      <c r="K22" s="16">
        <v>0</v>
      </c>
      <c r="L22" s="16">
        <v>0</v>
      </c>
      <c r="M22" s="16">
        <v>0</v>
      </c>
      <c r="N22" s="16">
        <v>0</v>
      </c>
      <c r="O22" s="16">
        <v>54373</v>
      </c>
      <c r="P22" s="16">
        <v>16208</v>
      </c>
      <c r="Q22" s="16">
        <f t="shared" si="8"/>
        <v>14247</v>
      </c>
      <c r="R22" s="16">
        <v>0</v>
      </c>
      <c r="S22" s="16">
        <f>15043-796</f>
        <v>14247</v>
      </c>
      <c r="T22" s="16">
        <v>0</v>
      </c>
      <c r="U22" s="16">
        <v>61999</v>
      </c>
      <c r="V22" s="16">
        <f>SUM(W22:AD22)</f>
        <v>7115</v>
      </c>
      <c r="W22" s="16">
        <v>0</v>
      </c>
      <c r="X22" s="16">
        <v>2835</v>
      </c>
      <c r="Y22" s="16">
        <v>3720</v>
      </c>
      <c r="Z22" s="16">
        <v>560</v>
      </c>
      <c r="AA22" s="16">
        <v>0</v>
      </c>
      <c r="AB22" s="16">
        <v>0</v>
      </c>
      <c r="AC22" s="16">
        <v>0</v>
      </c>
      <c r="AD22" s="16">
        <v>0</v>
      </c>
      <c r="AE22" s="16">
        <f>SUM(AF22:AZ22)</f>
        <v>57042</v>
      </c>
      <c r="AF22" s="16">
        <v>0</v>
      </c>
      <c r="AG22" s="16">
        <v>1102</v>
      </c>
      <c r="AH22" s="16">
        <v>1226</v>
      </c>
      <c r="AI22" s="16">
        <v>0</v>
      </c>
      <c r="AJ22" s="16">
        <v>0</v>
      </c>
      <c r="AK22" s="16">
        <v>0</v>
      </c>
      <c r="AL22" s="16">
        <v>0</v>
      </c>
      <c r="AM22" s="16">
        <v>7956</v>
      </c>
      <c r="AN22" s="16">
        <v>17613</v>
      </c>
      <c r="AO22" s="16">
        <v>0</v>
      </c>
      <c r="AP22" s="16">
        <v>0</v>
      </c>
      <c r="AQ22" s="16">
        <v>0</v>
      </c>
      <c r="AR22" s="16">
        <v>29145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f>SUM(BB22+BF22+BI22+BK22+BM22)</f>
        <v>5751</v>
      </c>
      <c r="BB22" s="16">
        <f>SUM(BC22:BE22)</f>
        <v>0</v>
      </c>
      <c r="BC22" s="16">
        <v>0</v>
      </c>
      <c r="BD22" s="16">
        <v>0</v>
      </c>
      <c r="BE22" s="16">
        <v>0</v>
      </c>
      <c r="BF22" s="16">
        <f t="shared" si="9"/>
        <v>0</v>
      </c>
      <c r="BG22" s="16">
        <v>0</v>
      </c>
      <c r="BH22" s="16">
        <v>0</v>
      </c>
      <c r="BI22" s="16">
        <v>0</v>
      </c>
      <c r="BJ22" s="16">
        <v>0</v>
      </c>
      <c r="BK22" s="16">
        <f t="shared" si="10"/>
        <v>0</v>
      </c>
      <c r="BL22" s="16">
        <v>0</v>
      </c>
      <c r="BM22" s="16">
        <f t="shared" si="11"/>
        <v>5751</v>
      </c>
      <c r="BN22" s="16">
        <v>0</v>
      </c>
      <c r="BO22" s="16">
        <v>0</v>
      </c>
      <c r="BP22" s="16">
        <v>0</v>
      </c>
      <c r="BQ22" s="16">
        <v>0</v>
      </c>
      <c r="BR22" s="16">
        <v>0</v>
      </c>
      <c r="BS22" s="16">
        <v>0</v>
      </c>
      <c r="BT22" s="16">
        <v>0</v>
      </c>
      <c r="BU22" s="16">
        <v>0</v>
      </c>
      <c r="BV22" s="16">
        <v>0</v>
      </c>
      <c r="BW22" s="16">
        <v>5751</v>
      </c>
      <c r="BX22" s="16">
        <v>0</v>
      </c>
      <c r="BY22" s="16">
        <f>SUM(BZ22+CQ22)</f>
        <v>20588</v>
      </c>
      <c r="BZ22" s="16">
        <f>SUM(CA22+CD22+CJ22)</f>
        <v>20588</v>
      </c>
      <c r="CA22" s="16">
        <f t="shared" si="12"/>
        <v>20588</v>
      </c>
      <c r="CB22" s="16">
        <v>0</v>
      </c>
      <c r="CC22" s="16">
        <v>20588</v>
      </c>
      <c r="CD22" s="16">
        <f>SUM(CE22:CH22)</f>
        <v>0</v>
      </c>
      <c r="CE22" s="16">
        <v>0</v>
      </c>
      <c r="CF22" s="16">
        <v>0</v>
      </c>
      <c r="CG22" s="16">
        <v>0</v>
      </c>
      <c r="CH22" s="16">
        <v>0</v>
      </c>
      <c r="CI22" s="16">
        <v>0</v>
      </c>
      <c r="CJ22" s="16">
        <f>SUM(CK22:CN22)</f>
        <v>0</v>
      </c>
      <c r="CK22" s="16">
        <v>0</v>
      </c>
      <c r="CL22" s="16">
        <v>0</v>
      </c>
      <c r="CM22" s="16">
        <v>0</v>
      </c>
      <c r="CN22" s="16">
        <v>0</v>
      </c>
      <c r="CO22" s="16">
        <v>0</v>
      </c>
      <c r="CP22" s="16">
        <v>0</v>
      </c>
      <c r="CQ22" s="16">
        <v>0</v>
      </c>
      <c r="CR22" s="16">
        <f t="shared" si="13"/>
        <v>0</v>
      </c>
      <c r="CS22" s="16">
        <f t="shared" si="14"/>
        <v>0</v>
      </c>
      <c r="CT22" s="16">
        <v>0</v>
      </c>
      <c r="CU22" s="17">
        <v>0</v>
      </c>
      <c r="CV22" s="38"/>
    </row>
    <row r="23" spans="1:100" ht="31.5" x14ac:dyDescent="0.25">
      <c r="A23" s="13" t="s">
        <v>3</v>
      </c>
      <c r="B23" s="14" t="s">
        <v>15</v>
      </c>
      <c r="C23" s="14" t="s">
        <v>1</v>
      </c>
      <c r="D23" s="30" t="s">
        <v>16</v>
      </c>
      <c r="E23" s="15">
        <f>SUM(E24:E39)</f>
        <v>86978661</v>
      </c>
      <c r="F23" s="16">
        <f t="shared" ref="F23:BS23" si="19">SUM(F24:F39)</f>
        <v>81733221</v>
      </c>
      <c r="G23" s="16">
        <f t="shared" si="19"/>
        <v>81193760</v>
      </c>
      <c r="H23" s="16">
        <f t="shared" si="19"/>
        <v>58063304</v>
      </c>
      <c r="I23" s="16">
        <f t="shared" si="19"/>
        <v>13213354</v>
      </c>
      <c r="J23" s="16">
        <f t="shared" si="19"/>
        <v>3372900</v>
      </c>
      <c r="K23" s="16">
        <f t="shared" si="19"/>
        <v>0</v>
      </c>
      <c r="L23" s="16">
        <f t="shared" si="19"/>
        <v>127055</v>
      </c>
      <c r="M23" s="16">
        <f t="shared" si="19"/>
        <v>0</v>
      </c>
      <c r="N23" s="16">
        <f t="shared" si="19"/>
        <v>0</v>
      </c>
      <c r="O23" s="16">
        <f t="shared" si="19"/>
        <v>2409030</v>
      </c>
      <c r="P23" s="16">
        <f t="shared" si="19"/>
        <v>836815</v>
      </c>
      <c r="Q23" s="16">
        <f t="shared" si="19"/>
        <v>1105850</v>
      </c>
      <c r="R23" s="16">
        <f t="shared" si="19"/>
        <v>15447</v>
      </c>
      <c r="S23" s="16">
        <f t="shared" si="19"/>
        <v>1090403</v>
      </c>
      <c r="T23" s="16">
        <f t="shared" si="19"/>
        <v>0</v>
      </c>
      <c r="U23" s="16">
        <f t="shared" si="19"/>
        <v>2055311</v>
      </c>
      <c r="V23" s="16">
        <f t="shared" si="19"/>
        <v>807142</v>
      </c>
      <c r="W23" s="16">
        <f t="shared" si="19"/>
        <v>124996</v>
      </c>
      <c r="X23" s="16">
        <f t="shared" si="19"/>
        <v>250035</v>
      </c>
      <c r="Y23" s="16">
        <f t="shared" si="19"/>
        <v>324275</v>
      </c>
      <c r="Z23" s="16">
        <f t="shared" si="19"/>
        <v>41819</v>
      </c>
      <c r="AA23" s="16">
        <f t="shared" si="19"/>
        <v>45152</v>
      </c>
      <c r="AB23" s="16">
        <f t="shared" si="19"/>
        <v>0</v>
      </c>
      <c r="AC23" s="16">
        <f t="shared" si="19"/>
        <v>0</v>
      </c>
      <c r="AD23" s="16">
        <f t="shared" ref="AD23" si="20">SUM(AD24:AD39)</f>
        <v>20865</v>
      </c>
      <c r="AE23" s="16">
        <f t="shared" si="19"/>
        <v>2575899</v>
      </c>
      <c r="AF23" s="16">
        <f t="shared" si="19"/>
        <v>0</v>
      </c>
      <c r="AG23" s="16">
        <f t="shared" si="19"/>
        <v>112930</v>
      </c>
      <c r="AH23" s="16">
        <f t="shared" si="19"/>
        <v>156526</v>
      </c>
      <c r="AI23" s="16">
        <f t="shared" si="19"/>
        <v>0</v>
      </c>
      <c r="AJ23" s="16">
        <f t="shared" si="19"/>
        <v>32233</v>
      </c>
      <c r="AK23" s="16">
        <f t="shared" si="19"/>
        <v>0</v>
      </c>
      <c r="AL23" s="16">
        <f t="shared" si="19"/>
        <v>456129</v>
      </c>
      <c r="AM23" s="16">
        <f t="shared" si="19"/>
        <v>205946</v>
      </c>
      <c r="AN23" s="16">
        <f t="shared" si="19"/>
        <v>409989</v>
      </c>
      <c r="AO23" s="16">
        <f t="shared" si="19"/>
        <v>113362</v>
      </c>
      <c r="AP23" s="16">
        <f>SUM(AP24:AP39)</f>
        <v>0</v>
      </c>
      <c r="AQ23" s="16">
        <f t="shared" si="19"/>
        <v>0</v>
      </c>
      <c r="AR23" s="16">
        <f t="shared" si="19"/>
        <v>454967</v>
      </c>
      <c r="AS23" s="16">
        <f t="shared" si="19"/>
        <v>60047</v>
      </c>
      <c r="AT23" s="16">
        <f t="shared" si="19"/>
        <v>0</v>
      </c>
      <c r="AU23" s="16">
        <f t="shared" si="19"/>
        <v>0</v>
      </c>
      <c r="AV23" s="16">
        <f t="shared" si="19"/>
        <v>0</v>
      </c>
      <c r="AW23" s="16">
        <f t="shared" si="19"/>
        <v>93469</v>
      </c>
      <c r="AX23" s="16">
        <f t="shared" si="19"/>
        <v>0</v>
      </c>
      <c r="AY23" s="16">
        <f t="shared" si="19"/>
        <v>0</v>
      </c>
      <c r="AZ23" s="16">
        <f t="shared" si="19"/>
        <v>480301</v>
      </c>
      <c r="BA23" s="16">
        <f t="shared" si="19"/>
        <v>539461</v>
      </c>
      <c r="BB23" s="16">
        <f t="shared" si="19"/>
        <v>0</v>
      </c>
      <c r="BC23" s="16">
        <f t="shared" si="19"/>
        <v>0</v>
      </c>
      <c r="BD23" s="16">
        <f t="shared" si="19"/>
        <v>0</v>
      </c>
      <c r="BE23" s="16">
        <f t="shared" si="19"/>
        <v>0</v>
      </c>
      <c r="BF23" s="16">
        <f t="shared" si="19"/>
        <v>0</v>
      </c>
      <c r="BG23" s="16">
        <f t="shared" si="19"/>
        <v>0</v>
      </c>
      <c r="BH23" s="16">
        <f t="shared" si="19"/>
        <v>0</v>
      </c>
      <c r="BI23" s="16">
        <f t="shared" si="19"/>
        <v>0</v>
      </c>
      <c r="BJ23" s="16">
        <f t="shared" si="19"/>
        <v>0</v>
      </c>
      <c r="BK23" s="16">
        <f t="shared" si="19"/>
        <v>0</v>
      </c>
      <c r="BL23" s="16">
        <f t="shared" si="19"/>
        <v>0</v>
      </c>
      <c r="BM23" s="16">
        <f t="shared" si="19"/>
        <v>539461</v>
      </c>
      <c r="BN23" s="16">
        <f t="shared" si="19"/>
        <v>0</v>
      </c>
      <c r="BO23" s="16">
        <f t="shared" si="19"/>
        <v>0</v>
      </c>
      <c r="BP23" s="16">
        <f t="shared" si="19"/>
        <v>0</v>
      </c>
      <c r="BQ23" s="16">
        <f t="shared" si="19"/>
        <v>0</v>
      </c>
      <c r="BR23" s="16">
        <f t="shared" si="19"/>
        <v>0</v>
      </c>
      <c r="BS23" s="16">
        <f t="shared" si="19"/>
        <v>0</v>
      </c>
      <c r="BT23" s="16">
        <f t="shared" ref="BT23:CU23" si="21">SUM(BT24:BT39)</f>
        <v>0</v>
      </c>
      <c r="BU23" s="16">
        <f t="shared" si="21"/>
        <v>0</v>
      </c>
      <c r="BV23" s="16">
        <f t="shared" si="21"/>
        <v>0</v>
      </c>
      <c r="BW23" s="16">
        <f t="shared" si="21"/>
        <v>539461</v>
      </c>
      <c r="BX23" s="16">
        <f t="shared" si="21"/>
        <v>0</v>
      </c>
      <c r="BY23" s="16">
        <f t="shared" si="21"/>
        <v>5245440</v>
      </c>
      <c r="BZ23" s="16">
        <f t="shared" si="21"/>
        <v>5245440</v>
      </c>
      <c r="CA23" s="16">
        <f t="shared" si="21"/>
        <v>1292403</v>
      </c>
      <c r="CB23" s="16">
        <f t="shared" si="21"/>
        <v>0</v>
      </c>
      <c r="CC23" s="16">
        <f t="shared" si="21"/>
        <v>1292403</v>
      </c>
      <c r="CD23" s="16">
        <f t="shared" si="21"/>
        <v>3953037</v>
      </c>
      <c r="CE23" s="16">
        <f t="shared" si="21"/>
        <v>0</v>
      </c>
      <c r="CF23" s="16">
        <f t="shared" si="21"/>
        <v>0</v>
      </c>
      <c r="CG23" s="16">
        <f t="shared" si="21"/>
        <v>3953037</v>
      </c>
      <c r="CH23" s="16">
        <f t="shared" si="21"/>
        <v>0</v>
      </c>
      <c r="CI23" s="16">
        <f t="shared" ref="CI23" si="22">SUM(CI24:CI39)</f>
        <v>0</v>
      </c>
      <c r="CJ23" s="16">
        <f t="shared" si="21"/>
        <v>0</v>
      </c>
      <c r="CK23" s="16">
        <f t="shared" si="21"/>
        <v>0</v>
      </c>
      <c r="CL23" s="16">
        <f t="shared" si="21"/>
        <v>0</v>
      </c>
      <c r="CM23" s="16">
        <f t="shared" si="21"/>
        <v>0</v>
      </c>
      <c r="CN23" s="16">
        <f t="shared" si="21"/>
        <v>0</v>
      </c>
      <c r="CO23" s="16">
        <f t="shared" si="21"/>
        <v>0</v>
      </c>
      <c r="CP23" s="16">
        <f t="shared" si="21"/>
        <v>0</v>
      </c>
      <c r="CQ23" s="16">
        <f t="shared" si="21"/>
        <v>0</v>
      </c>
      <c r="CR23" s="16">
        <f t="shared" si="21"/>
        <v>0</v>
      </c>
      <c r="CS23" s="16">
        <f t="shared" si="21"/>
        <v>0</v>
      </c>
      <c r="CT23" s="16">
        <f t="shared" si="21"/>
        <v>0</v>
      </c>
      <c r="CU23" s="17">
        <f t="shared" si="21"/>
        <v>0</v>
      </c>
      <c r="CV23" s="38"/>
    </row>
    <row r="24" spans="1:100" ht="31.5" x14ac:dyDescent="0.25">
      <c r="A24" s="13" t="s">
        <v>1</v>
      </c>
      <c r="B24" s="14" t="s">
        <v>1</v>
      </c>
      <c r="C24" s="14" t="s">
        <v>17</v>
      </c>
      <c r="D24" s="30" t="s">
        <v>18</v>
      </c>
      <c r="E24" s="15">
        <f t="shared" ref="E24:E39" si="23">SUM(F24+BY24+CR24)</f>
        <v>15171431</v>
      </c>
      <c r="F24" s="16">
        <f t="shared" ref="F24:F39" si="24">SUM(G24+BA24)</f>
        <v>14961919</v>
      </c>
      <c r="G24" s="16">
        <f t="shared" ref="G24:G39" si="25">SUM(H24+I24+J24+Q24+T24+U24+V24+AE24)</f>
        <v>14937381</v>
      </c>
      <c r="H24" s="16">
        <f>10618629-40230</f>
        <v>10578399</v>
      </c>
      <c r="I24" s="16">
        <f>2500339-10058</f>
        <v>2490281</v>
      </c>
      <c r="J24" s="16">
        <f t="shared" si="7"/>
        <v>686643</v>
      </c>
      <c r="K24" s="16">
        <v>0</v>
      </c>
      <c r="L24" s="16">
        <v>0</v>
      </c>
      <c r="M24" s="16">
        <v>0</v>
      </c>
      <c r="N24" s="16">
        <v>0</v>
      </c>
      <c r="O24" s="16">
        <v>567038</v>
      </c>
      <c r="P24" s="16">
        <f>121755-2150</f>
        <v>119605</v>
      </c>
      <c r="Q24" s="16">
        <f t="shared" si="8"/>
        <v>129260</v>
      </c>
      <c r="R24" s="16">
        <v>0</v>
      </c>
      <c r="S24" s="16">
        <v>129260</v>
      </c>
      <c r="T24" s="16">
        <v>0</v>
      </c>
      <c r="U24" s="16">
        <v>358366</v>
      </c>
      <c r="V24" s="16">
        <f t="shared" ref="V24:V39" si="26">SUM(W24:AD24)</f>
        <v>200188</v>
      </c>
      <c r="W24" s="16">
        <v>9330</v>
      </c>
      <c r="X24" s="16">
        <v>48559</v>
      </c>
      <c r="Y24" s="16">
        <v>110760</v>
      </c>
      <c r="Z24" s="16">
        <v>9104</v>
      </c>
      <c r="AA24" s="16">
        <v>12913</v>
      </c>
      <c r="AB24" s="16">
        <v>0</v>
      </c>
      <c r="AC24" s="16">
        <v>0</v>
      </c>
      <c r="AD24" s="16">
        <v>9522</v>
      </c>
      <c r="AE24" s="16">
        <f t="shared" ref="AE24:AE39" si="27">SUM(AF24:AZ24)</f>
        <v>494244</v>
      </c>
      <c r="AF24" s="16">
        <v>0</v>
      </c>
      <c r="AG24" s="16">
        <v>21659</v>
      </c>
      <c r="AH24" s="16">
        <v>20105</v>
      </c>
      <c r="AI24" s="16">
        <v>0</v>
      </c>
      <c r="AJ24" s="16">
        <v>1591</v>
      </c>
      <c r="AK24" s="16">
        <v>0</v>
      </c>
      <c r="AL24" s="16">
        <v>53093</v>
      </c>
      <c r="AM24" s="16">
        <v>45000</v>
      </c>
      <c r="AN24" s="16">
        <v>45674</v>
      </c>
      <c r="AO24" s="16">
        <v>0</v>
      </c>
      <c r="AP24" s="16">
        <v>0</v>
      </c>
      <c r="AQ24" s="16">
        <v>0</v>
      </c>
      <c r="AR24" s="16">
        <v>182054</v>
      </c>
      <c r="AS24" s="16">
        <v>10600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f>114611-143</f>
        <v>114468</v>
      </c>
      <c r="BA24" s="16">
        <f t="shared" ref="BA24:BA39" si="28">SUM(BB24+BF24+BI24+BK24+BM24)</f>
        <v>24538</v>
      </c>
      <c r="BB24" s="16">
        <f t="shared" ref="BB24:BB39" si="29">SUM(BC24:BE24)</f>
        <v>0</v>
      </c>
      <c r="BC24" s="16">
        <v>0</v>
      </c>
      <c r="BD24" s="16">
        <v>0</v>
      </c>
      <c r="BE24" s="16">
        <v>0</v>
      </c>
      <c r="BF24" s="16">
        <f t="shared" si="9"/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f t="shared" si="10"/>
        <v>0</v>
      </c>
      <c r="BL24" s="16">
        <v>0</v>
      </c>
      <c r="BM24" s="16">
        <f t="shared" si="11"/>
        <v>24538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24538</v>
      </c>
      <c r="BX24" s="16">
        <v>0</v>
      </c>
      <c r="BY24" s="16">
        <f t="shared" ref="BY24:BY39" si="30">SUM(BZ24+CQ24)</f>
        <v>209512</v>
      </c>
      <c r="BZ24" s="16">
        <f t="shared" ref="BZ24:BZ39" si="31">SUM(CA24+CD24+CJ24)</f>
        <v>209512</v>
      </c>
      <c r="CA24" s="16">
        <f t="shared" si="12"/>
        <v>209512</v>
      </c>
      <c r="CB24" s="16">
        <v>0</v>
      </c>
      <c r="CC24" s="16">
        <f>212373-2861</f>
        <v>209512</v>
      </c>
      <c r="CD24" s="16">
        <f t="shared" ref="CD24:CD39" si="32">SUM(CE24:CH24)</f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0</v>
      </c>
      <c r="CJ24" s="16">
        <f t="shared" ref="CJ24:CJ39" si="33">SUM(CK24:CN24)</f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f t="shared" si="13"/>
        <v>0</v>
      </c>
      <c r="CS24" s="16">
        <f t="shared" si="14"/>
        <v>0</v>
      </c>
      <c r="CT24" s="16">
        <v>0</v>
      </c>
      <c r="CU24" s="17">
        <v>0</v>
      </c>
      <c r="CV24" s="38"/>
    </row>
    <row r="25" spans="1:100" ht="31.5" x14ac:dyDescent="0.25">
      <c r="A25" s="13" t="s">
        <v>1</v>
      </c>
      <c r="B25" s="14" t="s">
        <v>1</v>
      </c>
      <c r="C25" s="14" t="s">
        <v>19</v>
      </c>
      <c r="D25" s="30" t="s">
        <v>20</v>
      </c>
      <c r="E25" s="15">
        <f t="shared" si="23"/>
        <v>5914007</v>
      </c>
      <c r="F25" s="16">
        <f t="shared" si="24"/>
        <v>5831189</v>
      </c>
      <c r="G25" s="16">
        <f t="shared" si="25"/>
        <v>5823904</v>
      </c>
      <c r="H25" s="16">
        <v>4140900</v>
      </c>
      <c r="I25" s="16">
        <v>1035760</v>
      </c>
      <c r="J25" s="16">
        <f t="shared" si="7"/>
        <v>176297</v>
      </c>
      <c r="K25" s="16">
        <v>0</v>
      </c>
      <c r="L25" s="16">
        <v>0</v>
      </c>
      <c r="M25" s="16">
        <v>0</v>
      </c>
      <c r="N25" s="16">
        <v>0</v>
      </c>
      <c r="O25" s="16">
        <v>124124</v>
      </c>
      <c r="P25" s="16">
        <f>52173</f>
        <v>52173</v>
      </c>
      <c r="Q25" s="16">
        <f t="shared" si="8"/>
        <v>45926</v>
      </c>
      <c r="R25" s="16">
        <v>0</v>
      </c>
      <c r="S25" s="16">
        <v>45926</v>
      </c>
      <c r="T25" s="16">
        <v>0</v>
      </c>
      <c r="U25" s="16">
        <v>144803</v>
      </c>
      <c r="V25" s="16">
        <f t="shared" si="26"/>
        <v>23778</v>
      </c>
      <c r="W25" s="16">
        <v>0</v>
      </c>
      <c r="X25" s="16">
        <v>10648</v>
      </c>
      <c r="Y25" s="16">
        <v>9433</v>
      </c>
      <c r="Z25" s="16">
        <v>1338</v>
      </c>
      <c r="AA25" s="16">
        <v>2359</v>
      </c>
      <c r="AB25" s="16">
        <v>0</v>
      </c>
      <c r="AC25" s="16">
        <v>0</v>
      </c>
      <c r="AD25" s="16">
        <v>0</v>
      </c>
      <c r="AE25" s="16">
        <f t="shared" si="27"/>
        <v>256440</v>
      </c>
      <c r="AF25" s="16">
        <v>0</v>
      </c>
      <c r="AG25" s="16">
        <v>1877</v>
      </c>
      <c r="AH25" s="16">
        <v>4919</v>
      </c>
      <c r="AI25" s="16">
        <v>0</v>
      </c>
      <c r="AJ25" s="16">
        <v>9925</v>
      </c>
      <c r="AK25" s="16">
        <v>0</v>
      </c>
      <c r="AL25" s="16">
        <v>41409</v>
      </c>
      <c r="AM25" s="16">
        <v>11782</v>
      </c>
      <c r="AN25" s="16">
        <v>14550</v>
      </c>
      <c r="AO25" s="16">
        <v>113362</v>
      </c>
      <c r="AP25" s="16"/>
      <c r="AQ25" s="16">
        <v>0</v>
      </c>
      <c r="AR25" s="16">
        <v>30733</v>
      </c>
      <c r="AS25" s="16">
        <v>24000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/>
      <c r="AZ25" s="16">
        <f>3883</f>
        <v>3883</v>
      </c>
      <c r="BA25" s="16">
        <f t="shared" si="28"/>
        <v>7285</v>
      </c>
      <c r="BB25" s="16">
        <f t="shared" si="29"/>
        <v>0</v>
      </c>
      <c r="BC25" s="16">
        <v>0</v>
      </c>
      <c r="BD25" s="16">
        <v>0</v>
      </c>
      <c r="BE25" s="16">
        <v>0</v>
      </c>
      <c r="BF25" s="16">
        <f t="shared" si="9"/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f t="shared" si="10"/>
        <v>0</v>
      </c>
      <c r="BL25" s="16">
        <v>0</v>
      </c>
      <c r="BM25" s="16">
        <f t="shared" si="11"/>
        <v>7285</v>
      </c>
      <c r="BN25" s="16">
        <v>0</v>
      </c>
      <c r="BO25" s="16">
        <v>0</v>
      </c>
      <c r="BP25" s="16">
        <v>0</v>
      </c>
      <c r="BQ25" s="16">
        <v>0</v>
      </c>
      <c r="BR25" s="16">
        <v>0</v>
      </c>
      <c r="BS25" s="16">
        <v>0</v>
      </c>
      <c r="BT25" s="16">
        <v>0</v>
      </c>
      <c r="BU25" s="16">
        <v>0</v>
      </c>
      <c r="BV25" s="16">
        <v>0</v>
      </c>
      <c r="BW25" s="16">
        <v>7285</v>
      </c>
      <c r="BX25" s="16">
        <v>0</v>
      </c>
      <c r="BY25" s="16">
        <f t="shared" si="30"/>
        <v>82818</v>
      </c>
      <c r="BZ25" s="16">
        <f t="shared" si="31"/>
        <v>82818</v>
      </c>
      <c r="CA25" s="16">
        <f t="shared" si="12"/>
        <v>82818</v>
      </c>
      <c r="CB25" s="16">
        <v>0</v>
      </c>
      <c r="CC25" s="16">
        <f>82818</f>
        <v>82818</v>
      </c>
      <c r="CD25" s="16">
        <f t="shared" si="32"/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f t="shared" si="33"/>
        <v>0</v>
      </c>
      <c r="CK25" s="16">
        <v>0</v>
      </c>
      <c r="CL25" s="16">
        <v>0</v>
      </c>
      <c r="CM25" s="16">
        <v>0</v>
      </c>
      <c r="CN25" s="16">
        <v>0</v>
      </c>
      <c r="CO25" s="16"/>
      <c r="CP25" s="16"/>
      <c r="CQ25" s="16">
        <v>0</v>
      </c>
      <c r="CR25" s="16">
        <f t="shared" si="13"/>
        <v>0</v>
      </c>
      <c r="CS25" s="16">
        <f t="shared" si="14"/>
        <v>0</v>
      </c>
      <c r="CT25" s="16">
        <v>0</v>
      </c>
      <c r="CU25" s="17">
        <v>0</v>
      </c>
      <c r="CV25" s="38"/>
    </row>
    <row r="26" spans="1:100" ht="31.5" x14ac:dyDescent="0.25">
      <c r="A26" s="13" t="s">
        <v>1</v>
      </c>
      <c r="B26" s="14" t="s">
        <v>1</v>
      </c>
      <c r="C26" s="14" t="s">
        <v>21</v>
      </c>
      <c r="D26" s="30" t="s">
        <v>22</v>
      </c>
      <c r="E26" s="15">
        <f t="shared" si="23"/>
        <v>7359591</v>
      </c>
      <c r="F26" s="16">
        <f t="shared" si="24"/>
        <v>7109591</v>
      </c>
      <c r="G26" s="16">
        <f t="shared" si="25"/>
        <v>7103840</v>
      </c>
      <c r="H26" s="16">
        <f>5294006+10000</f>
        <v>5304006</v>
      </c>
      <c r="I26" s="16">
        <v>1256226</v>
      </c>
      <c r="J26" s="16">
        <f t="shared" si="7"/>
        <v>74654</v>
      </c>
      <c r="K26" s="16">
        <v>0</v>
      </c>
      <c r="L26" s="16">
        <v>0</v>
      </c>
      <c r="M26" s="16">
        <v>0</v>
      </c>
      <c r="N26" s="16">
        <v>0</v>
      </c>
      <c r="O26" s="16">
        <v>68809</v>
      </c>
      <c r="P26" s="16">
        <v>5845</v>
      </c>
      <c r="Q26" s="16">
        <f t="shared" si="8"/>
        <v>31830</v>
      </c>
      <c r="R26" s="16">
        <v>0</v>
      </c>
      <c r="S26" s="16">
        <v>31830</v>
      </c>
      <c r="T26" s="16">
        <v>0</v>
      </c>
      <c r="U26" s="16">
        <v>110689</v>
      </c>
      <c r="V26" s="16">
        <f t="shared" si="26"/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f t="shared" si="27"/>
        <v>326435</v>
      </c>
      <c r="AF26" s="16">
        <v>0</v>
      </c>
      <c r="AG26" s="16">
        <v>0</v>
      </c>
      <c r="AH26" s="16">
        <v>11428</v>
      </c>
      <c r="AI26" s="16">
        <v>0</v>
      </c>
      <c r="AJ26" s="16">
        <v>1591</v>
      </c>
      <c r="AK26" s="16">
        <v>0</v>
      </c>
      <c r="AL26" s="16">
        <v>52940</v>
      </c>
      <c r="AM26" s="16">
        <v>0</v>
      </c>
      <c r="AN26" s="16">
        <v>10476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250000</v>
      </c>
      <c r="BA26" s="16">
        <f t="shared" si="28"/>
        <v>5751</v>
      </c>
      <c r="BB26" s="16">
        <f t="shared" si="29"/>
        <v>0</v>
      </c>
      <c r="BC26" s="16">
        <v>0</v>
      </c>
      <c r="BD26" s="16">
        <v>0</v>
      </c>
      <c r="BE26" s="16">
        <v>0</v>
      </c>
      <c r="BF26" s="16">
        <f t="shared" si="9"/>
        <v>0</v>
      </c>
      <c r="BG26" s="16">
        <v>0</v>
      </c>
      <c r="BH26" s="16">
        <v>0</v>
      </c>
      <c r="BI26" s="16">
        <v>0</v>
      </c>
      <c r="BJ26" s="16">
        <v>0</v>
      </c>
      <c r="BK26" s="16">
        <f t="shared" si="10"/>
        <v>0</v>
      </c>
      <c r="BL26" s="16">
        <v>0</v>
      </c>
      <c r="BM26" s="16">
        <f t="shared" si="11"/>
        <v>5751</v>
      </c>
      <c r="BN26" s="16">
        <v>0</v>
      </c>
      <c r="BO26" s="16">
        <v>0</v>
      </c>
      <c r="BP26" s="16">
        <v>0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5751</v>
      </c>
      <c r="BX26" s="16">
        <v>0</v>
      </c>
      <c r="BY26" s="16">
        <f t="shared" si="30"/>
        <v>250000</v>
      </c>
      <c r="BZ26" s="16">
        <f t="shared" si="31"/>
        <v>250000</v>
      </c>
      <c r="CA26" s="16">
        <f t="shared" si="12"/>
        <v>250000</v>
      </c>
      <c r="CB26" s="16">
        <v>0</v>
      </c>
      <c r="CC26" s="16">
        <v>250000</v>
      </c>
      <c r="CD26" s="16">
        <f t="shared" si="32"/>
        <v>0</v>
      </c>
      <c r="CE26" s="16">
        <v>0</v>
      </c>
      <c r="CF26" s="16">
        <v>0</v>
      </c>
      <c r="CG26" s="16">
        <v>0</v>
      </c>
      <c r="CH26" s="16">
        <v>0</v>
      </c>
      <c r="CI26" s="16">
        <v>0</v>
      </c>
      <c r="CJ26" s="16">
        <f t="shared" si="33"/>
        <v>0</v>
      </c>
      <c r="CK26" s="16">
        <v>0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f t="shared" si="13"/>
        <v>0</v>
      </c>
      <c r="CS26" s="16">
        <f t="shared" si="14"/>
        <v>0</v>
      </c>
      <c r="CT26" s="16">
        <v>0</v>
      </c>
      <c r="CU26" s="17">
        <v>0</v>
      </c>
      <c r="CV26" s="38"/>
    </row>
    <row r="27" spans="1:100" ht="15.75" x14ac:dyDescent="0.25">
      <c r="A27" s="13" t="s">
        <v>1</v>
      </c>
      <c r="B27" s="14" t="s">
        <v>1</v>
      </c>
      <c r="C27" s="14" t="s">
        <v>23</v>
      </c>
      <c r="D27" s="30" t="s">
        <v>24</v>
      </c>
      <c r="E27" s="15">
        <f t="shared" si="23"/>
        <v>4572204</v>
      </c>
      <c r="F27" s="16">
        <f t="shared" si="24"/>
        <v>4513793</v>
      </c>
      <c r="G27" s="16">
        <f t="shared" si="25"/>
        <v>4509959</v>
      </c>
      <c r="H27" s="16">
        <f>2920544-29959+349824</f>
        <v>3240409</v>
      </c>
      <c r="I27" s="16">
        <f>696986-7106+82971</f>
        <v>772851</v>
      </c>
      <c r="J27" s="16">
        <f t="shared" si="7"/>
        <v>138022</v>
      </c>
      <c r="K27" s="16">
        <v>0</v>
      </c>
      <c r="L27" s="16">
        <v>0</v>
      </c>
      <c r="M27" s="16">
        <v>0</v>
      </c>
      <c r="N27" s="16">
        <v>0</v>
      </c>
      <c r="O27" s="16">
        <f>117440+10218</f>
        <v>127658</v>
      </c>
      <c r="P27" s="16">
        <v>10364</v>
      </c>
      <c r="Q27" s="16">
        <f t="shared" si="8"/>
        <v>50232</v>
      </c>
      <c r="R27" s="16">
        <v>0</v>
      </c>
      <c r="S27" s="16">
        <v>50232</v>
      </c>
      <c r="T27" s="16">
        <v>0</v>
      </c>
      <c r="U27" s="16">
        <f>55073+121700</f>
        <v>176773</v>
      </c>
      <c r="V27" s="16">
        <f t="shared" si="26"/>
        <v>67616</v>
      </c>
      <c r="W27" s="16">
        <v>0</v>
      </c>
      <c r="X27" s="16">
        <v>48800</v>
      </c>
      <c r="Y27" s="16">
        <v>13507</v>
      </c>
      <c r="Z27" s="16">
        <v>2048</v>
      </c>
      <c r="AA27" s="16">
        <v>3261</v>
      </c>
      <c r="AB27" s="16">
        <v>0</v>
      </c>
      <c r="AC27" s="16">
        <v>0</v>
      </c>
      <c r="AD27" s="16">
        <v>0</v>
      </c>
      <c r="AE27" s="16">
        <f t="shared" si="27"/>
        <v>64056</v>
      </c>
      <c r="AF27" s="16">
        <v>0</v>
      </c>
      <c r="AG27" s="16">
        <v>690</v>
      </c>
      <c r="AH27" s="16">
        <v>8680</v>
      </c>
      <c r="AI27" s="16">
        <v>0</v>
      </c>
      <c r="AJ27" s="16">
        <v>1591</v>
      </c>
      <c r="AK27" s="16">
        <v>0</v>
      </c>
      <c r="AL27" s="16">
        <f>29205-29205</f>
        <v>0</v>
      </c>
      <c r="AM27" s="16">
        <v>0</v>
      </c>
      <c r="AN27" s="16">
        <v>13386</v>
      </c>
      <c r="AO27" s="16">
        <v>0</v>
      </c>
      <c r="AP27" s="16">
        <v>0</v>
      </c>
      <c r="AQ27" s="16">
        <v>0</v>
      </c>
      <c r="AR27" s="16">
        <f>0+18617</f>
        <v>18617</v>
      </c>
      <c r="AS27" s="16">
        <f>0+18987</f>
        <v>18987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2105</v>
      </c>
      <c r="BA27" s="16">
        <f t="shared" si="28"/>
        <v>3834</v>
      </c>
      <c r="BB27" s="16">
        <f t="shared" si="29"/>
        <v>0</v>
      </c>
      <c r="BC27" s="16">
        <v>0</v>
      </c>
      <c r="BD27" s="16">
        <v>0</v>
      </c>
      <c r="BE27" s="16">
        <v>0</v>
      </c>
      <c r="BF27" s="16">
        <f t="shared" si="9"/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f t="shared" si="10"/>
        <v>0</v>
      </c>
      <c r="BL27" s="16">
        <v>0</v>
      </c>
      <c r="BM27" s="16">
        <f t="shared" si="11"/>
        <v>3834</v>
      </c>
      <c r="BN27" s="16">
        <v>0</v>
      </c>
      <c r="BO27" s="16">
        <v>0</v>
      </c>
      <c r="BP27" s="16">
        <v>0</v>
      </c>
      <c r="BQ27" s="16">
        <v>0</v>
      </c>
      <c r="BR27" s="16">
        <v>0</v>
      </c>
      <c r="BS27" s="16">
        <v>0</v>
      </c>
      <c r="BT27" s="16">
        <v>0</v>
      </c>
      <c r="BU27" s="16">
        <v>0</v>
      </c>
      <c r="BV27" s="16">
        <v>0</v>
      </c>
      <c r="BW27" s="16">
        <v>3834</v>
      </c>
      <c r="BX27" s="16">
        <v>0</v>
      </c>
      <c r="BY27" s="16">
        <f t="shared" si="30"/>
        <v>58411</v>
      </c>
      <c r="BZ27" s="16">
        <f t="shared" si="31"/>
        <v>58411</v>
      </c>
      <c r="CA27" s="16">
        <f t="shared" si="12"/>
        <v>58411</v>
      </c>
      <c r="CB27" s="16">
        <v>0</v>
      </c>
      <c r="CC27" s="16">
        <v>58411</v>
      </c>
      <c r="CD27" s="16">
        <f t="shared" si="32"/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f t="shared" si="33"/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f t="shared" si="13"/>
        <v>0</v>
      </c>
      <c r="CS27" s="16">
        <f t="shared" si="14"/>
        <v>0</v>
      </c>
      <c r="CT27" s="16">
        <v>0</v>
      </c>
      <c r="CU27" s="17">
        <v>0</v>
      </c>
      <c r="CV27" s="38"/>
    </row>
    <row r="28" spans="1:100" ht="15.75" x14ac:dyDescent="0.25">
      <c r="A28" s="13" t="s">
        <v>1</v>
      </c>
      <c r="B28" s="14" t="s">
        <v>1</v>
      </c>
      <c r="C28" s="14" t="s">
        <v>25</v>
      </c>
      <c r="D28" s="30" t="s">
        <v>26</v>
      </c>
      <c r="E28" s="15">
        <f t="shared" si="23"/>
        <v>5180407</v>
      </c>
      <c r="F28" s="16">
        <f t="shared" si="24"/>
        <v>5100550</v>
      </c>
      <c r="G28" s="16">
        <f t="shared" si="25"/>
        <v>5100550</v>
      </c>
      <c r="H28" s="16">
        <f>3634112+88000</f>
        <v>3722112</v>
      </c>
      <c r="I28" s="16">
        <f>746860+110566</f>
        <v>857426</v>
      </c>
      <c r="J28" s="16">
        <f t="shared" si="7"/>
        <v>231815</v>
      </c>
      <c r="K28" s="16">
        <v>0</v>
      </c>
      <c r="L28" s="16">
        <f>18838-18338</f>
        <v>500</v>
      </c>
      <c r="M28" s="16">
        <v>0</v>
      </c>
      <c r="N28" s="16">
        <v>0</v>
      </c>
      <c r="O28" s="16">
        <v>177504</v>
      </c>
      <c r="P28" s="16">
        <v>53811</v>
      </c>
      <c r="Q28" s="16">
        <f t="shared" si="8"/>
        <v>9295</v>
      </c>
      <c r="R28" s="16">
        <v>0</v>
      </c>
      <c r="S28" s="16">
        <v>9295</v>
      </c>
      <c r="T28" s="16">
        <v>0</v>
      </c>
      <c r="U28" s="16">
        <f>178501-16000</f>
        <v>162501</v>
      </c>
      <c r="V28" s="16">
        <f t="shared" si="26"/>
        <v>46577</v>
      </c>
      <c r="W28" s="16">
        <v>6178</v>
      </c>
      <c r="X28" s="16">
        <v>11405</v>
      </c>
      <c r="Y28" s="16">
        <v>20174</v>
      </c>
      <c r="Z28" s="16">
        <v>4074</v>
      </c>
      <c r="AA28" s="16">
        <v>2508</v>
      </c>
      <c r="AB28" s="16">
        <v>0</v>
      </c>
      <c r="AC28" s="16">
        <v>0</v>
      </c>
      <c r="AD28" s="16">
        <v>2238</v>
      </c>
      <c r="AE28" s="16">
        <f t="shared" si="27"/>
        <v>70824</v>
      </c>
      <c r="AF28" s="16">
        <v>0</v>
      </c>
      <c r="AG28" s="16">
        <v>7411</v>
      </c>
      <c r="AH28" s="16">
        <v>13849</v>
      </c>
      <c r="AI28" s="16">
        <v>0</v>
      </c>
      <c r="AJ28" s="16">
        <v>1591</v>
      </c>
      <c r="AK28" s="16">
        <v>0</v>
      </c>
      <c r="AL28" s="16">
        <f>39929-39929</f>
        <v>0</v>
      </c>
      <c r="AM28" s="16">
        <v>5405</v>
      </c>
      <c r="AN28" s="16">
        <v>25026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17542</v>
      </c>
      <c r="BA28" s="16">
        <f t="shared" si="28"/>
        <v>0</v>
      </c>
      <c r="BB28" s="16">
        <f t="shared" si="29"/>
        <v>0</v>
      </c>
      <c r="BC28" s="16">
        <v>0</v>
      </c>
      <c r="BD28" s="16">
        <v>0</v>
      </c>
      <c r="BE28" s="16">
        <v>0</v>
      </c>
      <c r="BF28" s="16">
        <f t="shared" si="9"/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f t="shared" si="10"/>
        <v>0</v>
      </c>
      <c r="BL28" s="16">
        <v>0</v>
      </c>
      <c r="BM28" s="16">
        <f t="shared" si="11"/>
        <v>0</v>
      </c>
      <c r="BN28" s="16">
        <v>0</v>
      </c>
      <c r="BO28" s="16">
        <v>0</v>
      </c>
      <c r="BP28" s="16">
        <v>0</v>
      </c>
      <c r="BQ28" s="16">
        <v>0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f>7285-7285</f>
        <v>0</v>
      </c>
      <c r="BX28" s="16">
        <v>0</v>
      </c>
      <c r="BY28" s="16">
        <f t="shared" si="30"/>
        <v>79857</v>
      </c>
      <c r="BZ28" s="16">
        <f t="shared" si="31"/>
        <v>79857</v>
      </c>
      <c r="CA28" s="16">
        <f t="shared" si="12"/>
        <v>79857</v>
      </c>
      <c r="CB28" s="16">
        <v>0</v>
      </c>
      <c r="CC28" s="16">
        <v>79857</v>
      </c>
      <c r="CD28" s="16">
        <f t="shared" si="32"/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f t="shared" si="33"/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f t="shared" si="13"/>
        <v>0</v>
      </c>
      <c r="CS28" s="16">
        <f t="shared" si="14"/>
        <v>0</v>
      </c>
      <c r="CT28" s="16">
        <v>0</v>
      </c>
      <c r="CU28" s="17">
        <v>0</v>
      </c>
      <c r="CV28" s="38"/>
    </row>
    <row r="29" spans="1:100" ht="31.5" x14ac:dyDescent="0.25">
      <c r="A29" s="13" t="s">
        <v>1</v>
      </c>
      <c r="B29" s="14" t="s">
        <v>1</v>
      </c>
      <c r="C29" s="14" t="s">
        <v>27</v>
      </c>
      <c r="D29" s="30" t="s">
        <v>28</v>
      </c>
      <c r="E29" s="15">
        <f t="shared" si="23"/>
        <v>6700861</v>
      </c>
      <c r="F29" s="16">
        <f t="shared" si="24"/>
        <v>6626590</v>
      </c>
      <c r="G29" s="16">
        <f t="shared" si="25"/>
        <v>6365065</v>
      </c>
      <c r="H29" s="16">
        <v>3929040</v>
      </c>
      <c r="I29" s="16">
        <v>954496</v>
      </c>
      <c r="J29" s="16">
        <f t="shared" si="7"/>
        <v>246562</v>
      </c>
      <c r="K29" s="16">
        <v>0</v>
      </c>
      <c r="L29" s="16">
        <v>3836</v>
      </c>
      <c r="M29" s="16">
        <v>0</v>
      </c>
      <c r="N29" s="16">
        <v>0</v>
      </c>
      <c r="O29" s="16">
        <v>206852</v>
      </c>
      <c r="P29" s="16">
        <v>35874</v>
      </c>
      <c r="Q29" s="16">
        <f t="shared" si="8"/>
        <v>649674</v>
      </c>
      <c r="R29" s="16">
        <v>0</v>
      </c>
      <c r="S29" s="16">
        <v>649674</v>
      </c>
      <c r="T29" s="16">
        <v>0</v>
      </c>
      <c r="U29" s="16">
        <v>132675</v>
      </c>
      <c r="V29" s="16">
        <f t="shared" si="26"/>
        <v>64255</v>
      </c>
      <c r="W29" s="16">
        <f>43045-1315</f>
        <v>41730</v>
      </c>
      <c r="X29" s="16">
        <v>0</v>
      </c>
      <c r="Y29" s="16">
        <v>11866</v>
      </c>
      <c r="Z29" s="16">
        <f>1603+1315</f>
        <v>2918</v>
      </c>
      <c r="AA29" s="16">
        <v>4786</v>
      </c>
      <c r="AB29" s="16">
        <v>0</v>
      </c>
      <c r="AC29" s="16">
        <v>0</v>
      </c>
      <c r="AD29" s="16">
        <v>2955</v>
      </c>
      <c r="AE29" s="16">
        <f t="shared" si="27"/>
        <v>388363</v>
      </c>
      <c r="AF29" s="16">
        <v>0</v>
      </c>
      <c r="AG29" s="16">
        <v>4077</v>
      </c>
      <c r="AH29" s="16">
        <v>9036</v>
      </c>
      <c r="AI29" s="16">
        <v>0</v>
      </c>
      <c r="AJ29" s="16">
        <v>1625</v>
      </c>
      <c r="AK29" s="16">
        <v>0</v>
      </c>
      <c r="AL29" s="16">
        <v>39290</v>
      </c>
      <c r="AM29" s="16">
        <v>112000</v>
      </c>
      <c r="AN29" s="16">
        <v>191752</v>
      </c>
      <c r="AO29" s="16">
        <v>0</v>
      </c>
      <c r="AP29" s="16">
        <v>0</v>
      </c>
      <c r="AQ29" s="16">
        <v>0</v>
      </c>
      <c r="AR29" s="16">
        <v>8910</v>
      </c>
      <c r="AS29" s="16">
        <v>2220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19453</v>
      </c>
      <c r="BA29" s="16">
        <f t="shared" si="28"/>
        <v>261525</v>
      </c>
      <c r="BB29" s="16">
        <f t="shared" si="29"/>
        <v>0</v>
      </c>
      <c r="BC29" s="16">
        <v>0</v>
      </c>
      <c r="BD29" s="16">
        <v>0</v>
      </c>
      <c r="BE29" s="16">
        <v>0</v>
      </c>
      <c r="BF29" s="16">
        <f t="shared" si="9"/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f t="shared" si="10"/>
        <v>0</v>
      </c>
      <c r="BL29" s="16">
        <v>0</v>
      </c>
      <c r="BM29" s="16">
        <f t="shared" si="11"/>
        <v>261525</v>
      </c>
      <c r="BN29" s="16">
        <v>0</v>
      </c>
      <c r="BO29" s="16">
        <v>0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261525</v>
      </c>
      <c r="BX29" s="16">
        <v>0</v>
      </c>
      <c r="BY29" s="16">
        <f t="shared" si="30"/>
        <v>74271</v>
      </c>
      <c r="BZ29" s="16">
        <f t="shared" si="31"/>
        <v>74271</v>
      </c>
      <c r="CA29" s="16">
        <f t="shared" si="12"/>
        <v>74271</v>
      </c>
      <c r="CB29" s="16">
        <v>0</v>
      </c>
      <c r="CC29" s="16">
        <v>74271</v>
      </c>
      <c r="CD29" s="16">
        <f t="shared" si="32"/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f t="shared" si="33"/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f t="shared" si="13"/>
        <v>0</v>
      </c>
      <c r="CS29" s="16">
        <f t="shared" si="14"/>
        <v>0</v>
      </c>
      <c r="CT29" s="16">
        <v>0</v>
      </c>
      <c r="CU29" s="17">
        <v>0</v>
      </c>
      <c r="CV29" s="38"/>
    </row>
    <row r="30" spans="1:100" ht="31.5" x14ac:dyDescent="0.25">
      <c r="A30" s="13" t="s">
        <v>1</v>
      </c>
      <c r="B30" s="14" t="s">
        <v>1</v>
      </c>
      <c r="C30" s="14" t="s">
        <v>29</v>
      </c>
      <c r="D30" s="30" t="s">
        <v>30</v>
      </c>
      <c r="E30" s="15">
        <f t="shared" si="23"/>
        <v>8908972</v>
      </c>
      <c r="F30" s="16">
        <f t="shared" si="24"/>
        <v>8780110</v>
      </c>
      <c r="G30" s="16">
        <f t="shared" si="25"/>
        <v>8772825</v>
      </c>
      <c r="H30" s="16">
        <v>6443099</v>
      </c>
      <c r="I30" s="16">
        <v>1537621</v>
      </c>
      <c r="J30" s="16">
        <f t="shared" si="7"/>
        <v>433608</v>
      </c>
      <c r="K30" s="16">
        <v>0</v>
      </c>
      <c r="L30" s="16">
        <v>0</v>
      </c>
      <c r="M30" s="16">
        <v>0</v>
      </c>
      <c r="N30" s="16">
        <v>0</v>
      </c>
      <c r="O30" s="16">
        <v>293511</v>
      </c>
      <c r="P30" s="16">
        <v>140097</v>
      </c>
      <c r="Q30" s="16">
        <f t="shared" si="8"/>
        <v>93575</v>
      </c>
      <c r="R30" s="16">
        <v>752</v>
      </c>
      <c r="S30" s="16">
        <v>92823</v>
      </c>
      <c r="T30" s="16">
        <v>0</v>
      </c>
      <c r="U30" s="16">
        <v>49950</v>
      </c>
      <c r="V30" s="16">
        <f t="shared" si="26"/>
        <v>93832</v>
      </c>
      <c r="W30" s="16">
        <v>0</v>
      </c>
      <c r="X30" s="16">
        <v>62908</v>
      </c>
      <c r="Y30" s="16">
        <v>20212</v>
      </c>
      <c r="Z30" s="16">
        <v>4190</v>
      </c>
      <c r="AA30" s="16">
        <v>6522</v>
      </c>
      <c r="AB30" s="16">
        <v>0</v>
      </c>
      <c r="AC30" s="16">
        <v>0</v>
      </c>
      <c r="AD30" s="16">
        <v>0</v>
      </c>
      <c r="AE30" s="16">
        <f t="shared" si="27"/>
        <v>121140</v>
      </c>
      <c r="AF30" s="16">
        <v>0</v>
      </c>
      <c r="AG30" s="16">
        <v>20000</v>
      </c>
      <c r="AH30" s="16">
        <v>17568</v>
      </c>
      <c r="AI30" s="16">
        <v>0</v>
      </c>
      <c r="AJ30" s="16">
        <v>1591</v>
      </c>
      <c r="AK30" s="16">
        <v>0</v>
      </c>
      <c r="AL30" s="16">
        <v>64431</v>
      </c>
      <c r="AM30" s="16">
        <v>0</v>
      </c>
      <c r="AN30" s="16">
        <v>14550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3000</v>
      </c>
      <c r="BA30" s="16">
        <f t="shared" si="28"/>
        <v>7285</v>
      </c>
      <c r="BB30" s="16">
        <f t="shared" si="29"/>
        <v>0</v>
      </c>
      <c r="BC30" s="16">
        <v>0</v>
      </c>
      <c r="BD30" s="16">
        <v>0</v>
      </c>
      <c r="BE30" s="16">
        <v>0</v>
      </c>
      <c r="BF30" s="16">
        <f t="shared" si="9"/>
        <v>0</v>
      </c>
      <c r="BG30" s="16">
        <v>0</v>
      </c>
      <c r="BH30" s="16">
        <v>0</v>
      </c>
      <c r="BI30" s="16">
        <v>0</v>
      </c>
      <c r="BJ30" s="16">
        <v>0</v>
      </c>
      <c r="BK30" s="16">
        <f t="shared" si="10"/>
        <v>0</v>
      </c>
      <c r="BL30" s="16">
        <v>0</v>
      </c>
      <c r="BM30" s="16">
        <f t="shared" si="11"/>
        <v>7285</v>
      </c>
      <c r="BN30" s="16">
        <v>0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7285</v>
      </c>
      <c r="BX30" s="16">
        <v>0</v>
      </c>
      <c r="BY30" s="16">
        <f t="shared" si="30"/>
        <v>128862</v>
      </c>
      <c r="BZ30" s="16">
        <f t="shared" si="31"/>
        <v>128862</v>
      </c>
      <c r="CA30" s="16">
        <f t="shared" si="12"/>
        <v>128862</v>
      </c>
      <c r="CB30" s="16">
        <v>0</v>
      </c>
      <c r="CC30" s="16">
        <v>128862</v>
      </c>
      <c r="CD30" s="16">
        <f t="shared" si="32"/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0</v>
      </c>
      <c r="CJ30" s="16">
        <f t="shared" si="33"/>
        <v>0</v>
      </c>
      <c r="CK30" s="16">
        <v>0</v>
      </c>
      <c r="CL30" s="16">
        <v>0</v>
      </c>
      <c r="CM30" s="16">
        <v>0</v>
      </c>
      <c r="CN30" s="16">
        <v>0</v>
      </c>
      <c r="CO30" s="16">
        <v>0</v>
      </c>
      <c r="CP30" s="16">
        <v>0</v>
      </c>
      <c r="CQ30" s="16">
        <v>0</v>
      </c>
      <c r="CR30" s="16">
        <f t="shared" si="13"/>
        <v>0</v>
      </c>
      <c r="CS30" s="16">
        <f t="shared" si="14"/>
        <v>0</v>
      </c>
      <c r="CT30" s="16">
        <v>0</v>
      </c>
      <c r="CU30" s="17">
        <v>0</v>
      </c>
      <c r="CV30" s="38"/>
    </row>
    <row r="31" spans="1:100" ht="15.75" x14ac:dyDescent="0.25">
      <c r="A31" s="13" t="s">
        <v>1</v>
      </c>
      <c r="B31" s="14" t="s">
        <v>1</v>
      </c>
      <c r="C31" s="14" t="s">
        <v>31</v>
      </c>
      <c r="D31" s="30" t="s">
        <v>32</v>
      </c>
      <c r="E31" s="15">
        <f t="shared" si="23"/>
        <v>1176958</v>
      </c>
      <c r="F31" s="16">
        <f t="shared" si="24"/>
        <v>1158528</v>
      </c>
      <c r="G31" s="16">
        <f t="shared" si="25"/>
        <v>1153927</v>
      </c>
      <c r="H31" s="16">
        <v>862618</v>
      </c>
      <c r="I31" s="16">
        <v>203349</v>
      </c>
      <c r="J31" s="16">
        <f t="shared" si="7"/>
        <v>45964</v>
      </c>
      <c r="K31" s="16">
        <v>0</v>
      </c>
      <c r="L31" s="16">
        <v>0</v>
      </c>
      <c r="M31" s="16">
        <v>0</v>
      </c>
      <c r="N31" s="16">
        <v>0</v>
      </c>
      <c r="O31" s="16">
        <v>12540</v>
      </c>
      <c r="P31" s="16">
        <v>33424</v>
      </c>
      <c r="Q31" s="16">
        <f t="shared" si="8"/>
        <v>0</v>
      </c>
      <c r="R31" s="16">
        <v>0</v>
      </c>
      <c r="S31" s="16">
        <v>0</v>
      </c>
      <c r="T31" s="16">
        <v>0</v>
      </c>
      <c r="U31" s="16">
        <v>17067</v>
      </c>
      <c r="V31" s="16">
        <f t="shared" si="26"/>
        <v>5093</v>
      </c>
      <c r="W31" s="16">
        <v>0</v>
      </c>
      <c r="X31" s="16">
        <v>2794</v>
      </c>
      <c r="Y31" s="16">
        <v>1876</v>
      </c>
      <c r="Z31" s="16">
        <v>423</v>
      </c>
      <c r="AA31" s="16">
        <v>0</v>
      </c>
      <c r="AB31" s="16">
        <v>0</v>
      </c>
      <c r="AC31" s="16">
        <v>0</v>
      </c>
      <c r="AD31" s="16">
        <v>0</v>
      </c>
      <c r="AE31" s="16">
        <f t="shared" si="27"/>
        <v>19836</v>
      </c>
      <c r="AF31" s="16">
        <v>0</v>
      </c>
      <c r="AG31" s="16">
        <v>106</v>
      </c>
      <c r="AH31" s="16">
        <v>0</v>
      </c>
      <c r="AI31" s="16">
        <v>0</v>
      </c>
      <c r="AJ31" s="16">
        <v>0</v>
      </c>
      <c r="AK31" s="16">
        <v>0</v>
      </c>
      <c r="AL31" s="16">
        <v>9215</v>
      </c>
      <c r="AM31" s="16">
        <v>0</v>
      </c>
      <c r="AN31" s="16">
        <v>9894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621</v>
      </c>
      <c r="BA31" s="16">
        <f t="shared" si="28"/>
        <v>4601</v>
      </c>
      <c r="BB31" s="16">
        <f t="shared" si="29"/>
        <v>0</v>
      </c>
      <c r="BC31" s="16">
        <v>0</v>
      </c>
      <c r="BD31" s="16">
        <v>0</v>
      </c>
      <c r="BE31" s="16">
        <v>0</v>
      </c>
      <c r="BF31" s="16">
        <f t="shared" si="9"/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f t="shared" si="10"/>
        <v>0</v>
      </c>
      <c r="BL31" s="16">
        <v>0</v>
      </c>
      <c r="BM31" s="16">
        <f t="shared" si="11"/>
        <v>4601</v>
      </c>
      <c r="BN31" s="16">
        <v>0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0</v>
      </c>
      <c r="BW31" s="16">
        <v>4601</v>
      </c>
      <c r="BX31" s="16">
        <v>0</v>
      </c>
      <c r="BY31" s="16">
        <f t="shared" si="30"/>
        <v>18430</v>
      </c>
      <c r="BZ31" s="16">
        <f t="shared" si="31"/>
        <v>18430</v>
      </c>
      <c r="CA31" s="16">
        <f t="shared" si="12"/>
        <v>18430</v>
      </c>
      <c r="CB31" s="16">
        <v>0</v>
      </c>
      <c r="CC31" s="16">
        <v>18430</v>
      </c>
      <c r="CD31" s="16">
        <f t="shared" si="32"/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f t="shared" si="33"/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f t="shared" si="13"/>
        <v>0</v>
      </c>
      <c r="CS31" s="16">
        <f t="shared" si="14"/>
        <v>0</v>
      </c>
      <c r="CT31" s="16">
        <v>0</v>
      </c>
      <c r="CU31" s="17">
        <v>0</v>
      </c>
      <c r="CV31" s="38"/>
    </row>
    <row r="32" spans="1:100" ht="31.5" x14ac:dyDescent="0.25">
      <c r="A32" s="13" t="s">
        <v>1</v>
      </c>
      <c r="B32" s="14" t="s">
        <v>1</v>
      </c>
      <c r="C32" s="14" t="s">
        <v>33</v>
      </c>
      <c r="D32" s="30" t="s">
        <v>489</v>
      </c>
      <c r="E32" s="15">
        <f t="shared" si="23"/>
        <v>1301872</v>
      </c>
      <c r="F32" s="16">
        <f t="shared" si="24"/>
        <v>1276225</v>
      </c>
      <c r="G32" s="16">
        <f t="shared" si="25"/>
        <v>1273541</v>
      </c>
      <c r="H32" s="16">
        <v>961267</v>
      </c>
      <c r="I32" s="16">
        <v>229237</v>
      </c>
      <c r="J32" s="16">
        <f t="shared" si="7"/>
        <v>40792</v>
      </c>
      <c r="K32" s="16">
        <v>0</v>
      </c>
      <c r="L32" s="16">
        <v>0</v>
      </c>
      <c r="M32" s="16">
        <v>0</v>
      </c>
      <c r="N32" s="16">
        <v>0</v>
      </c>
      <c r="O32" s="16">
        <v>25434</v>
      </c>
      <c r="P32" s="16">
        <f>12480+2878</f>
        <v>15358</v>
      </c>
      <c r="Q32" s="16">
        <f t="shared" si="8"/>
        <v>0</v>
      </c>
      <c r="R32" s="16">
        <v>0</v>
      </c>
      <c r="S32" s="16">
        <v>0</v>
      </c>
      <c r="T32" s="16">
        <v>0</v>
      </c>
      <c r="U32" s="16">
        <v>24877</v>
      </c>
      <c r="V32" s="16">
        <f t="shared" si="26"/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f t="shared" si="27"/>
        <v>17368</v>
      </c>
      <c r="AF32" s="16">
        <v>0</v>
      </c>
      <c r="AG32" s="16">
        <v>0</v>
      </c>
      <c r="AH32" s="16">
        <v>0</v>
      </c>
      <c r="AI32" s="16">
        <v>0</v>
      </c>
      <c r="AJ32" s="16">
        <v>1591</v>
      </c>
      <c r="AK32" s="16">
        <v>0</v>
      </c>
      <c r="AL32" s="16">
        <v>10539</v>
      </c>
      <c r="AM32" s="16">
        <v>0</v>
      </c>
      <c r="AN32" s="16">
        <v>5238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f t="shared" si="28"/>
        <v>2684</v>
      </c>
      <c r="BB32" s="16">
        <f t="shared" si="29"/>
        <v>0</v>
      </c>
      <c r="BC32" s="16">
        <v>0</v>
      </c>
      <c r="BD32" s="16">
        <v>0</v>
      </c>
      <c r="BE32" s="16">
        <v>0</v>
      </c>
      <c r="BF32" s="16">
        <f t="shared" si="9"/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f t="shared" si="10"/>
        <v>0</v>
      </c>
      <c r="BL32" s="16">
        <v>0</v>
      </c>
      <c r="BM32" s="16">
        <f t="shared" si="11"/>
        <v>2684</v>
      </c>
      <c r="BN32" s="16">
        <v>0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2684</v>
      </c>
      <c r="BX32" s="16">
        <v>0</v>
      </c>
      <c r="BY32" s="16">
        <f t="shared" si="30"/>
        <v>25647</v>
      </c>
      <c r="BZ32" s="16">
        <f t="shared" si="31"/>
        <v>25647</v>
      </c>
      <c r="CA32" s="16">
        <f t="shared" si="12"/>
        <v>25647</v>
      </c>
      <c r="CB32" s="16">
        <v>0</v>
      </c>
      <c r="CC32" s="16">
        <f>21079+4568</f>
        <v>25647</v>
      </c>
      <c r="CD32" s="16">
        <f t="shared" si="32"/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f t="shared" si="33"/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0</v>
      </c>
      <c r="CR32" s="16">
        <f t="shared" si="13"/>
        <v>0</v>
      </c>
      <c r="CS32" s="16">
        <f t="shared" si="14"/>
        <v>0</v>
      </c>
      <c r="CT32" s="16">
        <v>0</v>
      </c>
      <c r="CU32" s="17">
        <v>0</v>
      </c>
      <c r="CV32" s="38"/>
    </row>
    <row r="33" spans="1:100" ht="31.5" x14ac:dyDescent="0.25">
      <c r="A33" s="13" t="s">
        <v>1</v>
      </c>
      <c r="B33" s="14" t="s">
        <v>1</v>
      </c>
      <c r="C33" s="14" t="s">
        <v>34</v>
      </c>
      <c r="D33" s="30" t="s">
        <v>35</v>
      </c>
      <c r="E33" s="15">
        <f t="shared" si="23"/>
        <v>2337692</v>
      </c>
      <c r="F33" s="16">
        <f t="shared" si="24"/>
        <v>2309853</v>
      </c>
      <c r="G33" s="16">
        <f t="shared" si="25"/>
        <v>2306083</v>
      </c>
      <c r="H33" s="16">
        <v>1610574</v>
      </c>
      <c r="I33" s="16">
        <v>379734</v>
      </c>
      <c r="J33" s="16">
        <f t="shared" si="7"/>
        <v>161648</v>
      </c>
      <c r="K33" s="16">
        <v>0</v>
      </c>
      <c r="L33" s="16">
        <v>0</v>
      </c>
      <c r="M33" s="16">
        <v>0</v>
      </c>
      <c r="N33" s="16">
        <v>0</v>
      </c>
      <c r="O33" s="16">
        <v>134320</v>
      </c>
      <c r="P33" s="16">
        <v>27328</v>
      </c>
      <c r="Q33" s="16">
        <f t="shared" si="8"/>
        <v>35844</v>
      </c>
      <c r="R33" s="16">
        <v>0</v>
      </c>
      <c r="S33" s="16">
        <v>35844</v>
      </c>
      <c r="T33" s="16">
        <v>0</v>
      </c>
      <c r="U33" s="16">
        <v>41898</v>
      </c>
      <c r="V33" s="16">
        <f t="shared" si="26"/>
        <v>35579</v>
      </c>
      <c r="W33" s="16">
        <v>0</v>
      </c>
      <c r="X33" s="16">
        <v>21473</v>
      </c>
      <c r="Y33" s="16">
        <v>11824</v>
      </c>
      <c r="Z33" s="16">
        <v>1279</v>
      </c>
      <c r="AA33" s="16">
        <v>1003</v>
      </c>
      <c r="AB33" s="16">
        <v>0</v>
      </c>
      <c r="AC33" s="16">
        <v>0</v>
      </c>
      <c r="AD33" s="16">
        <v>0</v>
      </c>
      <c r="AE33" s="16">
        <f t="shared" si="27"/>
        <v>40806</v>
      </c>
      <c r="AF33" s="16">
        <v>0</v>
      </c>
      <c r="AG33" s="16">
        <v>4200</v>
      </c>
      <c r="AH33" s="16">
        <v>4235</v>
      </c>
      <c r="AI33" s="16">
        <v>0</v>
      </c>
      <c r="AJ33" s="16">
        <v>1591</v>
      </c>
      <c r="AK33" s="16">
        <v>0</v>
      </c>
      <c r="AL33" s="16">
        <v>14050</v>
      </c>
      <c r="AM33" s="16">
        <v>0</v>
      </c>
      <c r="AN33" s="16">
        <v>8730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8000</v>
      </c>
      <c r="BA33" s="16">
        <f t="shared" si="28"/>
        <v>3770</v>
      </c>
      <c r="BB33" s="16">
        <f t="shared" si="29"/>
        <v>0</v>
      </c>
      <c r="BC33" s="16">
        <v>0</v>
      </c>
      <c r="BD33" s="16">
        <v>0</v>
      </c>
      <c r="BE33" s="16">
        <v>0</v>
      </c>
      <c r="BF33" s="16">
        <f t="shared" si="9"/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f t="shared" si="10"/>
        <v>0</v>
      </c>
      <c r="BL33" s="16">
        <v>0</v>
      </c>
      <c r="BM33" s="16">
        <f t="shared" si="11"/>
        <v>3770</v>
      </c>
      <c r="BN33" s="16">
        <v>0</v>
      </c>
      <c r="BO33" s="16">
        <v>0</v>
      </c>
      <c r="BP33" s="16">
        <v>0</v>
      </c>
      <c r="BQ33" s="16">
        <v>0</v>
      </c>
      <c r="BR33" s="16">
        <v>0</v>
      </c>
      <c r="BS33" s="16">
        <v>0</v>
      </c>
      <c r="BT33" s="16">
        <v>0</v>
      </c>
      <c r="BU33" s="16">
        <v>0</v>
      </c>
      <c r="BV33" s="16">
        <v>0</v>
      </c>
      <c r="BW33" s="16">
        <v>3770</v>
      </c>
      <c r="BX33" s="16">
        <v>0</v>
      </c>
      <c r="BY33" s="16">
        <f t="shared" si="30"/>
        <v>27839</v>
      </c>
      <c r="BZ33" s="16">
        <f t="shared" si="31"/>
        <v>27839</v>
      </c>
      <c r="CA33" s="16">
        <f t="shared" si="12"/>
        <v>27839</v>
      </c>
      <c r="CB33" s="16">
        <v>0</v>
      </c>
      <c r="CC33" s="16">
        <v>27839</v>
      </c>
      <c r="CD33" s="16">
        <f t="shared" si="32"/>
        <v>0</v>
      </c>
      <c r="CE33" s="16">
        <v>0</v>
      </c>
      <c r="CF33" s="16">
        <v>0</v>
      </c>
      <c r="CG33" s="16">
        <v>0</v>
      </c>
      <c r="CH33" s="16">
        <v>0</v>
      </c>
      <c r="CI33" s="16">
        <v>0</v>
      </c>
      <c r="CJ33" s="16">
        <f t="shared" si="33"/>
        <v>0</v>
      </c>
      <c r="CK33" s="16">
        <v>0</v>
      </c>
      <c r="CL33" s="16">
        <v>0</v>
      </c>
      <c r="CM33" s="16">
        <v>0</v>
      </c>
      <c r="CN33" s="16">
        <v>0</v>
      </c>
      <c r="CO33" s="16">
        <v>0</v>
      </c>
      <c r="CP33" s="16">
        <v>0</v>
      </c>
      <c r="CQ33" s="16">
        <v>0</v>
      </c>
      <c r="CR33" s="16">
        <f t="shared" si="13"/>
        <v>0</v>
      </c>
      <c r="CS33" s="16">
        <f t="shared" si="14"/>
        <v>0</v>
      </c>
      <c r="CT33" s="16">
        <v>0</v>
      </c>
      <c r="CU33" s="17">
        <v>0</v>
      </c>
      <c r="CV33" s="38"/>
    </row>
    <row r="34" spans="1:100" ht="15.75" x14ac:dyDescent="0.25">
      <c r="A34" s="13" t="s">
        <v>1</v>
      </c>
      <c r="B34" s="14" t="s">
        <v>1</v>
      </c>
      <c r="C34" s="14" t="s">
        <v>36</v>
      </c>
      <c r="D34" s="30" t="s">
        <v>37</v>
      </c>
      <c r="E34" s="15">
        <f t="shared" si="23"/>
        <v>2988144</v>
      </c>
      <c r="F34" s="16">
        <f t="shared" si="24"/>
        <v>2949690</v>
      </c>
      <c r="G34" s="16">
        <f t="shared" si="25"/>
        <v>2949690</v>
      </c>
      <c r="H34" s="16">
        <v>2051344</v>
      </c>
      <c r="I34" s="16">
        <v>484749</v>
      </c>
      <c r="J34" s="16">
        <f t="shared" si="7"/>
        <v>88857</v>
      </c>
      <c r="K34" s="16">
        <v>0</v>
      </c>
      <c r="L34" s="16">
        <v>0</v>
      </c>
      <c r="M34" s="16">
        <v>0</v>
      </c>
      <c r="N34" s="16">
        <v>0</v>
      </c>
      <c r="O34" s="16">
        <v>65936</v>
      </c>
      <c r="P34" s="16">
        <v>22921</v>
      </c>
      <c r="Q34" s="16">
        <f t="shared" si="8"/>
        <v>12361</v>
      </c>
      <c r="R34" s="16">
        <v>12361</v>
      </c>
      <c r="S34" s="16">
        <v>0</v>
      </c>
      <c r="T34" s="16">
        <v>0</v>
      </c>
      <c r="U34" s="16">
        <f>166058-72165</f>
        <v>93893</v>
      </c>
      <c r="V34" s="16">
        <f t="shared" si="26"/>
        <v>52782</v>
      </c>
      <c r="W34" s="16">
        <v>0</v>
      </c>
      <c r="X34" s="16">
        <v>19249</v>
      </c>
      <c r="Y34" s="16">
        <v>27513</v>
      </c>
      <c r="Z34" s="16">
        <v>2759</v>
      </c>
      <c r="AA34" s="16">
        <v>3261</v>
      </c>
      <c r="AB34" s="16">
        <v>0</v>
      </c>
      <c r="AC34" s="16">
        <v>0</v>
      </c>
      <c r="AD34" s="16">
        <v>0</v>
      </c>
      <c r="AE34" s="16">
        <f t="shared" si="27"/>
        <v>165704</v>
      </c>
      <c r="AF34" s="16">
        <v>0</v>
      </c>
      <c r="AG34" s="16">
        <v>2211</v>
      </c>
      <c r="AH34" s="16">
        <v>6860</v>
      </c>
      <c r="AI34" s="16">
        <v>0</v>
      </c>
      <c r="AJ34" s="16">
        <v>1591</v>
      </c>
      <c r="AK34" s="16">
        <v>0</v>
      </c>
      <c r="AL34" s="16">
        <v>19227</v>
      </c>
      <c r="AM34" s="16">
        <v>0</v>
      </c>
      <c r="AN34" s="16">
        <v>16878</v>
      </c>
      <c r="AO34" s="16">
        <v>0</v>
      </c>
      <c r="AP34" s="16">
        <v>0</v>
      </c>
      <c r="AQ34" s="16">
        <v>0</v>
      </c>
      <c r="AR34" s="16">
        <v>118614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323</v>
      </c>
      <c r="BA34" s="16">
        <f t="shared" si="28"/>
        <v>0</v>
      </c>
      <c r="BB34" s="16">
        <f t="shared" si="29"/>
        <v>0</v>
      </c>
      <c r="BC34" s="16">
        <v>0</v>
      </c>
      <c r="BD34" s="16">
        <v>0</v>
      </c>
      <c r="BE34" s="16">
        <v>0</v>
      </c>
      <c r="BF34" s="16">
        <f t="shared" si="9"/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f t="shared" si="10"/>
        <v>0</v>
      </c>
      <c r="BL34" s="16">
        <v>0</v>
      </c>
      <c r="BM34" s="16">
        <f t="shared" si="11"/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f t="shared" si="30"/>
        <v>38454</v>
      </c>
      <c r="BZ34" s="16">
        <f t="shared" si="31"/>
        <v>38454</v>
      </c>
      <c r="CA34" s="16">
        <f t="shared" si="12"/>
        <v>38454</v>
      </c>
      <c r="CB34" s="16">
        <v>0</v>
      </c>
      <c r="CC34" s="16">
        <v>38454</v>
      </c>
      <c r="CD34" s="16">
        <f t="shared" si="32"/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f t="shared" si="33"/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f t="shared" si="13"/>
        <v>0</v>
      </c>
      <c r="CS34" s="16">
        <f t="shared" si="14"/>
        <v>0</v>
      </c>
      <c r="CT34" s="16">
        <v>0</v>
      </c>
      <c r="CU34" s="17">
        <v>0</v>
      </c>
      <c r="CV34" s="38"/>
    </row>
    <row r="35" spans="1:100" ht="31.5" x14ac:dyDescent="0.25">
      <c r="A35" s="13" t="s">
        <v>1</v>
      </c>
      <c r="B35" s="14" t="s">
        <v>1</v>
      </c>
      <c r="C35" s="14" t="s">
        <v>38</v>
      </c>
      <c r="D35" s="30" t="s">
        <v>490</v>
      </c>
      <c r="E35" s="15">
        <f t="shared" si="23"/>
        <v>1919208</v>
      </c>
      <c r="F35" s="16">
        <f t="shared" si="24"/>
        <v>1890541</v>
      </c>
      <c r="G35" s="16">
        <f t="shared" si="25"/>
        <v>1885940</v>
      </c>
      <c r="H35" s="16">
        <f>1354535+10653</f>
        <v>1365188</v>
      </c>
      <c r="I35" s="16">
        <f>325500+5526</f>
        <v>331026</v>
      </c>
      <c r="J35" s="16">
        <f t="shared" si="7"/>
        <v>40264</v>
      </c>
      <c r="K35" s="16">
        <v>0</v>
      </c>
      <c r="L35" s="16">
        <v>0</v>
      </c>
      <c r="M35" s="16">
        <v>0</v>
      </c>
      <c r="N35" s="16">
        <v>0</v>
      </c>
      <c r="O35" s="16">
        <v>26957</v>
      </c>
      <c r="P35" s="16">
        <v>13307</v>
      </c>
      <c r="Q35" s="16">
        <f t="shared" si="8"/>
        <v>0</v>
      </c>
      <c r="R35" s="16">
        <v>0</v>
      </c>
      <c r="S35" s="16">
        <f>12870-12870</f>
        <v>0</v>
      </c>
      <c r="T35" s="16">
        <v>0</v>
      </c>
      <c r="U35" s="16">
        <v>25798</v>
      </c>
      <c r="V35" s="16">
        <f t="shared" si="26"/>
        <v>19311</v>
      </c>
      <c r="W35" s="16">
        <v>0</v>
      </c>
      <c r="X35" s="16">
        <v>10871</v>
      </c>
      <c r="Y35" s="16">
        <v>3599</v>
      </c>
      <c r="Z35" s="16">
        <v>1065</v>
      </c>
      <c r="AA35" s="16">
        <v>3776</v>
      </c>
      <c r="AB35" s="16">
        <v>0</v>
      </c>
      <c r="AC35" s="16">
        <v>0</v>
      </c>
      <c r="AD35" s="16">
        <v>0</v>
      </c>
      <c r="AE35" s="16">
        <f t="shared" si="27"/>
        <v>104353</v>
      </c>
      <c r="AF35" s="16">
        <v>0</v>
      </c>
      <c r="AG35" s="16">
        <v>2218</v>
      </c>
      <c r="AH35" s="16">
        <f>5147-3309</f>
        <v>1838</v>
      </c>
      <c r="AI35" s="16">
        <v>0</v>
      </c>
      <c r="AJ35" s="16">
        <v>1591</v>
      </c>
      <c r="AK35" s="16">
        <v>0</v>
      </c>
      <c r="AL35" s="16">
        <v>14334</v>
      </c>
      <c r="AM35" s="16">
        <v>0</v>
      </c>
      <c r="AN35" s="16">
        <v>8730</v>
      </c>
      <c r="AO35" s="16">
        <v>0</v>
      </c>
      <c r="AP35" s="16">
        <v>0</v>
      </c>
      <c r="AQ35" s="16">
        <v>0</v>
      </c>
      <c r="AR35" s="16">
        <v>75642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f t="shared" si="28"/>
        <v>4601</v>
      </c>
      <c r="BB35" s="16">
        <f t="shared" si="29"/>
        <v>0</v>
      </c>
      <c r="BC35" s="16">
        <v>0</v>
      </c>
      <c r="BD35" s="16">
        <v>0</v>
      </c>
      <c r="BE35" s="16">
        <v>0</v>
      </c>
      <c r="BF35" s="16">
        <f t="shared" si="9"/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f t="shared" si="10"/>
        <v>0</v>
      </c>
      <c r="BL35" s="16">
        <v>0</v>
      </c>
      <c r="BM35" s="16">
        <f t="shared" si="11"/>
        <v>4601</v>
      </c>
      <c r="BN35" s="16">
        <v>0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4601</v>
      </c>
      <c r="BX35" s="16">
        <v>0</v>
      </c>
      <c r="BY35" s="16">
        <f t="shared" si="30"/>
        <v>28667</v>
      </c>
      <c r="BZ35" s="16">
        <f t="shared" si="31"/>
        <v>28667</v>
      </c>
      <c r="CA35" s="16">
        <f t="shared" si="12"/>
        <v>28667</v>
      </c>
      <c r="CB35" s="16">
        <v>0</v>
      </c>
      <c r="CC35" s="16">
        <v>28667</v>
      </c>
      <c r="CD35" s="16">
        <f t="shared" si="32"/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f t="shared" si="33"/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f t="shared" si="13"/>
        <v>0</v>
      </c>
      <c r="CS35" s="16">
        <f t="shared" si="14"/>
        <v>0</v>
      </c>
      <c r="CT35" s="16">
        <v>0</v>
      </c>
      <c r="CU35" s="17">
        <v>0</v>
      </c>
      <c r="CV35" s="38"/>
    </row>
    <row r="36" spans="1:100" ht="31.5" x14ac:dyDescent="0.25">
      <c r="A36" s="13" t="s">
        <v>1</v>
      </c>
      <c r="B36" s="14" t="s">
        <v>1</v>
      </c>
      <c r="C36" s="14" t="s">
        <v>39</v>
      </c>
      <c r="D36" s="30" t="s">
        <v>40</v>
      </c>
      <c r="E36" s="15">
        <f t="shared" si="23"/>
        <v>3800962</v>
      </c>
      <c r="F36" s="16">
        <f t="shared" si="24"/>
        <v>3759435</v>
      </c>
      <c r="G36" s="16">
        <f t="shared" si="25"/>
        <v>3759435</v>
      </c>
      <c r="H36" s="16">
        <f>2433251+196643</f>
        <v>2629894</v>
      </c>
      <c r="I36" s="16">
        <f>590797+52032</f>
        <v>642829</v>
      </c>
      <c r="J36" s="16">
        <f t="shared" si="7"/>
        <v>402238</v>
      </c>
      <c r="K36" s="16">
        <v>0</v>
      </c>
      <c r="L36" s="16">
        <v>0</v>
      </c>
      <c r="M36" s="16">
        <v>0</v>
      </c>
      <c r="N36" s="16">
        <v>0</v>
      </c>
      <c r="O36" s="16">
        <v>315388</v>
      </c>
      <c r="P36" s="16">
        <f>96005-9155</f>
        <v>86850</v>
      </c>
      <c r="Q36" s="16">
        <f t="shared" si="8"/>
        <v>0</v>
      </c>
      <c r="R36" s="16">
        <v>0</v>
      </c>
      <c r="S36" s="16">
        <v>0</v>
      </c>
      <c r="T36" s="16">
        <v>0</v>
      </c>
      <c r="U36" s="16">
        <v>26719</v>
      </c>
      <c r="V36" s="16">
        <f t="shared" si="26"/>
        <v>11621</v>
      </c>
      <c r="W36" s="16">
        <v>0</v>
      </c>
      <c r="X36" s="16">
        <v>1547</v>
      </c>
      <c r="Y36" s="16">
        <v>6817</v>
      </c>
      <c r="Z36" s="16">
        <v>360</v>
      </c>
      <c r="AA36" s="16">
        <f>3261-364</f>
        <v>2897</v>
      </c>
      <c r="AB36" s="16">
        <v>0</v>
      </c>
      <c r="AC36" s="16">
        <v>0</v>
      </c>
      <c r="AD36" s="16">
        <v>0</v>
      </c>
      <c r="AE36" s="16">
        <f t="shared" si="27"/>
        <v>46134</v>
      </c>
      <c r="AF36" s="16">
        <v>0</v>
      </c>
      <c r="AG36" s="16">
        <v>397</v>
      </c>
      <c r="AH36" s="16">
        <v>6020</v>
      </c>
      <c r="AI36" s="16">
        <v>0</v>
      </c>
      <c r="AJ36" s="16">
        <v>1591</v>
      </c>
      <c r="AK36" s="16">
        <v>0</v>
      </c>
      <c r="AL36" s="16">
        <v>23547</v>
      </c>
      <c r="AM36" s="16">
        <v>0</v>
      </c>
      <c r="AN36" s="16">
        <v>8730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5849</v>
      </c>
      <c r="BA36" s="16">
        <f t="shared" si="28"/>
        <v>0</v>
      </c>
      <c r="BB36" s="16">
        <f t="shared" si="29"/>
        <v>0</v>
      </c>
      <c r="BC36" s="16">
        <v>0</v>
      </c>
      <c r="BD36" s="16">
        <v>0</v>
      </c>
      <c r="BE36" s="16">
        <v>0</v>
      </c>
      <c r="BF36" s="16">
        <f t="shared" si="9"/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f t="shared" si="10"/>
        <v>0</v>
      </c>
      <c r="BL36" s="16">
        <v>0</v>
      </c>
      <c r="BM36" s="16">
        <f t="shared" si="11"/>
        <v>0</v>
      </c>
      <c r="BN36" s="16">
        <v>0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f t="shared" si="30"/>
        <v>41527</v>
      </c>
      <c r="BZ36" s="16">
        <f t="shared" si="31"/>
        <v>41527</v>
      </c>
      <c r="CA36" s="16">
        <f t="shared" si="12"/>
        <v>41527</v>
      </c>
      <c r="CB36" s="16">
        <v>0</v>
      </c>
      <c r="CC36" s="16">
        <f>47095-5568</f>
        <v>41527</v>
      </c>
      <c r="CD36" s="16">
        <f t="shared" si="32"/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f t="shared" si="33"/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0</v>
      </c>
      <c r="CR36" s="16">
        <f t="shared" si="13"/>
        <v>0</v>
      </c>
      <c r="CS36" s="16">
        <f t="shared" si="14"/>
        <v>0</v>
      </c>
      <c r="CT36" s="16">
        <v>0</v>
      </c>
      <c r="CU36" s="17">
        <v>0</v>
      </c>
      <c r="CV36" s="38"/>
    </row>
    <row r="37" spans="1:100" ht="31.5" x14ac:dyDescent="0.25">
      <c r="A37" s="13" t="s">
        <v>1</v>
      </c>
      <c r="B37" s="14" t="s">
        <v>1</v>
      </c>
      <c r="C37" s="14" t="s">
        <v>41</v>
      </c>
      <c r="D37" s="30" t="s">
        <v>42</v>
      </c>
      <c r="E37" s="15">
        <f t="shared" si="23"/>
        <v>930901</v>
      </c>
      <c r="F37" s="16">
        <f t="shared" si="24"/>
        <v>915090</v>
      </c>
      <c r="G37" s="16">
        <f t="shared" si="25"/>
        <v>910489</v>
      </c>
      <c r="H37" s="16">
        <f>645800-3623</f>
        <v>642177</v>
      </c>
      <c r="I37" s="16">
        <f>152523-2294</f>
        <v>150229</v>
      </c>
      <c r="J37" s="16">
        <f t="shared" si="7"/>
        <v>48606</v>
      </c>
      <c r="K37" s="16">
        <v>0</v>
      </c>
      <c r="L37" s="16">
        <v>0</v>
      </c>
      <c r="M37" s="16">
        <v>0</v>
      </c>
      <c r="N37" s="16">
        <v>0</v>
      </c>
      <c r="O37" s="16">
        <v>40381</v>
      </c>
      <c r="P37" s="16">
        <v>8225</v>
      </c>
      <c r="Q37" s="16">
        <f t="shared" si="8"/>
        <v>0</v>
      </c>
      <c r="R37" s="16">
        <v>0</v>
      </c>
      <c r="S37" s="16">
        <v>0</v>
      </c>
      <c r="T37" s="16">
        <v>0</v>
      </c>
      <c r="U37" s="16">
        <f>21536-8722</f>
        <v>12814</v>
      </c>
      <c r="V37" s="16">
        <f t="shared" si="26"/>
        <v>13046</v>
      </c>
      <c r="W37" s="16">
        <v>0</v>
      </c>
      <c r="X37" s="16">
        <f>1979+5293</f>
        <v>7272</v>
      </c>
      <c r="Y37" s="16">
        <f>1500+2851</f>
        <v>4351</v>
      </c>
      <c r="Z37" s="16">
        <f>273+578</f>
        <v>851</v>
      </c>
      <c r="AA37" s="16">
        <v>572</v>
      </c>
      <c r="AB37" s="16">
        <v>0</v>
      </c>
      <c r="AC37" s="16">
        <v>0</v>
      </c>
      <c r="AD37" s="16">
        <v>0</v>
      </c>
      <c r="AE37" s="16">
        <f t="shared" si="27"/>
        <v>43617</v>
      </c>
      <c r="AF37" s="16">
        <v>0</v>
      </c>
      <c r="AG37" s="16">
        <v>3200</v>
      </c>
      <c r="AH37" s="16">
        <v>21766</v>
      </c>
      <c r="AI37" s="16">
        <v>0</v>
      </c>
      <c r="AJ37" s="16">
        <v>1591</v>
      </c>
      <c r="AK37" s="16">
        <v>0</v>
      </c>
      <c r="AL37" s="16">
        <v>7906</v>
      </c>
      <c r="AM37" s="16">
        <v>0</v>
      </c>
      <c r="AN37" s="16">
        <v>8730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424</v>
      </c>
      <c r="BA37" s="16">
        <f t="shared" si="28"/>
        <v>4601</v>
      </c>
      <c r="BB37" s="16">
        <f t="shared" si="29"/>
        <v>0</v>
      </c>
      <c r="BC37" s="16">
        <v>0</v>
      </c>
      <c r="BD37" s="16">
        <v>0</v>
      </c>
      <c r="BE37" s="16">
        <v>0</v>
      </c>
      <c r="BF37" s="16">
        <f t="shared" si="9"/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f t="shared" si="10"/>
        <v>0</v>
      </c>
      <c r="BL37" s="16">
        <v>0</v>
      </c>
      <c r="BM37" s="16">
        <f t="shared" si="11"/>
        <v>4601</v>
      </c>
      <c r="BN37" s="16">
        <v>0</v>
      </c>
      <c r="BO37" s="16"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4601</v>
      </c>
      <c r="BX37" s="16">
        <v>0</v>
      </c>
      <c r="BY37" s="16">
        <f t="shared" si="30"/>
        <v>15811</v>
      </c>
      <c r="BZ37" s="16">
        <f t="shared" si="31"/>
        <v>15811</v>
      </c>
      <c r="CA37" s="16">
        <f t="shared" si="12"/>
        <v>15811</v>
      </c>
      <c r="CB37" s="16">
        <v>0</v>
      </c>
      <c r="CC37" s="16">
        <v>15811</v>
      </c>
      <c r="CD37" s="16">
        <f t="shared" si="32"/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f t="shared" si="33"/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f t="shared" si="13"/>
        <v>0</v>
      </c>
      <c r="CS37" s="16">
        <f t="shared" si="14"/>
        <v>0</v>
      </c>
      <c r="CT37" s="16">
        <v>0</v>
      </c>
      <c r="CU37" s="17">
        <v>0</v>
      </c>
      <c r="CV37" s="38"/>
    </row>
    <row r="38" spans="1:100" ht="15.75" x14ac:dyDescent="0.25">
      <c r="A38" s="13" t="s">
        <v>1</v>
      </c>
      <c r="B38" s="14" t="s">
        <v>1</v>
      </c>
      <c r="C38" s="14" t="s">
        <v>43</v>
      </c>
      <c r="D38" s="30" t="s">
        <v>44</v>
      </c>
      <c r="E38" s="15">
        <f t="shared" si="23"/>
        <v>16521542</v>
      </c>
      <c r="F38" s="16">
        <f t="shared" si="24"/>
        <v>12388302</v>
      </c>
      <c r="G38" s="16">
        <f t="shared" si="25"/>
        <v>12182000</v>
      </c>
      <c r="H38" s="16">
        <v>9010147</v>
      </c>
      <c r="I38" s="16">
        <v>1509958</v>
      </c>
      <c r="J38" s="16">
        <f t="shared" si="7"/>
        <v>475447</v>
      </c>
      <c r="K38" s="16">
        <v>0</v>
      </c>
      <c r="L38" s="16">
        <v>122719</v>
      </c>
      <c r="M38" s="16">
        <v>0</v>
      </c>
      <c r="N38" s="16">
        <v>0</v>
      </c>
      <c r="O38" s="16">
        <v>180842</v>
      </c>
      <c r="P38" s="16">
        <v>171886</v>
      </c>
      <c r="Q38" s="16">
        <f t="shared" si="8"/>
        <v>40108</v>
      </c>
      <c r="R38" s="16">
        <v>2334</v>
      </c>
      <c r="S38" s="16">
        <v>37774</v>
      </c>
      <c r="T38" s="16">
        <v>0</v>
      </c>
      <c r="U38" s="16">
        <v>634642</v>
      </c>
      <c r="V38" s="16">
        <f t="shared" si="26"/>
        <v>163519</v>
      </c>
      <c r="W38" s="16">
        <v>67758</v>
      </c>
      <c r="X38" s="16">
        <v>0</v>
      </c>
      <c r="Y38" s="16">
        <f>77172+463</f>
        <v>77635</v>
      </c>
      <c r="Z38" s="16">
        <f>8590+2092</f>
        <v>10682</v>
      </c>
      <c r="AA38" s="16">
        <f>14347-13053</f>
        <v>1294</v>
      </c>
      <c r="AB38" s="16">
        <v>0</v>
      </c>
      <c r="AC38" s="16">
        <v>0</v>
      </c>
      <c r="AD38" s="16">
        <v>6150</v>
      </c>
      <c r="AE38" s="16">
        <f t="shared" si="27"/>
        <v>348179</v>
      </c>
      <c r="AF38" s="16">
        <v>0</v>
      </c>
      <c r="AG38" s="16">
        <v>43997</v>
      </c>
      <c r="AH38" s="16">
        <v>30222</v>
      </c>
      <c r="AI38" s="16">
        <v>0</v>
      </c>
      <c r="AJ38" s="16">
        <v>1591</v>
      </c>
      <c r="AK38" s="16">
        <v>0</v>
      </c>
      <c r="AL38" s="16">
        <v>90101</v>
      </c>
      <c r="AM38" s="16">
        <v>11759</v>
      </c>
      <c r="AN38" s="16">
        <v>22407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16">
        <v>0</v>
      </c>
      <c r="AW38" s="16">
        <v>93469</v>
      </c>
      <c r="AX38" s="16">
        <v>0</v>
      </c>
      <c r="AY38" s="16">
        <v>0</v>
      </c>
      <c r="AZ38" s="16">
        <v>54633</v>
      </c>
      <c r="BA38" s="16">
        <f t="shared" si="28"/>
        <v>206302</v>
      </c>
      <c r="BB38" s="16">
        <f t="shared" si="29"/>
        <v>0</v>
      </c>
      <c r="BC38" s="16">
        <v>0</v>
      </c>
      <c r="BD38" s="16">
        <v>0</v>
      </c>
      <c r="BE38" s="16">
        <v>0</v>
      </c>
      <c r="BF38" s="16">
        <f t="shared" si="9"/>
        <v>0</v>
      </c>
      <c r="BG38" s="16">
        <v>0</v>
      </c>
      <c r="BH38" s="16">
        <v>0</v>
      </c>
      <c r="BI38" s="16">
        <v>0</v>
      </c>
      <c r="BJ38" s="16">
        <v>0</v>
      </c>
      <c r="BK38" s="16">
        <f t="shared" si="10"/>
        <v>0</v>
      </c>
      <c r="BL38" s="16">
        <v>0</v>
      </c>
      <c r="BM38" s="16">
        <f t="shared" si="11"/>
        <v>206302</v>
      </c>
      <c r="BN38" s="16">
        <v>0</v>
      </c>
      <c r="BO38" s="16">
        <v>0</v>
      </c>
      <c r="BP38" s="16">
        <v>0</v>
      </c>
      <c r="BQ38" s="16">
        <v>0</v>
      </c>
      <c r="BR38" s="16">
        <v>0</v>
      </c>
      <c r="BS38" s="16">
        <v>0</v>
      </c>
      <c r="BT38" s="16">
        <v>0</v>
      </c>
      <c r="BU38" s="16">
        <v>0</v>
      </c>
      <c r="BV38" s="16">
        <v>0</v>
      </c>
      <c r="BW38" s="16">
        <v>206302</v>
      </c>
      <c r="BX38" s="16">
        <v>0</v>
      </c>
      <c r="BY38" s="16">
        <f t="shared" si="30"/>
        <v>4133240</v>
      </c>
      <c r="BZ38" s="16">
        <f t="shared" si="31"/>
        <v>4133240</v>
      </c>
      <c r="CA38" s="16">
        <f t="shared" si="12"/>
        <v>180203</v>
      </c>
      <c r="CB38" s="16">
        <v>0</v>
      </c>
      <c r="CC38" s="16">
        <v>180203</v>
      </c>
      <c r="CD38" s="16">
        <f t="shared" si="32"/>
        <v>3953037</v>
      </c>
      <c r="CE38" s="16">
        <v>0</v>
      </c>
      <c r="CF38" s="16">
        <v>0</v>
      </c>
      <c r="CG38" s="16">
        <f>3960000-6963</f>
        <v>3953037</v>
      </c>
      <c r="CH38" s="16">
        <v>0</v>
      </c>
      <c r="CI38" s="16">
        <v>0</v>
      </c>
      <c r="CJ38" s="16">
        <f t="shared" si="33"/>
        <v>0</v>
      </c>
      <c r="CK38" s="16">
        <v>0</v>
      </c>
      <c r="CL38" s="16">
        <v>0</v>
      </c>
      <c r="CM38" s="16">
        <v>0</v>
      </c>
      <c r="CN38" s="16">
        <v>0</v>
      </c>
      <c r="CO38" s="16">
        <v>0</v>
      </c>
      <c r="CP38" s="16">
        <v>0</v>
      </c>
      <c r="CQ38" s="16">
        <v>0</v>
      </c>
      <c r="CR38" s="16">
        <f t="shared" si="13"/>
        <v>0</v>
      </c>
      <c r="CS38" s="16">
        <f t="shared" si="14"/>
        <v>0</v>
      </c>
      <c r="CT38" s="16">
        <v>0</v>
      </c>
      <c r="CU38" s="17">
        <v>0</v>
      </c>
      <c r="CV38" s="38"/>
    </row>
    <row r="39" spans="1:100" ht="15.75" x14ac:dyDescent="0.25">
      <c r="A39" s="13" t="s">
        <v>1</v>
      </c>
      <c r="B39" s="14" t="s">
        <v>1</v>
      </c>
      <c r="C39" s="14" t="s">
        <v>45</v>
      </c>
      <c r="D39" s="30" t="s">
        <v>46</v>
      </c>
      <c r="E39" s="15">
        <f t="shared" si="23"/>
        <v>2193909</v>
      </c>
      <c r="F39" s="16">
        <f t="shared" si="24"/>
        <v>2161815</v>
      </c>
      <c r="G39" s="16">
        <f t="shared" si="25"/>
        <v>2159131</v>
      </c>
      <c r="H39" s="16">
        <v>1572130</v>
      </c>
      <c r="I39" s="16">
        <v>377582</v>
      </c>
      <c r="J39" s="16">
        <f t="shared" si="7"/>
        <v>81483</v>
      </c>
      <c r="K39" s="16">
        <v>0</v>
      </c>
      <c r="L39" s="16">
        <v>0</v>
      </c>
      <c r="M39" s="16">
        <v>0</v>
      </c>
      <c r="N39" s="16">
        <v>0</v>
      </c>
      <c r="O39" s="16">
        <v>41736</v>
      </c>
      <c r="P39" s="16">
        <v>39747</v>
      </c>
      <c r="Q39" s="16">
        <f t="shared" si="8"/>
        <v>7745</v>
      </c>
      <c r="R39" s="16">
        <v>0</v>
      </c>
      <c r="S39" s="16">
        <v>7745</v>
      </c>
      <c r="T39" s="16">
        <v>0</v>
      </c>
      <c r="U39" s="16">
        <v>41846</v>
      </c>
      <c r="V39" s="16">
        <f t="shared" si="26"/>
        <v>9945</v>
      </c>
      <c r="W39" s="16">
        <v>0</v>
      </c>
      <c r="X39" s="16">
        <v>4509</v>
      </c>
      <c r="Y39" s="16">
        <v>4708</v>
      </c>
      <c r="Z39" s="16">
        <v>728</v>
      </c>
      <c r="AA39" s="16">
        <v>0</v>
      </c>
      <c r="AB39" s="16">
        <v>0</v>
      </c>
      <c r="AC39" s="16">
        <v>0</v>
      </c>
      <c r="AD39" s="16">
        <v>0</v>
      </c>
      <c r="AE39" s="16">
        <f t="shared" si="27"/>
        <v>68400</v>
      </c>
      <c r="AF39" s="16">
        <v>0</v>
      </c>
      <c r="AG39" s="16">
        <v>887</v>
      </c>
      <c r="AH39" s="16">
        <v>0</v>
      </c>
      <c r="AI39" s="16">
        <v>0</v>
      </c>
      <c r="AJ39" s="16">
        <v>1591</v>
      </c>
      <c r="AK39" s="16">
        <v>0</v>
      </c>
      <c r="AL39" s="16">
        <v>16047</v>
      </c>
      <c r="AM39" s="16">
        <v>20000</v>
      </c>
      <c r="AN39" s="16">
        <v>5238</v>
      </c>
      <c r="AO39" s="16">
        <v>0</v>
      </c>
      <c r="AP39" s="16">
        <v>0</v>
      </c>
      <c r="AQ39" s="16">
        <v>0</v>
      </c>
      <c r="AR39" s="16">
        <v>20397</v>
      </c>
      <c r="AS39" s="16">
        <v>4240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f t="shared" si="28"/>
        <v>2684</v>
      </c>
      <c r="BB39" s="16">
        <f t="shared" si="29"/>
        <v>0</v>
      </c>
      <c r="BC39" s="16">
        <v>0</v>
      </c>
      <c r="BD39" s="16">
        <v>0</v>
      </c>
      <c r="BE39" s="16">
        <v>0</v>
      </c>
      <c r="BF39" s="16">
        <f t="shared" si="9"/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f t="shared" si="10"/>
        <v>0</v>
      </c>
      <c r="BL39" s="16">
        <v>0</v>
      </c>
      <c r="BM39" s="16">
        <f t="shared" si="11"/>
        <v>2684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2684</v>
      </c>
      <c r="BX39" s="16">
        <v>0</v>
      </c>
      <c r="BY39" s="16">
        <f t="shared" si="30"/>
        <v>32094</v>
      </c>
      <c r="BZ39" s="16">
        <f t="shared" si="31"/>
        <v>32094</v>
      </c>
      <c r="CA39" s="16">
        <f t="shared" si="12"/>
        <v>32094</v>
      </c>
      <c r="CB39" s="16">
        <v>0</v>
      </c>
      <c r="CC39" s="16">
        <v>32094</v>
      </c>
      <c r="CD39" s="16">
        <f t="shared" si="32"/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f t="shared" si="33"/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f t="shared" si="13"/>
        <v>0</v>
      </c>
      <c r="CS39" s="16">
        <f t="shared" si="14"/>
        <v>0</v>
      </c>
      <c r="CT39" s="16">
        <v>0</v>
      </c>
      <c r="CU39" s="17">
        <v>0</v>
      </c>
      <c r="CV39" s="38"/>
    </row>
    <row r="40" spans="1:100" ht="31.5" x14ac:dyDescent="0.25">
      <c r="A40" s="13" t="s">
        <v>3</v>
      </c>
      <c r="B40" s="14" t="s">
        <v>47</v>
      </c>
      <c r="C40" s="14" t="s">
        <v>1</v>
      </c>
      <c r="D40" s="30" t="s">
        <v>48</v>
      </c>
      <c r="E40" s="15">
        <f>SUM(E41)</f>
        <v>29425604</v>
      </c>
      <c r="F40" s="16">
        <f t="shared" ref="F40:BS40" si="34">SUM(F41)</f>
        <v>29013047</v>
      </c>
      <c r="G40" s="16">
        <f t="shared" si="34"/>
        <v>26910647</v>
      </c>
      <c r="H40" s="16">
        <f t="shared" si="34"/>
        <v>20977829</v>
      </c>
      <c r="I40" s="16">
        <f t="shared" si="34"/>
        <v>1873770</v>
      </c>
      <c r="J40" s="16">
        <f t="shared" si="34"/>
        <v>1756385</v>
      </c>
      <c r="K40" s="16">
        <f t="shared" si="34"/>
        <v>0</v>
      </c>
      <c r="L40" s="16">
        <f t="shared" si="34"/>
        <v>1207905</v>
      </c>
      <c r="M40" s="16">
        <f t="shared" si="34"/>
        <v>0</v>
      </c>
      <c r="N40" s="16">
        <f t="shared" si="34"/>
        <v>0</v>
      </c>
      <c r="O40" s="16">
        <f t="shared" si="34"/>
        <v>408447</v>
      </c>
      <c r="P40" s="16">
        <f t="shared" si="34"/>
        <v>140033</v>
      </c>
      <c r="Q40" s="16">
        <f t="shared" si="34"/>
        <v>109111</v>
      </c>
      <c r="R40" s="16">
        <f t="shared" si="34"/>
        <v>0</v>
      </c>
      <c r="S40" s="16">
        <f t="shared" si="34"/>
        <v>109111</v>
      </c>
      <c r="T40" s="16">
        <f t="shared" si="34"/>
        <v>0</v>
      </c>
      <c r="U40" s="16">
        <f t="shared" si="34"/>
        <v>652056</v>
      </c>
      <c r="V40" s="16">
        <f t="shared" si="34"/>
        <v>169625</v>
      </c>
      <c r="W40" s="16">
        <f t="shared" si="34"/>
        <v>31312</v>
      </c>
      <c r="X40" s="16">
        <f t="shared" si="34"/>
        <v>58642</v>
      </c>
      <c r="Y40" s="16">
        <f t="shared" si="34"/>
        <v>56548</v>
      </c>
      <c r="Z40" s="16">
        <f t="shared" si="34"/>
        <v>10402</v>
      </c>
      <c r="AA40" s="16">
        <f t="shared" si="34"/>
        <v>8380</v>
      </c>
      <c r="AB40" s="16">
        <f t="shared" si="34"/>
        <v>0</v>
      </c>
      <c r="AC40" s="16">
        <f t="shared" si="34"/>
        <v>0</v>
      </c>
      <c r="AD40" s="16">
        <f t="shared" si="34"/>
        <v>4341</v>
      </c>
      <c r="AE40" s="16">
        <f t="shared" si="34"/>
        <v>1371871</v>
      </c>
      <c r="AF40" s="16">
        <f t="shared" si="34"/>
        <v>0</v>
      </c>
      <c r="AG40" s="16">
        <f t="shared" si="34"/>
        <v>98435</v>
      </c>
      <c r="AH40" s="16">
        <f t="shared" si="34"/>
        <v>37587</v>
      </c>
      <c r="AI40" s="16">
        <f t="shared" si="34"/>
        <v>0</v>
      </c>
      <c r="AJ40" s="16">
        <f t="shared" si="34"/>
        <v>22276</v>
      </c>
      <c r="AK40" s="16">
        <f t="shared" si="34"/>
        <v>0</v>
      </c>
      <c r="AL40" s="16">
        <f t="shared" si="34"/>
        <v>206278</v>
      </c>
      <c r="AM40" s="16">
        <f t="shared" si="34"/>
        <v>37436</v>
      </c>
      <c r="AN40" s="16">
        <f t="shared" si="34"/>
        <v>0</v>
      </c>
      <c r="AO40" s="16">
        <f t="shared" si="34"/>
        <v>0</v>
      </c>
      <c r="AP40" s="16">
        <f t="shared" si="34"/>
        <v>0</v>
      </c>
      <c r="AQ40" s="16">
        <f t="shared" si="34"/>
        <v>0</v>
      </c>
      <c r="AR40" s="16">
        <f t="shared" si="34"/>
        <v>54445</v>
      </c>
      <c r="AS40" s="16">
        <f t="shared" si="34"/>
        <v>0</v>
      </c>
      <c r="AT40" s="16">
        <f t="shared" si="34"/>
        <v>0</v>
      </c>
      <c r="AU40" s="16">
        <f t="shared" si="34"/>
        <v>0</v>
      </c>
      <c r="AV40" s="16">
        <f t="shared" si="34"/>
        <v>0</v>
      </c>
      <c r="AW40" s="16">
        <f t="shared" si="34"/>
        <v>907940</v>
      </c>
      <c r="AX40" s="16">
        <f t="shared" si="34"/>
        <v>0</v>
      </c>
      <c r="AY40" s="16">
        <f t="shared" si="34"/>
        <v>0</v>
      </c>
      <c r="AZ40" s="16">
        <f t="shared" si="34"/>
        <v>7474</v>
      </c>
      <c r="BA40" s="16">
        <f t="shared" si="34"/>
        <v>2102400</v>
      </c>
      <c r="BB40" s="16">
        <f t="shared" si="34"/>
        <v>0</v>
      </c>
      <c r="BC40" s="16">
        <f t="shared" si="34"/>
        <v>0</v>
      </c>
      <c r="BD40" s="16">
        <f t="shared" si="34"/>
        <v>0</v>
      </c>
      <c r="BE40" s="16">
        <f t="shared" si="34"/>
        <v>0</v>
      </c>
      <c r="BF40" s="16">
        <f t="shared" si="34"/>
        <v>0</v>
      </c>
      <c r="BG40" s="16">
        <f t="shared" si="34"/>
        <v>0</v>
      </c>
      <c r="BH40" s="16">
        <f t="shared" si="34"/>
        <v>0</v>
      </c>
      <c r="BI40" s="16">
        <f t="shared" si="34"/>
        <v>0</v>
      </c>
      <c r="BJ40" s="16">
        <f t="shared" si="34"/>
        <v>0</v>
      </c>
      <c r="BK40" s="16">
        <f t="shared" si="34"/>
        <v>0</v>
      </c>
      <c r="BL40" s="16">
        <f t="shared" si="34"/>
        <v>0</v>
      </c>
      <c r="BM40" s="16">
        <f t="shared" si="34"/>
        <v>2102400</v>
      </c>
      <c r="BN40" s="16">
        <f t="shared" si="34"/>
        <v>0</v>
      </c>
      <c r="BO40" s="16">
        <f t="shared" si="34"/>
        <v>0</v>
      </c>
      <c r="BP40" s="16">
        <f t="shared" si="34"/>
        <v>0</v>
      </c>
      <c r="BQ40" s="16">
        <f t="shared" si="34"/>
        <v>0</v>
      </c>
      <c r="BR40" s="16">
        <f t="shared" si="34"/>
        <v>0</v>
      </c>
      <c r="BS40" s="16">
        <f t="shared" si="34"/>
        <v>0</v>
      </c>
      <c r="BT40" s="16">
        <f t="shared" ref="BT40:CU40" si="35">SUM(BT41)</f>
        <v>0</v>
      </c>
      <c r="BU40" s="16">
        <f t="shared" si="35"/>
        <v>0</v>
      </c>
      <c r="BV40" s="16">
        <f t="shared" si="35"/>
        <v>0</v>
      </c>
      <c r="BW40" s="16">
        <f t="shared" si="35"/>
        <v>2102400</v>
      </c>
      <c r="BX40" s="16">
        <f t="shared" si="35"/>
        <v>0</v>
      </c>
      <c r="BY40" s="16">
        <f t="shared" si="35"/>
        <v>412557</v>
      </c>
      <c r="BZ40" s="16">
        <f t="shared" si="35"/>
        <v>412557</v>
      </c>
      <c r="CA40" s="16">
        <f t="shared" si="35"/>
        <v>412557</v>
      </c>
      <c r="CB40" s="16">
        <f t="shared" si="35"/>
        <v>0</v>
      </c>
      <c r="CC40" s="16">
        <f t="shared" si="35"/>
        <v>412557</v>
      </c>
      <c r="CD40" s="16">
        <f t="shared" si="35"/>
        <v>0</v>
      </c>
      <c r="CE40" s="16">
        <f t="shared" si="35"/>
        <v>0</v>
      </c>
      <c r="CF40" s="16">
        <f t="shared" si="35"/>
        <v>0</v>
      </c>
      <c r="CG40" s="16">
        <f t="shared" si="35"/>
        <v>0</v>
      </c>
      <c r="CH40" s="16">
        <f t="shared" si="35"/>
        <v>0</v>
      </c>
      <c r="CI40" s="16">
        <f t="shared" si="35"/>
        <v>0</v>
      </c>
      <c r="CJ40" s="16">
        <f t="shared" si="35"/>
        <v>0</v>
      </c>
      <c r="CK40" s="16">
        <f t="shared" si="35"/>
        <v>0</v>
      </c>
      <c r="CL40" s="16">
        <f t="shared" si="35"/>
        <v>0</v>
      </c>
      <c r="CM40" s="16">
        <f t="shared" si="35"/>
        <v>0</v>
      </c>
      <c r="CN40" s="16">
        <f t="shared" si="35"/>
        <v>0</v>
      </c>
      <c r="CO40" s="16">
        <f t="shared" si="35"/>
        <v>0</v>
      </c>
      <c r="CP40" s="16">
        <f t="shared" si="35"/>
        <v>0</v>
      </c>
      <c r="CQ40" s="16">
        <f t="shared" si="35"/>
        <v>0</v>
      </c>
      <c r="CR40" s="16">
        <f t="shared" si="35"/>
        <v>0</v>
      </c>
      <c r="CS40" s="16">
        <f t="shared" si="35"/>
        <v>0</v>
      </c>
      <c r="CT40" s="16">
        <f t="shared" si="35"/>
        <v>0</v>
      </c>
      <c r="CU40" s="17">
        <f t="shared" si="35"/>
        <v>0</v>
      </c>
      <c r="CV40" s="38"/>
    </row>
    <row r="41" spans="1:100" ht="15.75" x14ac:dyDescent="0.25">
      <c r="A41" s="13" t="s">
        <v>1</v>
      </c>
      <c r="B41" s="14" t="s">
        <v>1</v>
      </c>
      <c r="C41" s="14" t="s">
        <v>43</v>
      </c>
      <c r="D41" s="30" t="s">
        <v>49</v>
      </c>
      <c r="E41" s="15">
        <f>SUM(F41+BY41+CR41)</f>
        <v>29425604</v>
      </c>
      <c r="F41" s="16">
        <f>SUM(G41+BA41)</f>
        <v>29013047</v>
      </c>
      <c r="G41" s="16">
        <f>SUM(H41+I41+J41+Q41+T41+U41+V41+AE41)</f>
        <v>26910647</v>
      </c>
      <c r="H41" s="16">
        <f>20627829+350000</f>
        <v>20977829</v>
      </c>
      <c r="I41" s="16">
        <v>1873770</v>
      </c>
      <c r="J41" s="16">
        <f t="shared" si="7"/>
        <v>1756385</v>
      </c>
      <c r="K41" s="16">
        <v>0</v>
      </c>
      <c r="L41" s="16">
        <v>1207905</v>
      </c>
      <c r="M41" s="16">
        <v>0</v>
      </c>
      <c r="N41" s="16">
        <v>0</v>
      </c>
      <c r="O41" s="16">
        <v>408447</v>
      </c>
      <c r="P41" s="16">
        <v>140033</v>
      </c>
      <c r="Q41" s="16">
        <f t="shared" si="8"/>
        <v>109111</v>
      </c>
      <c r="R41" s="16">
        <v>0</v>
      </c>
      <c r="S41" s="16">
        <v>109111</v>
      </c>
      <c r="T41" s="16">
        <v>0</v>
      </c>
      <c r="U41" s="16">
        <v>652056</v>
      </c>
      <c r="V41" s="16">
        <f>SUM(W41:AD41)</f>
        <v>169625</v>
      </c>
      <c r="W41" s="16">
        <v>31312</v>
      </c>
      <c r="X41" s="16">
        <f>44014+14628</f>
        <v>58642</v>
      </c>
      <c r="Y41" s="16">
        <f>55992+556</f>
        <v>56548</v>
      </c>
      <c r="Z41" s="16">
        <f>8125+2277</f>
        <v>10402</v>
      </c>
      <c r="AA41" s="16">
        <v>8380</v>
      </c>
      <c r="AB41" s="16">
        <v>0</v>
      </c>
      <c r="AC41" s="16">
        <v>0</v>
      </c>
      <c r="AD41" s="16">
        <v>4341</v>
      </c>
      <c r="AE41" s="16">
        <f>SUM(AF41:AZ41)</f>
        <v>1371871</v>
      </c>
      <c r="AF41" s="16">
        <v>0</v>
      </c>
      <c r="AG41" s="16">
        <v>98435</v>
      </c>
      <c r="AH41" s="16">
        <v>37587</v>
      </c>
      <c r="AI41" s="16">
        <v>0</v>
      </c>
      <c r="AJ41" s="16">
        <v>22276</v>
      </c>
      <c r="AK41" s="16">
        <v>0</v>
      </c>
      <c r="AL41" s="16">
        <v>206278</v>
      </c>
      <c r="AM41" s="16">
        <f>19436+18000</f>
        <v>37436</v>
      </c>
      <c r="AN41" s="16">
        <v>0</v>
      </c>
      <c r="AO41" s="16">
        <v>0</v>
      </c>
      <c r="AP41" s="16">
        <v>0</v>
      </c>
      <c r="AQ41" s="16">
        <v>0</v>
      </c>
      <c r="AR41" s="16">
        <v>54445</v>
      </c>
      <c r="AS41" s="16">
        <v>0</v>
      </c>
      <c r="AT41" s="16">
        <v>0</v>
      </c>
      <c r="AU41" s="16">
        <v>0</v>
      </c>
      <c r="AV41" s="16">
        <v>0</v>
      </c>
      <c r="AW41" s="16">
        <f>1257940-350000</f>
        <v>907940</v>
      </c>
      <c r="AX41" s="16">
        <v>0</v>
      </c>
      <c r="AY41" s="16">
        <v>0</v>
      </c>
      <c r="AZ41" s="16">
        <v>7474</v>
      </c>
      <c r="BA41" s="16">
        <f>SUM(BB41+BF41+BI41+BK41+BM41)</f>
        <v>2102400</v>
      </c>
      <c r="BB41" s="16">
        <f>SUM(BC41:BE41)</f>
        <v>0</v>
      </c>
      <c r="BC41" s="16">
        <v>0</v>
      </c>
      <c r="BD41" s="16">
        <v>0</v>
      </c>
      <c r="BE41" s="16">
        <v>0</v>
      </c>
      <c r="BF41" s="16">
        <f t="shared" si="9"/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f t="shared" si="10"/>
        <v>0</v>
      </c>
      <c r="BL41" s="16">
        <v>0</v>
      </c>
      <c r="BM41" s="16">
        <f t="shared" si="11"/>
        <v>2102400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2102400</v>
      </c>
      <c r="BX41" s="16">
        <v>0</v>
      </c>
      <c r="BY41" s="16">
        <f>SUM(BZ41+CQ41)</f>
        <v>412557</v>
      </c>
      <c r="BZ41" s="16">
        <f>SUM(CA41+CD41+CJ41)</f>
        <v>412557</v>
      </c>
      <c r="CA41" s="16">
        <f t="shared" si="12"/>
        <v>412557</v>
      </c>
      <c r="CB41" s="16">
        <v>0</v>
      </c>
      <c r="CC41" s="16">
        <v>412557</v>
      </c>
      <c r="CD41" s="16">
        <f>SUM(CE41:CH41)</f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f>SUM(CK41:CN41)</f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f t="shared" si="13"/>
        <v>0</v>
      </c>
      <c r="CS41" s="16">
        <f t="shared" si="14"/>
        <v>0</v>
      </c>
      <c r="CT41" s="16">
        <v>0</v>
      </c>
      <c r="CU41" s="17">
        <v>0</v>
      </c>
      <c r="CV41" s="38"/>
    </row>
    <row r="42" spans="1:100" ht="31.5" x14ac:dyDescent="0.25">
      <c r="A42" s="13" t="s">
        <v>3</v>
      </c>
      <c r="B42" s="14" t="s">
        <v>50</v>
      </c>
      <c r="C42" s="14" t="s">
        <v>1</v>
      </c>
      <c r="D42" s="30" t="s">
        <v>51</v>
      </c>
      <c r="E42" s="15">
        <f t="shared" ref="E42:AJ42" si="36">SUM(E43:E47)</f>
        <v>18439473</v>
      </c>
      <c r="F42" s="16">
        <f t="shared" si="36"/>
        <v>18052605</v>
      </c>
      <c r="G42" s="16">
        <f t="shared" si="36"/>
        <v>18051024</v>
      </c>
      <c r="H42" s="16">
        <f t="shared" si="36"/>
        <v>11634628</v>
      </c>
      <c r="I42" s="16">
        <f t="shared" si="36"/>
        <v>2806403</v>
      </c>
      <c r="J42" s="16">
        <f t="shared" si="36"/>
        <v>756310</v>
      </c>
      <c r="K42" s="16">
        <f t="shared" si="36"/>
        <v>0</v>
      </c>
      <c r="L42" s="16">
        <f t="shared" si="36"/>
        <v>0</v>
      </c>
      <c r="M42" s="16">
        <f t="shared" si="36"/>
        <v>0</v>
      </c>
      <c r="N42" s="16">
        <f t="shared" si="36"/>
        <v>0</v>
      </c>
      <c r="O42" s="16">
        <f t="shared" si="36"/>
        <v>339320</v>
      </c>
      <c r="P42" s="16">
        <f t="shared" si="36"/>
        <v>416990</v>
      </c>
      <c r="Q42" s="16">
        <f t="shared" si="36"/>
        <v>484745</v>
      </c>
      <c r="R42" s="16">
        <f t="shared" si="36"/>
        <v>934</v>
      </c>
      <c r="S42" s="16">
        <f t="shared" si="36"/>
        <v>483811</v>
      </c>
      <c r="T42" s="16">
        <f t="shared" si="36"/>
        <v>0</v>
      </c>
      <c r="U42" s="16">
        <f t="shared" si="36"/>
        <v>440036</v>
      </c>
      <c r="V42" s="16">
        <f t="shared" si="36"/>
        <v>808710</v>
      </c>
      <c r="W42" s="16">
        <f t="shared" si="36"/>
        <v>110000</v>
      </c>
      <c r="X42" s="16">
        <f t="shared" si="36"/>
        <v>42545</v>
      </c>
      <c r="Y42" s="16">
        <f t="shared" si="36"/>
        <v>48143</v>
      </c>
      <c r="Z42" s="16">
        <f t="shared" si="36"/>
        <v>5709</v>
      </c>
      <c r="AA42" s="16">
        <f t="shared" si="36"/>
        <v>12272</v>
      </c>
      <c r="AB42" s="16">
        <f t="shared" si="36"/>
        <v>584816</v>
      </c>
      <c r="AC42" s="16">
        <f t="shared" si="36"/>
        <v>0</v>
      </c>
      <c r="AD42" s="16">
        <f t="shared" ref="AD42" si="37">SUM(AD43:AD47)</f>
        <v>5225</v>
      </c>
      <c r="AE42" s="16">
        <f t="shared" si="36"/>
        <v>1120192</v>
      </c>
      <c r="AF42" s="16">
        <f t="shared" si="36"/>
        <v>0</v>
      </c>
      <c r="AG42" s="16">
        <f t="shared" si="36"/>
        <v>102594</v>
      </c>
      <c r="AH42" s="16">
        <f t="shared" si="36"/>
        <v>220640</v>
      </c>
      <c r="AI42" s="16">
        <f t="shared" si="36"/>
        <v>0</v>
      </c>
      <c r="AJ42" s="16">
        <f t="shared" si="36"/>
        <v>23661</v>
      </c>
      <c r="AK42" s="16">
        <f t="shared" ref="AK42:BP42" si="38">SUM(AK43:AK47)</f>
        <v>0</v>
      </c>
      <c r="AL42" s="16">
        <f t="shared" si="38"/>
        <v>45179</v>
      </c>
      <c r="AM42" s="16">
        <f t="shared" si="38"/>
        <v>285000</v>
      </c>
      <c r="AN42" s="16">
        <f t="shared" si="38"/>
        <v>7566</v>
      </c>
      <c r="AO42" s="16">
        <f t="shared" si="38"/>
        <v>0</v>
      </c>
      <c r="AP42" s="16">
        <f t="shared" si="38"/>
        <v>0</v>
      </c>
      <c r="AQ42" s="16">
        <f t="shared" si="38"/>
        <v>0</v>
      </c>
      <c r="AR42" s="16">
        <f t="shared" si="38"/>
        <v>18164</v>
      </c>
      <c r="AS42" s="16">
        <f t="shared" si="38"/>
        <v>7728</v>
      </c>
      <c r="AT42" s="16">
        <f t="shared" si="38"/>
        <v>0</v>
      </c>
      <c r="AU42" s="16">
        <f t="shared" si="38"/>
        <v>0</v>
      </c>
      <c r="AV42" s="16">
        <f t="shared" si="38"/>
        <v>0</v>
      </c>
      <c r="AW42" s="16">
        <f t="shared" si="38"/>
        <v>0</v>
      </c>
      <c r="AX42" s="16">
        <f t="shared" si="38"/>
        <v>0</v>
      </c>
      <c r="AY42" s="16">
        <f t="shared" si="38"/>
        <v>40000</v>
      </c>
      <c r="AZ42" s="16">
        <f t="shared" si="38"/>
        <v>369660</v>
      </c>
      <c r="BA42" s="16">
        <f t="shared" si="38"/>
        <v>1581</v>
      </c>
      <c r="BB42" s="16">
        <f t="shared" si="38"/>
        <v>0</v>
      </c>
      <c r="BC42" s="16">
        <f t="shared" si="38"/>
        <v>0</v>
      </c>
      <c r="BD42" s="16">
        <f t="shared" si="38"/>
        <v>0</v>
      </c>
      <c r="BE42" s="16">
        <f t="shared" si="38"/>
        <v>0</v>
      </c>
      <c r="BF42" s="16">
        <f t="shared" si="38"/>
        <v>0</v>
      </c>
      <c r="BG42" s="16">
        <f t="shared" si="38"/>
        <v>0</v>
      </c>
      <c r="BH42" s="16">
        <f t="shared" si="38"/>
        <v>0</v>
      </c>
      <c r="BI42" s="16">
        <f t="shared" si="38"/>
        <v>0</v>
      </c>
      <c r="BJ42" s="16">
        <f t="shared" si="38"/>
        <v>0</v>
      </c>
      <c r="BK42" s="16">
        <f t="shared" si="38"/>
        <v>0</v>
      </c>
      <c r="BL42" s="16">
        <f t="shared" si="38"/>
        <v>0</v>
      </c>
      <c r="BM42" s="16">
        <f t="shared" si="38"/>
        <v>1581</v>
      </c>
      <c r="BN42" s="16">
        <f t="shared" si="38"/>
        <v>0</v>
      </c>
      <c r="BO42" s="16">
        <f t="shared" si="38"/>
        <v>0</v>
      </c>
      <c r="BP42" s="16">
        <f t="shared" si="38"/>
        <v>0</v>
      </c>
      <c r="BQ42" s="16">
        <f t="shared" ref="BQ42:CU42" si="39">SUM(BQ43:BQ47)</f>
        <v>0</v>
      </c>
      <c r="BR42" s="16">
        <f t="shared" si="39"/>
        <v>0</v>
      </c>
      <c r="BS42" s="16">
        <f t="shared" si="39"/>
        <v>0</v>
      </c>
      <c r="BT42" s="16">
        <f t="shared" si="39"/>
        <v>0</v>
      </c>
      <c r="BU42" s="16">
        <f t="shared" si="39"/>
        <v>0</v>
      </c>
      <c r="BV42" s="16">
        <f t="shared" si="39"/>
        <v>0</v>
      </c>
      <c r="BW42" s="16">
        <f t="shared" si="39"/>
        <v>1581</v>
      </c>
      <c r="BX42" s="16">
        <f t="shared" si="39"/>
        <v>0</v>
      </c>
      <c r="BY42" s="16">
        <f t="shared" si="39"/>
        <v>386868</v>
      </c>
      <c r="BZ42" s="16">
        <f t="shared" si="39"/>
        <v>386868</v>
      </c>
      <c r="CA42" s="16">
        <f t="shared" si="39"/>
        <v>386868</v>
      </c>
      <c r="CB42" s="16">
        <f t="shared" si="39"/>
        <v>0</v>
      </c>
      <c r="CC42" s="16">
        <f t="shared" si="39"/>
        <v>386868</v>
      </c>
      <c r="CD42" s="16">
        <f t="shared" si="39"/>
        <v>0</v>
      </c>
      <c r="CE42" s="16">
        <f t="shared" si="39"/>
        <v>0</v>
      </c>
      <c r="CF42" s="16">
        <f t="shared" si="39"/>
        <v>0</v>
      </c>
      <c r="CG42" s="16">
        <f t="shared" si="39"/>
        <v>0</v>
      </c>
      <c r="CH42" s="16">
        <f t="shared" si="39"/>
        <v>0</v>
      </c>
      <c r="CI42" s="16">
        <f t="shared" ref="CI42" si="40">SUM(CI43:CI47)</f>
        <v>0</v>
      </c>
      <c r="CJ42" s="16">
        <f t="shared" si="39"/>
        <v>0</v>
      </c>
      <c r="CK42" s="16">
        <f t="shared" si="39"/>
        <v>0</v>
      </c>
      <c r="CL42" s="16">
        <f t="shared" si="39"/>
        <v>0</v>
      </c>
      <c r="CM42" s="16">
        <f t="shared" si="39"/>
        <v>0</v>
      </c>
      <c r="CN42" s="16">
        <f t="shared" si="39"/>
        <v>0</v>
      </c>
      <c r="CO42" s="16">
        <f t="shared" si="39"/>
        <v>0</v>
      </c>
      <c r="CP42" s="16">
        <f t="shared" si="39"/>
        <v>0</v>
      </c>
      <c r="CQ42" s="16">
        <f t="shared" si="39"/>
        <v>0</v>
      </c>
      <c r="CR42" s="16">
        <f t="shared" si="39"/>
        <v>0</v>
      </c>
      <c r="CS42" s="16">
        <f t="shared" si="39"/>
        <v>0</v>
      </c>
      <c r="CT42" s="16">
        <f t="shared" si="39"/>
        <v>0</v>
      </c>
      <c r="CU42" s="17">
        <f t="shared" si="39"/>
        <v>0</v>
      </c>
      <c r="CV42" s="38"/>
    </row>
    <row r="43" spans="1:100" ht="15.75" x14ac:dyDescent="0.25">
      <c r="A43" s="13" t="s">
        <v>1</v>
      </c>
      <c r="B43" s="14" t="s">
        <v>1</v>
      </c>
      <c r="C43" s="14" t="s">
        <v>17</v>
      </c>
      <c r="D43" s="30" t="s">
        <v>492</v>
      </c>
      <c r="E43" s="15">
        <f>SUM(F43+BY43+CR43)</f>
        <v>1704703</v>
      </c>
      <c r="F43" s="16">
        <f>SUM(G43+BA43)</f>
        <v>1570401</v>
      </c>
      <c r="G43" s="16">
        <f>SUM(H43+I43+J43+Q43+T43+U43+V43+AE43)</f>
        <v>1570401</v>
      </c>
      <c r="H43" s="16">
        <v>743964</v>
      </c>
      <c r="I43" s="16">
        <v>175748</v>
      </c>
      <c r="J43" s="16">
        <f t="shared" si="7"/>
        <v>98120</v>
      </c>
      <c r="K43" s="16">
        <v>0</v>
      </c>
      <c r="L43" s="16">
        <v>0</v>
      </c>
      <c r="M43" s="16">
        <v>0</v>
      </c>
      <c r="N43" s="16">
        <v>0</v>
      </c>
      <c r="O43" s="16">
        <v>25511</v>
      </c>
      <c r="P43" s="16">
        <f>33163+39446</f>
        <v>72609</v>
      </c>
      <c r="Q43" s="16">
        <f t="shared" si="8"/>
        <v>37548</v>
      </c>
      <c r="R43" s="16">
        <v>0</v>
      </c>
      <c r="S43" s="16">
        <f>150192-112644</f>
        <v>37548</v>
      </c>
      <c r="T43" s="16">
        <v>0</v>
      </c>
      <c r="U43" s="16">
        <v>104374</v>
      </c>
      <c r="V43" s="16">
        <f>SUM(W43:AD43)</f>
        <v>190000</v>
      </c>
      <c r="W43" s="16">
        <v>0</v>
      </c>
      <c r="X43" s="16">
        <v>0</v>
      </c>
      <c r="Y43" s="16">
        <v>10000</v>
      </c>
      <c r="Z43" s="16">
        <v>0</v>
      </c>
      <c r="AA43" s="16">
        <v>0</v>
      </c>
      <c r="AB43" s="16">
        <v>180000</v>
      </c>
      <c r="AC43" s="16">
        <v>0</v>
      </c>
      <c r="AD43" s="16">
        <v>0</v>
      </c>
      <c r="AE43" s="16">
        <f>SUM(AF43:AZ43)</f>
        <v>220647</v>
      </c>
      <c r="AF43" s="16">
        <v>0</v>
      </c>
      <c r="AG43" s="16">
        <v>0</v>
      </c>
      <c r="AH43" s="16">
        <v>0</v>
      </c>
      <c r="AI43" s="16">
        <v>0</v>
      </c>
      <c r="AJ43" s="16">
        <v>1591</v>
      </c>
      <c r="AK43" s="16">
        <v>0</v>
      </c>
      <c r="AL43" s="16">
        <v>0</v>
      </c>
      <c r="AM43" s="16">
        <v>100000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f>0+40000</f>
        <v>40000</v>
      </c>
      <c r="AZ43" s="16">
        <f>68756+10300</f>
        <v>79056</v>
      </c>
      <c r="BA43" s="16">
        <f>SUM(BB43+BF43+BI43+BK43+BM43)</f>
        <v>0</v>
      </c>
      <c r="BB43" s="16">
        <f>SUM(BC43:BE43)</f>
        <v>0</v>
      </c>
      <c r="BC43" s="16">
        <v>0</v>
      </c>
      <c r="BD43" s="16">
        <v>0</v>
      </c>
      <c r="BE43" s="16">
        <v>0</v>
      </c>
      <c r="BF43" s="16">
        <f t="shared" si="9"/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f t="shared" si="10"/>
        <v>0</v>
      </c>
      <c r="BL43" s="16">
        <v>0</v>
      </c>
      <c r="BM43" s="16">
        <f t="shared" si="11"/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f>SUM(BZ43+CQ43)</f>
        <v>134302</v>
      </c>
      <c r="BZ43" s="16">
        <f>SUM(CA43+CD43+CJ43)</f>
        <v>134302</v>
      </c>
      <c r="CA43" s="16">
        <f t="shared" si="12"/>
        <v>134302</v>
      </c>
      <c r="CB43" s="16">
        <v>0</v>
      </c>
      <c r="CC43" s="16">
        <f>111404+22898</f>
        <v>134302</v>
      </c>
      <c r="CD43" s="16">
        <f>SUM(CE43:CH43)</f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f>SUM(CK43:CN43)</f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f t="shared" si="13"/>
        <v>0</v>
      </c>
      <c r="CS43" s="16">
        <f t="shared" si="14"/>
        <v>0</v>
      </c>
      <c r="CT43" s="16">
        <v>0</v>
      </c>
      <c r="CU43" s="17">
        <v>0</v>
      </c>
      <c r="CV43" s="38"/>
    </row>
    <row r="44" spans="1:100" ht="31.5" x14ac:dyDescent="0.25">
      <c r="A44" s="13" t="s">
        <v>1</v>
      </c>
      <c r="B44" s="14" t="s">
        <v>1</v>
      </c>
      <c r="C44" s="14" t="s">
        <v>17</v>
      </c>
      <c r="D44" s="30" t="s">
        <v>491</v>
      </c>
      <c r="E44" s="15">
        <f>SUM(F44+BY44+CR44)</f>
        <v>2763702</v>
      </c>
      <c r="F44" s="16">
        <f>SUM(G44+BA44)</f>
        <v>2718098</v>
      </c>
      <c r="G44" s="16">
        <f>SUM(H44+I44+J44+Q44+T44+U44+V44+AE44)</f>
        <v>2718098</v>
      </c>
      <c r="H44" s="16">
        <f>1180211+71000</f>
        <v>1251211</v>
      </c>
      <c r="I44" s="16">
        <f>295053+17750</f>
        <v>312803</v>
      </c>
      <c r="J44" s="16">
        <f>SUM(K44:P44)</f>
        <v>155461</v>
      </c>
      <c r="K44" s="16">
        <v>0</v>
      </c>
      <c r="L44" s="16">
        <v>0</v>
      </c>
      <c r="M44" s="16">
        <v>0</v>
      </c>
      <c r="N44" s="16">
        <v>0</v>
      </c>
      <c r="O44" s="16">
        <f>64825+25000</f>
        <v>89825</v>
      </c>
      <c r="P44" s="16">
        <v>65636</v>
      </c>
      <c r="Q44" s="16">
        <f>SUM(R44:S44)</f>
        <v>431244</v>
      </c>
      <c r="R44" s="16">
        <v>0</v>
      </c>
      <c r="S44" s="16">
        <v>431244</v>
      </c>
      <c r="T44" s="16">
        <v>0</v>
      </c>
      <c r="U44" s="16">
        <v>15511</v>
      </c>
      <c r="V44" s="16">
        <f>SUM(W44:AD44)</f>
        <v>330132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330132</v>
      </c>
      <c r="AC44" s="16">
        <v>0</v>
      </c>
      <c r="AD44" s="16">
        <v>0</v>
      </c>
      <c r="AE44" s="16">
        <f>SUM(AF44:AZ44)</f>
        <v>221736</v>
      </c>
      <c r="AF44" s="16">
        <v>0</v>
      </c>
      <c r="AG44" s="16">
        <v>2310</v>
      </c>
      <c r="AH44" s="16">
        <v>1549</v>
      </c>
      <c r="AI44" s="16">
        <v>0</v>
      </c>
      <c r="AJ44" s="16">
        <v>1591</v>
      </c>
      <c r="AK44" s="16">
        <v>0</v>
      </c>
      <c r="AL44" s="16">
        <v>11802</v>
      </c>
      <c r="AM44" s="16">
        <v>120000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6">
        <v>7728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6">
        <f>68756+8000</f>
        <v>76756</v>
      </c>
      <c r="BA44" s="16">
        <f>SUM(BB44+BF44+BI44+BK44+BM44)</f>
        <v>0</v>
      </c>
      <c r="BB44" s="16">
        <f>SUM(BC44:BE44)</f>
        <v>0</v>
      </c>
      <c r="BC44" s="16">
        <v>0</v>
      </c>
      <c r="BD44" s="16">
        <v>0</v>
      </c>
      <c r="BE44" s="16">
        <v>0</v>
      </c>
      <c r="BF44" s="16">
        <f>SUM(BG44:BH44)</f>
        <v>0</v>
      </c>
      <c r="BG44" s="16">
        <v>0</v>
      </c>
      <c r="BH44" s="16">
        <v>0</v>
      </c>
      <c r="BI44" s="16">
        <v>0</v>
      </c>
      <c r="BJ44" s="16">
        <v>0</v>
      </c>
      <c r="BK44" s="16">
        <f>SUM(BL44)</f>
        <v>0</v>
      </c>
      <c r="BL44" s="16">
        <v>0</v>
      </c>
      <c r="BM44" s="16">
        <f>SUM(BN44:BX44)</f>
        <v>0</v>
      </c>
      <c r="BN44" s="16">
        <v>0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f>SUM(BZ44+CQ44)</f>
        <v>45604</v>
      </c>
      <c r="BZ44" s="16">
        <f>SUM(CA44+CD44+CJ44)</f>
        <v>45604</v>
      </c>
      <c r="CA44" s="16">
        <f>SUM(CB44:CC44)</f>
        <v>45604</v>
      </c>
      <c r="CB44" s="16">
        <v>0</v>
      </c>
      <c r="CC44" s="16">
        <f>23604+22000</f>
        <v>45604</v>
      </c>
      <c r="CD44" s="16">
        <f>SUM(CE44:CH44)</f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f>SUM(CK44:CN44)</f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f>SUM(CS44)</f>
        <v>0</v>
      </c>
      <c r="CS44" s="16">
        <f>SUM(CT44:CU44)</f>
        <v>0</v>
      </c>
      <c r="CT44" s="16">
        <v>0</v>
      </c>
      <c r="CU44" s="17">
        <v>0</v>
      </c>
      <c r="CV44" s="38"/>
    </row>
    <row r="45" spans="1:100" ht="15.75" x14ac:dyDescent="0.25">
      <c r="A45" s="13" t="s">
        <v>1</v>
      </c>
      <c r="B45" s="14" t="s">
        <v>1</v>
      </c>
      <c r="C45" s="14" t="s">
        <v>17</v>
      </c>
      <c r="D45" s="30" t="s">
        <v>493</v>
      </c>
      <c r="E45" s="15">
        <f>SUM(F45+BY45+CR45)</f>
        <v>217401</v>
      </c>
      <c r="F45" s="16">
        <f>SUM(G45+BA45)</f>
        <v>207498</v>
      </c>
      <c r="G45" s="16">
        <f>SUM(H45+I45+J45+Q45+T45+U45+V45+AE45)</f>
        <v>207498</v>
      </c>
      <c r="H45" s="16">
        <f>71660+71660</f>
        <v>143320</v>
      </c>
      <c r="I45" s="16">
        <f>17033+17033</f>
        <v>34066</v>
      </c>
      <c r="J45" s="16">
        <f t="shared" si="7"/>
        <v>5755</v>
      </c>
      <c r="K45" s="16">
        <v>0</v>
      </c>
      <c r="L45" s="16">
        <v>0</v>
      </c>
      <c r="M45" s="16">
        <v>0</v>
      </c>
      <c r="N45" s="16">
        <v>0</v>
      </c>
      <c r="O45" s="16">
        <v>2551</v>
      </c>
      <c r="P45" s="16">
        <v>3204</v>
      </c>
      <c r="Q45" s="16">
        <f t="shared" si="8"/>
        <v>15019</v>
      </c>
      <c r="R45" s="16">
        <v>0</v>
      </c>
      <c r="S45" s="16">
        <v>15019</v>
      </c>
      <c r="T45" s="16">
        <v>0</v>
      </c>
      <c r="U45" s="16">
        <v>1205</v>
      </c>
      <c r="V45" s="16">
        <f>SUM(W45:AD45)</f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f>SUM(AF45:AZ45)</f>
        <v>8133</v>
      </c>
      <c r="AF45" s="16">
        <v>0</v>
      </c>
      <c r="AG45" s="16">
        <v>457</v>
      </c>
      <c r="AH45" s="16">
        <v>0</v>
      </c>
      <c r="AI45" s="16">
        <v>0</v>
      </c>
      <c r="AJ45" s="16">
        <v>159</v>
      </c>
      <c r="AK45" s="16">
        <v>0</v>
      </c>
      <c r="AL45" s="16">
        <v>641</v>
      </c>
      <c r="AM45" s="16">
        <v>0</v>
      </c>
      <c r="AN45" s="16">
        <v>0</v>
      </c>
      <c r="AO45" s="16">
        <v>0</v>
      </c>
      <c r="AP45" s="16">
        <v>0</v>
      </c>
      <c r="AQ45" s="16">
        <v>0</v>
      </c>
      <c r="AR45" s="16">
        <v>0</v>
      </c>
      <c r="AS45" s="16">
        <v>0</v>
      </c>
      <c r="AT45" s="16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6">
        <v>6876</v>
      </c>
      <c r="BA45" s="16">
        <f>SUM(BB45+BF45+BI45+BK45+BM45)</f>
        <v>0</v>
      </c>
      <c r="BB45" s="16">
        <f>SUM(BC45:BE45)</f>
        <v>0</v>
      </c>
      <c r="BC45" s="16">
        <v>0</v>
      </c>
      <c r="BD45" s="16">
        <v>0</v>
      </c>
      <c r="BE45" s="16">
        <v>0</v>
      </c>
      <c r="BF45" s="16">
        <f t="shared" si="9"/>
        <v>0</v>
      </c>
      <c r="BG45" s="16">
        <v>0</v>
      </c>
      <c r="BH45" s="16">
        <v>0</v>
      </c>
      <c r="BI45" s="16">
        <v>0</v>
      </c>
      <c r="BJ45" s="16">
        <v>0</v>
      </c>
      <c r="BK45" s="16">
        <f t="shared" si="10"/>
        <v>0</v>
      </c>
      <c r="BL45" s="16">
        <v>0</v>
      </c>
      <c r="BM45" s="16">
        <f t="shared" si="11"/>
        <v>0</v>
      </c>
      <c r="BN45" s="16">
        <v>0</v>
      </c>
      <c r="BO45" s="16">
        <v>0</v>
      </c>
      <c r="BP45" s="16">
        <v>0</v>
      </c>
      <c r="BQ45" s="16">
        <v>0</v>
      </c>
      <c r="BR45" s="16">
        <v>0</v>
      </c>
      <c r="BS45" s="16">
        <v>0</v>
      </c>
      <c r="BT45" s="16">
        <v>0</v>
      </c>
      <c r="BU45" s="16">
        <v>0</v>
      </c>
      <c r="BV45" s="16">
        <v>0</v>
      </c>
      <c r="BW45" s="16">
        <v>0</v>
      </c>
      <c r="BX45" s="16">
        <v>0</v>
      </c>
      <c r="BY45" s="16">
        <f>SUM(BZ45+CQ45)</f>
        <v>9903</v>
      </c>
      <c r="BZ45" s="16">
        <f>SUM(CA45+CD45+CJ45)</f>
        <v>9903</v>
      </c>
      <c r="CA45" s="16">
        <f t="shared" si="12"/>
        <v>9903</v>
      </c>
      <c r="CB45" s="16">
        <v>0</v>
      </c>
      <c r="CC45" s="16">
        <v>9903</v>
      </c>
      <c r="CD45" s="16">
        <f>SUM(CE45:CH45)</f>
        <v>0</v>
      </c>
      <c r="CE45" s="16">
        <v>0</v>
      </c>
      <c r="CF45" s="16">
        <v>0</v>
      </c>
      <c r="CG45" s="16">
        <v>0</v>
      </c>
      <c r="CH45" s="16">
        <v>0</v>
      </c>
      <c r="CI45" s="16">
        <v>0</v>
      </c>
      <c r="CJ45" s="16">
        <f>SUM(CK45:CN45)</f>
        <v>0</v>
      </c>
      <c r="CK45" s="16">
        <v>0</v>
      </c>
      <c r="CL45" s="16">
        <v>0</v>
      </c>
      <c r="CM45" s="16">
        <v>0</v>
      </c>
      <c r="CN45" s="16">
        <v>0</v>
      </c>
      <c r="CO45" s="16">
        <v>0</v>
      </c>
      <c r="CP45" s="16">
        <v>0</v>
      </c>
      <c r="CQ45" s="16">
        <v>0</v>
      </c>
      <c r="CR45" s="16">
        <f t="shared" si="13"/>
        <v>0</v>
      </c>
      <c r="CS45" s="16">
        <f t="shared" si="14"/>
        <v>0</v>
      </c>
      <c r="CT45" s="16">
        <v>0</v>
      </c>
      <c r="CU45" s="17">
        <v>0</v>
      </c>
      <c r="CV45" s="38"/>
    </row>
    <row r="46" spans="1:100" ht="15.75" x14ac:dyDescent="0.25">
      <c r="A46" s="13" t="s">
        <v>1</v>
      </c>
      <c r="B46" s="14" t="s">
        <v>1</v>
      </c>
      <c r="C46" s="14" t="s">
        <v>25</v>
      </c>
      <c r="D46" s="30" t="s">
        <v>52</v>
      </c>
      <c r="E46" s="15">
        <f>SUM(F46+BY46+CR46)</f>
        <v>8563342</v>
      </c>
      <c r="F46" s="16">
        <f>SUM(G46+BA46)</f>
        <v>8431755</v>
      </c>
      <c r="G46" s="16">
        <f>SUM(H46+I46+J46+Q46+T46+U46+V46+AE46)</f>
        <v>8430174</v>
      </c>
      <c r="H46" s="16">
        <v>5957760</v>
      </c>
      <c r="I46" s="16">
        <v>1423100</v>
      </c>
      <c r="J46" s="16">
        <f t="shared" si="7"/>
        <v>256337</v>
      </c>
      <c r="K46" s="16">
        <v>0</v>
      </c>
      <c r="L46" s="16">
        <f>90519-90519</f>
        <v>0</v>
      </c>
      <c r="M46" s="16">
        <v>0</v>
      </c>
      <c r="N46" s="16">
        <v>0</v>
      </c>
      <c r="O46" s="16">
        <f>33502+25000+9835</f>
        <v>68337</v>
      </c>
      <c r="P46" s="16">
        <f>141673+223+46104</f>
        <v>188000</v>
      </c>
      <c r="Q46" s="16">
        <f t="shared" si="8"/>
        <v>0</v>
      </c>
      <c r="R46" s="16">
        <v>0</v>
      </c>
      <c r="S46" s="16">
        <v>0</v>
      </c>
      <c r="T46" s="16">
        <v>0</v>
      </c>
      <c r="U46" s="16">
        <f>195026-25146</f>
        <v>169880</v>
      </c>
      <c r="V46" s="16">
        <f>SUM(W46:AD46)</f>
        <v>218185</v>
      </c>
      <c r="W46" s="16">
        <f>97870-9453+21583</f>
        <v>110000</v>
      </c>
      <c r="X46" s="16">
        <v>18837</v>
      </c>
      <c r="Y46" s="16">
        <v>30949</v>
      </c>
      <c r="Z46" s="16">
        <v>4421</v>
      </c>
      <c r="AA46" s="16">
        <f>6259-2718+7000</f>
        <v>10541</v>
      </c>
      <c r="AB46" s="16">
        <f>39067-544</f>
        <v>38523</v>
      </c>
      <c r="AC46" s="16">
        <v>0</v>
      </c>
      <c r="AD46" s="16">
        <f>3811+1103</f>
        <v>4914</v>
      </c>
      <c r="AE46" s="16">
        <f>SUM(AF46:AZ46)</f>
        <v>404912</v>
      </c>
      <c r="AF46" s="16">
        <v>0</v>
      </c>
      <c r="AG46" s="16">
        <f>33037+12549+9414</f>
        <v>55000</v>
      </c>
      <c r="AH46" s="16">
        <f>18114+136388+55498</f>
        <v>210000</v>
      </c>
      <c r="AI46" s="16">
        <v>0</v>
      </c>
      <c r="AJ46" s="16">
        <f>3182+5000+1000</f>
        <v>9182</v>
      </c>
      <c r="AK46" s="16">
        <v>0</v>
      </c>
      <c r="AL46" s="16">
        <f>65794-65794</f>
        <v>0</v>
      </c>
      <c r="AM46" s="16">
        <f>40000-8447+33447</f>
        <v>65000</v>
      </c>
      <c r="AN46" s="16">
        <v>7566</v>
      </c>
      <c r="AO46" s="16">
        <v>0</v>
      </c>
      <c r="AP46" s="16">
        <v>0</v>
      </c>
      <c r="AQ46" s="16">
        <v>0</v>
      </c>
      <c r="AR46" s="16">
        <v>18164</v>
      </c>
      <c r="AS46" s="16">
        <v>0</v>
      </c>
      <c r="AT46" s="16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0</v>
      </c>
      <c r="AZ46" s="16">
        <f>1587+38413</f>
        <v>40000</v>
      </c>
      <c r="BA46" s="16">
        <f>SUM(BB46+BF46+BI46+BJ46+BK46+BM46)</f>
        <v>1581</v>
      </c>
      <c r="BB46" s="16">
        <f>SUM(BC46:BE46)</f>
        <v>0</v>
      </c>
      <c r="BC46" s="16">
        <v>0</v>
      </c>
      <c r="BD46" s="16">
        <v>0</v>
      </c>
      <c r="BE46" s="16">
        <v>0</v>
      </c>
      <c r="BF46" s="16">
        <f t="shared" si="9"/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f t="shared" si="10"/>
        <v>0</v>
      </c>
      <c r="BL46" s="16">
        <v>0</v>
      </c>
      <c r="BM46" s="16">
        <f t="shared" si="11"/>
        <v>1581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f>2684-1103</f>
        <v>1581</v>
      </c>
      <c r="BX46" s="16">
        <v>0</v>
      </c>
      <c r="BY46" s="16">
        <f>SUM(BZ46+CQ46)</f>
        <v>131587</v>
      </c>
      <c r="BZ46" s="16">
        <f>SUM(CA46+CD46+CJ46)</f>
        <v>131587</v>
      </c>
      <c r="CA46" s="16">
        <f t="shared" si="12"/>
        <v>131587</v>
      </c>
      <c r="CB46" s="16">
        <v>0</v>
      </c>
      <c r="CC46" s="16">
        <v>131587</v>
      </c>
      <c r="CD46" s="16">
        <f>SUM(CE46:CH46)</f>
        <v>0</v>
      </c>
      <c r="CE46" s="16">
        <v>0</v>
      </c>
      <c r="CF46" s="16">
        <v>0</v>
      </c>
      <c r="CG46" s="16">
        <v>0</v>
      </c>
      <c r="CH46" s="16">
        <v>0</v>
      </c>
      <c r="CI46" s="16">
        <v>0</v>
      </c>
      <c r="CJ46" s="16">
        <f>SUM(CK46:CN46)</f>
        <v>0</v>
      </c>
      <c r="CK46" s="16">
        <v>0</v>
      </c>
      <c r="CL46" s="16">
        <v>0</v>
      </c>
      <c r="CM46" s="16">
        <v>0</v>
      </c>
      <c r="CN46" s="16">
        <v>0</v>
      </c>
      <c r="CO46" s="16">
        <v>0</v>
      </c>
      <c r="CP46" s="16">
        <v>0</v>
      </c>
      <c r="CQ46" s="16">
        <v>0</v>
      </c>
      <c r="CR46" s="16">
        <f t="shared" si="13"/>
        <v>0</v>
      </c>
      <c r="CS46" s="16">
        <f t="shared" si="14"/>
        <v>0</v>
      </c>
      <c r="CT46" s="16">
        <v>0</v>
      </c>
      <c r="CU46" s="17">
        <v>0</v>
      </c>
      <c r="CV46" s="38"/>
    </row>
    <row r="47" spans="1:100" ht="31.5" x14ac:dyDescent="0.25">
      <c r="A47" s="13" t="s">
        <v>1</v>
      </c>
      <c r="B47" s="14" t="s">
        <v>1</v>
      </c>
      <c r="C47" s="14" t="s">
        <v>29</v>
      </c>
      <c r="D47" s="30" t="s">
        <v>53</v>
      </c>
      <c r="E47" s="15">
        <f>SUM(F47+BY47+CR47)</f>
        <v>5190325</v>
      </c>
      <c r="F47" s="16">
        <f>SUM(G47+BA47)</f>
        <v>5124853</v>
      </c>
      <c r="G47" s="16">
        <f>SUM(H47+I47+J47+Q47+T47+U47+V47+AE47)</f>
        <v>5124853</v>
      </c>
      <c r="H47" s="16">
        <f>3299880+238493</f>
        <v>3538373</v>
      </c>
      <c r="I47" s="16">
        <f>804640+56046</f>
        <v>860686</v>
      </c>
      <c r="J47" s="16">
        <f t="shared" si="7"/>
        <v>240637</v>
      </c>
      <c r="K47" s="16">
        <v>0</v>
      </c>
      <c r="L47" s="16">
        <v>0</v>
      </c>
      <c r="M47" s="16">
        <v>0</v>
      </c>
      <c r="N47" s="16">
        <v>0</v>
      </c>
      <c r="O47" s="16">
        <v>153096</v>
      </c>
      <c r="P47" s="16">
        <v>87541</v>
      </c>
      <c r="Q47" s="16">
        <f t="shared" si="8"/>
        <v>934</v>
      </c>
      <c r="R47" s="16">
        <v>934</v>
      </c>
      <c r="S47" s="16">
        <v>0</v>
      </c>
      <c r="T47" s="16">
        <v>0</v>
      </c>
      <c r="U47" s="16">
        <v>149066</v>
      </c>
      <c r="V47" s="16">
        <f>SUM(W47:AD47)</f>
        <v>70393</v>
      </c>
      <c r="W47" s="16">
        <v>0</v>
      </c>
      <c r="X47" s="16">
        <v>23708</v>
      </c>
      <c r="Y47" s="16">
        <v>7194</v>
      </c>
      <c r="Z47" s="16">
        <v>1288</v>
      </c>
      <c r="AA47" s="16">
        <v>1731</v>
      </c>
      <c r="AB47" s="16">
        <v>36161</v>
      </c>
      <c r="AC47" s="16">
        <v>0</v>
      </c>
      <c r="AD47" s="16">
        <f>0+311</f>
        <v>311</v>
      </c>
      <c r="AE47" s="16">
        <f>SUM(AF47:AZ47)</f>
        <v>264764</v>
      </c>
      <c r="AF47" s="16">
        <v>0</v>
      </c>
      <c r="AG47" s="16">
        <v>44827</v>
      </c>
      <c r="AH47" s="16">
        <v>9091</v>
      </c>
      <c r="AI47" s="16">
        <v>0</v>
      </c>
      <c r="AJ47" s="16">
        <v>11138</v>
      </c>
      <c r="AK47" s="16">
        <v>0</v>
      </c>
      <c r="AL47" s="16">
        <v>32736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6">
        <v>166972</v>
      </c>
      <c r="BA47" s="16">
        <f>SUM(BB47+BF47+BI47+BJ47+BK47+BM47)</f>
        <v>0</v>
      </c>
      <c r="BB47" s="16">
        <f>SUM(BC47:BE47)</f>
        <v>0</v>
      </c>
      <c r="BC47" s="16">
        <v>0</v>
      </c>
      <c r="BD47" s="16">
        <v>0</v>
      </c>
      <c r="BE47" s="16">
        <v>0</v>
      </c>
      <c r="BF47" s="16">
        <f t="shared" si="9"/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f t="shared" si="10"/>
        <v>0</v>
      </c>
      <c r="BL47" s="16">
        <v>0</v>
      </c>
      <c r="BM47" s="16">
        <f t="shared" si="11"/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f>SUM(BZ47+CQ47)</f>
        <v>65472</v>
      </c>
      <c r="BZ47" s="16">
        <f>SUM(CA47+CD47+CJ47)</f>
        <v>65472</v>
      </c>
      <c r="CA47" s="16">
        <f t="shared" si="12"/>
        <v>65472</v>
      </c>
      <c r="CB47" s="16">
        <v>0</v>
      </c>
      <c r="CC47" s="16">
        <v>65472</v>
      </c>
      <c r="CD47" s="16">
        <f>SUM(CE47:CH47)</f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f>SUM(CK47:CN47)</f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f t="shared" si="13"/>
        <v>0</v>
      </c>
      <c r="CS47" s="16">
        <f t="shared" si="14"/>
        <v>0</v>
      </c>
      <c r="CT47" s="16">
        <v>0</v>
      </c>
      <c r="CU47" s="17">
        <v>0</v>
      </c>
      <c r="CV47" s="38"/>
    </row>
    <row r="48" spans="1:100" ht="15.75" x14ac:dyDescent="0.25">
      <c r="A48" s="13" t="s">
        <v>3</v>
      </c>
      <c r="B48" s="14" t="s">
        <v>54</v>
      </c>
      <c r="C48" s="14" t="s">
        <v>1</v>
      </c>
      <c r="D48" s="30" t="s">
        <v>55</v>
      </c>
      <c r="E48" s="15">
        <f>SUM(E49)</f>
        <v>2882955</v>
      </c>
      <c r="F48" s="16">
        <f t="shared" ref="F48:BS48" si="41">SUM(F49)</f>
        <v>2841243</v>
      </c>
      <c r="G48" s="16">
        <f t="shared" si="41"/>
        <v>2841243</v>
      </c>
      <c r="H48" s="16">
        <f t="shared" si="41"/>
        <v>2163119</v>
      </c>
      <c r="I48" s="16">
        <f t="shared" si="41"/>
        <v>519380</v>
      </c>
      <c r="J48" s="16">
        <f t="shared" si="41"/>
        <v>9514</v>
      </c>
      <c r="K48" s="16">
        <f t="shared" si="41"/>
        <v>0</v>
      </c>
      <c r="L48" s="16">
        <f t="shared" si="41"/>
        <v>0</v>
      </c>
      <c r="M48" s="16">
        <f t="shared" si="41"/>
        <v>0</v>
      </c>
      <c r="N48" s="16">
        <f t="shared" si="41"/>
        <v>0</v>
      </c>
      <c r="O48" s="16">
        <f t="shared" si="41"/>
        <v>0</v>
      </c>
      <c r="P48" s="16">
        <f t="shared" si="41"/>
        <v>9514</v>
      </c>
      <c r="Q48" s="16">
        <f t="shared" si="41"/>
        <v>2622</v>
      </c>
      <c r="R48" s="16">
        <f t="shared" si="41"/>
        <v>2622</v>
      </c>
      <c r="S48" s="16">
        <f t="shared" si="41"/>
        <v>0</v>
      </c>
      <c r="T48" s="16">
        <f t="shared" si="41"/>
        <v>0</v>
      </c>
      <c r="U48" s="16">
        <f t="shared" si="41"/>
        <v>92704</v>
      </c>
      <c r="V48" s="16">
        <f t="shared" si="41"/>
        <v>18668</v>
      </c>
      <c r="W48" s="16">
        <f t="shared" si="41"/>
        <v>3189</v>
      </c>
      <c r="X48" s="16">
        <f t="shared" si="41"/>
        <v>5925</v>
      </c>
      <c r="Y48" s="16">
        <f t="shared" si="41"/>
        <v>4381</v>
      </c>
      <c r="Z48" s="16">
        <f t="shared" si="41"/>
        <v>1102</v>
      </c>
      <c r="AA48" s="16">
        <f t="shared" si="41"/>
        <v>4071</v>
      </c>
      <c r="AB48" s="16">
        <f t="shared" si="41"/>
        <v>0</v>
      </c>
      <c r="AC48" s="16">
        <f t="shared" si="41"/>
        <v>0</v>
      </c>
      <c r="AD48" s="16">
        <f t="shared" si="41"/>
        <v>0</v>
      </c>
      <c r="AE48" s="16">
        <f t="shared" si="41"/>
        <v>35236</v>
      </c>
      <c r="AF48" s="16">
        <f t="shared" si="41"/>
        <v>0</v>
      </c>
      <c r="AG48" s="16">
        <f t="shared" si="41"/>
        <v>1242</v>
      </c>
      <c r="AH48" s="16">
        <f t="shared" si="41"/>
        <v>2000</v>
      </c>
      <c r="AI48" s="16">
        <f t="shared" si="41"/>
        <v>0</v>
      </c>
      <c r="AJ48" s="16">
        <f t="shared" si="41"/>
        <v>11138</v>
      </c>
      <c r="AK48" s="16">
        <f t="shared" si="41"/>
        <v>0</v>
      </c>
      <c r="AL48" s="16">
        <f t="shared" si="41"/>
        <v>20856</v>
      </c>
      <c r="AM48" s="16">
        <f t="shared" si="41"/>
        <v>0</v>
      </c>
      <c r="AN48" s="16">
        <f t="shared" si="41"/>
        <v>0</v>
      </c>
      <c r="AO48" s="16">
        <f t="shared" si="41"/>
        <v>0</v>
      </c>
      <c r="AP48" s="16">
        <f t="shared" si="41"/>
        <v>0</v>
      </c>
      <c r="AQ48" s="16">
        <f t="shared" si="41"/>
        <v>0</v>
      </c>
      <c r="AR48" s="16">
        <f t="shared" si="41"/>
        <v>0</v>
      </c>
      <c r="AS48" s="16">
        <f t="shared" si="41"/>
        <v>0</v>
      </c>
      <c r="AT48" s="16">
        <f t="shared" si="41"/>
        <v>0</v>
      </c>
      <c r="AU48" s="16">
        <f t="shared" si="41"/>
        <v>0</v>
      </c>
      <c r="AV48" s="16">
        <f t="shared" si="41"/>
        <v>0</v>
      </c>
      <c r="AW48" s="16">
        <f t="shared" si="41"/>
        <v>0</v>
      </c>
      <c r="AX48" s="16">
        <f t="shared" si="41"/>
        <v>0</v>
      </c>
      <c r="AY48" s="16">
        <f t="shared" si="41"/>
        <v>0</v>
      </c>
      <c r="AZ48" s="16">
        <f t="shared" si="41"/>
        <v>0</v>
      </c>
      <c r="BA48" s="16">
        <f t="shared" si="41"/>
        <v>0</v>
      </c>
      <c r="BB48" s="16">
        <f t="shared" si="41"/>
        <v>0</v>
      </c>
      <c r="BC48" s="16">
        <f t="shared" si="41"/>
        <v>0</v>
      </c>
      <c r="BD48" s="16">
        <f t="shared" si="41"/>
        <v>0</v>
      </c>
      <c r="BE48" s="16">
        <f t="shared" si="41"/>
        <v>0</v>
      </c>
      <c r="BF48" s="16">
        <f t="shared" si="41"/>
        <v>0</v>
      </c>
      <c r="BG48" s="16">
        <f t="shared" si="41"/>
        <v>0</v>
      </c>
      <c r="BH48" s="16">
        <f t="shared" si="41"/>
        <v>0</v>
      </c>
      <c r="BI48" s="16">
        <f t="shared" si="41"/>
        <v>0</v>
      </c>
      <c r="BJ48" s="16">
        <f t="shared" si="41"/>
        <v>0</v>
      </c>
      <c r="BK48" s="16">
        <f t="shared" si="41"/>
        <v>0</v>
      </c>
      <c r="BL48" s="16">
        <f t="shared" si="41"/>
        <v>0</v>
      </c>
      <c r="BM48" s="16">
        <f t="shared" si="41"/>
        <v>0</v>
      </c>
      <c r="BN48" s="16">
        <f t="shared" si="41"/>
        <v>0</v>
      </c>
      <c r="BO48" s="16">
        <f t="shared" si="41"/>
        <v>0</v>
      </c>
      <c r="BP48" s="16">
        <f t="shared" si="41"/>
        <v>0</v>
      </c>
      <c r="BQ48" s="16">
        <f t="shared" si="41"/>
        <v>0</v>
      </c>
      <c r="BR48" s="16">
        <f t="shared" si="41"/>
        <v>0</v>
      </c>
      <c r="BS48" s="16">
        <f t="shared" si="41"/>
        <v>0</v>
      </c>
      <c r="BT48" s="16">
        <f t="shared" ref="BT48:CU48" si="42">SUM(BT49)</f>
        <v>0</v>
      </c>
      <c r="BU48" s="16">
        <f t="shared" si="42"/>
        <v>0</v>
      </c>
      <c r="BV48" s="16">
        <f t="shared" si="42"/>
        <v>0</v>
      </c>
      <c r="BW48" s="16">
        <f t="shared" si="42"/>
        <v>0</v>
      </c>
      <c r="BX48" s="16">
        <f t="shared" si="42"/>
        <v>0</v>
      </c>
      <c r="BY48" s="16">
        <f t="shared" si="42"/>
        <v>41712</v>
      </c>
      <c r="BZ48" s="16">
        <f t="shared" si="42"/>
        <v>41712</v>
      </c>
      <c r="CA48" s="16">
        <f t="shared" si="42"/>
        <v>41712</v>
      </c>
      <c r="CB48" s="16">
        <f t="shared" si="42"/>
        <v>0</v>
      </c>
      <c r="CC48" s="16">
        <f t="shared" si="42"/>
        <v>41712</v>
      </c>
      <c r="CD48" s="16">
        <f t="shared" si="42"/>
        <v>0</v>
      </c>
      <c r="CE48" s="16">
        <f t="shared" si="42"/>
        <v>0</v>
      </c>
      <c r="CF48" s="16">
        <f t="shared" si="42"/>
        <v>0</v>
      </c>
      <c r="CG48" s="16">
        <f t="shared" si="42"/>
        <v>0</v>
      </c>
      <c r="CH48" s="16">
        <f t="shared" si="42"/>
        <v>0</v>
      </c>
      <c r="CI48" s="16">
        <f t="shared" si="42"/>
        <v>0</v>
      </c>
      <c r="CJ48" s="16">
        <f t="shared" si="42"/>
        <v>0</v>
      </c>
      <c r="CK48" s="16">
        <f t="shared" si="42"/>
        <v>0</v>
      </c>
      <c r="CL48" s="16">
        <f t="shared" si="42"/>
        <v>0</v>
      </c>
      <c r="CM48" s="16">
        <f t="shared" si="42"/>
        <v>0</v>
      </c>
      <c r="CN48" s="16">
        <f t="shared" si="42"/>
        <v>0</v>
      </c>
      <c r="CO48" s="16">
        <f t="shared" si="42"/>
        <v>0</v>
      </c>
      <c r="CP48" s="16">
        <f t="shared" si="42"/>
        <v>0</v>
      </c>
      <c r="CQ48" s="16">
        <f t="shared" si="42"/>
        <v>0</v>
      </c>
      <c r="CR48" s="16">
        <f t="shared" si="42"/>
        <v>0</v>
      </c>
      <c r="CS48" s="16">
        <f t="shared" si="42"/>
        <v>0</v>
      </c>
      <c r="CT48" s="16">
        <f t="shared" si="42"/>
        <v>0</v>
      </c>
      <c r="CU48" s="17">
        <f t="shared" si="42"/>
        <v>0</v>
      </c>
      <c r="CV48" s="38"/>
    </row>
    <row r="49" spans="1:100" ht="31.5" x14ac:dyDescent="0.25">
      <c r="A49" s="13" t="s">
        <v>1</v>
      </c>
      <c r="B49" s="14" t="s">
        <v>1</v>
      </c>
      <c r="C49" s="14" t="s">
        <v>45</v>
      </c>
      <c r="D49" s="30" t="s">
        <v>56</v>
      </c>
      <c r="E49" s="15">
        <f>SUM(F49+BY49+CR49)</f>
        <v>2882955</v>
      </c>
      <c r="F49" s="16">
        <f>SUM(G49+BA49)</f>
        <v>2841243</v>
      </c>
      <c r="G49" s="16">
        <f>SUM(H49+I49+J49+Q49+T49+U49+V49+AE49)</f>
        <v>2841243</v>
      </c>
      <c r="H49" s="16">
        <v>2163119</v>
      </c>
      <c r="I49" s="16">
        <v>519380</v>
      </c>
      <c r="J49" s="16">
        <f t="shared" si="7"/>
        <v>9514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9514</v>
      </c>
      <c r="Q49" s="16">
        <f t="shared" si="8"/>
        <v>2622</v>
      </c>
      <c r="R49" s="16">
        <v>2622</v>
      </c>
      <c r="S49" s="16">
        <v>0</v>
      </c>
      <c r="T49" s="16">
        <v>0</v>
      </c>
      <c r="U49" s="16">
        <f>103667-10963</f>
        <v>92704</v>
      </c>
      <c r="V49" s="16">
        <f>SUM(W49:AD49)</f>
        <v>18668</v>
      </c>
      <c r="W49" s="16">
        <v>3189</v>
      </c>
      <c r="X49" s="16">
        <v>5925</v>
      </c>
      <c r="Y49" s="16">
        <v>4381</v>
      </c>
      <c r="Z49" s="16">
        <v>1102</v>
      </c>
      <c r="AA49" s="16">
        <v>4071</v>
      </c>
      <c r="AB49" s="16">
        <v>0</v>
      </c>
      <c r="AC49" s="16">
        <v>0</v>
      </c>
      <c r="AD49" s="16">
        <v>0</v>
      </c>
      <c r="AE49" s="16">
        <f>SUM(AF49:AZ49)</f>
        <v>35236</v>
      </c>
      <c r="AF49" s="16">
        <v>0</v>
      </c>
      <c r="AG49" s="16">
        <v>1242</v>
      </c>
      <c r="AH49" s="16">
        <v>2000</v>
      </c>
      <c r="AI49" s="16">
        <v>0</v>
      </c>
      <c r="AJ49" s="16">
        <v>11138</v>
      </c>
      <c r="AK49" s="16">
        <v>0</v>
      </c>
      <c r="AL49" s="16">
        <v>20856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f>SUM(BB49+BF49+BI49+BJ49+BK49+BM49)</f>
        <v>0</v>
      </c>
      <c r="BB49" s="16">
        <f>SUM(BC49:BE49)</f>
        <v>0</v>
      </c>
      <c r="BC49" s="16">
        <v>0</v>
      </c>
      <c r="BD49" s="16">
        <v>0</v>
      </c>
      <c r="BE49" s="16">
        <v>0</v>
      </c>
      <c r="BF49" s="16">
        <f t="shared" si="9"/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f t="shared" si="10"/>
        <v>0</v>
      </c>
      <c r="BL49" s="16">
        <v>0</v>
      </c>
      <c r="BM49" s="16">
        <f t="shared" si="11"/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f>SUM(BZ49+CQ49)</f>
        <v>41712</v>
      </c>
      <c r="BZ49" s="16">
        <f>SUM(CA49+CD49+CJ49)</f>
        <v>41712</v>
      </c>
      <c r="CA49" s="16">
        <f t="shared" si="12"/>
        <v>41712</v>
      </c>
      <c r="CB49" s="16">
        <v>0</v>
      </c>
      <c r="CC49" s="16">
        <v>41712</v>
      </c>
      <c r="CD49" s="16">
        <f>SUM(CE49:CH49)</f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f>SUM(CK49:CN49)</f>
        <v>0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0</v>
      </c>
      <c r="CQ49" s="16">
        <v>0</v>
      </c>
      <c r="CR49" s="16">
        <f t="shared" si="13"/>
        <v>0</v>
      </c>
      <c r="CS49" s="16">
        <f t="shared" si="14"/>
        <v>0</v>
      </c>
      <c r="CT49" s="16">
        <v>0</v>
      </c>
      <c r="CU49" s="17">
        <v>0</v>
      </c>
      <c r="CV49" s="38"/>
    </row>
    <row r="50" spans="1:100" ht="15.75" x14ac:dyDescent="0.25">
      <c r="A50" s="13" t="s">
        <v>3</v>
      </c>
      <c r="B50" s="14" t="s">
        <v>57</v>
      </c>
      <c r="C50" s="14" t="s">
        <v>1</v>
      </c>
      <c r="D50" s="30" t="s">
        <v>58</v>
      </c>
      <c r="E50" s="15">
        <f t="shared" ref="E50:AJ50" si="43">SUM(E51)</f>
        <v>9962041</v>
      </c>
      <c r="F50" s="16">
        <f t="shared" si="43"/>
        <v>9144636</v>
      </c>
      <c r="G50" s="16">
        <f t="shared" si="43"/>
        <v>9127000</v>
      </c>
      <c r="H50" s="16">
        <f t="shared" si="43"/>
        <v>5122823</v>
      </c>
      <c r="I50" s="16">
        <f t="shared" si="43"/>
        <v>1315145</v>
      </c>
      <c r="J50" s="16">
        <f t="shared" si="43"/>
        <v>462331</v>
      </c>
      <c r="K50" s="16">
        <f t="shared" si="43"/>
        <v>0</v>
      </c>
      <c r="L50" s="16">
        <f t="shared" si="43"/>
        <v>0</v>
      </c>
      <c r="M50" s="16">
        <f t="shared" si="43"/>
        <v>0</v>
      </c>
      <c r="N50" s="16">
        <f t="shared" si="43"/>
        <v>0</v>
      </c>
      <c r="O50" s="16">
        <f t="shared" si="43"/>
        <v>300000</v>
      </c>
      <c r="P50" s="16">
        <f t="shared" si="43"/>
        <v>162331</v>
      </c>
      <c r="Q50" s="16">
        <f t="shared" si="43"/>
        <v>460994</v>
      </c>
      <c r="R50" s="16">
        <f t="shared" si="43"/>
        <v>0</v>
      </c>
      <c r="S50" s="16">
        <f t="shared" si="43"/>
        <v>460994</v>
      </c>
      <c r="T50" s="16">
        <f t="shared" si="43"/>
        <v>0</v>
      </c>
      <c r="U50" s="16">
        <f t="shared" si="43"/>
        <v>463997</v>
      </c>
      <c r="V50" s="16">
        <f t="shared" si="43"/>
        <v>530007</v>
      </c>
      <c r="W50" s="16">
        <f t="shared" si="43"/>
        <v>347152</v>
      </c>
      <c r="X50" s="16">
        <f t="shared" si="43"/>
        <v>85862</v>
      </c>
      <c r="Y50" s="16">
        <f t="shared" si="43"/>
        <v>69707</v>
      </c>
      <c r="Z50" s="16">
        <f t="shared" si="43"/>
        <v>14243</v>
      </c>
      <c r="AA50" s="16">
        <f t="shared" si="43"/>
        <v>13043</v>
      </c>
      <c r="AB50" s="16">
        <f t="shared" si="43"/>
        <v>0</v>
      </c>
      <c r="AC50" s="16">
        <f t="shared" si="43"/>
        <v>0</v>
      </c>
      <c r="AD50" s="16">
        <f t="shared" si="43"/>
        <v>0</v>
      </c>
      <c r="AE50" s="16">
        <f t="shared" si="43"/>
        <v>771703</v>
      </c>
      <c r="AF50" s="16">
        <f t="shared" si="43"/>
        <v>0</v>
      </c>
      <c r="AG50" s="16">
        <f t="shared" si="43"/>
        <v>27183</v>
      </c>
      <c r="AH50" s="16">
        <f t="shared" si="43"/>
        <v>61483</v>
      </c>
      <c r="AI50" s="16">
        <f t="shared" si="43"/>
        <v>0</v>
      </c>
      <c r="AJ50" s="16">
        <f t="shared" si="43"/>
        <v>1591</v>
      </c>
      <c r="AK50" s="16">
        <f t="shared" ref="AK50:BR50" si="44">SUM(AK51)</f>
        <v>20166</v>
      </c>
      <c r="AL50" s="16">
        <f t="shared" si="44"/>
        <v>46750</v>
      </c>
      <c r="AM50" s="16">
        <f t="shared" si="44"/>
        <v>0</v>
      </c>
      <c r="AN50" s="16">
        <f t="shared" si="44"/>
        <v>277213</v>
      </c>
      <c r="AO50" s="16">
        <f t="shared" si="44"/>
        <v>0</v>
      </c>
      <c r="AP50" s="16">
        <f t="shared" si="44"/>
        <v>0</v>
      </c>
      <c r="AQ50" s="16">
        <f t="shared" si="44"/>
        <v>0</v>
      </c>
      <c r="AR50" s="16">
        <f t="shared" si="44"/>
        <v>0</v>
      </c>
      <c r="AS50" s="16">
        <f t="shared" si="44"/>
        <v>14122</v>
      </c>
      <c r="AT50" s="16">
        <f t="shared" si="44"/>
        <v>0</v>
      </c>
      <c r="AU50" s="16">
        <f t="shared" si="44"/>
        <v>0</v>
      </c>
      <c r="AV50" s="16">
        <f t="shared" si="44"/>
        <v>0</v>
      </c>
      <c r="AW50" s="16">
        <f t="shared" si="44"/>
        <v>0</v>
      </c>
      <c r="AX50" s="16">
        <f t="shared" si="44"/>
        <v>0</v>
      </c>
      <c r="AY50" s="16">
        <f t="shared" si="44"/>
        <v>3660</v>
      </c>
      <c r="AZ50" s="16">
        <f t="shared" si="44"/>
        <v>319535</v>
      </c>
      <c r="BA50" s="16">
        <f t="shared" si="44"/>
        <v>17636</v>
      </c>
      <c r="BB50" s="16">
        <f t="shared" si="44"/>
        <v>0</v>
      </c>
      <c r="BC50" s="16">
        <f t="shared" si="44"/>
        <v>0</v>
      </c>
      <c r="BD50" s="16">
        <f t="shared" si="44"/>
        <v>0</v>
      </c>
      <c r="BE50" s="16">
        <f t="shared" si="44"/>
        <v>0</v>
      </c>
      <c r="BF50" s="16">
        <f t="shared" si="44"/>
        <v>0</v>
      </c>
      <c r="BG50" s="16">
        <f t="shared" si="44"/>
        <v>0</v>
      </c>
      <c r="BH50" s="16">
        <f t="shared" si="44"/>
        <v>0</v>
      </c>
      <c r="BI50" s="16">
        <f t="shared" si="44"/>
        <v>0</v>
      </c>
      <c r="BJ50" s="16">
        <f t="shared" si="44"/>
        <v>0</v>
      </c>
      <c r="BK50" s="16">
        <f t="shared" si="44"/>
        <v>0</v>
      </c>
      <c r="BL50" s="16">
        <f t="shared" si="44"/>
        <v>0</v>
      </c>
      <c r="BM50" s="16">
        <f t="shared" si="44"/>
        <v>17636</v>
      </c>
      <c r="BN50" s="16">
        <f t="shared" si="44"/>
        <v>0</v>
      </c>
      <c r="BO50" s="16">
        <f t="shared" si="44"/>
        <v>0</v>
      </c>
      <c r="BP50" s="16">
        <f t="shared" si="44"/>
        <v>0</v>
      </c>
      <c r="BQ50" s="16">
        <f t="shared" si="44"/>
        <v>0</v>
      </c>
      <c r="BR50" s="16">
        <f t="shared" si="44"/>
        <v>0</v>
      </c>
      <c r="BS50" s="16">
        <f t="shared" ref="BS50:CU50" si="45">SUM(BS51)</f>
        <v>0</v>
      </c>
      <c r="BT50" s="16">
        <f t="shared" si="45"/>
        <v>0</v>
      </c>
      <c r="BU50" s="16">
        <f t="shared" si="45"/>
        <v>0</v>
      </c>
      <c r="BV50" s="16">
        <f t="shared" si="45"/>
        <v>0</v>
      </c>
      <c r="BW50" s="16">
        <f t="shared" si="45"/>
        <v>17636</v>
      </c>
      <c r="BX50" s="16">
        <f t="shared" si="45"/>
        <v>0</v>
      </c>
      <c r="BY50" s="16">
        <f t="shared" si="45"/>
        <v>817405</v>
      </c>
      <c r="BZ50" s="16">
        <f t="shared" si="45"/>
        <v>817405</v>
      </c>
      <c r="CA50" s="16">
        <f t="shared" si="45"/>
        <v>93500</v>
      </c>
      <c r="CB50" s="16">
        <f t="shared" si="45"/>
        <v>0</v>
      </c>
      <c r="CC50" s="16">
        <f t="shared" si="45"/>
        <v>93500</v>
      </c>
      <c r="CD50" s="16">
        <f t="shared" si="45"/>
        <v>0</v>
      </c>
      <c r="CE50" s="16">
        <f t="shared" si="45"/>
        <v>0</v>
      </c>
      <c r="CF50" s="16">
        <f t="shared" si="45"/>
        <v>0</v>
      </c>
      <c r="CG50" s="16">
        <f t="shared" si="45"/>
        <v>0</v>
      </c>
      <c r="CH50" s="16">
        <f t="shared" si="45"/>
        <v>0</v>
      </c>
      <c r="CI50" s="16">
        <f t="shared" si="45"/>
        <v>0</v>
      </c>
      <c r="CJ50" s="16">
        <f t="shared" si="45"/>
        <v>723905</v>
      </c>
      <c r="CK50" s="16">
        <f t="shared" si="45"/>
        <v>0</v>
      </c>
      <c r="CL50" s="16">
        <f t="shared" si="45"/>
        <v>0</v>
      </c>
      <c r="CM50" s="16">
        <f t="shared" si="45"/>
        <v>723905</v>
      </c>
      <c r="CN50" s="16">
        <f t="shared" si="45"/>
        <v>0</v>
      </c>
      <c r="CO50" s="16">
        <f t="shared" si="45"/>
        <v>0</v>
      </c>
      <c r="CP50" s="16">
        <f t="shared" si="45"/>
        <v>0</v>
      </c>
      <c r="CQ50" s="16">
        <f t="shared" si="45"/>
        <v>0</v>
      </c>
      <c r="CR50" s="16">
        <f t="shared" si="45"/>
        <v>0</v>
      </c>
      <c r="CS50" s="16">
        <f t="shared" si="45"/>
        <v>0</v>
      </c>
      <c r="CT50" s="16">
        <f t="shared" si="45"/>
        <v>0</v>
      </c>
      <c r="CU50" s="17">
        <f t="shared" si="45"/>
        <v>0</v>
      </c>
      <c r="CV50" s="38"/>
    </row>
    <row r="51" spans="1:100" ht="15.75" x14ac:dyDescent="0.25">
      <c r="A51" s="13" t="s">
        <v>1</v>
      </c>
      <c r="B51" s="14" t="s">
        <v>1</v>
      </c>
      <c r="C51" s="14" t="s">
        <v>59</v>
      </c>
      <c r="D51" s="30" t="s">
        <v>60</v>
      </c>
      <c r="E51" s="15">
        <f>SUM(F51+BY51+CR51)</f>
        <v>9962041</v>
      </c>
      <c r="F51" s="16">
        <f>SUM(G51+BA51)</f>
        <v>9144636</v>
      </c>
      <c r="G51" s="16">
        <f>SUM(H51+I51+J51+Q51+T51+U51+V51+AE51)</f>
        <v>9127000</v>
      </c>
      <c r="H51" s="16">
        <f>4674986+447837</f>
        <v>5122823</v>
      </c>
      <c r="I51" s="16">
        <f>1168746+146399</f>
        <v>1315145</v>
      </c>
      <c r="J51" s="16">
        <f t="shared" si="7"/>
        <v>462331</v>
      </c>
      <c r="K51" s="16">
        <v>0</v>
      </c>
      <c r="L51" s="16">
        <v>0</v>
      </c>
      <c r="M51" s="16">
        <v>0</v>
      </c>
      <c r="N51" s="16">
        <v>0</v>
      </c>
      <c r="O51" s="16">
        <v>300000</v>
      </c>
      <c r="P51" s="16">
        <v>162331</v>
      </c>
      <c r="Q51" s="16">
        <f t="shared" si="8"/>
        <v>460994</v>
      </c>
      <c r="R51" s="16">
        <v>0</v>
      </c>
      <c r="S51" s="16">
        <v>460994</v>
      </c>
      <c r="T51" s="16">
        <v>0</v>
      </c>
      <c r="U51" s="16">
        <f>391832+72165</f>
        <v>463997</v>
      </c>
      <c r="V51" s="16">
        <f>SUM(W51:AD51)</f>
        <v>530007</v>
      </c>
      <c r="W51" s="16">
        <f>25450+294874+23811+3017</f>
        <v>347152</v>
      </c>
      <c r="X51" s="16">
        <v>85862</v>
      </c>
      <c r="Y51" s="16">
        <v>69707</v>
      </c>
      <c r="Z51" s="16">
        <v>14243</v>
      </c>
      <c r="AA51" s="16">
        <v>13043</v>
      </c>
      <c r="AB51" s="16">
        <v>0</v>
      </c>
      <c r="AC51" s="16">
        <v>0</v>
      </c>
      <c r="AD51" s="16">
        <v>0</v>
      </c>
      <c r="AE51" s="16">
        <f>SUM(AF51:AZ51)</f>
        <v>771703</v>
      </c>
      <c r="AF51" s="16">
        <v>0</v>
      </c>
      <c r="AG51" s="16">
        <f>20950+6233</f>
        <v>27183</v>
      </c>
      <c r="AH51" s="16">
        <f>37672+26828-3017</f>
        <v>61483</v>
      </c>
      <c r="AI51" s="16">
        <v>0</v>
      </c>
      <c r="AJ51" s="16">
        <v>1591</v>
      </c>
      <c r="AK51" s="16">
        <v>20166</v>
      </c>
      <c r="AL51" s="16">
        <v>46750</v>
      </c>
      <c r="AM51" s="16">
        <v>0</v>
      </c>
      <c r="AN51" s="16">
        <f>237315+39898</f>
        <v>277213</v>
      </c>
      <c r="AO51" s="16">
        <v>0</v>
      </c>
      <c r="AP51" s="16">
        <v>0</v>
      </c>
      <c r="AQ51" s="16">
        <v>0</v>
      </c>
      <c r="AR51" s="16">
        <v>0</v>
      </c>
      <c r="AS51" s="16">
        <f>6840+7282</f>
        <v>14122</v>
      </c>
      <c r="AT51" s="16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f>0+3660</f>
        <v>3660</v>
      </c>
      <c r="AZ51" s="16">
        <f>323195-3660</f>
        <v>319535</v>
      </c>
      <c r="BA51" s="16">
        <f>SUM(BB51+BF51+BI51+BJ51+BK51+BM51)</f>
        <v>17636</v>
      </c>
      <c r="BB51" s="16">
        <f>SUM(BC51:BE51)</f>
        <v>0</v>
      </c>
      <c r="BC51" s="16">
        <v>0</v>
      </c>
      <c r="BD51" s="16">
        <v>0</v>
      </c>
      <c r="BE51" s="16">
        <v>0</v>
      </c>
      <c r="BF51" s="16">
        <f t="shared" si="9"/>
        <v>0</v>
      </c>
      <c r="BG51" s="16">
        <v>0</v>
      </c>
      <c r="BH51" s="16">
        <v>0</v>
      </c>
      <c r="BI51" s="16">
        <v>0</v>
      </c>
      <c r="BJ51" s="16">
        <v>0</v>
      </c>
      <c r="BK51" s="16">
        <f t="shared" si="10"/>
        <v>0</v>
      </c>
      <c r="BL51" s="16">
        <v>0</v>
      </c>
      <c r="BM51" s="16">
        <f t="shared" si="11"/>
        <v>17636</v>
      </c>
      <c r="BN51" s="16">
        <v>0</v>
      </c>
      <c r="BO51" s="16">
        <v>0</v>
      </c>
      <c r="BP51" s="16">
        <v>0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17636</v>
      </c>
      <c r="BX51" s="16">
        <v>0</v>
      </c>
      <c r="BY51" s="16">
        <f>SUM(BZ51+CQ51)</f>
        <v>817405</v>
      </c>
      <c r="BZ51" s="16">
        <f>SUM(CA51+CD51+CJ51)</f>
        <v>817405</v>
      </c>
      <c r="CA51" s="16">
        <f t="shared" si="12"/>
        <v>93500</v>
      </c>
      <c r="CB51" s="16">
        <v>0</v>
      </c>
      <c r="CC51" s="16">
        <v>93500</v>
      </c>
      <c r="CD51" s="16">
        <f>SUM(CE51:CH51)</f>
        <v>0</v>
      </c>
      <c r="CE51" s="16">
        <v>0</v>
      </c>
      <c r="CF51" s="16">
        <v>0</v>
      </c>
      <c r="CG51" s="16">
        <v>0</v>
      </c>
      <c r="CH51" s="16">
        <v>0</v>
      </c>
      <c r="CI51" s="16">
        <v>0</v>
      </c>
      <c r="CJ51" s="16">
        <f>SUM(CK51:CN51)</f>
        <v>723905</v>
      </c>
      <c r="CK51" s="16">
        <v>0</v>
      </c>
      <c r="CL51" s="16">
        <v>0</v>
      </c>
      <c r="CM51" s="16">
        <f>1072192-348287</f>
        <v>723905</v>
      </c>
      <c r="CN51" s="16">
        <v>0</v>
      </c>
      <c r="CO51" s="16">
        <v>0</v>
      </c>
      <c r="CP51" s="16">
        <v>0</v>
      </c>
      <c r="CQ51" s="16">
        <v>0</v>
      </c>
      <c r="CR51" s="16">
        <f t="shared" si="13"/>
        <v>0</v>
      </c>
      <c r="CS51" s="16">
        <f t="shared" si="14"/>
        <v>0</v>
      </c>
      <c r="CT51" s="16">
        <v>0</v>
      </c>
      <c r="CU51" s="17">
        <v>0</v>
      </c>
      <c r="CV51" s="38"/>
    </row>
    <row r="52" spans="1:100" ht="15.75" x14ac:dyDescent="0.25">
      <c r="A52" s="18" t="s">
        <v>61</v>
      </c>
      <c r="B52" s="19" t="s">
        <v>1</v>
      </c>
      <c r="C52" s="19" t="s">
        <v>1</v>
      </c>
      <c r="D52" s="31" t="s">
        <v>62</v>
      </c>
      <c r="E52" s="20">
        <f>SUM(E53+E55+E57+E59+E61)</f>
        <v>48458327</v>
      </c>
      <c r="F52" s="21">
        <f t="shared" ref="F52:BS52" si="46">SUM(F53+F55+F57+F59+F61)</f>
        <v>47708571</v>
      </c>
      <c r="G52" s="21">
        <f t="shared" si="46"/>
        <v>47387046</v>
      </c>
      <c r="H52" s="21">
        <f t="shared" si="46"/>
        <v>38489403</v>
      </c>
      <c r="I52" s="21">
        <f t="shared" si="46"/>
        <v>4034868</v>
      </c>
      <c r="J52" s="21">
        <f t="shared" si="46"/>
        <v>1284457</v>
      </c>
      <c r="K52" s="21">
        <f t="shared" si="46"/>
        <v>0</v>
      </c>
      <c r="L52" s="21">
        <f t="shared" si="46"/>
        <v>89691</v>
      </c>
      <c r="M52" s="21">
        <f t="shared" si="46"/>
        <v>0</v>
      </c>
      <c r="N52" s="21">
        <f t="shared" si="46"/>
        <v>0</v>
      </c>
      <c r="O52" s="21">
        <f t="shared" si="46"/>
        <v>892200</v>
      </c>
      <c r="P52" s="21">
        <f t="shared" si="46"/>
        <v>302566</v>
      </c>
      <c r="Q52" s="21">
        <f t="shared" si="46"/>
        <v>239</v>
      </c>
      <c r="R52" s="21">
        <f t="shared" si="46"/>
        <v>239</v>
      </c>
      <c r="S52" s="21">
        <f t="shared" si="46"/>
        <v>0</v>
      </c>
      <c r="T52" s="21">
        <f t="shared" si="46"/>
        <v>0</v>
      </c>
      <c r="U52" s="21">
        <f t="shared" si="46"/>
        <v>888852</v>
      </c>
      <c r="V52" s="21">
        <f t="shared" si="46"/>
        <v>332009</v>
      </c>
      <c r="W52" s="21">
        <f t="shared" si="46"/>
        <v>134737</v>
      </c>
      <c r="X52" s="21">
        <f t="shared" si="46"/>
        <v>62753</v>
      </c>
      <c r="Y52" s="21">
        <f t="shared" si="46"/>
        <v>89011</v>
      </c>
      <c r="Z52" s="21">
        <f t="shared" si="46"/>
        <v>15716</v>
      </c>
      <c r="AA52" s="21">
        <f t="shared" si="46"/>
        <v>13481</v>
      </c>
      <c r="AB52" s="21">
        <f t="shared" si="46"/>
        <v>0</v>
      </c>
      <c r="AC52" s="21">
        <f t="shared" si="46"/>
        <v>0</v>
      </c>
      <c r="AD52" s="21">
        <f t="shared" ref="AD52" si="47">SUM(AD53+AD55+AD57+AD59+AD61)</f>
        <v>16311</v>
      </c>
      <c r="AE52" s="21">
        <f t="shared" si="46"/>
        <v>2357218</v>
      </c>
      <c r="AF52" s="21">
        <f t="shared" si="46"/>
        <v>0</v>
      </c>
      <c r="AG52" s="21">
        <f t="shared" si="46"/>
        <v>15926</v>
      </c>
      <c r="AH52" s="21">
        <f t="shared" si="46"/>
        <v>107655</v>
      </c>
      <c r="AI52" s="21">
        <f t="shared" si="46"/>
        <v>0</v>
      </c>
      <c r="AJ52" s="21">
        <f t="shared" si="46"/>
        <v>81811</v>
      </c>
      <c r="AK52" s="21">
        <f t="shared" si="46"/>
        <v>28400</v>
      </c>
      <c r="AL52" s="21">
        <f t="shared" si="46"/>
        <v>193029</v>
      </c>
      <c r="AM52" s="21">
        <f t="shared" si="46"/>
        <v>265897</v>
      </c>
      <c r="AN52" s="21">
        <f t="shared" si="46"/>
        <v>166064</v>
      </c>
      <c r="AO52" s="21">
        <f t="shared" si="46"/>
        <v>38024</v>
      </c>
      <c r="AP52" s="21">
        <f>SUM(AP53+AP55+AP57+AP59+AP61)</f>
        <v>0</v>
      </c>
      <c r="AQ52" s="21">
        <f t="shared" si="46"/>
        <v>0</v>
      </c>
      <c r="AR52" s="21">
        <f t="shared" si="46"/>
        <v>793872</v>
      </c>
      <c r="AS52" s="21">
        <f t="shared" si="46"/>
        <v>5000</v>
      </c>
      <c r="AT52" s="21">
        <f t="shared" si="46"/>
        <v>524239</v>
      </c>
      <c r="AU52" s="21">
        <f t="shared" si="46"/>
        <v>0</v>
      </c>
      <c r="AV52" s="21">
        <f t="shared" si="46"/>
        <v>0</v>
      </c>
      <c r="AW52" s="21">
        <f t="shared" si="46"/>
        <v>0</v>
      </c>
      <c r="AX52" s="21">
        <f t="shared" si="46"/>
        <v>0</v>
      </c>
      <c r="AY52" s="21">
        <f t="shared" si="46"/>
        <v>0</v>
      </c>
      <c r="AZ52" s="21">
        <f t="shared" si="46"/>
        <v>137301</v>
      </c>
      <c r="BA52" s="21">
        <f t="shared" si="46"/>
        <v>321525</v>
      </c>
      <c r="BB52" s="21">
        <f t="shared" si="46"/>
        <v>0</v>
      </c>
      <c r="BC52" s="21">
        <f t="shared" si="46"/>
        <v>0</v>
      </c>
      <c r="BD52" s="21">
        <f t="shared" si="46"/>
        <v>0</v>
      </c>
      <c r="BE52" s="21">
        <f t="shared" si="46"/>
        <v>0</v>
      </c>
      <c r="BF52" s="21">
        <f t="shared" si="46"/>
        <v>0</v>
      </c>
      <c r="BG52" s="21">
        <f t="shared" si="46"/>
        <v>0</v>
      </c>
      <c r="BH52" s="21">
        <f t="shared" si="46"/>
        <v>0</v>
      </c>
      <c r="BI52" s="21">
        <f t="shared" si="46"/>
        <v>0</v>
      </c>
      <c r="BJ52" s="21">
        <f t="shared" si="46"/>
        <v>0</v>
      </c>
      <c r="BK52" s="21">
        <f t="shared" si="46"/>
        <v>0</v>
      </c>
      <c r="BL52" s="21">
        <f t="shared" si="46"/>
        <v>0</v>
      </c>
      <c r="BM52" s="21">
        <f t="shared" si="46"/>
        <v>321525</v>
      </c>
      <c r="BN52" s="21">
        <f t="shared" si="46"/>
        <v>0</v>
      </c>
      <c r="BO52" s="21">
        <f t="shared" si="46"/>
        <v>0</v>
      </c>
      <c r="BP52" s="21">
        <f t="shared" si="46"/>
        <v>0</v>
      </c>
      <c r="BQ52" s="21">
        <f t="shared" si="46"/>
        <v>0</v>
      </c>
      <c r="BR52" s="21">
        <f t="shared" si="46"/>
        <v>0</v>
      </c>
      <c r="BS52" s="21">
        <f t="shared" si="46"/>
        <v>0</v>
      </c>
      <c r="BT52" s="21">
        <f t="shared" ref="BT52:CU52" si="48">SUM(BT53+BT55+BT57+BT59+BT61)</f>
        <v>0</v>
      </c>
      <c r="BU52" s="21">
        <f t="shared" si="48"/>
        <v>0</v>
      </c>
      <c r="BV52" s="21">
        <f t="shared" si="48"/>
        <v>0</v>
      </c>
      <c r="BW52" s="21">
        <f t="shared" si="48"/>
        <v>39491</v>
      </c>
      <c r="BX52" s="21">
        <f t="shared" si="48"/>
        <v>282034</v>
      </c>
      <c r="BY52" s="21">
        <f t="shared" si="48"/>
        <v>749756</v>
      </c>
      <c r="BZ52" s="21">
        <f t="shared" si="48"/>
        <v>749756</v>
      </c>
      <c r="CA52" s="21">
        <f t="shared" si="48"/>
        <v>749756</v>
      </c>
      <c r="CB52" s="21">
        <f t="shared" si="48"/>
        <v>0</v>
      </c>
      <c r="CC52" s="21">
        <f t="shared" si="48"/>
        <v>749756</v>
      </c>
      <c r="CD52" s="21">
        <f t="shared" si="48"/>
        <v>0</v>
      </c>
      <c r="CE52" s="21">
        <f t="shared" si="48"/>
        <v>0</v>
      </c>
      <c r="CF52" s="21">
        <f t="shared" si="48"/>
        <v>0</v>
      </c>
      <c r="CG52" s="21">
        <f t="shared" si="48"/>
        <v>0</v>
      </c>
      <c r="CH52" s="21">
        <f t="shared" si="48"/>
        <v>0</v>
      </c>
      <c r="CI52" s="21">
        <f t="shared" ref="CI52" si="49">SUM(CI53+CI55+CI57+CI59+CI61)</f>
        <v>0</v>
      </c>
      <c r="CJ52" s="21">
        <f t="shared" si="48"/>
        <v>0</v>
      </c>
      <c r="CK52" s="21">
        <f t="shared" si="48"/>
        <v>0</v>
      </c>
      <c r="CL52" s="21">
        <f t="shared" si="48"/>
        <v>0</v>
      </c>
      <c r="CM52" s="21">
        <f t="shared" si="48"/>
        <v>0</v>
      </c>
      <c r="CN52" s="21">
        <f t="shared" si="48"/>
        <v>0</v>
      </c>
      <c r="CO52" s="21">
        <f t="shared" si="48"/>
        <v>0</v>
      </c>
      <c r="CP52" s="21">
        <f t="shared" si="48"/>
        <v>0</v>
      </c>
      <c r="CQ52" s="21">
        <f t="shared" si="48"/>
        <v>0</v>
      </c>
      <c r="CR52" s="21">
        <f t="shared" si="48"/>
        <v>0</v>
      </c>
      <c r="CS52" s="21">
        <f t="shared" si="48"/>
        <v>0</v>
      </c>
      <c r="CT52" s="21">
        <f t="shared" si="48"/>
        <v>0</v>
      </c>
      <c r="CU52" s="22">
        <f t="shared" si="48"/>
        <v>0</v>
      </c>
      <c r="CV52" s="38"/>
    </row>
    <row r="53" spans="1:100" ht="15.75" x14ac:dyDescent="0.25">
      <c r="A53" s="13" t="s">
        <v>7</v>
      </c>
      <c r="B53" s="14" t="s">
        <v>3</v>
      </c>
      <c r="C53" s="14" t="s">
        <v>1</v>
      </c>
      <c r="D53" s="30" t="s">
        <v>63</v>
      </c>
      <c r="E53" s="15">
        <f t="shared" ref="E53:AJ53" si="50">SUM(E54)</f>
        <v>4213597</v>
      </c>
      <c r="F53" s="16">
        <f t="shared" si="50"/>
        <v>4160781</v>
      </c>
      <c r="G53" s="16">
        <f t="shared" si="50"/>
        <v>4148895</v>
      </c>
      <c r="H53" s="16">
        <f t="shared" si="50"/>
        <v>3200453</v>
      </c>
      <c r="I53" s="16">
        <f t="shared" si="50"/>
        <v>426706</v>
      </c>
      <c r="J53" s="16">
        <f t="shared" si="50"/>
        <v>123843</v>
      </c>
      <c r="K53" s="16">
        <f t="shared" si="50"/>
        <v>0</v>
      </c>
      <c r="L53" s="16">
        <f t="shared" si="50"/>
        <v>4936</v>
      </c>
      <c r="M53" s="16">
        <f t="shared" si="50"/>
        <v>0</v>
      </c>
      <c r="N53" s="16">
        <f t="shared" si="50"/>
        <v>0</v>
      </c>
      <c r="O53" s="16">
        <f t="shared" si="50"/>
        <v>98576</v>
      </c>
      <c r="P53" s="16">
        <f t="shared" si="50"/>
        <v>20331</v>
      </c>
      <c r="Q53" s="16">
        <f t="shared" si="50"/>
        <v>0</v>
      </c>
      <c r="R53" s="16">
        <f t="shared" si="50"/>
        <v>0</v>
      </c>
      <c r="S53" s="16">
        <f t="shared" si="50"/>
        <v>0</v>
      </c>
      <c r="T53" s="16">
        <f t="shared" si="50"/>
        <v>0</v>
      </c>
      <c r="U53" s="16">
        <f t="shared" si="50"/>
        <v>108614</v>
      </c>
      <c r="V53" s="16">
        <f t="shared" si="50"/>
        <v>29940</v>
      </c>
      <c r="W53" s="16">
        <f t="shared" si="50"/>
        <v>1072</v>
      </c>
      <c r="X53" s="16">
        <f t="shared" si="50"/>
        <v>0</v>
      </c>
      <c r="Y53" s="16">
        <f t="shared" si="50"/>
        <v>21515</v>
      </c>
      <c r="Z53" s="16">
        <f t="shared" si="50"/>
        <v>2431</v>
      </c>
      <c r="AA53" s="16">
        <f t="shared" si="50"/>
        <v>1003</v>
      </c>
      <c r="AB53" s="16">
        <f t="shared" si="50"/>
        <v>0</v>
      </c>
      <c r="AC53" s="16">
        <f t="shared" si="50"/>
        <v>0</v>
      </c>
      <c r="AD53" s="16">
        <f t="shared" si="50"/>
        <v>3919</v>
      </c>
      <c r="AE53" s="16">
        <f t="shared" si="50"/>
        <v>259339</v>
      </c>
      <c r="AF53" s="16">
        <f t="shared" si="50"/>
        <v>0</v>
      </c>
      <c r="AG53" s="16">
        <f t="shared" si="50"/>
        <v>2653</v>
      </c>
      <c r="AH53" s="16">
        <f t="shared" si="50"/>
        <v>10248</v>
      </c>
      <c r="AI53" s="16">
        <f t="shared" si="50"/>
        <v>0</v>
      </c>
      <c r="AJ53" s="16">
        <f t="shared" si="50"/>
        <v>24591</v>
      </c>
      <c r="AK53" s="16">
        <f t="shared" ref="AK53:BR53" si="51">SUM(AK54)</f>
        <v>0</v>
      </c>
      <c r="AL53" s="16">
        <f t="shared" si="51"/>
        <v>26408</v>
      </c>
      <c r="AM53" s="16">
        <f t="shared" si="51"/>
        <v>48762</v>
      </c>
      <c r="AN53" s="16">
        <f t="shared" si="51"/>
        <v>69646</v>
      </c>
      <c r="AO53" s="16">
        <f t="shared" si="51"/>
        <v>0</v>
      </c>
      <c r="AP53" s="16">
        <f t="shared" si="51"/>
        <v>0</v>
      </c>
      <c r="AQ53" s="16">
        <f t="shared" si="51"/>
        <v>0</v>
      </c>
      <c r="AR53" s="16">
        <f t="shared" si="51"/>
        <v>76834</v>
      </c>
      <c r="AS53" s="16">
        <f t="shared" si="51"/>
        <v>0</v>
      </c>
      <c r="AT53" s="16">
        <f t="shared" si="51"/>
        <v>0</v>
      </c>
      <c r="AU53" s="16">
        <f t="shared" si="51"/>
        <v>0</v>
      </c>
      <c r="AV53" s="16">
        <f t="shared" si="51"/>
        <v>0</v>
      </c>
      <c r="AW53" s="16">
        <f t="shared" si="51"/>
        <v>0</v>
      </c>
      <c r="AX53" s="16">
        <f t="shared" si="51"/>
        <v>0</v>
      </c>
      <c r="AY53" s="16">
        <f t="shared" si="51"/>
        <v>0</v>
      </c>
      <c r="AZ53" s="16">
        <f t="shared" si="51"/>
        <v>197</v>
      </c>
      <c r="BA53" s="16">
        <f t="shared" si="51"/>
        <v>11886</v>
      </c>
      <c r="BB53" s="16">
        <f t="shared" si="51"/>
        <v>0</v>
      </c>
      <c r="BC53" s="16">
        <f t="shared" si="51"/>
        <v>0</v>
      </c>
      <c r="BD53" s="16">
        <f t="shared" si="51"/>
        <v>0</v>
      </c>
      <c r="BE53" s="16">
        <f t="shared" si="51"/>
        <v>0</v>
      </c>
      <c r="BF53" s="16">
        <f t="shared" si="51"/>
        <v>0</v>
      </c>
      <c r="BG53" s="16">
        <f t="shared" si="51"/>
        <v>0</v>
      </c>
      <c r="BH53" s="16">
        <f t="shared" si="51"/>
        <v>0</v>
      </c>
      <c r="BI53" s="16">
        <f t="shared" si="51"/>
        <v>0</v>
      </c>
      <c r="BJ53" s="16">
        <f t="shared" si="51"/>
        <v>0</v>
      </c>
      <c r="BK53" s="16">
        <f t="shared" si="51"/>
        <v>0</v>
      </c>
      <c r="BL53" s="16">
        <f t="shared" si="51"/>
        <v>0</v>
      </c>
      <c r="BM53" s="16">
        <f t="shared" si="51"/>
        <v>11886</v>
      </c>
      <c r="BN53" s="16">
        <f t="shared" si="51"/>
        <v>0</v>
      </c>
      <c r="BO53" s="16">
        <f t="shared" si="51"/>
        <v>0</v>
      </c>
      <c r="BP53" s="16">
        <f t="shared" si="51"/>
        <v>0</v>
      </c>
      <c r="BQ53" s="16">
        <f t="shared" si="51"/>
        <v>0</v>
      </c>
      <c r="BR53" s="16">
        <f t="shared" si="51"/>
        <v>0</v>
      </c>
      <c r="BS53" s="16">
        <f t="shared" ref="BS53:CU53" si="52">SUM(BS54)</f>
        <v>0</v>
      </c>
      <c r="BT53" s="16">
        <f t="shared" si="52"/>
        <v>0</v>
      </c>
      <c r="BU53" s="16">
        <f t="shared" si="52"/>
        <v>0</v>
      </c>
      <c r="BV53" s="16">
        <f t="shared" si="52"/>
        <v>0</v>
      </c>
      <c r="BW53" s="16">
        <f t="shared" si="52"/>
        <v>11886</v>
      </c>
      <c r="BX53" s="16">
        <f t="shared" si="52"/>
        <v>0</v>
      </c>
      <c r="BY53" s="16">
        <f t="shared" si="52"/>
        <v>52816</v>
      </c>
      <c r="BZ53" s="16">
        <f t="shared" si="52"/>
        <v>52816</v>
      </c>
      <c r="CA53" s="16">
        <f t="shared" si="52"/>
        <v>52816</v>
      </c>
      <c r="CB53" s="16">
        <f t="shared" si="52"/>
        <v>0</v>
      </c>
      <c r="CC53" s="16">
        <f t="shared" si="52"/>
        <v>52816</v>
      </c>
      <c r="CD53" s="16">
        <f t="shared" si="52"/>
        <v>0</v>
      </c>
      <c r="CE53" s="16">
        <f t="shared" si="52"/>
        <v>0</v>
      </c>
      <c r="CF53" s="16">
        <f t="shared" si="52"/>
        <v>0</v>
      </c>
      <c r="CG53" s="16">
        <f t="shared" si="52"/>
        <v>0</v>
      </c>
      <c r="CH53" s="16">
        <f t="shared" si="52"/>
        <v>0</v>
      </c>
      <c r="CI53" s="16">
        <f t="shared" si="52"/>
        <v>0</v>
      </c>
      <c r="CJ53" s="16">
        <f t="shared" si="52"/>
        <v>0</v>
      </c>
      <c r="CK53" s="16">
        <f t="shared" si="52"/>
        <v>0</v>
      </c>
      <c r="CL53" s="16">
        <f t="shared" si="52"/>
        <v>0</v>
      </c>
      <c r="CM53" s="16">
        <f t="shared" si="52"/>
        <v>0</v>
      </c>
      <c r="CN53" s="16">
        <f t="shared" si="52"/>
        <v>0</v>
      </c>
      <c r="CO53" s="16">
        <f t="shared" si="52"/>
        <v>0</v>
      </c>
      <c r="CP53" s="16">
        <f t="shared" si="52"/>
        <v>0</v>
      </c>
      <c r="CQ53" s="16">
        <f t="shared" si="52"/>
        <v>0</v>
      </c>
      <c r="CR53" s="16">
        <f t="shared" si="52"/>
        <v>0</v>
      </c>
      <c r="CS53" s="16">
        <f t="shared" si="52"/>
        <v>0</v>
      </c>
      <c r="CT53" s="16">
        <f t="shared" si="52"/>
        <v>0</v>
      </c>
      <c r="CU53" s="17">
        <f t="shared" si="52"/>
        <v>0</v>
      </c>
      <c r="CV53" s="38"/>
    </row>
    <row r="54" spans="1:100" ht="15.75" x14ac:dyDescent="0.25">
      <c r="A54" s="13" t="s">
        <v>1</v>
      </c>
      <c r="B54" s="14" t="s">
        <v>1</v>
      </c>
      <c r="C54" s="14" t="s">
        <v>64</v>
      </c>
      <c r="D54" s="30" t="s">
        <v>65</v>
      </c>
      <c r="E54" s="15">
        <f>SUM(F54+BY54+CR54)</f>
        <v>4213597</v>
      </c>
      <c r="F54" s="16">
        <f>SUM(G54+BA54)</f>
        <v>4160781</v>
      </c>
      <c r="G54" s="16">
        <f>SUM(H54+I54+J54+Q54+T54+U54+V54+AE54)</f>
        <v>4148895</v>
      </c>
      <c r="H54" s="16">
        <v>3200453</v>
      </c>
      <c r="I54" s="16">
        <v>426706</v>
      </c>
      <c r="J54" s="16">
        <f t="shared" si="7"/>
        <v>123843</v>
      </c>
      <c r="K54" s="16">
        <v>0</v>
      </c>
      <c r="L54" s="16">
        <v>4936</v>
      </c>
      <c r="M54" s="16">
        <v>0</v>
      </c>
      <c r="N54" s="16">
        <v>0</v>
      </c>
      <c r="O54" s="16">
        <v>98576</v>
      </c>
      <c r="P54" s="16">
        <v>20331</v>
      </c>
      <c r="Q54" s="16">
        <f t="shared" si="8"/>
        <v>0</v>
      </c>
      <c r="R54" s="16">
        <v>0</v>
      </c>
      <c r="S54" s="16">
        <v>0</v>
      </c>
      <c r="T54" s="16">
        <v>0</v>
      </c>
      <c r="U54" s="16">
        <v>108614</v>
      </c>
      <c r="V54" s="16">
        <f>SUM(W54:AD54)</f>
        <v>29940</v>
      </c>
      <c r="W54" s="16">
        <v>1072</v>
      </c>
      <c r="X54" s="16">
        <v>0</v>
      </c>
      <c r="Y54" s="16">
        <v>21515</v>
      </c>
      <c r="Z54" s="16">
        <v>2431</v>
      </c>
      <c r="AA54" s="16">
        <v>1003</v>
      </c>
      <c r="AB54" s="16">
        <v>0</v>
      </c>
      <c r="AC54" s="16">
        <v>0</v>
      </c>
      <c r="AD54" s="16">
        <v>3919</v>
      </c>
      <c r="AE54" s="16">
        <f>SUM(AF54:AZ54)</f>
        <v>259339</v>
      </c>
      <c r="AF54" s="16">
        <v>0</v>
      </c>
      <c r="AG54" s="16">
        <v>2653</v>
      </c>
      <c r="AH54" s="16">
        <v>10248</v>
      </c>
      <c r="AI54" s="16">
        <v>0</v>
      </c>
      <c r="AJ54" s="16">
        <v>24591</v>
      </c>
      <c r="AK54" s="16">
        <v>0</v>
      </c>
      <c r="AL54" s="16">
        <v>26408</v>
      </c>
      <c r="AM54" s="16">
        <v>48762</v>
      </c>
      <c r="AN54" s="16">
        <v>69646</v>
      </c>
      <c r="AO54" s="16">
        <v>0</v>
      </c>
      <c r="AP54" s="16">
        <v>0</v>
      </c>
      <c r="AQ54" s="16">
        <v>0</v>
      </c>
      <c r="AR54" s="16">
        <v>76834</v>
      </c>
      <c r="AS54" s="16">
        <v>0</v>
      </c>
      <c r="AT54" s="16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6">
        <v>197</v>
      </c>
      <c r="BA54" s="16">
        <f>SUM(BB54+BF54+BI54+BJ54+BK54+BM54)</f>
        <v>11886</v>
      </c>
      <c r="BB54" s="16">
        <f>SUM(BC54:BE54)</f>
        <v>0</v>
      </c>
      <c r="BC54" s="16">
        <v>0</v>
      </c>
      <c r="BD54" s="16">
        <v>0</v>
      </c>
      <c r="BE54" s="16">
        <v>0</v>
      </c>
      <c r="BF54" s="16">
        <f t="shared" si="9"/>
        <v>0</v>
      </c>
      <c r="BG54" s="16">
        <v>0</v>
      </c>
      <c r="BH54" s="16">
        <v>0</v>
      </c>
      <c r="BI54" s="16">
        <v>0</v>
      </c>
      <c r="BJ54" s="16">
        <v>0</v>
      </c>
      <c r="BK54" s="16">
        <f t="shared" si="10"/>
        <v>0</v>
      </c>
      <c r="BL54" s="16">
        <v>0</v>
      </c>
      <c r="BM54" s="16">
        <f t="shared" si="11"/>
        <v>11886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0</v>
      </c>
      <c r="BV54" s="16">
        <v>0</v>
      </c>
      <c r="BW54" s="16">
        <v>11886</v>
      </c>
      <c r="BX54" s="16">
        <v>0</v>
      </c>
      <c r="BY54" s="16">
        <f>SUM(BZ54+CQ54)</f>
        <v>52816</v>
      </c>
      <c r="BZ54" s="16">
        <f>SUM(CA54+CD54+CJ54)</f>
        <v>52816</v>
      </c>
      <c r="CA54" s="16">
        <f t="shared" si="12"/>
        <v>52816</v>
      </c>
      <c r="CB54" s="16">
        <v>0</v>
      </c>
      <c r="CC54" s="16">
        <v>52816</v>
      </c>
      <c r="CD54" s="16">
        <f>SUM(CE54:CH54)</f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f>SUM(CK54:CN54)</f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f t="shared" si="13"/>
        <v>0</v>
      </c>
      <c r="CS54" s="16">
        <f t="shared" si="14"/>
        <v>0</v>
      </c>
      <c r="CT54" s="16">
        <v>0</v>
      </c>
      <c r="CU54" s="17">
        <v>0</v>
      </c>
      <c r="CV54" s="38"/>
    </row>
    <row r="55" spans="1:100" ht="15.75" x14ac:dyDescent="0.25">
      <c r="A55" s="13" t="s">
        <v>7</v>
      </c>
      <c r="B55" s="14" t="s">
        <v>7</v>
      </c>
      <c r="C55" s="14" t="s">
        <v>1</v>
      </c>
      <c r="D55" s="30" t="s">
        <v>66</v>
      </c>
      <c r="E55" s="15">
        <f t="shared" ref="E55:AJ55" si="53">SUM(E56)</f>
        <v>12712512</v>
      </c>
      <c r="F55" s="16">
        <f t="shared" si="53"/>
        <v>12509778</v>
      </c>
      <c r="G55" s="16">
        <f t="shared" si="53"/>
        <v>12509778</v>
      </c>
      <c r="H55" s="16">
        <f t="shared" si="53"/>
        <v>10924654</v>
      </c>
      <c r="I55" s="16">
        <f t="shared" si="53"/>
        <v>971029</v>
      </c>
      <c r="J55" s="16">
        <f t="shared" si="53"/>
        <v>259176</v>
      </c>
      <c r="K55" s="16">
        <f t="shared" si="53"/>
        <v>0</v>
      </c>
      <c r="L55" s="16">
        <f t="shared" si="53"/>
        <v>18496</v>
      </c>
      <c r="M55" s="16">
        <f t="shared" si="53"/>
        <v>0</v>
      </c>
      <c r="N55" s="16">
        <f t="shared" si="53"/>
        <v>0</v>
      </c>
      <c r="O55" s="16">
        <f t="shared" si="53"/>
        <v>198334</v>
      </c>
      <c r="P55" s="16">
        <f t="shared" si="53"/>
        <v>42346</v>
      </c>
      <c r="Q55" s="16">
        <f t="shared" si="53"/>
        <v>239</v>
      </c>
      <c r="R55" s="16">
        <f t="shared" si="53"/>
        <v>239</v>
      </c>
      <c r="S55" s="16">
        <f t="shared" si="53"/>
        <v>0</v>
      </c>
      <c r="T55" s="16">
        <f t="shared" si="53"/>
        <v>0</v>
      </c>
      <c r="U55" s="16">
        <f t="shared" si="53"/>
        <v>79736</v>
      </c>
      <c r="V55" s="16">
        <f t="shared" si="53"/>
        <v>54929</v>
      </c>
      <c r="W55" s="16">
        <f t="shared" si="53"/>
        <v>17096</v>
      </c>
      <c r="X55" s="16">
        <f t="shared" si="53"/>
        <v>21196</v>
      </c>
      <c r="Y55" s="16">
        <f t="shared" si="53"/>
        <v>10948</v>
      </c>
      <c r="Z55" s="16">
        <f t="shared" si="53"/>
        <v>2679</v>
      </c>
      <c r="AA55" s="16">
        <f t="shared" si="53"/>
        <v>3010</v>
      </c>
      <c r="AB55" s="16">
        <f t="shared" si="53"/>
        <v>0</v>
      </c>
      <c r="AC55" s="16">
        <f t="shared" si="53"/>
        <v>0</v>
      </c>
      <c r="AD55" s="16">
        <f t="shared" si="53"/>
        <v>0</v>
      </c>
      <c r="AE55" s="16">
        <f t="shared" si="53"/>
        <v>220015</v>
      </c>
      <c r="AF55" s="16">
        <f t="shared" si="53"/>
        <v>0</v>
      </c>
      <c r="AG55" s="16">
        <f t="shared" si="53"/>
        <v>2090</v>
      </c>
      <c r="AH55" s="16">
        <f t="shared" si="53"/>
        <v>9132</v>
      </c>
      <c r="AI55" s="16">
        <f t="shared" si="53"/>
        <v>0</v>
      </c>
      <c r="AJ55" s="16">
        <f t="shared" si="53"/>
        <v>1591</v>
      </c>
      <c r="AK55" s="16">
        <f t="shared" ref="AK55:BR55" si="54">SUM(AK56)</f>
        <v>0</v>
      </c>
      <c r="AL55" s="16">
        <f t="shared" si="54"/>
        <v>101367</v>
      </c>
      <c r="AM55" s="16">
        <f t="shared" si="54"/>
        <v>13265</v>
      </c>
      <c r="AN55" s="16">
        <f t="shared" si="54"/>
        <v>57424</v>
      </c>
      <c r="AO55" s="16">
        <f t="shared" si="54"/>
        <v>0</v>
      </c>
      <c r="AP55" s="16">
        <f t="shared" si="54"/>
        <v>0</v>
      </c>
      <c r="AQ55" s="16">
        <f t="shared" si="54"/>
        <v>0</v>
      </c>
      <c r="AR55" s="16">
        <f t="shared" si="54"/>
        <v>30024</v>
      </c>
      <c r="AS55" s="16">
        <f t="shared" si="54"/>
        <v>5000</v>
      </c>
      <c r="AT55" s="16">
        <f t="shared" si="54"/>
        <v>0</v>
      </c>
      <c r="AU55" s="16">
        <f t="shared" si="54"/>
        <v>0</v>
      </c>
      <c r="AV55" s="16">
        <f t="shared" si="54"/>
        <v>0</v>
      </c>
      <c r="AW55" s="16">
        <f t="shared" si="54"/>
        <v>0</v>
      </c>
      <c r="AX55" s="16">
        <f t="shared" si="54"/>
        <v>0</v>
      </c>
      <c r="AY55" s="16">
        <f t="shared" si="54"/>
        <v>0</v>
      </c>
      <c r="AZ55" s="16">
        <f t="shared" si="54"/>
        <v>122</v>
      </c>
      <c r="BA55" s="16">
        <f t="shared" si="54"/>
        <v>0</v>
      </c>
      <c r="BB55" s="16">
        <f t="shared" si="54"/>
        <v>0</v>
      </c>
      <c r="BC55" s="16">
        <f t="shared" si="54"/>
        <v>0</v>
      </c>
      <c r="BD55" s="16">
        <f t="shared" si="54"/>
        <v>0</v>
      </c>
      <c r="BE55" s="16">
        <f t="shared" si="54"/>
        <v>0</v>
      </c>
      <c r="BF55" s="16">
        <f t="shared" si="54"/>
        <v>0</v>
      </c>
      <c r="BG55" s="16">
        <f t="shared" si="54"/>
        <v>0</v>
      </c>
      <c r="BH55" s="16">
        <f t="shared" si="54"/>
        <v>0</v>
      </c>
      <c r="BI55" s="16">
        <f t="shared" si="54"/>
        <v>0</v>
      </c>
      <c r="BJ55" s="16">
        <f t="shared" si="54"/>
        <v>0</v>
      </c>
      <c r="BK55" s="16">
        <f t="shared" si="54"/>
        <v>0</v>
      </c>
      <c r="BL55" s="16">
        <f t="shared" si="54"/>
        <v>0</v>
      </c>
      <c r="BM55" s="16">
        <f t="shared" si="54"/>
        <v>0</v>
      </c>
      <c r="BN55" s="16">
        <f t="shared" si="54"/>
        <v>0</v>
      </c>
      <c r="BO55" s="16">
        <f t="shared" si="54"/>
        <v>0</v>
      </c>
      <c r="BP55" s="16">
        <f t="shared" si="54"/>
        <v>0</v>
      </c>
      <c r="BQ55" s="16">
        <f t="shared" si="54"/>
        <v>0</v>
      </c>
      <c r="BR55" s="16">
        <f t="shared" si="54"/>
        <v>0</v>
      </c>
      <c r="BS55" s="16">
        <f t="shared" ref="BS55:CU55" si="55">SUM(BS56)</f>
        <v>0</v>
      </c>
      <c r="BT55" s="16">
        <f t="shared" si="55"/>
        <v>0</v>
      </c>
      <c r="BU55" s="16">
        <f t="shared" si="55"/>
        <v>0</v>
      </c>
      <c r="BV55" s="16">
        <f t="shared" si="55"/>
        <v>0</v>
      </c>
      <c r="BW55" s="16">
        <f t="shared" si="55"/>
        <v>0</v>
      </c>
      <c r="BX55" s="16">
        <f t="shared" si="55"/>
        <v>0</v>
      </c>
      <c r="BY55" s="16">
        <f t="shared" si="55"/>
        <v>202734</v>
      </c>
      <c r="BZ55" s="16">
        <f t="shared" si="55"/>
        <v>202734</v>
      </c>
      <c r="CA55" s="16">
        <f t="shared" si="55"/>
        <v>202734</v>
      </c>
      <c r="CB55" s="16">
        <f t="shared" si="55"/>
        <v>0</v>
      </c>
      <c r="CC55" s="16">
        <f t="shared" si="55"/>
        <v>202734</v>
      </c>
      <c r="CD55" s="16">
        <f t="shared" si="55"/>
        <v>0</v>
      </c>
      <c r="CE55" s="16">
        <f t="shared" si="55"/>
        <v>0</v>
      </c>
      <c r="CF55" s="16">
        <f t="shared" si="55"/>
        <v>0</v>
      </c>
      <c r="CG55" s="16">
        <f t="shared" si="55"/>
        <v>0</v>
      </c>
      <c r="CH55" s="16">
        <f t="shared" si="55"/>
        <v>0</v>
      </c>
      <c r="CI55" s="16">
        <f t="shared" si="55"/>
        <v>0</v>
      </c>
      <c r="CJ55" s="16">
        <f t="shared" si="55"/>
        <v>0</v>
      </c>
      <c r="CK55" s="16">
        <f t="shared" si="55"/>
        <v>0</v>
      </c>
      <c r="CL55" s="16">
        <f t="shared" si="55"/>
        <v>0</v>
      </c>
      <c r="CM55" s="16">
        <f t="shared" si="55"/>
        <v>0</v>
      </c>
      <c r="CN55" s="16">
        <f t="shared" si="55"/>
        <v>0</v>
      </c>
      <c r="CO55" s="16">
        <f t="shared" si="55"/>
        <v>0</v>
      </c>
      <c r="CP55" s="16">
        <f t="shared" si="55"/>
        <v>0</v>
      </c>
      <c r="CQ55" s="16">
        <f t="shared" si="55"/>
        <v>0</v>
      </c>
      <c r="CR55" s="16">
        <f t="shared" si="55"/>
        <v>0</v>
      </c>
      <c r="CS55" s="16">
        <f t="shared" si="55"/>
        <v>0</v>
      </c>
      <c r="CT55" s="16">
        <f t="shared" si="55"/>
        <v>0</v>
      </c>
      <c r="CU55" s="17">
        <f t="shared" si="55"/>
        <v>0</v>
      </c>
      <c r="CV55" s="38"/>
    </row>
    <row r="56" spans="1:100" ht="15.75" x14ac:dyDescent="0.25">
      <c r="A56" s="13" t="s">
        <v>1</v>
      </c>
      <c r="B56" s="14" t="s">
        <v>1</v>
      </c>
      <c r="C56" s="14" t="s">
        <v>67</v>
      </c>
      <c r="D56" s="30" t="s">
        <v>68</v>
      </c>
      <c r="E56" s="15">
        <f>SUM(F56+BY56+CR56)</f>
        <v>12712512</v>
      </c>
      <c r="F56" s="16">
        <f>SUM(G56+BA56)</f>
        <v>12509778</v>
      </c>
      <c r="G56" s="16">
        <f>SUM(H56+I56+J56+Q56+T56+U56+V56+AE56)</f>
        <v>12509778</v>
      </c>
      <c r="H56" s="16">
        <v>10924654</v>
      </c>
      <c r="I56" s="16">
        <v>971029</v>
      </c>
      <c r="J56" s="16">
        <f t="shared" si="7"/>
        <v>259176</v>
      </c>
      <c r="K56" s="16">
        <v>0</v>
      </c>
      <c r="L56" s="16">
        <v>18496</v>
      </c>
      <c r="M56" s="16">
        <v>0</v>
      </c>
      <c r="N56" s="16">
        <v>0</v>
      </c>
      <c r="O56" s="16">
        <v>198334</v>
      </c>
      <c r="P56" s="16">
        <f>42346</f>
        <v>42346</v>
      </c>
      <c r="Q56" s="16">
        <f t="shared" si="8"/>
        <v>239</v>
      </c>
      <c r="R56" s="16">
        <v>239</v>
      </c>
      <c r="S56" s="16">
        <v>0</v>
      </c>
      <c r="T56" s="16">
        <v>0</v>
      </c>
      <c r="U56" s="16">
        <v>79736</v>
      </c>
      <c r="V56" s="16">
        <f>SUM(W56:AD56)</f>
        <v>54929</v>
      </c>
      <c r="W56" s="16">
        <v>17096</v>
      </c>
      <c r="X56" s="16">
        <v>21196</v>
      </c>
      <c r="Y56" s="16">
        <f>10948</f>
        <v>10948</v>
      </c>
      <c r="Z56" s="16">
        <v>2679</v>
      </c>
      <c r="AA56" s="16">
        <v>3010</v>
      </c>
      <c r="AB56" s="16">
        <v>0</v>
      </c>
      <c r="AC56" s="16">
        <v>0</v>
      </c>
      <c r="AD56" s="16">
        <v>0</v>
      </c>
      <c r="AE56" s="16">
        <f>SUM(AF56:AZ56)</f>
        <v>220015</v>
      </c>
      <c r="AF56" s="16">
        <v>0</v>
      </c>
      <c r="AG56" s="16">
        <v>2090</v>
      </c>
      <c r="AH56" s="16">
        <v>9132</v>
      </c>
      <c r="AI56" s="16">
        <v>0</v>
      </c>
      <c r="AJ56" s="16">
        <v>1591</v>
      </c>
      <c r="AK56" s="16">
        <v>0</v>
      </c>
      <c r="AL56" s="16">
        <f>101367</f>
        <v>101367</v>
      </c>
      <c r="AM56" s="16">
        <v>13265</v>
      </c>
      <c r="AN56" s="16">
        <v>57424</v>
      </c>
      <c r="AO56" s="16">
        <v>0</v>
      </c>
      <c r="AP56" s="16">
        <v>0</v>
      </c>
      <c r="AQ56" s="16">
        <v>0</v>
      </c>
      <c r="AR56" s="16">
        <v>30024</v>
      </c>
      <c r="AS56" s="16">
        <v>5000</v>
      </c>
      <c r="AT56" s="16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6">
        <v>122</v>
      </c>
      <c r="BA56" s="16">
        <f>SUM(BB56+BF56+BI56+BJ56+BK56+BM56)</f>
        <v>0</v>
      </c>
      <c r="BB56" s="16">
        <f>SUM(BC56:BE56)</f>
        <v>0</v>
      </c>
      <c r="BC56" s="16">
        <v>0</v>
      </c>
      <c r="BD56" s="16">
        <v>0</v>
      </c>
      <c r="BE56" s="16">
        <v>0</v>
      </c>
      <c r="BF56" s="16">
        <f t="shared" si="9"/>
        <v>0</v>
      </c>
      <c r="BG56" s="16">
        <v>0</v>
      </c>
      <c r="BH56" s="16">
        <v>0</v>
      </c>
      <c r="BI56" s="16">
        <v>0</v>
      </c>
      <c r="BJ56" s="16">
        <v>0</v>
      </c>
      <c r="BK56" s="16">
        <f t="shared" si="10"/>
        <v>0</v>
      </c>
      <c r="BL56" s="16">
        <v>0</v>
      </c>
      <c r="BM56" s="16">
        <f t="shared" si="11"/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f>SUM(BZ56+CQ56)</f>
        <v>202734</v>
      </c>
      <c r="BZ56" s="16">
        <f>SUM(CA56+CD56+CJ56)</f>
        <v>202734</v>
      </c>
      <c r="CA56" s="16">
        <f t="shared" si="12"/>
        <v>202734</v>
      </c>
      <c r="CB56" s="16">
        <v>0</v>
      </c>
      <c r="CC56" s="16">
        <v>202734</v>
      </c>
      <c r="CD56" s="16">
        <f>SUM(CE56:CH56)</f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f>SUM(CK56:CN56)</f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f t="shared" si="13"/>
        <v>0</v>
      </c>
      <c r="CS56" s="16">
        <f t="shared" si="14"/>
        <v>0</v>
      </c>
      <c r="CT56" s="16">
        <v>0</v>
      </c>
      <c r="CU56" s="17">
        <v>0</v>
      </c>
      <c r="CV56" s="38"/>
    </row>
    <row r="57" spans="1:100" ht="15.75" x14ac:dyDescent="0.25">
      <c r="A57" s="13" t="s">
        <v>7</v>
      </c>
      <c r="B57" s="14" t="s">
        <v>15</v>
      </c>
      <c r="C57" s="14" t="s">
        <v>1</v>
      </c>
      <c r="D57" s="30" t="s">
        <v>69</v>
      </c>
      <c r="E57" s="15">
        <f t="shared" ref="E57:AJ57" si="56">SUM(E58)</f>
        <v>24617242</v>
      </c>
      <c r="F57" s="16">
        <f t="shared" si="56"/>
        <v>24211498</v>
      </c>
      <c r="G57" s="16">
        <f t="shared" si="56"/>
        <v>23929464</v>
      </c>
      <c r="H57" s="16">
        <f t="shared" si="56"/>
        <v>19359994</v>
      </c>
      <c r="I57" s="16">
        <f t="shared" si="56"/>
        <v>2268855</v>
      </c>
      <c r="J57" s="16">
        <f t="shared" si="56"/>
        <v>435575</v>
      </c>
      <c r="K57" s="16">
        <f t="shared" si="56"/>
        <v>0</v>
      </c>
      <c r="L57" s="16">
        <f t="shared" si="56"/>
        <v>51315</v>
      </c>
      <c r="M57" s="16">
        <f t="shared" si="56"/>
        <v>0</v>
      </c>
      <c r="N57" s="16">
        <f t="shared" si="56"/>
        <v>0</v>
      </c>
      <c r="O57" s="16">
        <f t="shared" si="56"/>
        <v>186553</v>
      </c>
      <c r="P57" s="16">
        <f t="shared" si="56"/>
        <v>197707</v>
      </c>
      <c r="Q57" s="16">
        <f t="shared" si="56"/>
        <v>0</v>
      </c>
      <c r="R57" s="16">
        <f t="shared" si="56"/>
        <v>0</v>
      </c>
      <c r="S57" s="16">
        <f t="shared" si="56"/>
        <v>0</v>
      </c>
      <c r="T57" s="16">
        <f t="shared" si="56"/>
        <v>0</v>
      </c>
      <c r="U57" s="16">
        <f t="shared" si="56"/>
        <v>541576</v>
      </c>
      <c r="V57" s="16">
        <f t="shared" si="56"/>
        <v>217327</v>
      </c>
      <c r="W57" s="16">
        <f t="shared" si="56"/>
        <v>103196</v>
      </c>
      <c r="X57" s="16">
        <f t="shared" si="56"/>
        <v>41557</v>
      </c>
      <c r="Y57" s="16">
        <f t="shared" si="56"/>
        <v>43609</v>
      </c>
      <c r="Z57" s="16">
        <f t="shared" si="56"/>
        <v>9404</v>
      </c>
      <c r="AA57" s="16">
        <f t="shared" si="56"/>
        <v>9468</v>
      </c>
      <c r="AB57" s="16">
        <f t="shared" si="56"/>
        <v>0</v>
      </c>
      <c r="AC57" s="16">
        <f t="shared" si="56"/>
        <v>0</v>
      </c>
      <c r="AD57" s="16">
        <f t="shared" si="56"/>
        <v>10093</v>
      </c>
      <c r="AE57" s="16">
        <f t="shared" si="56"/>
        <v>1106137</v>
      </c>
      <c r="AF57" s="16">
        <f t="shared" si="56"/>
        <v>0</v>
      </c>
      <c r="AG57" s="16">
        <f t="shared" si="56"/>
        <v>11033</v>
      </c>
      <c r="AH57" s="16">
        <f t="shared" si="56"/>
        <v>79767</v>
      </c>
      <c r="AI57" s="16">
        <f t="shared" si="56"/>
        <v>0</v>
      </c>
      <c r="AJ57" s="16">
        <f t="shared" si="56"/>
        <v>44469</v>
      </c>
      <c r="AK57" s="16">
        <f t="shared" ref="AK57:BR57" si="57">SUM(AK58)</f>
        <v>28400</v>
      </c>
      <c r="AL57" s="16">
        <f t="shared" si="57"/>
        <v>21023</v>
      </c>
      <c r="AM57" s="16">
        <f t="shared" si="57"/>
        <v>203870</v>
      </c>
      <c r="AN57" s="16">
        <f t="shared" si="57"/>
        <v>5238</v>
      </c>
      <c r="AO57" s="16">
        <f t="shared" si="57"/>
        <v>38024</v>
      </c>
      <c r="AP57" s="16">
        <f t="shared" si="57"/>
        <v>0</v>
      </c>
      <c r="AQ57" s="16">
        <f t="shared" si="57"/>
        <v>0</v>
      </c>
      <c r="AR57" s="16">
        <f t="shared" si="57"/>
        <v>615066</v>
      </c>
      <c r="AS57" s="16">
        <f t="shared" si="57"/>
        <v>0</v>
      </c>
      <c r="AT57" s="16">
        <f t="shared" si="57"/>
        <v>0</v>
      </c>
      <c r="AU57" s="16">
        <f t="shared" si="57"/>
        <v>0</v>
      </c>
      <c r="AV57" s="16">
        <f t="shared" si="57"/>
        <v>0</v>
      </c>
      <c r="AW57" s="16">
        <f t="shared" si="57"/>
        <v>0</v>
      </c>
      <c r="AX57" s="16">
        <f t="shared" si="57"/>
        <v>0</v>
      </c>
      <c r="AY57" s="16">
        <f t="shared" si="57"/>
        <v>0</v>
      </c>
      <c r="AZ57" s="16">
        <f t="shared" si="57"/>
        <v>59247</v>
      </c>
      <c r="BA57" s="16">
        <f t="shared" si="57"/>
        <v>282034</v>
      </c>
      <c r="BB57" s="16">
        <f t="shared" si="57"/>
        <v>0</v>
      </c>
      <c r="BC57" s="16">
        <f t="shared" si="57"/>
        <v>0</v>
      </c>
      <c r="BD57" s="16">
        <f t="shared" si="57"/>
        <v>0</v>
      </c>
      <c r="BE57" s="16">
        <f t="shared" si="57"/>
        <v>0</v>
      </c>
      <c r="BF57" s="16">
        <f t="shared" si="57"/>
        <v>0</v>
      </c>
      <c r="BG57" s="16">
        <f t="shared" si="57"/>
        <v>0</v>
      </c>
      <c r="BH57" s="16">
        <f t="shared" si="57"/>
        <v>0</v>
      </c>
      <c r="BI57" s="16">
        <f t="shared" si="57"/>
        <v>0</v>
      </c>
      <c r="BJ57" s="16">
        <f t="shared" si="57"/>
        <v>0</v>
      </c>
      <c r="BK57" s="16">
        <f t="shared" si="57"/>
        <v>0</v>
      </c>
      <c r="BL57" s="16">
        <f t="shared" si="57"/>
        <v>0</v>
      </c>
      <c r="BM57" s="16">
        <f t="shared" si="57"/>
        <v>282034</v>
      </c>
      <c r="BN57" s="16">
        <f t="shared" si="57"/>
        <v>0</v>
      </c>
      <c r="BO57" s="16">
        <f t="shared" si="57"/>
        <v>0</v>
      </c>
      <c r="BP57" s="16">
        <f t="shared" si="57"/>
        <v>0</v>
      </c>
      <c r="BQ57" s="16">
        <f t="shared" si="57"/>
        <v>0</v>
      </c>
      <c r="BR57" s="16">
        <f t="shared" si="57"/>
        <v>0</v>
      </c>
      <c r="BS57" s="16">
        <f t="shared" ref="BS57:CU57" si="58">SUM(BS58)</f>
        <v>0</v>
      </c>
      <c r="BT57" s="16">
        <f t="shared" si="58"/>
        <v>0</v>
      </c>
      <c r="BU57" s="16">
        <f t="shared" si="58"/>
        <v>0</v>
      </c>
      <c r="BV57" s="16">
        <f t="shared" si="58"/>
        <v>0</v>
      </c>
      <c r="BW57" s="16">
        <f t="shared" si="58"/>
        <v>0</v>
      </c>
      <c r="BX57" s="16">
        <f t="shared" si="58"/>
        <v>282034</v>
      </c>
      <c r="BY57" s="16">
        <f t="shared" si="58"/>
        <v>405744</v>
      </c>
      <c r="BZ57" s="16">
        <f t="shared" si="58"/>
        <v>405744</v>
      </c>
      <c r="CA57" s="16">
        <f t="shared" si="58"/>
        <v>405744</v>
      </c>
      <c r="CB57" s="16">
        <f t="shared" si="58"/>
        <v>0</v>
      </c>
      <c r="CC57" s="16">
        <f t="shared" si="58"/>
        <v>405744</v>
      </c>
      <c r="CD57" s="16">
        <f t="shared" si="58"/>
        <v>0</v>
      </c>
      <c r="CE57" s="16">
        <f t="shared" si="58"/>
        <v>0</v>
      </c>
      <c r="CF57" s="16">
        <f t="shared" si="58"/>
        <v>0</v>
      </c>
      <c r="CG57" s="16">
        <f t="shared" si="58"/>
        <v>0</v>
      </c>
      <c r="CH57" s="16">
        <f t="shared" si="58"/>
        <v>0</v>
      </c>
      <c r="CI57" s="16">
        <f t="shared" si="58"/>
        <v>0</v>
      </c>
      <c r="CJ57" s="16">
        <f t="shared" si="58"/>
        <v>0</v>
      </c>
      <c r="CK57" s="16">
        <f t="shared" si="58"/>
        <v>0</v>
      </c>
      <c r="CL57" s="16">
        <f t="shared" si="58"/>
        <v>0</v>
      </c>
      <c r="CM57" s="16">
        <f t="shared" si="58"/>
        <v>0</v>
      </c>
      <c r="CN57" s="16">
        <f t="shared" si="58"/>
        <v>0</v>
      </c>
      <c r="CO57" s="16">
        <f t="shared" si="58"/>
        <v>0</v>
      </c>
      <c r="CP57" s="16">
        <f t="shared" si="58"/>
        <v>0</v>
      </c>
      <c r="CQ57" s="16">
        <f t="shared" si="58"/>
        <v>0</v>
      </c>
      <c r="CR57" s="16">
        <f t="shared" si="58"/>
        <v>0</v>
      </c>
      <c r="CS57" s="16">
        <f t="shared" si="58"/>
        <v>0</v>
      </c>
      <c r="CT57" s="16">
        <f t="shared" si="58"/>
        <v>0</v>
      </c>
      <c r="CU57" s="17">
        <f t="shared" si="58"/>
        <v>0</v>
      </c>
      <c r="CV57" s="38"/>
    </row>
    <row r="58" spans="1:100" ht="31.5" x14ac:dyDescent="0.25">
      <c r="A58" s="13" t="s">
        <v>1</v>
      </c>
      <c r="B58" s="14" t="s">
        <v>1</v>
      </c>
      <c r="C58" s="14" t="s">
        <v>70</v>
      </c>
      <c r="D58" s="30" t="s">
        <v>71</v>
      </c>
      <c r="E58" s="15">
        <f>SUM(F58+BY58+CR58)</f>
        <v>24617242</v>
      </c>
      <c r="F58" s="16">
        <f>SUM(G58+BA58)</f>
        <v>24211498</v>
      </c>
      <c r="G58" s="16">
        <f>SUM(H58+I58+J58+Q58+T58+U58+V58+AE58)</f>
        <v>23929464</v>
      </c>
      <c r="H58" s="16">
        <v>19359994</v>
      </c>
      <c r="I58" s="16">
        <v>2268855</v>
      </c>
      <c r="J58" s="16">
        <f t="shared" si="7"/>
        <v>435575</v>
      </c>
      <c r="K58" s="16">
        <v>0</v>
      </c>
      <c r="L58" s="16">
        <v>51315</v>
      </c>
      <c r="M58" s="16">
        <v>0</v>
      </c>
      <c r="N58" s="16">
        <v>0</v>
      </c>
      <c r="O58" s="16">
        <v>186553</v>
      </c>
      <c r="P58" s="16">
        <v>197707</v>
      </c>
      <c r="Q58" s="16">
        <f t="shared" si="8"/>
        <v>0</v>
      </c>
      <c r="R58" s="16">
        <v>0</v>
      </c>
      <c r="S58" s="16">
        <v>0</v>
      </c>
      <c r="T58" s="16">
        <v>0</v>
      </c>
      <c r="U58" s="16">
        <v>541576</v>
      </c>
      <c r="V58" s="16">
        <f>SUM(W58:AD58)</f>
        <v>217327</v>
      </c>
      <c r="W58" s="16">
        <v>103196</v>
      </c>
      <c r="X58" s="16">
        <v>41557</v>
      </c>
      <c r="Y58" s="16">
        <v>43609</v>
      </c>
      <c r="Z58" s="16">
        <v>9404</v>
      </c>
      <c r="AA58" s="16">
        <v>9468</v>
      </c>
      <c r="AB58" s="16">
        <v>0</v>
      </c>
      <c r="AC58" s="16">
        <v>0</v>
      </c>
      <c r="AD58" s="16">
        <v>10093</v>
      </c>
      <c r="AE58" s="16">
        <f>SUM(AF58:AZ58)</f>
        <v>1106137</v>
      </c>
      <c r="AF58" s="16">
        <v>0</v>
      </c>
      <c r="AG58" s="16">
        <v>11033</v>
      </c>
      <c r="AH58" s="16">
        <v>79767</v>
      </c>
      <c r="AI58" s="16">
        <v>0</v>
      </c>
      <c r="AJ58" s="16">
        <v>44469</v>
      </c>
      <c r="AK58" s="16">
        <v>28400</v>
      </c>
      <c r="AL58" s="16">
        <v>21023</v>
      </c>
      <c r="AM58" s="16">
        <v>203870</v>
      </c>
      <c r="AN58" s="16">
        <v>5238</v>
      </c>
      <c r="AO58" s="16">
        <v>38024</v>
      </c>
      <c r="AP58" s="16"/>
      <c r="AQ58" s="16">
        <v>0</v>
      </c>
      <c r="AR58" s="16">
        <v>615066</v>
      </c>
      <c r="AS58" s="16">
        <v>0</v>
      </c>
      <c r="AT58" s="16">
        <v>0</v>
      </c>
      <c r="AU58" s="16">
        <v>0</v>
      </c>
      <c r="AV58" s="16">
        <v>0</v>
      </c>
      <c r="AW58" s="16">
        <v>0</v>
      </c>
      <c r="AX58" s="16">
        <v>0</v>
      </c>
      <c r="AY58" s="16"/>
      <c r="AZ58" s="16">
        <v>59247</v>
      </c>
      <c r="BA58" s="16">
        <f>SUM(BB58+BF58+BI58+BJ58+BK58+BM58)</f>
        <v>282034</v>
      </c>
      <c r="BB58" s="16">
        <f>SUM(BC58:BE58)</f>
        <v>0</v>
      </c>
      <c r="BC58" s="16">
        <v>0</v>
      </c>
      <c r="BD58" s="16">
        <v>0</v>
      </c>
      <c r="BE58" s="16">
        <v>0</v>
      </c>
      <c r="BF58" s="16">
        <f t="shared" si="9"/>
        <v>0</v>
      </c>
      <c r="BG58" s="16">
        <v>0</v>
      </c>
      <c r="BH58" s="16">
        <v>0</v>
      </c>
      <c r="BI58" s="16">
        <v>0</v>
      </c>
      <c r="BJ58" s="16">
        <v>0</v>
      </c>
      <c r="BK58" s="16">
        <f t="shared" si="10"/>
        <v>0</v>
      </c>
      <c r="BL58" s="16">
        <v>0</v>
      </c>
      <c r="BM58" s="16">
        <f t="shared" si="11"/>
        <v>282034</v>
      </c>
      <c r="BN58" s="16">
        <v>0</v>
      </c>
      <c r="BO58" s="16">
        <v>0</v>
      </c>
      <c r="BP58" s="16">
        <v>0</v>
      </c>
      <c r="BQ58" s="16">
        <v>0</v>
      </c>
      <c r="BR58" s="16">
        <v>0</v>
      </c>
      <c r="BS58" s="16">
        <v>0</v>
      </c>
      <c r="BT58" s="16">
        <v>0</v>
      </c>
      <c r="BU58" s="16">
        <v>0</v>
      </c>
      <c r="BV58" s="16">
        <v>0</v>
      </c>
      <c r="BW58" s="16">
        <v>0</v>
      </c>
      <c r="BX58" s="16">
        <v>282034</v>
      </c>
      <c r="BY58" s="16">
        <f>SUM(BZ58+CQ58)</f>
        <v>405744</v>
      </c>
      <c r="BZ58" s="16">
        <f>SUM(CA58+CD58+CJ58)</f>
        <v>405744</v>
      </c>
      <c r="CA58" s="16">
        <f t="shared" si="12"/>
        <v>405744</v>
      </c>
      <c r="CB58" s="16">
        <v>0</v>
      </c>
      <c r="CC58" s="16">
        <v>405744</v>
      </c>
      <c r="CD58" s="16">
        <f>SUM(CE58:CH58)</f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f>SUM(CK58:CN58)</f>
        <v>0</v>
      </c>
      <c r="CK58" s="16">
        <v>0</v>
      </c>
      <c r="CL58" s="16">
        <v>0</v>
      </c>
      <c r="CM58" s="16">
        <v>0</v>
      </c>
      <c r="CN58" s="16">
        <v>0</v>
      </c>
      <c r="CO58" s="16"/>
      <c r="CP58" s="16"/>
      <c r="CQ58" s="16">
        <v>0</v>
      </c>
      <c r="CR58" s="16">
        <f t="shared" si="13"/>
        <v>0</v>
      </c>
      <c r="CS58" s="16">
        <f t="shared" si="14"/>
        <v>0</v>
      </c>
      <c r="CT58" s="16">
        <v>0</v>
      </c>
      <c r="CU58" s="17">
        <v>0</v>
      </c>
      <c r="CV58" s="38"/>
    </row>
    <row r="59" spans="1:100" ht="15.75" x14ac:dyDescent="0.25">
      <c r="A59" s="13" t="s">
        <v>7</v>
      </c>
      <c r="B59" s="14" t="s">
        <v>47</v>
      </c>
      <c r="C59" s="14" t="s">
        <v>1</v>
      </c>
      <c r="D59" s="30" t="s">
        <v>72</v>
      </c>
      <c r="E59" s="15">
        <f t="shared" ref="E59:AJ59" si="59">SUM(E60)</f>
        <v>6390737</v>
      </c>
      <c r="F59" s="16">
        <f t="shared" si="59"/>
        <v>6302275</v>
      </c>
      <c r="G59" s="16">
        <f t="shared" si="59"/>
        <v>6274670</v>
      </c>
      <c r="H59" s="16">
        <f t="shared" si="59"/>
        <v>5004302</v>
      </c>
      <c r="I59" s="16">
        <f t="shared" si="59"/>
        <v>368278</v>
      </c>
      <c r="J59" s="16">
        <f t="shared" si="59"/>
        <v>465863</v>
      </c>
      <c r="K59" s="16">
        <f t="shared" si="59"/>
        <v>0</v>
      </c>
      <c r="L59" s="16">
        <f t="shared" si="59"/>
        <v>14944</v>
      </c>
      <c r="M59" s="16">
        <f t="shared" si="59"/>
        <v>0</v>
      </c>
      <c r="N59" s="16">
        <f t="shared" si="59"/>
        <v>0</v>
      </c>
      <c r="O59" s="16">
        <f t="shared" si="59"/>
        <v>408737</v>
      </c>
      <c r="P59" s="16">
        <f t="shared" si="59"/>
        <v>42182</v>
      </c>
      <c r="Q59" s="16">
        <f t="shared" si="59"/>
        <v>0</v>
      </c>
      <c r="R59" s="16">
        <f t="shared" si="59"/>
        <v>0</v>
      </c>
      <c r="S59" s="16">
        <f t="shared" si="59"/>
        <v>0</v>
      </c>
      <c r="T59" s="16">
        <f t="shared" si="59"/>
        <v>0</v>
      </c>
      <c r="U59" s="16">
        <f t="shared" si="59"/>
        <v>158926</v>
      </c>
      <c r="V59" s="16">
        <f t="shared" si="59"/>
        <v>29813</v>
      </c>
      <c r="W59" s="16">
        <f t="shared" si="59"/>
        <v>13373</v>
      </c>
      <c r="X59" s="16">
        <f t="shared" si="59"/>
        <v>0</v>
      </c>
      <c r="Y59" s="16">
        <f t="shared" si="59"/>
        <v>12939</v>
      </c>
      <c r="Z59" s="16">
        <f t="shared" si="59"/>
        <v>1202</v>
      </c>
      <c r="AA59" s="16">
        <f t="shared" si="59"/>
        <v>0</v>
      </c>
      <c r="AB59" s="16">
        <f t="shared" si="59"/>
        <v>0</v>
      </c>
      <c r="AC59" s="16">
        <f t="shared" si="59"/>
        <v>0</v>
      </c>
      <c r="AD59" s="16">
        <f t="shared" si="59"/>
        <v>2299</v>
      </c>
      <c r="AE59" s="16">
        <f t="shared" si="59"/>
        <v>247488</v>
      </c>
      <c r="AF59" s="16">
        <f t="shared" si="59"/>
        <v>0</v>
      </c>
      <c r="AG59" s="16">
        <f t="shared" si="59"/>
        <v>150</v>
      </c>
      <c r="AH59" s="16">
        <f t="shared" si="59"/>
        <v>8508</v>
      </c>
      <c r="AI59" s="16">
        <f t="shared" si="59"/>
        <v>0</v>
      </c>
      <c r="AJ59" s="16">
        <f t="shared" si="59"/>
        <v>11160</v>
      </c>
      <c r="AK59" s="16">
        <f t="shared" ref="AK59:BR59" si="60">SUM(AK60)</f>
        <v>0</v>
      </c>
      <c r="AL59" s="16">
        <f t="shared" si="60"/>
        <v>44231</v>
      </c>
      <c r="AM59" s="16">
        <f t="shared" si="60"/>
        <v>0</v>
      </c>
      <c r="AN59" s="16">
        <f t="shared" si="60"/>
        <v>33756</v>
      </c>
      <c r="AO59" s="16">
        <f t="shared" si="60"/>
        <v>0</v>
      </c>
      <c r="AP59" s="16">
        <f t="shared" si="60"/>
        <v>0</v>
      </c>
      <c r="AQ59" s="16">
        <f t="shared" si="60"/>
        <v>0</v>
      </c>
      <c r="AR59" s="16">
        <f t="shared" si="60"/>
        <v>71948</v>
      </c>
      <c r="AS59" s="16">
        <f t="shared" si="60"/>
        <v>0</v>
      </c>
      <c r="AT59" s="16">
        <f t="shared" si="60"/>
        <v>0</v>
      </c>
      <c r="AU59" s="16">
        <f t="shared" si="60"/>
        <v>0</v>
      </c>
      <c r="AV59" s="16">
        <f t="shared" si="60"/>
        <v>0</v>
      </c>
      <c r="AW59" s="16">
        <f t="shared" si="60"/>
        <v>0</v>
      </c>
      <c r="AX59" s="16">
        <f t="shared" si="60"/>
        <v>0</v>
      </c>
      <c r="AY59" s="16">
        <f t="shared" si="60"/>
        <v>0</v>
      </c>
      <c r="AZ59" s="16">
        <f t="shared" si="60"/>
        <v>77735</v>
      </c>
      <c r="BA59" s="16">
        <f t="shared" si="60"/>
        <v>27605</v>
      </c>
      <c r="BB59" s="16">
        <f t="shared" si="60"/>
        <v>0</v>
      </c>
      <c r="BC59" s="16">
        <f t="shared" si="60"/>
        <v>0</v>
      </c>
      <c r="BD59" s="16">
        <f t="shared" si="60"/>
        <v>0</v>
      </c>
      <c r="BE59" s="16">
        <f t="shared" si="60"/>
        <v>0</v>
      </c>
      <c r="BF59" s="16">
        <f t="shared" si="60"/>
        <v>0</v>
      </c>
      <c r="BG59" s="16">
        <f t="shared" si="60"/>
        <v>0</v>
      </c>
      <c r="BH59" s="16">
        <f t="shared" si="60"/>
        <v>0</v>
      </c>
      <c r="BI59" s="16">
        <f t="shared" si="60"/>
        <v>0</v>
      </c>
      <c r="BJ59" s="16">
        <f t="shared" si="60"/>
        <v>0</v>
      </c>
      <c r="BK59" s="16">
        <f t="shared" si="60"/>
        <v>0</v>
      </c>
      <c r="BL59" s="16">
        <f t="shared" si="60"/>
        <v>0</v>
      </c>
      <c r="BM59" s="16">
        <f t="shared" si="60"/>
        <v>27605</v>
      </c>
      <c r="BN59" s="16">
        <f t="shared" si="60"/>
        <v>0</v>
      </c>
      <c r="BO59" s="16">
        <f t="shared" si="60"/>
        <v>0</v>
      </c>
      <c r="BP59" s="16">
        <f t="shared" si="60"/>
        <v>0</v>
      </c>
      <c r="BQ59" s="16">
        <f t="shared" si="60"/>
        <v>0</v>
      </c>
      <c r="BR59" s="16">
        <f t="shared" si="60"/>
        <v>0</v>
      </c>
      <c r="BS59" s="16">
        <f t="shared" ref="BS59:CU59" si="61">SUM(BS60)</f>
        <v>0</v>
      </c>
      <c r="BT59" s="16">
        <f t="shared" si="61"/>
        <v>0</v>
      </c>
      <c r="BU59" s="16">
        <f t="shared" si="61"/>
        <v>0</v>
      </c>
      <c r="BV59" s="16">
        <f t="shared" si="61"/>
        <v>0</v>
      </c>
      <c r="BW59" s="16">
        <f t="shared" si="61"/>
        <v>27605</v>
      </c>
      <c r="BX59" s="16">
        <f t="shared" si="61"/>
        <v>0</v>
      </c>
      <c r="BY59" s="16">
        <f t="shared" si="61"/>
        <v>88462</v>
      </c>
      <c r="BZ59" s="16">
        <f t="shared" si="61"/>
        <v>88462</v>
      </c>
      <c r="CA59" s="16">
        <f t="shared" si="61"/>
        <v>88462</v>
      </c>
      <c r="CB59" s="16">
        <f t="shared" si="61"/>
        <v>0</v>
      </c>
      <c r="CC59" s="16">
        <f t="shared" si="61"/>
        <v>88462</v>
      </c>
      <c r="CD59" s="16">
        <f t="shared" si="61"/>
        <v>0</v>
      </c>
      <c r="CE59" s="16">
        <f t="shared" si="61"/>
        <v>0</v>
      </c>
      <c r="CF59" s="16">
        <f t="shared" si="61"/>
        <v>0</v>
      </c>
      <c r="CG59" s="16">
        <f t="shared" si="61"/>
        <v>0</v>
      </c>
      <c r="CH59" s="16">
        <f t="shared" si="61"/>
        <v>0</v>
      </c>
      <c r="CI59" s="16">
        <f t="shared" si="61"/>
        <v>0</v>
      </c>
      <c r="CJ59" s="16">
        <f t="shared" si="61"/>
        <v>0</v>
      </c>
      <c r="CK59" s="16">
        <f t="shared" si="61"/>
        <v>0</v>
      </c>
      <c r="CL59" s="16">
        <f t="shared" si="61"/>
        <v>0</v>
      </c>
      <c r="CM59" s="16">
        <f t="shared" si="61"/>
        <v>0</v>
      </c>
      <c r="CN59" s="16">
        <f t="shared" si="61"/>
        <v>0</v>
      </c>
      <c r="CO59" s="16">
        <f t="shared" si="61"/>
        <v>0</v>
      </c>
      <c r="CP59" s="16">
        <f t="shared" si="61"/>
        <v>0</v>
      </c>
      <c r="CQ59" s="16">
        <f t="shared" si="61"/>
        <v>0</v>
      </c>
      <c r="CR59" s="16">
        <f t="shared" si="61"/>
        <v>0</v>
      </c>
      <c r="CS59" s="16">
        <f t="shared" si="61"/>
        <v>0</v>
      </c>
      <c r="CT59" s="16">
        <f t="shared" si="61"/>
        <v>0</v>
      </c>
      <c r="CU59" s="17">
        <f t="shared" si="61"/>
        <v>0</v>
      </c>
      <c r="CV59" s="38"/>
    </row>
    <row r="60" spans="1:100" ht="15.75" x14ac:dyDescent="0.25">
      <c r="A60" s="13" t="s">
        <v>1</v>
      </c>
      <c r="B60" s="14" t="s">
        <v>1</v>
      </c>
      <c r="C60" s="14" t="s">
        <v>73</v>
      </c>
      <c r="D60" s="30" t="s">
        <v>74</v>
      </c>
      <c r="E60" s="15">
        <f>SUM(F60+BY60+CR60)</f>
        <v>6390737</v>
      </c>
      <c r="F60" s="16">
        <f>SUM(G60+BA60)</f>
        <v>6302275</v>
      </c>
      <c r="G60" s="16">
        <f>SUM(H60+I60+J60+Q60+T60+U60+V60+AE60)</f>
        <v>6274670</v>
      </c>
      <c r="H60" s="16">
        <v>5004302</v>
      </c>
      <c r="I60" s="16">
        <v>368278</v>
      </c>
      <c r="J60" s="16">
        <f t="shared" si="7"/>
        <v>465863</v>
      </c>
      <c r="K60" s="16">
        <v>0</v>
      </c>
      <c r="L60" s="16">
        <v>14944</v>
      </c>
      <c r="M60" s="16">
        <v>0</v>
      </c>
      <c r="N60" s="16">
        <v>0</v>
      </c>
      <c r="O60" s="16">
        <v>408737</v>
      </c>
      <c r="P60" s="16">
        <v>42182</v>
      </c>
      <c r="Q60" s="16">
        <f t="shared" si="8"/>
        <v>0</v>
      </c>
      <c r="R60" s="16">
        <v>0</v>
      </c>
      <c r="S60" s="16">
        <v>0</v>
      </c>
      <c r="T60" s="16">
        <v>0</v>
      </c>
      <c r="U60" s="16">
        <v>158926</v>
      </c>
      <c r="V60" s="16">
        <f>SUM(W60:AD60)</f>
        <v>29813</v>
      </c>
      <c r="W60" s="16">
        <v>13373</v>
      </c>
      <c r="X60" s="16">
        <v>0</v>
      </c>
      <c r="Y60" s="16">
        <f>8776+180+3983</f>
        <v>12939</v>
      </c>
      <c r="Z60" s="16">
        <f>1202</f>
        <v>1202</v>
      </c>
      <c r="AA60" s="16">
        <v>0</v>
      </c>
      <c r="AB60" s="16">
        <v>0</v>
      </c>
      <c r="AC60" s="16">
        <v>0</v>
      </c>
      <c r="AD60" s="16">
        <f>2299</f>
        <v>2299</v>
      </c>
      <c r="AE60" s="16">
        <f>SUM(AF60:AZ60)</f>
        <v>247488</v>
      </c>
      <c r="AF60" s="16">
        <v>0</v>
      </c>
      <c r="AG60" s="16">
        <v>150</v>
      </c>
      <c r="AH60" s="16">
        <v>8508</v>
      </c>
      <c r="AI60" s="16">
        <v>0</v>
      </c>
      <c r="AJ60" s="16">
        <v>11160</v>
      </c>
      <c r="AK60" s="16">
        <v>0</v>
      </c>
      <c r="AL60" s="16">
        <v>44231</v>
      </c>
      <c r="AM60" s="16">
        <v>0</v>
      </c>
      <c r="AN60" s="16">
        <v>33756</v>
      </c>
      <c r="AO60" s="16">
        <v>0</v>
      </c>
      <c r="AP60" s="16">
        <v>0</v>
      </c>
      <c r="AQ60" s="16">
        <v>0</v>
      </c>
      <c r="AR60" s="16">
        <v>71948</v>
      </c>
      <c r="AS60" s="16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6">
        <f>77735</f>
        <v>77735</v>
      </c>
      <c r="BA60" s="16">
        <f>SUM(BB60+BF60+BI60+BJ60+BK60+BM60)</f>
        <v>27605</v>
      </c>
      <c r="BB60" s="16">
        <f>SUM(BC60:BE60)</f>
        <v>0</v>
      </c>
      <c r="BC60" s="16">
        <v>0</v>
      </c>
      <c r="BD60" s="16">
        <v>0</v>
      </c>
      <c r="BE60" s="16">
        <v>0</v>
      </c>
      <c r="BF60" s="16">
        <f t="shared" si="9"/>
        <v>0</v>
      </c>
      <c r="BG60" s="16">
        <v>0</v>
      </c>
      <c r="BH60" s="16">
        <v>0</v>
      </c>
      <c r="BI60" s="16">
        <v>0</v>
      </c>
      <c r="BJ60" s="16">
        <v>0</v>
      </c>
      <c r="BK60" s="16">
        <f t="shared" si="10"/>
        <v>0</v>
      </c>
      <c r="BL60" s="16">
        <v>0</v>
      </c>
      <c r="BM60" s="16">
        <f t="shared" si="11"/>
        <v>27605</v>
      </c>
      <c r="BN60" s="16">
        <v>0</v>
      </c>
      <c r="BO60" s="16">
        <v>0</v>
      </c>
      <c r="BP60" s="16">
        <v>0</v>
      </c>
      <c r="BQ60" s="16">
        <v>0</v>
      </c>
      <c r="BR60" s="16">
        <v>0</v>
      </c>
      <c r="BS60" s="16">
        <v>0</v>
      </c>
      <c r="BT60" s="16">
        <v>0</v>
      </c>
      <c r="BU60" s="16">
        <v>0</v>
      </c>
      <c r="BV60" s="16">
        <v>0</v>
      </c>
      <c r="BW60" s="16">
        <v>27605</v>
      </c>
      <c r="BX60" s="16">
        <v>0</v>
      </c>
      <c r="BY60" s="16">
        <f>SUM(BZ60+CQ60)</f>
        <v>88462</v>
      </c>
      <c r="BZ60" s="16">
        <f>SUM(CA60+CD60+CJ60)</f>
        <v>88462</v>
      </c>
      <c r="CA60" s="16">
        <f t="shared" si="12"/>
        <v>88462</v>
      </c>
      <c r="CB60" s="16">
        <v>0</v>
      </c>
      <c r="CC60" s="16">
        <v>88462</v>
      </c>
      <c r="CD60" s="16">
        <f>SUM(CE60:CH60)</f>
        <v>0</v>
      </c>
      <c r="CE60" s="16">
        <v>0</v>
      </c>
      <c r="CF60" s="16">
        <v>0</v>
      </c>
      <c r="CG60" s="16">
        <v>0</v>
      </c>
      <c r="CH60" s="16">
        <v>0</v>
      </c>
      <c r="CI60" s="16">
        <v>0</v>
      </c>
      <c r="CJ60" s="16">
        <f>SUM(CK60:CN60)</f>
        <v>0</v>
      </c>
      <c r="CK60" s="16">
        <v>0</v>
      </c>
      <c r="CL60" s="16">
        <v>0</v>
      </c>
      <c r="CM60" s="16">
        <v>0</v>
      </c>
      <c r="CN60" s="16">
        <v>0</v>
      </c>
      <c r="CO60" s="16">
        <v>0</v>
      </c>
      <c r="CP60" s="16">
        <v>0</v>
      </c>
      <c r="CQ60" s="16">
        <v>0</v>
      </c>
      <c r="CR60" s="16">
        <f t="shared" si="13"/>
        <v>0</v>
      </c>
      <c r="CS60" s="16">
        <f t="shared" si="14"/>
        <v>0</v>
      </c>
      <c r="CT60" s="16">
        <v>0</v>
      </c>
      <c r="CU60" s="17">
        <v>0</v>
      </c>
      <c r="CV60" s="38"/>
    </row>
    <row r="61" spans="1:100" ht="15.75" x14ac:dyDescent="0.25">
      <c r="A61" s="13" t="s">
        <v>7</v>
      </c>
      <c r="B61" s="14" t="s">
        <v>57</v>
      </c>
      <c r="C61" s="14" t="s">
        <v>1</v>
      </c>
      <c r="D61" s="30" t="s">
        <v>75</v>
      </c>
      <c r="E61" s="15">
        <f t="shared" ref="E61:AJ61" si="62">SUM(E62)</f>
        <v>524239</v>
      </c>
      <c r="F61" s="16">
        <f t="shared" si="62"/>
        <v>524239</v>
      </c>
      <c r="G61" s="16">
        <f t="shared" si="62"/>
        <v>524239</v>
      </c>
      <c r="H61" s="16">
        <f t="shared" si="62"/>
        <v>0</v>
      </c>
      <c r="I61" s="16">
        <f t="shared" si="62"/>
        <v>0</v>
      </c>
      <c r="J61" s="16">
        <f t="shared" si="62"/>
        <v>0</v>
      </c>
      <c r="K61" s="16">
        <f t="shared" si="62"/>
        <v>0</v>
      </c>
      <c r="L61" s="16">
        <f t="shared" si="62"/>
        <v>0</v>
      </c>
      <c r="M61" s="16">
        <f t="shared" si="62"/>
        <v>0</v>
      </c>
      <c r="N61" s="16">
        <f t="shared" si="62"/>
        <v>0</v>
      </c>
      <c r="O61" s="16">
        <f t="shared" si="62"/>
        <v>0</v>
      </c>
      <c r="P61" s="16">
        <f t="shared" si="62"/>
        <v>0</v>
      </c>
      <c r="Q61" s="16">
        <f t="shared" si="62"/>
        <v>0</v>
      </c>
      <c r="R61" s="16">
        <f t="shared" si="62"/>
        <v>0</v>
      </c>
      <c r="S61" s="16">
        <f t="shared" si="62"/>
        <v>0</v>
      </c>
      <c r="T61" s="16">
        <f t="shared" si="62"/>
        <v>0</v>
      </c>
      <c r="U61" s="16">
        <f t="shared" si="62"/>
        <v>0</v>
      </c>
      <c r="V61" s="16">
        <f t="shared" si="62"/>
        <v>0</v>
      </c>
      <c r="W61" s="16">
        <f t="shared" si="62"/>
        <v>0</v>
      </c>
      <c r="X61" s="16">
        <f t="shared" si="62"/>
        <v>0</v>
      </c>
      <c r="Y61" s="16">
        <f t="shared" si="62"/>
        <v>0</v>
      </c>
      <c r="Z61" s="16">
        <f t="shared" si="62"/>
        <v>0</v>
      </c>
      <c r="AA61" s="16">
        <f t="shared" si="62"/>
        <v>0</v>
      </c>
      <c r="AB61" s="16">
        <f t="shared" si="62"/>
        <v>0</v>
      </c>
      <c r="AC61" s="16">
        <f t="shared" si="62"/>
        <v>0</v>
      </c>
      <c r="AD61" s="16">
        <f t="shared" si="62"/>
        <v>0</v>
      </c>
      <c r="AE61" s="16">
        <f t="shared" si="62"/>
        <v>524239</v>
      </c>
      <c r="AF61" s="16">
        <f t="shared" si="62"/>
        <v>0</v>
      </c>
      <c r="AG61" s="16">
        <f t="shared" si="62"/>
        <v>0</v>
      </c>
      <c r="AH61" s="16">
        <f t="shared" si="62"/>
        <v>0</v>
      </c>
      <c r="AI61" s="16">
        <f t="shared" si="62"/>
        <v>0</v>
      </c>
      <c r="AJ61" s="16">
        <f t="shared" si="62"/>
        <v>0</v>
      </c>
      <c r="AK61" s="16">
        <f t="shared" ref="AK61:BR61" si="63">SUM(AK62)</f>
        <v>0</v>
      </c>
      <c r="AL61" s="16">
        <f t="shared" si="63"/>
        <v>0</v>
      </c>
      <c r="AM61" s="16">
        <f t="shared" si="63"/>
        <v>0</v>
      </c>
      <c r="AN61" s="16">
        <f t="shared" si="63"/>
        <v>0</v>
      </c>
      <c r="AO61" s="16">
        <f t="shared" si="63"/>
        <v>0</v>
      </c>
      <c r="AP61" s="16">
        <f t="shared" si="63"/>
        <v>0</v>
      </c>
      <c r="AQ61" s="16">
        <f t="shared" si="63"/>
        <v>0</v>
      </c>
      <c r="AR61" s="16">
        <f t="shared" si="63"/>
        <v>0</v>
      </c>
      <c r="AS61" s="16">
        <f t="shared" si="63"/>
        <v>0</v>
      </c>
      <c r="AT61" s="16">
        <f t="shared" si="63"/>
        <v>524239</v>
      </c>
      <c r="AU61" s="16">
        <f t="shared" si="63"/>
        <v>0</v>
      </c>
      <c r="AV61" s="16">
        <f t="shared" si="63"/>
        <v>0</v>
      </c>
      <c r="AW61" s="16">
        <f t="shared" si="63"/>
        <v>0</v>
      </c>
      <c r="AX61" s="16">
        <f t="shared" si="63"/>
        <v>0</v>
      </c>
      <c r="AY61" s="16">
        <f t="shared" si="63"/>
        <v>0</v>
      </c>
      <c r="AZ61" s="16">
        <f t="shared" si="63"/>
        <v>0</v>
      </c>
      <c r="BA61" s="16">
        <f t="shared" si="63"/>
        <v>0</v>
      </c>
      <c r="BB61" s="16">
        <f t="shared" si="63"/>
        <v>0</v>
      </c>
      <c r="BC61" s="16">
        <f t="shared" si="63"/>
        <v>0</v>
      </c>
      <c r="BD61" s="16">
        <f t="shared" si="63"/>
        <v>0</v>
      </c>
      <c r="BE61" s="16">
        <f t="shared" si="63"/>
        <v>0</v>
      </c>
      <c r="BF61" s="16">
        <f t="shared" si="63"/>
        <v>0</v>
      </c>
      <c r="BG61" s="16">
        <f t="shared" si="63"/>
        <v>0</v>
      </c>
      <c r="BH61" s="16">
        <f t="shared" si="63"/>
        <v>0</v>
      </c>
      <c r="BI61" s="16">
        <f t="shared" si="63"/>
        <v>0</v>
      </c>
      <c r="BJ61" s="16">
        <f t="shared" si="63"/>
        <v>0</v>
      </c>
      <c r="BK61" s="16">
        <f t="shared" si="63"/>
        <v>0</v>
      </c>
      <c r="BL61" s="16">
        <f t="shared" si="63"/>
        <v>0</v>
      </c>
      <c r="BM61" s="16">
        <f t="shared" si="63"/>
        <v>0</v>
      </c>
      <c r="BN61" s="16">
        <f t="shared" si="63"/>
        <v>0</v>
      </c>
      <c r="BO61" s="16">
        <f t="shared" si="63"/>
        <v>0</v>
      </c>
      <c r="BP61" s="16">
        <f t="shared" si="63"/>
        <v>0</v>
      </c>
      <c r="BQ61" s="16">
        <f t="shared" si="63"/>
        <v>0</v>
      </c>
      <c r="BR61" s="16">
        <f t="shared" si="63"/>
        <v>0</v>
      </c>
      <c r="BS61" s="16">
        <f t="shared" ref="BS61:CU61" si="64">SUM(BS62)</f>
        <v>0</v>
      </c>
      <c r="BT61" s="16">
        <f t="shared" si="64"/>
        <v>0</v>
      </c>
      <c r="BU61" s="16">
        <f t="shared" si="64"/>
        <v>0</v>
      </c>
      <c r="BV61" s="16">
        <f t="shared" si="64"/>
        <v>0</v>
      </c>
      <c r="BW61" s="16">
        <f t="shared" si="64"/>
        <v>0</v>
      </c>
      <c r="BX61" s="16">
        <f t="shared" si="64"/>
        <v>0</v>
      </c>
      <c r="BY61" s="16">
        <f t="shared" si="64"/>
        <v>0</v>
      </c>
      <c r="BZ61" s="16">
        <f t="shared" si="64"/>
        <v>0</v>
      </c>
      <c r="CA61" s="16">
        <f t="shared" si="64"/>
        <v>0</v>
      </c>
      <c r="CB61" s="16">
        <f t="shared" si="64"/>
        <v>0</v>
      </c>
      <c r="CC61" s="16">
        <f t="shared" si="64"/>
        <v>0</v>
      </c>
      <c r="CD61" s="16">
        <f t="shared" si="64"/>
        <v>0</v>
      </c>
      <c r="CE61" s="16">
        <f t="shared" si="64"/>
        <v>0</v>
      </c>
      <c r="CF61" s="16">
        <f t="shared" si="64"/>
        <v>0</v>
      </c>
      <c r="CG61" s="16">
        <f t="shared" si="64"/>
        <v>0</v>
      </c>
      <c r="CH61" s="16">
        <f t="shared" si="64"/>
        <v>0</v>
      </c>
      <c r="CI61" s="16">
        <f t="shared" si="64"/>
        <v>0</v>
      </c>
      <c r="CJ61" s="16">
        <f t="shared" si="64"/>
        <v>0</v>
      </c>
      <c r="CK61" s="16">
        <f t="shared" si="64"/>
        <v>0</v>
      </c>
      <c r="CL61" s="16">
        <f t="shared" si="64"/>
        <v>0</v>
      </c>
      <c r="CM61" s="16">
        <f t="shared" si="64"/>
        <v>0</v>
      </c>
      <c r="CN61" s="16">
        <f t="shared" si="64"/>
        <v>0</v>
      </c>
      <c r="CO61" s="16">
        <f t="shared" si="64"/>
        <v>0</v>
      </c>
      <c r="CP61" s="16">
        <f t="shared" si="64"/>
        <v>0</v>
      </c>
      <c r="CQ61" s="16">
        <f t="shared" si="64"/>
        <v>0</v>
      </c>
      <c r="CR61" s="16">
        <f t="shared" si="64"/>
        <v>0</v>
      </c>
      <c r="CS61" s="16">
        <f t="shared" si="64"/>
        <v>0</v>
      </c>
      <c r="CT61" s="16">
        <f t="shared" si="64"/>
        <v>0</v>
      </c>
      <c r="CU61" s="17">
        <f t="shared" si="64"/>
        <v>0</v>
      </c>
      <c r="CV61" s="38"/>
    </row>
    <row r="62" spans="1:100" ht="15.75" x14ac:dyDescent="0.25">
      <c r="A62" s="13" t="s">
        <v>1</v>
      </c>
      <c r="B62" s="14" t="s">
        <v>1</v>
      </c>
      <c r="C62" s="14" t="s">
        <v>70</v>
      </c>
      <c r="D62" s="30" t="s">
        <v>76</v>
      </c>
      <c r="E62" s="15">
        <f>SUM(F62+BY62+CR62)</f>
        <v>524239</v>
      </c>
      <c r="F62" s="16">
        <f>SUM(G62+BA62)</f>
        <v>524239</v>
      </c>
      <c r="G62" s="16">
        <f>SUM(H62+I62+J62+Q62+T62+U62+V62+AE62)</f>
        <v>524239</v>
      </c>
      <c r="H62" s="16">
        <v>0</v>
      </c>
      <c r="I62" s="16">
        <v>0</v>
      </c>
      <c r="J62" s="16">
        <f t="shared" si="7"/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f t="shared" si="8"/>
        <v>0</v>
      </c>
      <c r="R62" s="16">
        <v>0</v>
      </c>
      <c r="S62" s="16">
        <v>0</v>
      </c>
      <c r="T62" s="16">
        <v>0</v>
      </c>
      <c r="U62" s="16">
        <v>0</v>
      </c>
      <c r="V62" s="16">
        <f>SUM(W62:AD62)</f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f>SUM(AF62:AZ62)</f>
        <v>524239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0</v>
      </c>
      <c r="AS62" s="16">
        <v>0</v>
      </c>
      <c r="AT62" s="16">
        <v>524239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f>SUM(BB62+BF62+BI62+BJ62+BK62+BM62)</f>
        <v>0</v>
      </c>
      <c r="BB62" s="16">
        <f>SUM(BC62:BE62)</f>
        <v>0</v>
      </c>
      <c r="BC62" s="16">
        <v>0</v>
      </c>
      <c r="BD62" s="16">
        <v>0</v>
      </c>
      <c r="BE62" s="16">
        <v>0</v>
      </c>
      <c r="BF62" s="16">
        <f t="shared" si="9"/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f t="shared" si="10"/>
        <v>0</v>
      </c>
      <c r="BL62" s="16">
        <v>0</v>
      </c>
      <c r="BM62" s="16">
        <f t="shared" si="11"/>
        <v>0</v>
      </c>
      <c r="BN62" s="16">
        <v>0</v>
      </c>
      <c r="BO62" s="16">
        <v>0</v>
      </c>
      <c r="BP62" s="16">
        <v>0</v>
      </c>
      <c r="BQ62" s="16">
        <v>0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f>SUM(BZ62+CQ62)</f>
        <v>0</v>
      </c>
      <c r="BZ62" s="16">
        <f>SUM(CA62+CD62+CJ62)</f>
        <v>0</v>
      </c>
      <c r="CA62" s="16">
        <f t="shared" si="12"/>
        <v>0</v>
      </c>
      <c r="CB62" s="16">
        <v>0</v>
      </c>
      <c r="CC62" s="16">
        <v>0</v>
      </c>
      <c r="CD62" s="16">
        <f>SUM(CE62:CH62)</f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f>SUM(CK62:CN62)</f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f t="shared" si="13"/>
        <v>0</v>
      </c>
      <c r="CS62" s="16">
        <f t="shared" si="14"/>
        <v>0</v>
      </c>
      <c r="CT62" s="16">
        <v>0</v>
      </c>
      <c r="CU62" s="17">
        <v>0</v>
      </c>
      <c r="CV62" s="38"/>
    </row>
    <row r="63" spans="1:100" ht="15.75" x14ac:dyDescent="0.25">
      <c r="A63" s="18" t="s">
        <v>77</v>
      </c>
      <c r="B63" s="19" t="s">
        <v>1</v>
      </c>
      <c r="C63" s="19" t="s">
        <v>1</v>
      </c>
      <c r="D63" s="31" t="s">
        <v>78</v>
      </c>
      <c r="E63" s="20">
        <f>SUM(E64+E66)</f>
        <v>5683420</v>
      </c>
      <c r="F63" s="21">
        <f t="shared" ref="F63:BS63" si="65">SUM(F64+F66)</f>
        <v>5643698</v>
      </c>
      <c r="G63" s="21">
        <f t="shared" si="65"/>
        <v>5643698</v>
      </c>
      <c r="H63" s="21">
        <f t="shared" si="65"/>
        <v>1947456</v>
      </c>
      <c r="I63" s="21">
        <f t="shared" si="65"/>
        <v>486864</v>
      </c>
      <c r="J63" s="21">
        <f t="shared" si="65"/>
        <v>69066</v>
      </c>
      <c r="K63" s="21">
        <f t="shared" si="65"/>
        <v>0</v>
      </c>
      <c r="L63" s="21">
        <f t="shared" si="65"/>
        <v>0</v>
      </c>
      <c r="M63" s="21">
        <f t="shared" si="65"/>
        <v>0</v>
      </c>
      <c r="N63" s="21">
        <f t="shared" si="65"/>
        <v>0</v>
      </c>
      <c r="O63" s="21">
        <f t="shared" si="65"/>
        <v>39576</v>
      </c>
      <c r="P63" s="21">
        <f t="shared" si="65"/>
        <v>29490</v>
      </c>
      <c r="Q63" s="21">
        <f t="shared" si="65"/>
        <v>610538</v>
      </c>
      <c r="R63" s="21">
        <f t="shared" si="65"/>
        <v>0</v>
      </c>
      <c r="S63" s="21">
        <f t="shared" si="65"/>
        <v>610538</v>
      </c>
      <c r="T63" s="21">
        <f t="shared" si="65"/>
        <v>0</v>
      </c>
      <c r="U63" s="21">
        <f t="shared" si="65"/>
        <v>71271</v>
      </c>
      <c r="V63" s="21">
        <f t="shared" si="65"/>
        <v>888553</v>
      </c>
      <c r="W63" s="21">
        <f t="shared" si="65"/>
        <v>18887</v>
      </c>
      <c r="X63" s="21">
        <f t="shared" si="65"/>
        <v>0</v>
      </c>
      <c r="Y63" s="21">
        <f t="shared" si="65"/>
        <v>0</v>
      </c>
      <c r="Z63" s="21">
        <f t="shared" si="65"/>
        <v>0</v>
      </c>
      <c r="AA63" s="21">
        <f t="shared" si="65"/>
        <v>0</v>
      </c>
      <c r="AB63" s="21">
        <f t="shared" si="65"/>
        <v>869666</v>
      </c>
      <c r="AC63" s="21">
        <f t="shared" si="65"/>
        <v>0</v>
      </c>
      <c r="AD63" s="21">
        <f t="shared" ref="AD63" si="66">SUM(AD64+AD66)</f>
        <v>0</v>
      </c>
      <c r="AE63" s="21">
        <f t="shared" si="65"/>
        <v>1569950</v>
      </c>
      <c r="AF63" s="21">
        <f t="shared" si="65"/>
        <v>289800</v>
      </c>
      <c r="AG63" s="21">
        <f t="shared" si="65"/>
        <v>0</v>
      </c>
      <c r="AH63" s="21">
        <f t="shared" si="65"/>
        <v>547</v>
      </c>
      <c r="AI63" s="21">
        <f t="shared" si="65"/>
        <v>0</v>
      </c>
      <c r="AJ63" s="21">
        <f t="shared" si="65"/>
        <v>6364</v>
      </c>
      <c r="AK63" s="21">
        <f t="shared" si="65"/>
        <v>0</v>
      </c>
      <c r="AL63" s="21">
        <f t="shared" si="65"/>
        <v>19861</v>
      </c>
      <c r="AM63" s="21">
        <f t="shared" si="65"/>
        <v>0</v>
      </c>
      <c r="AN63" s="21">
        <f t="shared" si="65"/>
        <v>475883</v>
      </c>
      <c r="AO63" s="21">
        <f t="shared" si="65"/>
        <v>0</v>
      </c>
      <c r="AP63" s="21">
        <f>SUM(AP64+AP66)</f>
        <v>0</v>
      </c>
      <c r="AQ63" s="21">
        <f t="shared" si="65"/>
        <v>0</v>
      </c>
      <c r="AR63" s="21">
        <f t="shared" si="65"/>
        <v>0</v>
      </c>
      <c r="AS63" s="21">
        <f t="shared" si="65"/>
        <v>0</v>
      </c>
      <c r="AT63" s="21">
        <f t="shared" si="65"/>
        <v>0</v>
      </c>
      <c r="AU63" s="21">
        <f t="shared" si="65"/>
        <v>0</v>
      </c>
      <c r="AV63" s="21">
        <f t="shared" si="65"/>
        <v>0</v>
      </c>
      <c r="AW63" s="21">
        <f t="shared" si="65"/>
        <v>0</v>
      </c>
      <c r="AX63" s="21">
        <f t="shared" si="65"/>
        <v>0</v>
      </c>
      <c r="AY63" s="21">
        <f t="shared" si="65"/>
        <v>0</v>
      </c>
      <c r="AZ63" s="21">
        <f t="shared" si="65"/>
        <v>777495</v>
      </c>
      <c r="BA63" s="21">
        <f t="shared" si="65"/>
        <v>0</v>
      </c>
      <c r="BB63" s="21">
        <f t="shared" si="65"/>
        <v>0</v>
      </c>
      <c r="BC63" s="21">
        <f t="shared" si="65"/>
        <v>0</v>
      </c>
      <c r="BD63" s="21">
        <f t="shared" si="65"/>
        <v>0</v>
      </c>
      <c r="BE63" s="21">
        <f t="shared" si="65"/>
        <v>0</v>
      </c>
      <c r="BF63" s="21">
        <f t="shared" si="65"/>
        <v>0</v>
      </c>
      <c r="BG63" s="21">
        <f t="shared" si="65"/>
        <v>0</v>
      </c>
      <c r="BH63" s="21">
        <f t="shared" si="65"/>
        <v>0</v>
      </c>
      <c r="BI63" s="21">
        <f t="shared" si="65"/>
        <v>0</v>
      </c>
      <c r="BJ63" s="21">
        <f t="shared" si="65"/>
        <v>0</v>
      </c>
      <c r="BK63" s="21">
        <f t="shared" si="65"/>
        <v>0</v>
      </c>
      <c r="BL63" s="21">
        <f t="shared" si="65"/>
        <v>0</v>
      </c>
      <c r="BM63" s="21">
        <f t="shared" si="65"/>
        <v>0</v>
      </c>
      <c r="BN63" s="21">
        <f t="shared" si="65"/>
        <v>0</v>
      </c>
      <c r="BO63" s="21">
        <f t="shared" si="65"/>
        <v>0</v>
      </c>
      <c r="BP63" s="21">
        <f t="shared" si="65"/>
        <v>0</v>
      </c>
      <c r="BQ63" s="21">
        <f t="shared" si="65"/>
        <v>0</v>
      </c>
      <c r="BR63" s="21">
        <f t="shared" si="65"/>
        <v>0</v>
      </c>
      <c r="BS63" s="21">
        <f t="shared" si="65"/>
        <v>0</v>
      </c>
      <c r="BT63" s="21">
        <f t="shared" ref="BT63:CU63" si="67">SUM(BT64+BT66)</f>
        <v>0</v>
      </c>
      <c r="BU63" s="21">
        <f t="shared" si="67"/>
        <v>0</v>
      </c>
      <c r="BV63" s="21">
        <f t="shared" si="67"/>
        <v>0</v>
      </c>
      <c r="BW63" s="21">
        <f t="shared" si="67"/>
        <v>0</v>
      </c>
      <c r="BX63" s="21">
        <f t="shared" si="67"/>
        <v>0</v>
      </c>
      <c r="BY63" s="21">
        <f t="shared" si="67"/>
        <v>39722</v>
      </c>
      <c r="BZ63" s="21">
        <f t="shared" si="67"/>
        <v>39722</v>
      </c>
      <c r="CA63" s="21">
        <f t="shared" si="67"/>
        <v>39722</v>
      </c>
      <c r="CB63" s="21">
        <f t="shared" si="67"/>
        <v>0</v>
      </c>
      <c r="CC63" s="21">
        <f t="shared" si="67"/>
        <v>39722</v>
      </c>
      <c r="CD63" s="21">
        <f t="shared" si="67"/>
        <v>0</v>
      </c>
      <c r="CE63" s="21">
        <f t="shared" si="67"/>
        <v>0</v>
      </c>
      <c r="CF63" s="21">
        <f t="shared" si="67"/>
        <v>0</v>
      </c>
      <c r="CG63" s="21">
        <f t="shared" si="67"/>
        <v>0</v>
      </c>
      <c r="CH63" s="21">
        <f t="shared" si="67"/>
        <v>0</v>
      </c>
      <c r="CI63" s="21">
        <f t="shared" ref="CI63" si="68">SUM(CI64+CI66)</f>
        <v>0</v>
      </c>
      <c r="CJ63" s="21">
        <f t="shared" si="67"/>
        <v>0</v>
      </c>
      <c r="CK63" s="21">
        <f t="shared" si="67"/>
        <v>0</v>
      </c>
      <c r="CL63" s="21">
        <f t="shared" si="67"/>
        <v>0</v>
      </c>
      <c r="CM63" s="21">
        <f t="shared" si="67"/>
        <v>0</v>
      </c>
      <c r="CN63" s="21">
        <f t="shared" si="67"/>
        <v>0</v>
      </c>
      <c r="CO63" s="21">
        <f t="shared" si="67"/>
        <v>0</v>
      </c>
      <c r="CP63" s="21">
        <f t="shared" si="67"/>
        <v>0</v>
      </c>
      <c r="CQ63" s="21">
        <f t="shared" si="67"/>
        <v>0</v>
      </c>
      <c r="CR63" s="21">
        <f t="shared" si="67"/>
        <v>0</v>
      </c>
      <c r="CS63" s="21">
        <f t="shared" si="67"/>
        <v>0</v>
      </c>
      <c r="CT63" s="21">
        <f t="shared" si="67"/>
        <v>0</v>
      </c>
      <c r="CU63" s="22">
        <f t="shared" si="67"/>
        <v>0</v>
      </c>
      <c r="CV63" s="38"/>
    </row>
    <row r="64" spans="1:100" ht="15.75" x14ac:dyDescent="0.25">
      <c r="A64" s="13" t="s">
        <v>15</v>
      </c>
      <c r="B64" s="14" t="s">
        <v>3</v>
      </c>
      <c r="C64" s="14" t="s">
        <v>1</v>
      </c>
      <c r="D64" s="30" t="s">
        <v>79</v>
      </c>
      <c r="E64" s="15">
        <f t="shared" ref="E64:AJ64" si="69">SUM(E65)</f>
        <v>4933420</v>
      </c>
      <c r="F64" s="16">
        <f t="shared" si="69"/>
        <v>4893698</v>
      </c>
      <c r="G64" s="16">
        <f t="shared" si="69"/>
        <v>4893698</v>
      </c>
      <c r="H64" s="16">
        <f t="shared" si="69"/>
        <v>1947456</v>
      </c>
      <c r="I64" s="16">
        <f t="shared" si="69"/>
        <v>486864</v>
      </c>
      <c r="J64" s="16">
        <f t="shared" si="69"/>
        <v>69066</v>
      </c>
      <c r="K64" s="16">
        <f t="shared" si="69"/>
        <v>0</v>
      </c>
      <c r="L64" s="16">
        <f t="shared" si="69"/>
        <v>0</v>
      </c>
      <c r="M64" s="16">
        <f t="shared" si="69"/>
        <v>0</v>
      </c>
      <c r="N64" s="16">
        <f t="shared" si="69"/>
        <v>0</v>
      </c>
      <c r="O64" s="16">
        <f t="shared" si="69"/>
        <v>39576</v>
      </c>
      <c r="P64" s="16">
        <f t="shared" si="69"/>
        <v>29490</v>
      </c>
      <c r="Q64" s="16">
        <f t="shared" si="69"/>
        <v>610538</v>
      </c>
      <c r="R64" s="16">
        <f t="shared" si="69"/>
        <v>0</v>
      </c>
      <c r="S64" s="16">
        <f t="shared" si="69"/>
        <v>610538</v>
      </c>
      <c r="T64" s="16">
        <f t="shared" si="69"/>
        <v>0</v>
      </c>
      <c r="U64" s="16">
        <f t="shared" si="69"/>
        <v>71271</v>
      </c>
      <c r="V64" s="16">
        <f t="shared" si="69"/>
        <v>888553</v>
      </c>
      <c r="W64" s="16">
        <f t="shared" si="69"/>
        <v>18887</v>
      </c>
      <c r="X64" s="16">
        <f t="shared" si="69"/>
        <v>0</v>
      </c>
      <c r="Y64" s="16">
        <f t="shared" si="69"/>
        <v>0</v>
      </c>
      <c r="Z64" s="16">
        <f t="shared" si="69"/>
        <v>0</v>
      </c>
      <c r="AA64" s="16">
        <f t="shared" si="69"/>
        <v>0</v>
      </c>
      <c r="AB64" s="16">
        <f t="shared" si="69"/>
        <v>869666</v>
      </c>
      <c r="AC64" s="16">
        <f t="shared" si="69"/>
        <v>0</v>
      </c>
      <c r="AD64" s="16">
        <f t="shared" si="69"/>
        <v>0</v>
      </c>
      <c r="AE64" s="16">
        <f t="shared" si="69"/>
        <v>819950</v>
      </c>
      <c r="AF64" s="16">
        <f t="shared" si="69"/>
        <v>289800</v>
      </c>
      <c r="AG64" s="16">
        <f t="shared" si="69"/>
        <v>0</v>
      </c>
      <c r="AH64" s="16">
        <f t="shared" si="69"/>
        <v>547</v>
      </c>
      <c r="AI64" s="16">
        <f t="shared" si="69"/>
        <v>0</v>
      </c>
      <c r="AJ64" s="16">
        <f t="shared" si="69"/>
        <v>6364</v>
      </c>
      <c r="AK64" s="16">
        <f t="shared" ref="AK64:BR64" si="70">SUM(AK65)</f>
        <v>0</v>
      </c>
      <c r="AL64" s="16">
        <f t="shared" si="70"/>
        <v>19861</v>
      </c>
      <c r="AM64" s="16">
        <f t="shared" si="70"/>
        <v>0</v>
      </c>
      <c r="AN64" s="16">
        <f t="shared" si="70"/>
        <v>475883</v>
      </c>
      <c r="AO64" s="16">
        <f t="shared" si="70"/>
        <v>0</v>
      </c>
      <c r="AP64" s="16">
        <f t="shared" si="70"/>
        <v>0</v>
      </c>
      <c r="AQ64" s="16">
        <f t="shared" si="70"/>
        <v>0</v>
      </c>
      <c r="AR64" s="16">
        <f t="shared" si="70"/>
        <v>0</v>
      </c>
      <c r="AS64" s="16">
        <f t="shared" si="70"/>
        <v>0</v>
      </c>
      <c r="AT64" s="16">
        <f t="shared" si="70"/>
        <v>0</v>
      </c>
      <c r="AU64" s="16">
        <f t="shared" si="70"/>
        <v>0</v>
      </c>
      <c r="AV64" s="16">
        <f t="shared" si="70"/>
        <v>0</v>
      </c>
      <c r="AW64" s="16">
        <f t="shared" si="70"/>
        <v>0</v>
      </c>
      <c r="AX64" s="16">
        <f t="shared" si="70"/>
        <v>0</v>
      </c>
      <c r="AY64" s="16">
        <f t="shared" si="70"/>
        <v>0</v>
      </c>
      <c r="AZ64" s="16">
        <f t="shared" si="70"/>
        <v>27495</v>
      </c>
      <c r="BA64" s="16">
        <f t="shared" si="70"/>
        <v>0</v>
      </c>
      <c r="BB64" s="16">
        <f t="shared" si="70"/>
        <v>0</v>
      </c>
      <c r="BC64" s="16">
        <f t="shared" si="70"/>
        <v>0</v>
      </c>
      <c r="BD64" s="16">
        <f t="shared" si="70"/>
        <v>0</v>
      </c>
      <c r="BE64" s="16">
        <f t="shared" si="70"/>
        <v>0</v>
      </c>
      <c r="BF64" s="16">
        <f t="shared" si="70"/>
        <v>0</v>
      </c>
      <c r="BG64" s="16">
        <f t="shared" si="70"/>
        <v>0</v>
      </c>
      <c r="BH64" s="16">
        <f t="shared" si="70"/>
        <v>0</v>
      </c>
      <c r="BI64" s="16">
        <f t="shared" si="70"/>
        <v>0</v>
      </c>
      <c r="BJ64" s="16">
        <f t="shared" si="70"/>
        <v>0</v>
      </c>
      <c r="BK64" s="16">
        <f t="shared" si="70"/>
        <v>0</v>
      </c>
      <c r="BL64" s="16">
        <f t="shared" si="70"/>
        <v>0</v>
      </c>
      <c r="BM64" s="16">
        <f t="shared" si="70"/>
        <v>0</v>
      </c>
      <c r="BN64" s="16">
        <f t="shared" si="70"/>
        <v>0</v>
      </c>
      <c r="BO64" s="16">
        <f t="shared" si="70"/>
        <v>0</v>
      </c>
      <c r="BP64" s="16">
        <f t="shared" si="70"/>
        <v>0</v>
      </c>
      <c r="BQ64" s="16">
        <f t="shared" si="70"/>
        <v>0</v>
      </c>
      <c r="BR64" s="16">
        <f t="shared" si="70"/>
        <v>0</v>
      </c>
      <c r="BS64" s="16">
        <f t="shared" ref="BS64:CU64" si="71">SUM(BS65)</f>
        <v>0</v>
      </c>
      <c r="BT64" s="16">
        <f t="shared" si="71"/>
        <v>0</v>
      </c>
      <c r="BU64" s="16">
        <f t="shared" si="71"/>
        <v>0</v>
      </c>
      <c r="BV64" s="16">
        <f t="shared" si="71"/>
        <v>0</v>
      </c>
      <c r="BW64" s="16">
        <f t="shared" si="71"/>
        <v>0</v>
      </c>
      <c r="BX64" s="16">
        <f t="shared" si="71"/>
        <v>0</v>
      </c>
      <c r="BY64" s="16">
        <f t="shared" si="71"/>
        <v>39722</v>
      </c>
      <c r="BZ64" s="16">
        <f t="shared" si="71"/>
        <v>39722</v>
      </c>
      <c r="CA64" s="16">
        <f t="shared" si="71"/>
        <v>39722</v>
      </c>
      <c r="CB64" s="16">
        <f t="shared" si="71"/>
        <v>0</v>
      </c>
      <c r="CC64" s="16">
        <f t="shared" si="71"/>
        <v>39722</v>
      </c>
      <c r="CD64" s="16">
        <f t="shared" si="71"/>
        <v>0</v>
      </c>
      <c r="CE64" s="16">
        <f t="shared" si="71"/>
        <v>0</v>
      </c>
      <c r="CF64" s="16">
        <f t="shared" si="71"/>
        <v>0</v>
      </c>
      <c r="CG64" s="16">
        <f t="shared" si="71"/>
        <v>0</v>
      </c>
      <c r="CH64" s="16">
        <f t="shared" si="71"/>
        <v>0</v>
      </c>
      <c r="CI64" s="16">
        <f t="shared" si="71"/>
        <v>0</v>
      </c>
      <c r="CJ64" s="16">
        <f t="shared" si="71"/>
        <v>0</v>
      </c>
      <c r="CK64" s="16">
        <f t="shared" si="71"/>
        <v>0</v>
      </c>
      <c r="CL64" s="16">
        <f t="shared" si="71"/>
        <v>0</v>
      </c>
      <c r="CM64" s="16">
        <f t="shared" si="71"/>
        <v>0</v>
      </c>
      <c r="CN64" s="16">
        <f t="shared" si="71"/>
        <v>0</v>
      </c>
      <c r="CO64" s="16">
        <f t="shared" si="71"/>
        <v>0</v>
      </c>
      <c r="CP64" s="16">
        <f t="shared" si="71"/>
        <v>0</v>
      </c>
      <c r="CQ64" s="16">
        <f t="shared" si="71"/>
        <v>0</v>
      </c>
      <c r="CR64" s="16">
        <f t="shared" si="71"/>
        <v>0</v>
      </c>
      <c r="CS64" s="16">
        <f t="shared" si="71"/>
        <v>0</v>
      </c>
      <c r="CT64" s="16">
        <f t="shared" si="71"/>
        <v>0</v>
      </c>
      <c r="CU64" s="17">
        <f t="shared" si="71"/>
        <v>0</v>
      </c>
      <c r="CV64" s="38"/>
    </row>
    <row r="65" spans="1:100" ht="31.5" x14ac:dyDescent="0.25">
      <c r="A65" s="13" t="s">
        <v>1</v>
      </c>
      <c r="B65" s="14" t="s">
        <v>1</v>
      </c>
      <c r="C65" s="14" t="s">
        <v>27</v>
      </c>
      <c r="D65" s="30" t="s">
        <v>80</v>
      </c>
      <c r="E65" s="15">
        <f>SUM(F65+BY65+CR65)</f>
        <v>4933420</v>
      </c>
      <c r="F65" s="16">
        <f>SUM(G65+BA65)</f>
        <v>4893698</v>
      </c>
      <c r="G65" s="16">
        <f>SUM(H65+I65+J65+Q65+T65+U65+V65+AE65)</f>
        <v>4893698</v>
      </c>
      <c r="H65" s="16">
        <v>1947456</v>
      </c>
      <c r="I65" s="16">
        <v>486864</v>
      </c>
      <c r="J65" s="16">
        <f t="shared" si="7"/>
        <v>69066</v>
      </c>
      <c r="K65" s="16">
        <v>0</v>
      </c>
      <c r="L65" s="16">
        <v>0</v>
      </c>
      <c r="M65" s="16">
        <v>0</v>
      </c>
      <c r="N65" s="16">
        <v>0</v>
      </c>
      <c r="O65" s="16">
        <v>39576</v>
      </c>
      <c r="P65" s="16">
        <v>29490</v>
      </c>
      <c r="Q65" s="16">
        <f t="shared" si="8"/>
        <v>610538</v>
      </c>
      <c r="R65" s="16">
        <v>0</v>
      </c>
      <c r="S65" s="16">
        <v>610538</v>
      </c>
      <c r="T65" s="16">
        <v>0</v>
      </c>
      <c r="U65" s="16">
        <v>71271</v>
      </c>
      <c r="V65" s="16">
        <f>SUM(W65:AD65)</f>
        <v>888553</v>
      </c>
      <c r="W65" s="16">
        <v>18887</v>
      </c>
      <c r="X65" s="16">
        <v>0</v>
      </c>
      <c r="Y65" s="16">
        <v>0</v>
      </c>
      <c r="Z65" s="16">
        <v>0</v>
      </c>
      <c r="AA65" s="16">
        <v>0</v>
      </c>
      <c r="AB65" s="16">
        <v>869666</v>
      </c>
      <c r="AC65" s="16">
        <v>0</v>
      </c>
      <c r="AD65" s="16">
        <v>0</v>
      </c>
      <c r="AE65" s="16">
        <f>SUM(AF65:AZ65)</f>
        <v>819950</v>
      </c>
      <c r="AF65" s="16">
        <v>289800</v>
      </c>
      <c r="AG65" s="16">
        <v>0</v>
      </c>
      <c r="AH65" s="16">
        <v>547</v>
      </c>
      <c r="AI65" s="16">
        <v>0</v>
      </c>
      <c r="AJ65" s="16">
        <v>6364</v>
      </c>
      <c r="AK65" s="16">
        <v>0</v>
      </c>
      <c r="AL65" s="16">
        <v>19861</v>
      </c>
      <c r="AM65" s="16">
        <v>0</v>
      </c>
      <c r="AN65" s="16">
        <v>475883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6">
        <v>27495</v>
      </c>
      <c r="BA65" s="16">
        <f>SUM(BB65+BF65+BI65+BJ65+BK65+BM65)</f>
        <v>0</v>
      </c>
      <c r="BB65" s="16">
        <f>SUM(BC65:BE65)</f>
        <v>0</v>
      </c>
      <c r="BC65" s="16">
        <v>0</v>
      </c>
      <c r="BD65" s="16">
        <v>0</v>
      </c>
      <c r="BE65" s="16">
        <v>0</v>
      </c>
      <c r="BF65" s="16">
        <f t="shared" si="9"/>
        <v>0</v>
      </c>
      <c r="BG65" s="16">
        <v>0</v>
      </c>
      <c r="BH65" s="16">
        <v>0</v>
      </c>
      <c r="BI65" s="16">
        <v>0</v>
      </c>
      <c r="BJ65" s="16">
        <v>0</v>
      </c>
      <c r="BK65" s="16">
        <f t="shared" si="10"/>
        <v>0</v>
      </c>
      <c r="BL65" s="16">
        <v>0</v>
      </c>
      <c r="BM65" s="16">
        <f t="shared" si="11"/>
        <v>0</v>
      </c>
      <c r="BN65" s="16">
        <v>0</v>
      </c>
      <c r="BO65" s="16">
        <v>0</v>
      </c>
      <c r="BP65" s="16">
        <v>0</v>
      </c>
      <c r="BQ65" s="16">
        <v>0</v>
      </c>
      <c r="BR65" s="16">
        <v>0</v>
      </c>
      <c r="BS65" s="16">
        <v>0</v>
      </c>
      <c r="BT65" s="16">
        <v>0</v>
      </c>
      <c r="BU65" s="16">
        <v>0</v>
      </c>
      <c r="BV65" s="16">
        <v>0</v>
      </c>
      <c r="BW65" s="16">
        <v>0</v>
      </c>
      <c r="BX65" s="16">
        <v>0</v>
      </c>
      <c r="BY65" s="16">
        <f>SUM(BZ65+CQ65)</f>
        <v>39722</v>
      </c>
      <c r="BZ65" s="16">
        <f>SUM(CA65+CD65+CJ65)</f>
        <v>39722</v>
      </c>
      <c r="CA65" s="16">
        <f t="shared" si="12"/>
        <v>39722</v>
      </c>
      <c r="CB65" s="16">
        <v>0</v>
      </c>
      <c r="CC65" s="16">
        <v>39722</v>
      </c>
      <c r="CD65" s="16">
        <f>SUM(CE65:CH65)</f>
        <v>0</v>
      </c>
      <c r="CE65" s="16">
        <v>0</v>
      </c>
      <c r="CF65" s="16">
        <v>0</v>
      </c>
      <c r="CG65" s="16">
        <v>0</v>
      </c>
      <c r="CH65" s="16">
        <v>0</v>
      </c>
      <c r="CI65" s="16">
        <v>0</v>
      </c>
      <c r="CJ65" s="16">
        <f>SUM(CK65:CN65)</f>
        <v>0</v>
      </c>
      <c r="CK65" s="16">
        <v>0</v>
      </c>
      <c r="CL65" s="16">
        <v>0</v>
      </c>
      <c r="CM65" s="16">
        <v>0</v>
      </c>
      <c r="CN65" s="16">
        <v>0</v>
      </c>
      <c r="CO65" s="16">
        <v>0</v>
      </c>
      <c r="CP65" s="16">
        <v>0</v>
      </c>
      <c r="CQ65" s="16">
        <v>0</v>
      </c>
      <c r="CR65" s="16">
        <f t="shared" si="13"/>
        <v>0</v>
      </c>
      <c r="CS65" s="16">
        <f t="shared" si="14"/>
        <v>0</v>
      </c>
      <c r="CT65" s="16">
        <v>0</v>
      </c>
      <c r="CU65" s="17">
        <v>0</v>
      </c>
      <c r="CV65" s="38"/>
    </row>
    <row r="66" spans="1:100" ht="15.75" x14ac:dyDescent="0.25">
      <c r="A66" s="13" t="s">
        <v>15</v>
      </c>
      <c r="B66" s="14" t="s">
        <v>15</v>
      </c>
      <c r="C66" s="14" t="s">
        <v>1</v>
      </c>
      <c r="D66" s="30" t="s">
        <v>81</v>
      </c>
      <c r="E66" s="15">
        <f t="shared" ref="E66:AJ66" si="72">SUM(E67)</f>
        <v>750000</v>
      </c>
      <c r="F66" s="16">
        <f t="shared" si="72"/>
        <v>750000</v>
      </c>
      <c r="G66" s="16">
        <f t="shared" si="72"/>
        <v>750000</v>
      </c>
      <c r="H66" s="16">
        <f t="shared" si="72"/>
        <v>0</v>
      </c>
      <c r="I66" s="16">
        <f t="shared" si="72"/>
        <v>0</v>
      </c>
      <c r="J66" s="16">
        <f t="shared" si="72"/>
        <v>0</v>
      </c>
      <c r="K66" s="16">
        <f t="shared" si="72"/>
        <v>0</v>
      </c>
      <c r="L66" s="16">
        <f t="shared" si="72"/>
        <v>0</v>
      </c>
      <c r="M66" s="16">
        <f t="shared" si="72"/>
        <v>0</v>
      </c>
      <c r="N66" s="16">
        <f t="shared" si="72"/>
        <v>0</v>
      </c>
      <c r="O66" s="16">
        <f t="shared" si="72"/>
        <v>0</v>
      </c>
      <c r="P66" s="16">
        <f t="shared" si="72"/>
        <v>0</v>
      </c>
      <c r="Q66" s="16">
        <f t="shared" si="72"/>
        <v>0</v>
      </c>
      <c r="R66" s="16">
        <f t="shared" si="72"/>
        <v>0</v>
      </c>
      <c r="S66" s="16">
        <f t="shared" si="72"/>
        <v>0</v>
      </c>
      <c r="T66" s="16">
        <f t="shared" si="72"/>
        <v>0</v>
      </c>
      <c r="U66" s="16">
        <f t="shared" si="72"/>
        <v>0</v>
      </c>
      <c r="V66" s="16">
        <f t="shared" si="72"/>
        <v>0</v>
      </c>
      <c r="W66" s="16">
        <f t="shared" si="72"/>
        <v>0</v>
      </c>
      <c r="X66" s="16">
        <f t="shared" si="72"/>
        <v>0</v>
      </c>
      <c r="Y66" s="16">
        <f t="shared" si="72"/>
        <v>0</v>
      </c>
      <c r="Z66" s="16">
        <f t="shared" si="72"/>
        <v>0</v>
      </c>
      <c r="AA66" s="16">
        <f t="shared" si="72"/>
        <v>0</v>
      </c>
      <c r="AB66" s="16">
        <f t="shared" si="72"/>
        <v>0</v>
      </c>
      <c r="AC66" s="16">
        <f t="shared" si="72"/>
        <v>0</v>
      </c>
      <c r="AD66" s="16">
        <f t="shared" si="72"/>
        <v>0</v>
      </c>
      <c r="AE66" s="16">
        <f t="shared" si="72"/>
        <v>750000</v>
      </c>
      <c r="AF66" s="16">
        <f t="shared" si="72"/>
        <v>0</v>
      </c>
      <c r="AG66" s="16">
        <f t="shared" si="72"/>
        <v>0</v>
      </c>
      <c r="AH66" s="16">
        <f t="shared" si="72"/>
        <v>0</v>
      </c>
      <c r="AI66" s="16">
        <f t="shared" si="72"/>
        <v>0</v>
      </c>
      <c r="AJ66" s="16">
        <f t="shared" si="72"/>
        <v>0</v>
      </c>
      <c r="AK66" s="16">
        <f t="shared" ref="AK66:BR66" si="73">SUM(AK67)</f>
        <v>0</v>
      </c>
      <c r="AL66" s="16">
        <f t="shared" si="73"/>
        <v>0</v>
      </c>
      <c r="AM66" s="16">
        <f t="shared" si="73"/>
        <v>0</v>
      </c>
      <c r="AN66" s="16">
        <f t="shared" si="73"/>
        <v>0</v>
      </c>
      <c r="AO66" s="16">
        <f t="shared" si="73"/>
        <v>0</v>
      </c>
      <c r="AP66" s="16">
        <f t="shared" si="73"/>
        <v>0</v>
      </c>
      <c r="AQ66" s="16">
        <f t="shared" si="73"/>
        <v>0</v>
      </c>
      <c r="AR66" s="16">
        <f t="shared" si="73"/>
        <v>0</v>
      </c>
      <c r="AS66" s="16">
        <f t="shared" si="73"/>
        <v>0</v>
      </c>
      <c r="AT66" s="16">
        <f t="shared" si="73"/>
        <v>0</v>
      </c>
      <c r="AU66" s="16">
        <f t="shared" si="73"/>
        <v>0</v>
      </c>
      <c r="AV66" s="16">
        <f t="shared" si="73"/>
        <v>0</v>
      </c>
      <c r="AW66" s="16">
        <f t="shared" si="73"/>
        <v>0</v>
      </c>
      <c r="AX66" s="16">
        <f t="shared" si="73"/>
        <v>0</v>
      </c>
      <c r="AY66" s="16">
        <f t="shared" si="73"/>
        <v>0</v>
      </c>
      <c r="AZ66" s="16">
        <f t="shared" si="73"/>
        <v>750000</v>
      </c>
      <c r="BA66" s="16">
        <f t="shared" si="73"/>
        <v>0</v>
      </c>
      <c r="BB66" s="16">
        <f t="shared" si="73"/>
        <v>0</v>
      </c>
      <c r="BC66" s="16">
        <f t="shared" si="73"/>
        <v>0</v>
      </c>
      <c r="BD66" s="16">
        <f t="shared" si="73"/>
        <v>0</v>
      </c>
      <c r="BE66" s="16">
        <f t="shared" si="73"/>
        <v>0</v>
      </c>
      <c r="BF66" s="16">
        <f t="shared" si="73"/>
        <v>0</v>
      </c>
      <c r="BG66" s="16">
        <f t="shared" si="73"/>
        <v>0</v>
      </c>
      <c r="BH66" s="16">
        <f t="shared" si="73"/>
        <v>0</v>
      </c>
      <c r="BI66" s="16">
        <f t="shared" si="73"/>
        <v>0</v>
      </c>
      <c r="BJ66" s="16">
        <f t="shared" si="73"/>
        <v>0</v>
      </c>
      <c r="BK66" s="16">
        <f t="shared" si="73"/>
        <v>0</v>
      </c>
      <c r="BL66" s="16">
        <f t="shared" si="73"/>
        <v>0</v>
      </c>
      <c r="BM66" s="16">
        <f t="shared" si="73"/>
        <v>0</v>
      </c>
      <c r="BN66" s="16">
        <f t="shared" si="73"/>
        <v>0</v>
      </c>
      <c r="BO66" s="16">
        <f t="shared" si="73"/>
        <v>0</v>
      </c>
      <c r="BP66" s="16">
        <f t="shared" si="73"/>
        <v>0</v>
      </c>
      <c r="BQ66" s="16">
        <f t="shared" si="73"/>
        <v>0</v>
      </c>
      <c r="BR66" s="16">
        <f t="shared" si="73"/>
        <v>0</v>
      </c>
      <c r="BS66" s="16">
        <f t="shared" ref="BS66:CU66" si="74">SUM(BS67)</f>
        <v>0</v>
      </c>
      <c r="BT66" s="16">
        <f t="shared" si="74"/>
        <v>0</v>
      </c>
      <c r="BU66" s="16">
        <f t="shared" si="74"/>
        <v>0</v>
      </c>
      <c r="BV66" s="16">
        <f t="shared" si="74"/>
        <v>0</v>
      </c>
      <c r="BW66" s="16">
        <f t="shared" si="74"/>
        <v>0</v>
      </c>
      <c r="BX66" s="16">
        <f t="shared" si="74"/>
        <v>0</v>
      </c>
      <c r="BY66" s="16">
        <f t="shared" si="74"/>
        <v>0</v>
      </c>
      <c r="BZ66" s="16">
        <f t="shared" si="74"/>
        <v>0</v>
      </c>
      <c r="CA66" s="16">
        <f t="shared" si="74"/>
        <v>0</v>
      </c>
      <c r="CB66" s="16">
        <f t="shared" si="74"/>
        <v>0</v>
      </c>
      <c r="CC66" s="16">
        <f t="shared" si="74"/>
        <v>0</v>
      </c>
      <c r="CD66" s="16">
        <f t="shared" si="74"/>
        <v>0</v>
      </c>
      <c r="CE66" s="16">
        <f t="shared" si="74"/>
        <v>0</v>
      </c>
      <c r="CF66" s="16">
        <f t="shared" si="74"/>
        <v>0</v>
      </c>
      <c r="CG66" s="16">
        <f t="shared" si="74"/>
        <v>0</v>
      </c>
      <c r="CH66" s="16">
        <f t="shared" si="74"/>
        <v>0</v>
      </c>
      <c r="CI66" s="16">
        <f t="shared" si="74"/>
        <v>0</v>
      </c>
      <c r="CJ66" s="16">
        <f t="shared" si="74"/>
        <v>0</v>
      </c>
      <c r="CK66" s="16">
        <f t="shared" si="74"/>
        <v>0</v>
      </c>
      <c r="CL66" s="16">
        <f t="shared" si="74"/>
        <v>0</v>
      </c>
      <c r="CM66" s="16">
        <f t="shared" si="74"/>
        <v>0</v>
      </c>
      <c r="CN66" s="16">
        <f t="shared" si="74"/>
        <v>0</v>
      </c>
      <c r="CO66" s="16">
        <f t="shared" si="74"/>
        <v>0</v>
      </c>
      <c r="CP66" s="16">
        <f t="shared" si="74"/>
        <v>0</v>
      </c>
      <c r="CQ66" s="16">
        <f t="shared" si="74"/>
        <v>0</v>
      </c>
      <c r="CR66" s="16">
        <f t="shared" si="74"/>
        <v>0</v>
      </c>
      <c r="CS66" s="16">
        <f t="shared" si="74"/>
        <v>0</v>
      </c>
      <c r="CT66" s="16">
        <f t="shared" si="74"/>
        <v>0</v>
      </c>
      <c r="CU66" s="17">
        <f t="shared" si="74"/>
        <v>0</v>
      </c>
      <c r="CV66" s="38"/>
    </row>
    <row r="67" spans="1:100" ht="15.75" x14ac:dyDescent="0.25">
      <c r="A67" s="13" t="s">
        <v>1</v>
      </c>
      <c r="B67" s="14" t="s">
        <v>1</v>
      </c>
      <c r="C67" s="14" t="s">
        <v>17</v>
      </c>
      <c r="D67" s="30" t="s">
        <v>494</v>
      </c>
      <c r="E67" s="15">
        <f>SUM(F67+BY67+CR67)</f>
        <v>750000</v>
      </c>
      <c r="F67" s="16">
        <f>SUM(G67+BA67)</f>
        <v>750000</v>
      </c>
      <c r="G67" s="16">
        <f>SUM(H67+I67+J67+Q67+T67+U67+V67+AE67)</f>
        <v>750000</v>
      </c>
      <c r="H67" s="16">
        <v>0</v>
      </c>
      <c r="I67" s="16">
        <v>0</v>
      </c>
      <c r="J67" s="16">
        <f t="shared" si="7"/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f t="shared" si="8"/>
        <v>0</v>
      </c>
      <c r="R67" s="16">
        <v>0</v>
      </c>
      <c r="S67" s="16">
        <v>0</v>
      </c>
      <c r="T67" s="16">
        <v>0</v>
      </c>
      <c r="U67" s="16">
        <v>0</v>
      </c>
      <c r="V67" s="16">
        <f>SUM(W67:AD67)</f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f>SUM(AF67:AZ67)</f>
        <v>750000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f>1531800-781800</f>
        <v>750000</v>
      </c>
      <c r="BA67" s="16">
        <f>SUM(BB67+BF67+BI67+BJ67+BK67+BM67)</f>
        <v>0</v>
      </c>
      <c r="BB67" s="16">
        <f>SUM(BC67:BE67)</f>
        <v>0</v>
      </c>
      <c r="BC67" s="16">
        <v>0</v>
      </c>
      <c r="BD67" s="16">
        <v>0</v>
      </c>
      <c r="BE67" s="16">
        <v>0</v>
      </c>
      <c r="BF67" s="16">
        <f t="shared" si="9"/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f t="shared" si="10"/>
        <v>0</v>
      </c>
      <c r="BL67" s="16">
        <v>0</v>
      </c>
      <c r="BM67" s="16">
        <f t="shared" si="11"/>
        <v>0</v>
      </c>
      <c r="BN67" s="16">
        <v>0</v>
      </c>
      <c r="BO67" s="16">
        <v>0</v>
      </c>
      <c r="BP67" s="16">
        <v>0</v>
      </c>
      <c r="BQ67" s="16">
        <v>0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f>SUM(BZ67+CQ67)</f>
        <v>0</v>
      </c>
      <c r="BZ67" s="16">
        <f>SUM(CA67+CD67+CJ67)</f>
        <v>0</v>
      </c>
      <c r="CA67" s="16">
        <f t="shared" si="12"/>
        <v>0</v>
      </c>
      <c r="CB67" s="16">
        <v>0</v>
      </c>
      <c r="CC67" s="16">
        <v>0</v>
      </c>
      <c r="CD67" s="16">
        <f>SUM(CE67:CH67)</f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f>SUM(CK67:CN67)</f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f t="shared" si="13"/>
        <v>0</v>
      </c>
      <c r="CS67" s="16">
        <f t="shared" si="14"/>
        <v>0</v>
      </c>
      <c r="CT67" s="16">
        <v>0</v>
      </c>
      <c r="CU67" s="17">
        <v>0</v>
      </c>
      <c r="CV67" s="38"/>
    </row>
    <row r="68" spans="1:100" ht="15.75" x14ac:dyDescent="0.25">
      <c r="A68" s="18" t="s">
        <v>82</v>
      </c>
      <c r="B68" s="19" t="s">
        <v>1</v>
      </c>
      <c r="C68" s="19" t="s">
        <v>1</v>
      </c>
      <c r="D68" s="31" t="s">
        <v>83</v>
      </c>
      <c r="E68" s="20">
        <f t="shared" ref="E68:AJ68" si="75">SUM(E69+E71)</f>
        <v>224785359</v>
      </c>
      <c r="F68" s="21">
        <f t="shared" si="75"/>
        <v>216612850</v>
      </c>
      <c r="G68" s="21">
        <f t="shared" si="75"/>
        <v>215920372</v>
      </c>
      <c r="H68" s="21">
        <f t="shared" si="75"/>
        <v>119872027</v>
      </c>
      <c r="I68" s="21">
        <f t="shared" si="75"/>
        <v>4508636</v>
      </c>
      <c r="J68" s="21">
        <f t="shared" si="75"/>
        <v>72855883</v>
      </c>
      <c r="K68" s="21">
        <f t="shared" si="75"/>
        <v>100000</v>
      </c>
      <c r="L68" s="21">
        <f t="shared" si="75"/>
        <v>27228038</v>
      </c>
      <c r="M68" s="21">
        <f t="shared" si="75"/>
        <v>23107272</v>
      </c>
      <c r="N68" s="21">
        <f t="shared" si="75"/>
        <v>2966931</v>
      </c>
      <c r="O68" s="21">
        <f t="shared" si="75"/>
        <v>18000000</v>
      </c>
      <c r="P68" s="21">
        <f t="shared" si="75"/>
        <v>1453642</v>
      </c>
      <c r="Q68" s="21">
        <f t="shared" si="75"/>
        <v>134892</v>
      </c>
      <c r="R68" s="21">
        <f t="shared" si="75"/>
        <v>59181</v>
      </c>
      <c r="S68" s="21">
        <f t="shared" si="75"/>
        <v>75711</v>
      </c>
      <c r="T68" s="21">
        <f t="shared" si="75"/>
        <v>0</v>
      </c>
      <c r="U68" s="21">
        <f t="shared" si="75"/>
        <v>485731</v>
      </c>
      <c r="V68" s="21">
        <f t="shared" si="75"/>
        <v>3553477</v>
      </c>
      <c r="W68" s="21">
        <f t="shared" si="75"/>
        <v>918259</v>
      </c>
      <c r="X68" s="21">
        <f t="shared" si="75"/>
        <v>634628</v>
      </c>
      <c r="Y68" s="21">
        <f t="shared" si="75"/>
        <v>1324831</v>
      </c>
      <c r="Z68" s="21">
        <f t="shared" si="75"/>
        <v>394535</v>
      </c>
      <c r="AA68" s="21">
        <f t="shared" si="75"/>
        <v>92125</v>
      </c>
      <c r="AB68" s="21">
        <f t="shared" si="75"/>
        <v>0</v>
      </c>
      <c r="AC68" s="21">
        <f t="shared" si="75"/>
        <v>0</v>
      </c>
      <c r="AD68" s="21">
        <f t="shared" ref="AD68" si="76">SUM(AD69+AD71)</f>
        <v>189099</v>
      </c>
      <c r="AE68" s="21">
        <f t="shared" si="75"/>
        <v>14509726</v>
      </c>
      <c r="AF68" s="21">
        <f t="shared" si="75"/>
        <v>0</v>
      </c>
      <c r="AG68" s="21">
        <f t="shared" si="75"/>
        <v>87884</v>
      </c>
      <c r="AH68" s="21">
        <f t="shared" si="75"/>
        <v>525510</v>
      </c>
      <c r="AI68" s="21">
        <f t="shared" si="75"/>
        <v>19812</v>
      </c>
      <c r="AJ68" s="21">
        <f t="shared" si="75"/>
        <v>41956</v>
      </c>
      <c r="AK68" s="21">
        <f t="shared" ref="AK68:BR68" si="77">SUM(AK69+AK71)</f>
        <v>0</v>
      </c>
      <c r="AL68" s="21">
        <f t="shared" si="77"/>
        <v>27327</v>
      </c>
      <c r="AM68" s="21">
        <f t="shared" si="77"/>
        <v>29953</v>
      </c>
      <c r="AN68" s="21">
        <f t="shared" si="77"/>
        <v>61692</v>
      </c>
      <c r="AO68" s="21">
        <f t="shared" si="77"/>
        <v>96005</v>
      </c>
      <c r="AP68" s="21">
        <f>SUM(AP69+AP71)</f>
        <v>0</v>
      </c>
      <c r="AQ68" s="21">
        <f t="shared" si="77"/>
        <v>780000</v>
      </c>
      <c r="AR68" s="21">
        <f t="shared" si="77"/>
        <v>43464</v>
      </c>
      <c r="AS68" s="21">
        <f t="shared" si="77"/>
        <v>0</v>
      </c>
      <c r="AT68" s="21">
        <f t="shared" si="77"/>
        <v>0</v>
      </c>
      <c r="AU68" s="21">
        <f t="shared" si="77"/>
        <v>0</v>
      </c>
      <c r="AV68" s="21">
        <f t="shared" si="77"/>
        <v>0</v>
      </c>
      <c r="AW68" s="21">
        <f t="shared" si="77"/>
        <v>8500044</v>
      </c>
      <c r="AX68" s="21">
        <f t="shared" si="77"/>
        <v>0</v>
      </c>
      <c r="AY68" s="21">
        <f t="shared" si="77"/>
        <v>0</v>
      </c>
      <c r="AZ68" s="21">
        <f t="shared" si="77"/>
        <v>4296079</v>
      </c>
      <c r="BA68" s="21">
        <f t="shared" si="77"/>
        <v>692478</v>
      </c>
      <c r="BB68" s="21">
        <f t="shared" si="77"/>
        <v>0</v>
      </c>
      <c r="BC68" s="21">
        <f t="shared" si="77"/>
        <v>0</v>
      </c>
      <c r="BD68" s="21">
        <f t="shared" si="77"/>
        <v>0</v>
      </c>
      <c r="BE68" s="21">
        <f t="shared" si="77"/>
        <v>0</v>
      </c>
      <c r="BF68" s="21">
        <f t="shared" si="77"/>
        <v>0</v>
      </c>
      <c r="BG68" s="21">
        <f t="shared" si="77"/>
        <v>0</v>
      </c>
      <c r="BH68" s="21">
        <f t="shared" si="77"/>
        <v>0</v>
      </c>
      <c r="BI68" s="21">
        <f t="shared" si="77"/>
        <v>0</v>
      </c>
      <c r="BJ68" s="21">
        <f t="shared" si="77"/>
        <v>0</v>
      </c>
      <c r="BK68" s="21">
        <f t="shared" si="77"/>
        <v>285362</v>
      </c>
      <c r="BL68" s="21">
        <f t="shared" si="77"/>
        <v>285362</v>
      </c>
      <c r="BM68" s="21">
        <f t="shared" si="77"/>
        <v>407116</v>
      </c>
      <c r="BN68" s="21">
        <f t="shared" si="77"/>
        <v>0</v>
      </c>
      <c r="BO68" s="21">
        <f t="shared" si="77"/>
        <v>0</v>
      </c>
      <c r="BP68" s="21">
        <f t="shared" si="77"/>
        <v>0</v>
      </c>
      <c r="BQ68" s="21">
        <f t="shared" si="77"/>
        <v>0</v>
      </c>
      <c r="BR68" s="21">
        <f t="shared" si="77"/>
        <v>0</v>
      </c>
      <c r="BS68" s="21">
        <f t="shared" ref="BS68:CU68" si="78">SUM(BS69+BS71)</f>
        <v>0</v>
      </c>
      <c r="BT68" s="21">
        <f t="shared" si="78"/>
        <v>0</v>
      </c>
      <c r="BU68" s="21">
        <f t="shared" si="78"/>
        <v>0</v>
      </c>
      <c r="BV68" s="21">
        <f t="shared" si="78"/>
        <v>0</v>
      </c>
      <c r="BW68" s="21">
        <f t="shared" si="78"/>
        <v>39595</v>
      </c>
      <c r="BX68" s="21">
        <f t="shared" si="78"/>
        <v>367521</v>
      </c>
      <c r="BY68" s="21">
        <f t="shared" si="78"/>
        <v>8172509</v>
      </c>
      <c r="BZ68" s="21">
        <f t="shared" si="78"/>
        <v>8172509</v>
      </c>
      <c r="CA68" s="21">
        <f t="shared" si="78"/>
        <v>8172509</v>
      </c>
      <c r="CB68" s="21">
        <f t="shared" si="78"/>
        <v>0</v>
      </c>
      <c r="CC68" s="21">
        <f t="shared" si="78"/>
        <v>8172509</v>
      </c>
      <c r="CD68" s="21">
        <f t="shared" si="78"/>
        <v>0</v>
      </c>
      <c r="CE68" s="21">
        <f t="shared" si="78"/>
        <v>0</v>
      </c>
      <c r="CF68" s="21">
        <f t="shared" si="78"/>
        <v>0</v>
      </c>
      <c r="CG68" s="21">
        <f t="shared" si="78"/>
        <v>0</v>
      </c>
      <c r="CH68" s="21">
        <f t="shared" si="78"/>
        <v>0</v>
      </c>
      <c r="CI68" s="21">
        <f t="shared" ref="CI68" si="79">SUM(CI69+CI71)</f>
        <v>0</v>
      </c>
      <c r="CJ68" s="21">
        <f t="shared" si="78"/>
        <v>0</v>
      </c>
      <c r="CK68" s="21">
        <f t="shared" si="78"/>
        <v>0</v>
      </c>
      <c r="CL68" s="21">
        <f t="shared" si="78"/>
        <v>0</v>
      </c>
      <c r="CM68" s="21">
        <f t="shared" si="78"/>
        <v>0</v>
      </c>
      <c r="CN68" s="21">
        <f t="shared" si="78"/>
        <v>0</v>
      </c>
      <c r="CO68" s="21">
        <f t="shared" si="78"/>
        <v>0</v>
      </c>
      <c r="CP68" s="21">
        <f t="shared" si="78"/>
        <v>0</v>
      </c>
      <c r="CQ68" s="21">
        <f t="shared" si="78"/>
        <v>0</v>
      </c>
      <c r="CR68" s="21">
        <f t="shared" si="78"/>
        <v>0</v>
      </c>
      <c r="CS68" s="21">
        <f t="shared" si="78"/>
        <v>0</v>
      </c>
      <c r="CT68" s="21">
        <f t="shared" si="78"/>
        <v>0</v>
      </c>
      <c r="CU68" s="22">
        <f t="shared" si="78"/>
        <v>0</v>
      </c>
      <c r="CV68" s="38"/>
    </row>
    <row r="69" spans="1:100" ht="15.75" x14ac:dyDescent="0.25">
      <c r="A69" s="13" t="s">
        <v>47</v>
      </c>
      <c r="B69" s="14" t="s">
        <v>3</v>
      </c>
      <c r="C69" s="14" t="s">
        <v>1</v>
      </c>
      <c r="D69" s="30" t="s">
        <v>84</v>
      </c>
      <c r="E69" s="15">
        <f t="shared" ref="E69:AJ69" si="80">SUM(E70)</f>
        <v>184959764</v>
      </c>
      <c r="F69" s="16">
        <f t="shared" si="80"/>
        <v>177687255</v>
      </c>
      <c r="G69" s="16">
        <f t="shared" si="80"/>
        <v>177057276</v>
      </c>
      <c r="H69" s="16">
        <f t="shared" si="80"/>
        <v>88202757</v>
      </c>
      <c r="I69" s="16">
        <f t="shared" si="80"/>
        <v>4287390</v>
      </c>
      <c r="J69" s="16">
        <f t="shared" si="80"/>
        <v>68437901</v>
      </c>
      <c r="K69" s="16">
        <f t="shared" si="80"/>
        <v>75000</v>
      </c>
      <c r="L69" s="16">
        <f t="shared" si="80"/>
        <v>24624858</v>
      </c>
      <c r="M69" s="16">
        <f t="shared" si="80"/>
        <v>22907272</v>
      </c>
      <c r="N69" s="16">
        <f t="shared" si="80"/>
        <v>2966931</v>
      </c>
      <c r="O69" s="16">
        <f t="shared" si="80"/>
        <v>16500000</v>
      </c>
      <c r="P69" s="16">
        <f t="shared" si="80"/>
        <v>1363840</v>
      </c>
      <c r="Q69" s="16">
        <f t="shared" si="80"/>
        <v>8058</v>
      </c>
      <c r="R69" s="16">
        <f t="shared" si="80"/>
        <v>8058</v>
      </c>
      <c r="S69" s="16">
        <f t="shared" si="80"/>
        <v>0</v>
      </c>
      <c r="T69" s="16">
        <f t="shared" si="80"/>
        <v>0</v>
      </c>
      <c r="U69" s="16">
        <f t="shared" si="80"/>
        <v>442113</v>
      </c>
      <c r="V69" s="16">
        <f t="shared" si="80"/>
        <v>3548161</v>
      </c>
      <c r="W69" s="16">
        <f t="shared" si="80"/>
        <v>912943</v>
      </c>
      <c r="X69" s="16">
        <f t="shared" si="80"/>
        <v>634628</v>
      </c>
      <c r="Y69" s="16">
        <f t="shared" si="80"/>
        <v>1324831</v>
      </c>
      <c r="Z69" s="16">
        <f t="shared" si="80"/>
        <v>394535</v>
      </c>
      <c r="AA69" s="16">
        <f t="shared" si="80"/>
        <v>92125</v>
      </c>
      <c r="AB69" s="16">
        <f t="shared" si="80"/>
        <v>0</v>
      </c>
      <c r="AC69" s="16">
        <f t="shared" si="80"/>
        <v>0</v>
      </c>
      <c r="AD69" s="16">
        <f t="shared" si="80"/>
        <v>189099</v>
      </c>
      <c r="AE69" s="16">
        <f t="shared" si="80"/>
        <v>12130896</v>
      </c>
      <c r="AF69" s="16">
        <f t="shared" si="80"/>
        <v>0</v>
      </c>
      <c r="AG69" s="16">
        <f t="shared" si="80"/>
        <v>87735</v>
      </c>
      <c r="AH69" s="16">
        <f t="shared" si="80"/>
        <v>520611</v>
      </c>
      <c r="AI69" s="16">
        <f t="shared" si="80"/>
        <v>19812</v>
      </c>
      <c r="AJ69" s="16">
        <f t="shared" si="80"/>
        <v>41956</v>
      </c>
      <c r="AK69" s="16">
        <f t="shared" ref="AK69:BR69" si="81">SUM(AK70)</f>
        <v>0</v>
      </c>
      <c r="AL69" s="16">
        <f t="shared" si="81"/>
        <v>27327</v>
      </c>
      <c r="AM69" s="16">
        <f t="shared" si="81"/>
        <v>29953</v>
      </c>
      <c r="AN69" s="16">
        <f t="shared" si="81"/>
        <v>32010</v>
      </c>
      <c r="AO69" s="16">
        <f t="shared" si="81"/>
        <v>96005</v>
      </c>
      <c r="AP69" s="16">
        <f t="shared" si="81"/>
        <v>0</v>
      </c>
      <c r="AQ69" s="16">
        <f t="shared" si="81"/>
        <v>780000</v>
      </c>
      <c r="AR69" s="16">
        <f t="shared" si="81"/>
        <v>43464</v>
      </c>
      <c r="AS69" s="16">
        <f t="shared" si="81"/>
        <v>0</v>
      </c>
      <c r="AT69" s="16">
        <f t="shared" si="81"/>
        <v>0</v>
      </c>
      <c r="AU69" s="16">
        <f t="shared" si="81"/>
        <v>0</v>
      </c>
      <c r="AV69" s="16">
        <f t="shared" si="81"/>
        <v>0</v>
      </c>
      <c r="AW69" s="16">
        <f t="shared" si="81"/>
        <v>6160044</v>
      </c>
      <c r="AX69" s="16">
        <f t="shared" si="81"/>
        <v>0</v>
      </c>
      <c r="AY69" s="16">
        <f t="shared" si="81"/>
        <v>0</v>
      </c>
      <c r="AZ69" s="16">
        <f t="shared" si="81"/>
        <v>4291979</v>
      </c>
      <c r="BA69" s="16">
        <f t="shared" si="81"/>
        <v>629979</v>
      </c>
      <c r="BB69" s="16">
        <f t="shared" si="81"/>
        <v>0</v>
      </c>
      <c r="BC69" s="16">
        <f t="shared" si="81"/>
        <v>0</v>
      </c>
      <c r="BD69" s="16">
        <f t="shared" si="81"/>
        <v>0</v>
      </c>
      <c r="BE69" s="16">
        <f t="shared" si="81"/>
        <v>0</v>
      </c>
      <c r="BF69" s="16">
        <f t="shared" si="81"/>
        <v>0</v>
      </c>
      <c r="BG69" s="16">
        <f t="shared" si="81"/>
        <v>0</v>
      </c>
      <c r="BH69" s="16">
        <f t="shared" si="81"/>
        <v>0</v>
      </c>
      <c r="BI69" s="16">
        <f t="shared" si="81"/>
        <v>0</v>
      </c>
      <c r="BJ69" s="16">
        <f t="shared" si="81"/>
        <v>0</v>
      </c>
      <c r="BK69" s="16">
        <f t="shared" si="81"/>
        <v>285362</v>
      </c>
      <c r="BL69" s="16">
        <f t="shared" si="81"/>
        <v>285362</v>
      </c>
      <c r="BM69" s="16">
        <f t="shared" si="81"/>
        <v>344617</v>
      </c>
      <c r="BN69" s="16">
        <f t="shared" si="81"/>
        <v>0</v>
      </c>
      <c r="BO69" s="16">
        <f t="shared" si="81"/>
        <v>0</v>
      </c>
      <c r="BP69" s="16">
        <f t="shared" si="81"/>
        <v>0</v>
      </c>
      <c r="BQ69" s="16">
        <f t="shared" si="81"/>
        <v>0</v>
      </c>
      <c r="BR69" s="16">
        <f t="shared" si="81"/>
        <v>0</v>
      </c>
      <c r="BS69" s="16">
        <f t="shared" ref="BS69:CU69" si="82">SUM(BS70)</f>
        <v>0</v>
      </c>
      <c r="BT69" s="16">
        <f t="shared" si="82"/>
        <v>0</v>
      </c>
      <c r="BU69" s="16">
        <f t="shared" si="82"/>
        <v>0</v>
      </c>
      <c r="BV69" s="16">
        <f t="shared" si="82"/>
        <v>0</v>
      </c>
      <c r="BW69" s="16">
        <f t="shared" si="82"/>
        <v>39595</v>
      </c>
      <c r="BX69" s="16">
        <f t="shared" si="82"/>
        <v>305022</v>
      </c>
      <c r="BY69" s="16">
        <f t="shared" si="82"/>
        <v>7272509</v>
      </c>
      <c r="BZ69" s="16">
        <f t="shared" si="82"/>
        <v>7272509</v>
      </c>
      <c r="CA69" s="16">
        <f t="shared" si="82"/>
        <v>7272509</v>
      </c>
      <c r="CB69" s="16">
        <f t="shared" si="82"/>
        <v>0</v>
      </c>
      <c r="CC69" s="16">
        <f t="shared" si="82"/>
        <v>7272509</v>
      </c>
      <c r="CD69" s="16">
        <f t="shared" si="82"/>
        <v>0</v>
      </c>
      <c r="CE69" s="16">
        <f t="shared" si="82"/>
        <v>0</v>
      </c>
      <c r="CF69" s="16">
        <f t="shared" si="82"/>
        <v>0</v>
      </c>
      <c r="CG69" s="16">
        <f t="shared" si="82"/>
        <v>0</v>
      </c>
      <c r="CH69" s="16">
        <f t="shared" si="82"/>
        <v>0</v>
      </c>
      <c r="CI69" s="16">
        <f t="shared" si="82"/>
        <v>0</v>
      </c>
      <c r="CJ69" s="16">
        <f t="shared" si="82"/>
        <v>0</v>
      </c>
      <c r="CK69" s="16">
        <f t="shared" si="82"/>
        <v>0</v>
      </c>
      <c r="CL69" s="16">
        <f t="shared" si="82"/>
        <v>0</v>
      </c>
      <c r="CM69" s="16">
        <f t="shared" si="82"/>
        <v>0</v>
      </c>
      <c r="CN69" s="16">
        <f t="shared" si="82"/>
        <v>0</v>
      </c>
      <c r="CO69" s="16">
        <f t="shared" si="82"/>
        <v>0</v>
      </c>
      <c r="CP69" s="16">
        <f t="shared" si="82"/>
        <v>0</v>
      </c>
      <c r="CQ69" s="16">
        <f t="shared" si="82"/>
        <v>0</v>
      </c>
      <c r="CR69" s="16">
        <f t="shared" si="82"/>
        <v>0</v>
      </c>
      <c r="CS69" s="16">
        <f t="shared" si="82"/>
        <v>0</v>
      </c>
      <c r="CT69" s="16">
        <f t="shared" si="82"/>
        <v>0</v>
      </c>
      <c r="CU69" s="17">
        <f t="shared" si="82"/>
        <v>0</v>
      </c>
      <c r="CV69" s="38"/>
    </row>
    <row r="70" spans="1:100" ht="15.75" x14ac:dyDescent="0.25">
      <c r="A70" s="13" t="s">
        <v>1</v>
      </c>
      <c r="B70" s="14" t="s">
        <v>1</v>
      </c>
      <c r="C70" s="14" t="s">
        <v>85</v>
      </c>
      <c r="D70" s="30" t="s">
        <v>86</v>
      </c>
      <c r="E70" s="15">
        <f>SUM(F70+BY70+CR70)</f>
        <v>184959764</v>
      </c>
      <c r="F70" s="16">
        <f>SUM(G70+BA70)</f>
        <v>177687255</v>
      </c>
      <c r="G70" s="16">
        <f>SUM(H70+I70+J70+Q70+T70+U70+V70+AE70)</f>
        <v>177057276</v>
      </c>
      <c r="H70" s="16">
        <f>88127257+75500</f>
        <v>88202757</v>
      </c>
      <c r="I70" s="16">
        <v>4287390</v>
      </c>
      <c r="J70" s="16">
        <f t="shared" si="7"/>
        <v>68437901</v>
      </c>
      <c r="K70" s="16">
        <v>75000</v>
      </c>
      <c r="L70" s="16">
        <f>20597398+4027460</f>
        <v>24624858</v>
      </c>
      <c r="M70" s="16">
        <v>22907272</v>
      </c>
      <c r="N70" s="16">
        <v>2966931</v>
      </c>
      <c r="O70" s="16">
        <v>16500000</v>
      </c>
      <c r="P70" s="16">
        <v>1363840</v>
      </c>
      <c r="Q70" s="16">
        <f t="shared" si="8"/>
        <v>8058</v>
      </c>
      <c r="R70" s="16">
        <v>8058</v>
      </c>
      <c r="S70" s="16">
        <v>0</v>
      </c>
      <c r="T70" s="16">
        <v>0</v>
      </c>
      <c r="U70" s="16">
        <v>442113</v>
      </c>
      <c r="V70" s="16">
        <f>SUM(W70:AD70)</f>
        <v>3548161</v>
      </c>
      <c r="W70" s="16">
        <v>912943</v>
      </c>
      <c r="X70" s="16">
        <v>634628</v>
      </c>
      <c r="Y70" s="16">
        <v>1324831</v>
      </c>
      <c r="Z70" s="16">
        <v>394535</v>
      </c>
      <c r="AA70" s="16">
        <v>92125</v>
      </c>
      <c r="AB70" s="16">
        <v>0</v>
      </c>
      <c r="AC70" s="16">
        <v>0</v>
      </c>
      <c r="AD70" s="16">
        <f>124241+64858</f>
        <v>189099</v>
      </c>
      <c r="AE70" s="16">
        <f>SUM(AF70:AZ70)</f>
        <v>12130896</v>
      </c>
      <c r="AF70" s="16">
        <v>0</v>
      </c>
      <c r="AG70" s="16">
        <v>87735</v>
      </c>
      <c r="AH70" s="16">
        <f>585469-64858</f>
        <v>520611</v>
      </c>
      <c r="AI70" s="16">
        <v>19812</v>
      </c>
      <c r="AJ70" s="16">
        <v>41956</v>
      </c>
      <c r="AK70" s="16">
        <v>0</v>
      </c>
      <c r="AL70" s="16">
        <v>27327</v>
      </c>
      <c r="AM70" s="16">
        <v>29953</v>
      </c>
      <c r="AN70" s="16">
        <v>32010</v>
      </c>
      <c r="AO70" s="16">
        <v>96005</v>
      </c>
      <c r="AP70" s="16"/>
      <c r="AQ70" s="16">
        <v>780000</v>
      </c>
      <c r="AR70" s="16">
        <v>43464</v>
      </c>
      <c r="AS70" s="16">
        <v>0</v>
      </c>
      <c r="AT70" s="16">
        <v>0</v>
      </c>
      <c r="AU70" s="16">
        <v>0</v>
      </c>
      <c r="AV70" s="16">
        <v>0</v>
      </c>
      <c r="AW70" s="16">
        <v>6160044</v>
      </c>
      <c r="AX70" s="16">
        <v>0</v>
      </c>
      <c r="AY70" s="16"/>
      <c r="AZ70" s="16">
        <v>4291979</v>
      </c>
      <c r="BA70" s="16">
        <f>SUM(BB70+BF70+BI70+BK70+BM70)</f>
        <v>629979</v>
      </c>
      <c r="BB70" s="16">
        <f>SUM(BC70:BE70)</f>
        <v>0</v>
      </c>
      <c r="BC70" s="16">
        <v>0</v>
      </c>
      <c r="BD70" s="16">
        <v>0</v>
      </c>
      <c r="BE70" s="16">
        <v>0</v>
      </c>
      <c r="BF70" s="16">
        <f t="shared" si="9"/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f t="shared" si="10"/>
        <v>285362</v>
      </c>
      <c r="BL70" s="16">
        <v>285362</v>
      </c>
      <c r="BM70" s="16">
        <f t="shared" si="11"/>
        <v>344617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39595</v>
      </c>
      <c r="BX70" s="16">
        <v>305022</v>
      </c>
      <c r="BY70" s="16">
        <f>SUM(BZ70+CQ70)</f>
        <v>7272509</v>
      </c>
      <c r="BZ70" s="16">
        <f>SUM(CA70+CD70+CJ70)</f>
        <v>7272509</v>
      </c>
      <c r="CA70" s="16">
        <f t="shared" si="12"/>
        <v>7272509</v>
      </c>
      <c r="CB70" s="16">
        <v>0</v>
      </c>
      <c r="CC70" s="16">
        <v>7272509</v>
      </c>
      <c r="CD70" s="16">
        <f>SUM(CE70:CH70)</f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f>SUM(CK70:CN70)</f>
        <v>0</v>
      </c>
      <c r="CK70" s="16">
        <v>0</v>
      </c>
      <c r="CL70" s="16">
        <v>0</v>
      </c>
      <c r="CM70" s="16">
        <v>0</v>
      </c>
      <c r="CN70" s="16">
        <v>0</v>
      </c>
      <c r="CO70" s="16"/>
      <c r="CP70" s="16"/>
      <c r="CQ70" s="16">
        <v>0</v>
      </c>
      <c r="CR70" s="16">
        <f t="shared" si="13"/>
        <v>0</v>
      </c>
      <c r="CS70" s="16">
        <f t="shared" si="14"/>
        <v>0</v>
      </c>
      <c r="CT70" s="16">
        <v>0</v>
      </c>
      <c r="CU70" s="17">
        <v>0</v>
      </c>
      <c r="CV70" s="38"/>
    </row>
    <row r="71" spans="1:100" ht="15.75" x14ac:dyDescent="0.25">
      <c r="A71" s="13" t="s">
        <v>47</v>
      </c>
      <c r="B71" s="14" t="s">
        <v>7</v>
      </c>
      <c r="C71" s="14" t="s">
        <v>1</v>
      </c>
      <c r="D71" s="30" t="s">
        <v>87</v>
      </c>
      <c r="E71" s="15">
        <f t="shared" ref="E71:AJ71" si="83">SUM(E72)</f>
        <v>39825595</v>
      </c>
      <c r="F71" s="16">
        <f t="shared" si="83"/>
        <v>38925595</v>
      </c>
      <c r="G71" s="16">
        <f t="shared" si="83"/>
        <v>38863096</v>
      </c>
      <c r="H71" s="16">
        <f t="shared" si="83"/>
        <v>31669270</v>
      </c>
      <c r="I71" s="16">
        <f t="shared" si="83"/>
        <v>221246</v>
      </c>
      <c r="J71" s="16">
        <f t="shared" si="83"/>
        <v>4417982</v>
      </c>
      <c r="K71" s="16">
        <f t="shared" si="83"/>
        <v>25000</v>
      </c>
      <c r="L71" s="16">
        <f t="shared" si="83"/>
        <v>2603180</v>
      </c>
      <c r="M71" s="16">
        <f t="shared" si="83"/>
        <v>200000</v>
      </c>
      <c r="N71" s="16">
        <f t="shared" si="83"/>
        <v>0</v>
      </c>
      <c r="O71" s="16">
        <f t="shared" si="83"/>
        <v>1500000</v>
      </c>
      <c r="P71" s="16">
        <f t="shared" si="83"/>
        <v>89802</v>
      </c>
      <c r="Q71" s="16">
        <f t="shared" si="83"/>
        <v>126834</v>
      </c>
      <c r="R71" s="16">
        <f t="shared" si="83"/>
        <v>51123</v>
      </c>
      <c r="S71" s="16">
        <f t="shared" si="83"/>
        <v>75711</v>
      </c>
      <c r="T71" s="16">
        <f t="shared" si="83"/>
        <v>0</v>
      </c>
      <c r="U71" s="16">
        <f t="shared" si="83"/>
        <v>43618</v>
      </c>
      <c r="V71" s="16">
        <f t="shared" si="83"/>
        <v>5316</v>
      </c>
      <c r="W71" s="16">
        <f t="shared" si="83"/>
        <v>5316</v>
      </c>
      <c r="X71" s="16">
        <f t="shared" si="83"/>
        <v>0</v>
      </c>
      <c r="Y71" s="16">
        <f t="shared" si="83"/>
        <v>0</v>
      </c>
      <c r="Z71" s="16">
        <f t="shared" si="83"/>
        <v>0</v>
      </c>
      <c r="AA71" s="16">
        <f t="shared" si="83"/>
        <v>0</v>
      </c>
      <c r="AB71" s="16">
        <f t="shared" si="83"/>
        <v>0</v>
      </c>
      <c r="AC71" s="16">
        <f t="shared" si="83"/>
        <v>0</v>
      </c>
      <c r="AD71" s="16">
        <f t="shared" si="83"/>
        <v>0</v>
      </c>
      <c r="AE71" s="16">
        <f t="shared" si="83"/>
        <v>2378830</v>
      </c>
      <c r="AF71" s="16">
        <f t="shared" si="83"/>
        <v>0</v>
      </c>
      <c r="AG71" s="16">
        <f t="shared" si="83"/>
        <v>149</v>
      </c>
      <c r="AH71" s="16">
        <f t="shared" si="83"/>
        <v>4899</v>
      </c>
      <c r="AI71" s="16">
        <f t="shared" si="83"/>
        <v>0</v>
      </c>
      <c r="AJ71" s="16">
        <f t="shared" si="83"/>
        <v>0</v>
      </c>
      <c r="AK71" s="16">
        <f t="shared" ref="AK71:BR71" si="84">SUM(AK72)</f>
        <v>0</v>
      </c>
      <c r="AL71" s="16">
        <f t="shared" si="84"/>
        <v>0</v>
      </c>
      <c r="AM71" s="16">
        <f t="shared" si="84"/>
        <v>0</v>
      </c>
      <c r="AN71" s="16">
        <f t="shared" si="84"/>
        <v>29682</v>
      </c>
      <c r="AO71" s="16">
        <f t="shared" si="84"/>
        <v>0</v>
      </c>
      <c r="AP71" s="16">
        <f t="shared" si="84"/>
        <v>0</v>
      </c>
      <c r="AQ71" s="16">
        <f t="shared" si="84"/>
        <v>0</v>
      </c>
      <c r="AR71" s="16">
        <f t="shared" si="84"/>
        <v>0</v>
      </c>
      <c r="AS71" s="16">
        <f t="shared" si="84"/>
        <v>0</v>
      </c>
      <c r="AT71" s="16">
        <f t="shared" si="84"/>
        <v>0</v>
      </c>
      <c r="AU71" s="16">
        <f t="shared" si="84"/>
        <v>0</v>
      </c>
      <c r="AV71" s="16">
        <f t="shared" si="84"/>
        <v>0</v>
      </c>
      <c r="AW71" s="16">
        <f t="shared" si="84"/>
        <v>2340000</v>
      </c>
      <c r="AX71" s="16">
        <f t="shared" si="84"/>
        <v>0</v>
      </c>
      <c r="AY71" s="16">
        <f t="shared" si="84"/>
        <v>0</v>
      </c>
      <c r="AZ71" s="16">
        <f t="shared" si="84"/>
        <v>4100</v>
      </c>
      <c r="BA71" s="16">
        <f t="shared" si="84"/>
        <v>62499</v>
      </c>
      <c r="BB71" s="16">
        <f t="shared" si="84"/>
        <v>0</v>
      </c>
      <c r="BC71" s="16">
        <f t="shared" si="84"/>
        <v>0</v>
      </c>
      <c r="BD71" s="16">
        <f t="shared" si="84"/>
        <v>0</v>
      </c>
      <c r="BE71" s="16">
        <f t="shared" si="84"/>
        <v>0</v>
      </c>
      <c r="BF71" s="16">
        <f t="shared" si="84"/>
        <v>0</v>
      </c>
      <c r="BG71" s="16">
        <f t="shared" si="84"/>
        <v>0</v>
      </c>
      <c r="BH71" s="16">
        <f t="shared" si="84"/>
        <v>0</v>
      </c>
      <c r="BI71" s="16">
        <f t="shared" si="84"/>
        <v>0</v>
      </c>
      <c r="BJ71" s="16">
        <f t="shared" si="84"/>
        <v>0</v>
      </c>
      <c r="BK71" s="16">
        <f t="shared" si="84"/>
        <v>0</v>
      </c>
      <c r="BL71" s="16">
        <f t="shared" si="84"/>
        <v>0</v>
      </c>
      <c r="BM71" s="16">
        <f t="shared" si="84"/>
        <v>62499</v>
      </c>
      <c r="BN71" s="16">
        <f t="shared" si="84"/>
        <v>0</v>
      </c>
      <c r="BO71" s="16">
        <f t="shared" si="84"/>
        <v>0</v>
      </c>
      <c r="BP71" s="16">
        <f t="shared" si="84"/>
        <v>0</v>
      </c>
      <c r="BQ71" s="16">
        <f t="shared" si="84"/>
        <v>0</v>
      </c>
      <c r="BR71" s="16">
        <f t="shared" si="84"/>
        <v>0</v>
      </c>
      <c r="BS71" s="16">
        <f t="shared" ref="BS71:CU71" si="85">SUM(BS72)</f>
        <v>0</v>
      </c>
      <c r="BT71" s="16">
        <f t="shared" si="85"/>
        <v>0</v>
      </c>
      <c r="BU71" s="16">
        <f t="shared" si="85"/>
        <v>0</v>
      </c>
      <c r="BV71" s="16">
        <f t="shared" si="85"/>
        <v>0</v>
      </c>
      <c r="BW71" s="16">
        <f t="shared" si="85"/>
        <v>0</v>
      </c>
      <c r="BX71" s="16">
        <f t="shared" si="85"/>
        <v>62499</v>
      </c>
      <c r="BY71" s="16">
        <f t="shared" si="85"/>
        <v>900000</v>
      </c>
      <c r="BZ71" s="16">
        <f t="shared" si="85"/>
        <v>900000</v>
      </c>
      <c r="CA71" s="16">
        <f t="shared" si="85"/>
        <v>900000</v>
      </c>
      <c r="CB71" s="16">
        <f t="shared" si="85"/>
        <v>0</v>
      </c>
      <c r="CC71" s="16">
        <f t="shared" si="85"/>
        <v>900000</v>
      </c>
      <c r="CD71" s="16">
        <f t="shared" si="85"/>
        <v>0</v>
      </c>
      <c r="CE71" s="16">
        <f t="shared" si="85"/>
        <v>0</v>
      </c>
      <c r="CF71" s="16">
        <f t="shared" si="85"/>
        <v>0</v>
      </c>
      <c r="CG71" s="16">
        <f t="shared" si="85"/>
        <v>0</v>
      </c>
      <c r="CH71" s="16">
        <f t="shared" si="85"/>
        <v>0</v>
      </c>
      <c r="CI71" s="16">
        <f t="shared" si="85"/>
        <v>0</v>
      </c>
      <c r="CJ71" s="16">
        <f t="shared" si="85"/>
        <v>0</v>
      </c>
      <c r="CK71" s="16">
        <f t="shared" si="85"/>
        <v>0</v>
      </c>
      <c r="CL71" s="16">
        <f t="shared" si="85"/>
        <v>0</v>
      </c>
      <c r="CM71" s="16">
        <f t="shared" si="85"/>
        <v>0</v>
      </c>
      <c r="CN71" s="16">
        <f t="shared" si="85"/>
        <v>0</v>
      </c>
      <c r="CO71" s="16">
        <f t="shared" si="85"/>
        <v>0</v>
      </c>
      <c r="CP71" s="16">
        <f t="shared" si="85"/>
        <v>0</v>
      </c>
      <c r="CQ71" s="16">
        <f t="shared" si="85"/>
        <v>0</v>
      </c>
      <c r="CR71" s="16">
        <f t="shared" si="85"/>
        <v>0</v>
      </c>
      <c r="CS71" s="16">
        <f t="shared" si="85"/>
        <v>0</v>
      </c>
      <c r="CT71" s="16">
        <f t="shared" si="85"/>
        <v>0</v>
      </c>
      <c r="CU71" s="17">
        <f t="shared" si="85"/>
        <v>0</v>
      </c>
      <c r="CV71" s="38"/>
    </row>
    <row r="72" spans="1:100" ht="15.75" x14ac:dyDescent="0.25">
      <c r="A72" s="13" t="s">
        <v>1</v>
      </c>
      <c r="B72" s="14" t="s">
        <v>1</v>
      </c>
      <c r="C72" s="14" t="s">
        <v>85</v>
      </c>
      <c r="D72" s="30" t="s">
        <v>87</v>
      </c>
      <c r="E72" s="15">
        <f>SUM(F72+BY72+CR72)</f>
        <v>39825595</v>
      </c>
      <c r="F72" s="16">
        <f>SUM(G72+BA72)</f>
        <v>38925595</v>
      </c>
      <c r="G72" s="16">
        <f>SUM(H72+I72+J72+Q72+T72+U72+V72+AE72)</f>
        <v>38863096</v>
      </c>
      <c r="H72" s="16">
        <v>31669270</v>
      </c>
      <c r="I72" s="16">
        <v>221246</v>
      </c>
      <c r="J72" s="16">
        <f t="shared" si="7"/>
        <v>4417982</v>
      </c>
      <c r="K72" s="16">
        <v>25000</v>
      </c>
      <c r="L72" s="16">
        <v>2603180</v>
      </c>
      <c r="M72" s="16">
        <v>200000</v>
      </c>
      <c r="N72" s="16">
        <v>0</v>
      </c>
      <c r="O72" s="16">
        <v>1500000</v>
      </c>
      <c r="P72" s="16">
        <v>89802</v>
      </c>
      <c r="Q72" s="16">
        <f t="shared" si="8"/>
        <v>126834</v>
      </c>
      <c r="R72" s="16">
        <v>51123</v>
      </c>
      <c r="S72" s="16">
        <v>75711</v>
      </c>
      <c r="T72" s="16">
        <v>0</v>
      </c>
      <c r="U72" s="16">
        <v>43618</v>
      </c>
      <c r="V72" s="16">
        <f>SUM(W72:AD72)</f>
        <v>5316</v>
      </c>
      <c r="W72" s="16">
        <v>5316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f>SUM(AF72:AZ72)</f>
        <v>2378830</v>
      </c>
      <c r="AF72" s="16">
        <v>0</v>
      </c>
      <c r="AG72" s="16">
        <v>149</v>
      </c>
      <c r="AH72" s="16">
        <v>4899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29682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2340000</v>
      </c>
      <c r="AX72" s="16">
        <v>0</v>
      </c>
      <c r="AY72" s="16">
        <v>0</v>
      </c>
      <c r="AZ72" s="16">
        <v>4100</v>
      </c>
      <c r="BA72" s="16">
        <f>SUM(BB72+BF72+BI72+BK72+BM72)</f>
        <v>62499</v>
      </c>
      <c r="BB72" s="16">
        <f>SUM(BC72:BE72)</f>
        <v>0</v>
      </c>
      <c r="BC72" s="16">
        <v>0</v>
      </c>
      <c r="BD72" s="16">
        <v>0</v>
      </c>
      <c r="BE72" s="16">
        <v>0</v>
      </c>
      <c r="BF72" s="16">
        <f t="shared" si="9"/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f t="shared" si="10"/>
        <v>0</v>
      </c>
      <c r="BL72" s="16">
        <v>0</v>
      </c>
      <c r="BM72" s="16">
        <f t="shared" si="11"/>
        <v>62499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62499</v>
      </c>
      <c r="BY72" s="16">
        <f>SUM(BZ72+CQ72)</f>
        <v>900000</v>
      </c>
      <c r="BZ72" s="16">
        <f>SUM(CA72+CD72+CJ72)</f>
        <v>900000</v>
      </c>
      <c r="CA72" s="16">
        <f t="shared" si="12"/>
        <v>900000</v>
      </c>
      <c r="CB72" s="16">
        <v>0</v>
      </c>
      <c r="CC72" s="16">
        <v>900000</v>
      </c>
      <c r="CD72" s="16">
        <f>SUM(CE72:CH72)</f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f>SUM(CK72:CN72)</f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f t="shared" si="13"/>
        <v>0</v>
      </c>
      <c r="CS72" s="16">
        <f t="shared" si="14"/>
        <v>0</v>
      </c>
      <c r="CT72" s="16">
        <v>0</v>
      </c>
      <c r="CU72" s="17">
        <v>0</v>
      </c>
      <c r="CV72" s="38"/>
    </row>
    <row r="73" spans="1:100" ht="31.5" x14ac:dyDescent="0.25">
      <c r="A73" s="18" t="s">
        <v>88</v>
      </c>
      <c r="B73" s="19" t="s">
        <v>1</v>
      </c>
      <c r="C73" s="19" t="s">
        <v>1</v>
      </c>
      <c r="D73" s="31" t="s">
        <v>89</v>
      </c>
      <c r="E73" s="20">
        <f>SUM(E74+E76+E79+E81+E83+E85+E87)</f>
        <v>561037206</v>
      </c>
      <c r="F73" s="21">
        <f t="shared" ref="F73:BS73" si="86">SUM(F74+F76+F79+F81+F83+F85+F87)</f>
        <v>547318516</v>
      </c>
      <c r="G73" s="21">
        <f t="shared" si="86"/>
        <v>545701166</v>
      </c>
      <c r="H73" s="21">
        <f t="shared" si="86"/>
        <v>390589951</v>
      </c>
      <c r="I73" s="21">
        <f t="shared" si="86"/>
        <v>13843616</v>
      </c>
      <c r="J73" s="21">
        <f t="shared" si="86"/>
        <v>80732661</v>
      </c>
      <c r="K73" s="21">
        <f t="shared" si="86"/>
        <v>881324</v>
      </c>
      <c r="L73" s="21">
        <f t="shared" si="86"/>
        <v>28531997</v>
      </c>
      <c r="M73" s="21">
        <f t="shared" si="86"/>
        <v>23331894</v>
      </c>
      <c r="N73" s="21">
        <f t="shared" si="86"/>
        <v>678641</v>
      </c>
      <c r="O73" s="21">
        <f t="shared" si="86"/>
        <v>21720444</v>
      </c>
      <c r="P73" s="21">
        <f t="shared" si="86"/>
        <v>5588361</v>
      </c>
      <c r="Q73" s="21">
        <f t="shared" si="86"/>
        <v>5202708</v>
      </c>
      <c r="R73" s="21">
        <f t="shared" si="86"/>
        <v>194070</v>
      </c>
      <c r="S73" s="21">
        <f t="shared" si="86"/>
        <v>5008638</v>
      </c>
      <c r="T73" s="21">
        <f t="shared" si="86"/>
        <v>0</v>
      </c>
      <c r="U73" s="21">
        <f t="shared" si="86"/>
        <v>6101594</v>
      </c>
      <c r="V73" s="21">
        <f t="shared" si="86"/>
        <v>7912726</v>
      </c>
      <c r="W73" s="21">
        <f t="shared" si="86"/>
        <v>915105</v>
      </c>
      <c r="X73" s="21">
        <f t="shared" si="86"/>
        <v>1492545</v>
      </c>
      <c r="Y73" s="21">
        <f t="shared" si="86"/>
        <v>3138714</v>
      </c>
      <c r="Z73" s="21">
        <f t="shared" si="86"/>
        <v>1459148</v>
      </c>
      <c r="AA73" s="21">
        <f t="shared" si="86"/>
        <v>601343</v>
      </c>
      <c r="AB73" s="21">
        <f t="shared" si="86"/>
        <v>64643</v>
      </c>
      <c r="AC73" s="21">
        <f t="shared" si="86"/>
        <v>0</v>
      </c>
      <c r="AD73" s="21">
        <f t="shared" ref="AD73" si="87">SUM(AD74+AD76+AD79+AD81+AD83+AD85+AD87)</f>
        <v>241228</v>
      </c>
      <c r="AE73" s="21">
        <f t="shared" si="86"/>
        <v>41317910</v>
      </c>
      <c r="AF73" s="21">
        <f t="shared" si="86"/>
        <v>0</v>
      </c>
      <c r="AG73" s="21">
        <f t="shared" si="86"/>
        <v>431493</v>
      </c>
      <c r="AH73" s="21">
        <f t="shared" si="86"/>
        <v>1519408</v>
      </c>
      <c r="AI73" s="21">
        <f t="shared" si="86"/>
        <v>41338</v>
      </c>
      <c r="AJ73" s="21">
        <f t="shared" si="86"/>
        <v>123165</v>
      </c>
      <c r="AK73" s="21">
        <f t="shared" si="86"/>
        <v>208290</v>
      </c>
      <c r="AL73" s="21">
        <f t="shared" si="86"/>
        <v>286318</v>
      </c>
      <c r="AM73" s="21">
        <f t="shared" si="86"/>
        <v>2104634</v>
      </c>
      <c r="AN73" s="21">
        <f t="shared" si="86"/>
        <v>150069</v>
      </c>
      <c r="AO73" s="21">
        <f t="shared" si="86"/>
        <v>93268</v>
      </c>
      <c r="AP73" s="21">
        <f>SUM(AP74+AP76+AP79+AP81+AP83+AP85+AP87)</f>
        <v>0</v>
      </c>
      <c r="AQ73" s="21">
        <f t="shared" si="86"/>
        <v>2391161</v>
      </c>
      <c r="AR73" s="21">
        <f t="shared" si="86"/>
        <v>672122</v>
      </c>
      <c r="AS73" s="21">
        <f t="shared" si="86"/>
        <v>42648</v>
      </c>
      <c r="AT73" s="21">
        <f t="shared" si="86"/>
        <v>0</v>
      </c>
      <c r="AU73" s="21">
        <f t="shared" si="86"/>
        <v>0</v>
      </c>
      <c r="AV73" s="21">
        <f t="shared" si="86"/>
        <v>0</v>
      </c>
      <c r="AW73" s="21">
        <f t="shared" si="86"/>
        <v>26100856</v>
      </c>
      <c r="AX73" s="21">
        <f t="shared" si="86"/>
        <v>46800</v>
      </c>
      <c r="AY73" s="21">
        <f t="shared" si="86"/>
        <v>0</v>
      </c>
      <c r="AZ73" s="21">
        <f t="shared" si="86"/>
        <v>7106340</v>
      </c>
      <c r="BA73" s="21">
        <f t="shared" si="86"/>
        <v>1617350</v>
      </c>
      <c r="BB73" s="21">
        <f t="shared" si="86"/>
        <v>0</v>
      </c>
      <c r="BC73" s="21">
        <f t="shared" si="86"/>
        <v>0</v>
      </c>
      <c r="BD73" s="21">
        <f t="shared" si="86"/>
        <v>0</v>
      </c>
      <c r="BE73" s="21">
        <f t="shared" si="86"/>
        <v>0</v>
      </c>
      <c r="BF73" s="21">
        <f t="shared" si="86"/>
        <v>0</v>
      </c>
      <c r="BG73" s="21">
        <f t="shared" si="86"/>
        <v>0</v>
      </c>
      <c r="BH73" s="21">
        <f t="shared" si="86"/>
        <v>0</v>
      </c>
      <c r="BI73" s="21">
        <f t="shared" si="86"/>
        <v>0</v>
      </c>
      <c r="BJ73" s="21">
        <f t="shared" si="86"/>
        <v>0</v>
      </c>
      <c r="BK73" s="21">
        <f t="shared" si="86"/>
        <v>459294</v>
      </c>
      <c r="BL73" s="21">
        <f t="shared" si="86"/>
        <v>459294</v>
      </c>
      <c r="BM73" s="21">
        <f t="shared" si="86"/>
        <v>1158056</v>
      </c>
      <c r="BN73" s="21">
        <f t="shared" si="86"/>
        <v>0</v>
      </c>
      <c r="BO73" s="21">
        <f t="shared" si="86"/>
        <v>0</v>
      </c>
      <c r="BP73" s="21">
        <f t="shared" si="86"/>
        <v>6230</v>
      </c>
      <c r="BQ73" s="21">
        <f t="shared" si="86"/>
        <v>0</v>
      </c>
      <c r="BR73" s="21">
        <f t="shared" si="86"/>
        <v>0</v>
      </c>
      <c r="BS73" s="21">
        <f t="shared" si="86"/>
        <v>0</v>
      </c>
      <c r="BT73" s="21">
        <f t="shared" ref="BT73:CU73" si="88">SUM(BT74+BT76+BT79+BT81+BT83+BT85+BT87)</f>
        <v>0</v>
      </c>
      <c r="BU73" s="21">
        <f t="shared" si="88"/>
        <v>0</v>
      </c>
      <c r="BV73" s="21">
        <f t="shared" si="88"/>
        <v>0</v>
      </c>
      <c r="BW73" s="21">
        <f t="shared" si="88"/>
        <v>400254</v>
      </c>
      <c r="BX73" s="21">
        <f t="shared" si="88"/>
        <v>751572</v>
      </c>
      <c r="BY73" s="21">
        <f t="shared" si="88"/>
        <v>13718690</v>
      </c>
      <c r="BZ73" s="21">
        <f t="shared" si="88"/>
        <v>13718690</v>
      </c>
      <c r="CA73" s="21">
        <f t="shared" si="88"/>
        <v>12806511</v>
      </c>
      <c r="CB73" s="21">
        <f t="shared" si="88"/>
        <v>0</v>
      </c>
      <c r="CC73" s="21">
        <f t="shared" si="88"/>
        <v>12806511</v>
      </c>
      <c r="CD73" s="21">
        <f t="shared" si="88"/>
        <v>212179</v>
      </c>
      <c r="CE73" s="21">
        <f t="shared" si="88"/>
        <v>0</v>
      </c>
      <c r="CF73" s="21">
        <f t="shared" si="88"/>
        <v>0</v>
      </c>
      <c r="CG73" s="21">
        <f t="shared" si="88"/>
        <v>212179</v>
      </c>
      <c r="CH73" s="21">
        <f t="shared" si="88"/>
        <v>0</v>
      </c>
      <c r="CI73" s="21">
        <f t="shared" ref="CI73" si="89">SUM(CI74+CI76+CI79+CI81+CI83+CI85+CI87)</f>
        <v>0</v>
      </c>
      <c r="CJ73" s="21">
        <f t="shared" si="88"/>
        <v>700000</v>
      </c>
      <c r="CK73" s="21">
        <f t="shared" si="88"/>
        <v>0</v>
      </c>
      <c r="CL73" s="21">
        <f t="shared" si="88"/>
        <v>0</v>
      </c>
      <c r="CM73" s="21">
        <f t="shared" si="88"/>
        <v>700000</v>
      </c>
      <c r="CN73" s="21">
        <f t="shared" si="88"/>
        <v>0</v>
      </c>
      <c r="CO73" s="21">
        <f t="shared" si="88"/>
        <v>0</v>
      </c>
      <c r="CP73" s="21">
        <f t="shared" si="88"/>
        <v>0</v>
      </c>
      <c r="CQ73" s="21">
        <f t="shared" si="88"/>
        <v>0</v>
      </c>
      <c r="CR73" s="21">
        <f t="shared" si="88"/>
        <v>0</v>
      </c>
      <c r="CS73" s="21">
        <f t="shared" si="88"/>
        <v>0</v>
      </c>
      <c r="CT73" s="21">
        <f t="shared" si="88"/>
        <v>0</v>
      </c>
      <c r="CU73" s="22">
        <f t="shared" si="88"/>
        <v>0</v>
      </c>
      <c r="CV73" s="38"/>
    </row>
    <row r="74" spans="1:100" ht="15.75" x14ac:dyDescent="0.25">
      <c r="A74" s="13" t="s">
        <v>50</v>
      </c>
      <c r="B74" s="14" t="s">
        <v>3</v>
      </c>
      <c r="C74" s="14" t="s">
        <v>1</v>
      </c>
      <c r="D74" s="30" t="s">
        <v>90</v>
      </c>
      <c r="E74" s="15">
        <f t="shared" ref="E74:AJ74" si="90">SUM(E75)</f>
        <v>283247814</v>
      </c>
      <c r="F74" s="16">
        <f t="shared" si="90"/>
        <v>273794183</v>
      </c>
      <c r="G74" s="16">
        <f t="shared" si="90"/>
        <v>273100177</v>
      </c>
      <c r="H74" s="16">
        <f t="shared" si="90"/>
        <v>200164295</v>
      </c>
      <c r="I74" s="16">
        <f t="shared" si="90"/>
        <v>8295856</v>
      </c>
      <c r="J74" s="16">
        <f t="shared" si="90"/>
        <v>32859820</v>
      </c>
      <c r="K74" s="16">
        <f t="shared" si="90"/>
        <v>291647</v>
      </c>
      <c r="L74" s="16">
        <f t="shared" si="90"/>
        <v>14210000</v>
      </c>
      <c r="M74" s="16">
        <f t="shared" si="90"/>
        <v>5521786</v>
      </c>
      <c r="N74" s="16">
        <f t="shared" si="90"/>
        <v>0</v>
      </c>
      <c r="O74" s="16">
        <f t="shared" si="90"/>
        <v>10560000</v>
      </c>
      <c r="P74" s="16">
        <f t="shared" si="90"/>
        <v>2276387</v>
      </c>
      <c r="Q74" s="16">
        <f t="shared" si="90"/>
        <v>195157</v>
      </c>
      <c r="R74" s="16">
        <f t="shared" si="90"/>
        <v>93371</v>
      </c>
      <c r="S74" s="16">
        <f t="shared" si="90"/>
        <v>101786</v>
      </c>
      <c r="T74" s="16">
        <f t="shared" si="90"/>
        <v>0</v>
      </c>
      <c r="U74" s="16">
        <f t="shared" si="90"/>
        <v>4400000</v>
      </c>
      <c r="V74" s="16">
        <f t="shared" si="90"/>
        <v>3105758</v>
      </c>
      <c r="W74" s="16">
        <f t="shared" si="90"/>
        <v>155000</v>
      </c>
      <c r="X74" s="16">
        <f t="shared" si="90"/>
        <v>1096862</v>
      </c>
      <c r="Y74" s="16">
        <f t="shared" si="90"/>
        <v>1055538</v>
      </c>
      <c r="Z74" s="16">
        <f t="shared" si="90"/>
        <v>355236</v>
      </c>
      <c r="AA74" s="16">
        <f t="shared" si="90"/>
        <v>344962</v>
      </c>
      <c r="AB74" s="16">
        <f t="shared" si="90"/>
        <v>47123</v>
      </c>
      <c r="AC74" s="16">
        <f t="shared" si="90"/>
        <v>0</v>
      </c>
      <c r="AD74" s="16">
        <f t="shared" si="90"/>
        <v>51037</v>
      </c>
      <c r="AE74" s="16">
        <f t="shared" si="90"/>
        <v>24079291</v>
      </c>
      <c r="AF74" s="16">
        <f t="shared" si="90"/>
        <v>0</v>
      </c>
      <c r="AG74" s="16">
        <f t="shared" si="90"/>
        <v>121033</v>
      </c>
      <c r="AH74" s="16">
        <f t="shared" si="90"/>
        <v>363204</v>
      </c>
      <c r="AI74" s="16">
        <f t="shared" si="90"/>
        <v>39747</v>
      </c>
      <c r="AJ74" s="16">
        <f t="shared" si="90"/>
        <v>54522</v>
      </c>
      <c r="AK74" s="16">
        <f t="shared" ref="AK74:BR74" si="91">SUM(AK75)</f>
        <v>75333</v>
      </c>
      <c r="AL74" s="16">
        <f t="shared" si="91"/>
        <v>7220</v>
      </c>
      <c r="AM74" s="16">
        <f t="shared" si="91"/>
        <v>1836351</v>
      </c>
      <c r="AN74" s="16">
        <f t="shared" si="91"/>
        <v>18042</v>
      </c>
      <c r="AO74" s="16">
        <f t="shared" si="91"/>
        <v>11108</v>
      </c>
      <c r="AP74" s="16">
        <f t="shared" si="91"/>
        <v>0</v>
      </c>
      <c r="AQ74" s="16">
        <f t="shared" si="91"/>
        <v>1019993</v>
      </c>
      <c r="AR74" s="16">
        <f t="shared" si="91"/>
        <v>107567</v>
      </c>
      <c r="AS74" s="16">
        <f t="shared" si="91"/>
        <v>0</v>
      </c>
      <c r="AT74" s="16">
        <f t="shared" si="91"/>
        <v>0</v>
      </c>
      <c r="AU74" s="16">
        <f t="shared" si="91"/>
        <v>0</v>
      </c>
      <c r="AV74" s="16">
        <f t="shared" si="91"/>
        <v>0</v>
      </c>
      <c r="AW74" s="16">
        <f t="shared" si="91"/>
        <v>14477446</v>
      </c>
      <c r="AX74" s="16">
        <f t="shared" si="91"/>
        <v>0</v>
      </c>
      <c r="AY74" s="16">
        <f t="shared" si="91"/>
        <v>0</v>
      </c>
      <c r="AZ74" s="16">
        <f t="shared" si="91"/>
        <v>5947725</v>
      </c>
      <c r="BA74" s="16">
        <f t="shared" si="91"/>
        <v>694006</v>
      </c>
      <c r="BB74" s="16">
        <f t="shared" si="91"/>
        <v>0</v>
      </c>
      <c r="BC74" s="16">
        <f t="shared" si="91"/>
        <v>0</v>
      </c>
      <c r="BD74" s="16">
        <f t="shared" si="91"/>
        <v>0</v>
      </c>
      <c r="BE74" s="16">
        <f t="shared" si="91"/>
        <v>0</v>
      </c>
      <c r="BF74" s="16">
        <f t="shared" si="91"/>
        <v>0</v>
      </c>
      <c r="BG74" s="16">
        <f t="shared" si="91"/>
        <v>0</v>
      </c>
      <c r="BH74" s="16">
        <f t="shared" si="91"/>
        <v>0</v>
      </c>
      <c r="BI74" s="16">
        <f t="shared" si="91"/>
        <v>0</v>
      </c>
      <c r="BJ74" s="16">
        <f t="shared" si="91"/>
        <v>0</v>
      </c>
      <c r="BK74" s="16">
        <f t="shared" si="91"/>
        <v>304566</v>
      </c>
      <c r="BL74" s="16">
        <f t="shared" si="91"/>
        <v>304566</v>
      </c>
      <c r="BM74" s="16">
        <f t="shared" si="91"/>
        <v>389440</v>
      </c>
      <c r="BN74" s="16">
        <f t="shared" si="91"/>
        <v>0</v>
      </c>
      <c r="BO74" s="16">
        <f t="shared" si="91"/>
        <v>0</v>
      </c>
      <c r="BP74" s="16">
        <f t="shared" si="91"/>
        <v>6230</v>
      </c>
      <c r="BQ74" s="16">
        <f t="shared" si="91"/>
        <v>0</v>
      </c>
      <c r="BR74" s="16">
        <f t="shared" si="91"/>
        <v>0</v>
      </c>
      <c r="BS74" s="16">
        <f t="shared" ref="BS74:CU74" si="92">SUM(BS75)</f>
        <v>0</v>
      </c>
      <c r="BT74" s="16">
        <f t="shared" si="92"/>
        <v>0</v>
      </c>
      <c r="BU74" s="16">
        <f t="shared" si="92"/>
        <v>0</v>
      </c>
      <c r="BV74" s="16">
        <f t="shared" si="92"/>
        <v>0</v>
      </c>
      <c r="BW74" s="16">
        <f t="shared" si="92"/>
        <v>383210</v>
      </c>
      <c r="BX74" s="16">
        <f t="shared" si="92"/>
        <v>0</v>
      </c>
      <c r="BY74" s="16">
        <f t="shared" si="92"/>
        <v>9453631</v>
      </c>
      <c r="BZ74" s="16">
        <f t="shared" si="92"/>
        <v>9453631</v>
      </c>
      <c r="CA74" s="16">
        <f t="shared" si="92"/>
        <v>8841452</v>
      </c>
      <c r="CB74" s="16">
        <f t="shared" si="92"/>
        <v>0</v>
      </c>
      <c r="CC74" s="16">
        <f t="shared" si="92"/>
        <v>8841452</v>
      </c>
      <c r="CD74" s="16">
        <f t="shared" si="92"/>
        <v>212179</v>
      </c>
      <c r="CE74" s="16">
        <f t="shared" si="92"/>
        <v>0</v>
      </c>
      <c r="CF74" s="16">
        <f t="shared" si="92"/>
        <v>0</v>
      </c>
      <c r="CG74" s="16">
        <f t="shared" si="92"/>
        <v>212179</v>
      </c>
      <c r="CH74" s="16">
        <f t="shared" si="92"/>
        <v>0</v>
      </c>
      <c r="CI74" s="16">
        <f t="shared" si="92"/>
        <v>0</v>
      </c>
      <c r="CJ74" s="16">
        <f t="shared" si="92"/>
        <v>400000</v>
      </c>
      <c r="CK74" s="16">
        <f t="shared" si="92"/>
        <v>0</v>
      </c>
      <c r="CL74" s="16">
        <f t="shared" si="92"/>
        <v>0</v>
      </c>
      <c r="CM74" s="16">
        <f t="shared" si="92"/>
        <v>400000</v>
      </c>
      <c r="CN74" s="16">
        <f t="shared" si="92"/>
        <v>0</v>
      </c>
      <c r="CO74" s="16">
        <f t="shared" si="92"/>
        <v>0</v>
      </c>
      <c r="CP74" s="16">
        <f t="shared" si="92"/>
        <v>0</v>
      </c>
      <c r="CQ74" s="16">
        <f t="shared" si="92"/>
        <v>0</v>
      </c>
      <c r="CR74" s="16">
        <f t="shared" si="92"/>
        <v>0</v>
      </c>
      <c r="CS74" s="16">
        <f t="shared" si="92"/>
        <v>0</v>
      </c>
      <c r="CT74" s="16">
        <f t="shared" si="92"/>
        <v>0</v>
      </c>
      <c r="CU74" s="17">
        <f t="shared" si="92"/>
        <v>0</v>
      </c>
      <c r="CV74" s="38"/>
    </row>
    <row r="75" spans="1:100" ht="15.75" x14ac:dyDescent="0.25">
      <c r="A75" s="13" t="s">
        <v>1</v>
      </c>
      <c r="B75" s="14" t="s">
        <v>1</v>
      </c>
      <c r="C75" s="14" t="s">
        <v>91</v>
      </c>
      <c r="D75" s="30" t="s">
        <v>92</v>
      </c>
      <c r="E75" s="15">
        <f>SUM(F75+BY75+CR75)</f>
        <v>283247814</v>
      </c>
      <c r="F75" s="16">
        <f>SUM(G75+BA75)</f>
        <v>273794183</v>
      </c>
      <c r="G75" s="16">
        <f>SUM(H75+I75+J75+Q75+T75+U75+V75+AE75)</f>
        <v>273100177</v>
      </c>
      <c r="H75" s="16">
        <f>193513809+3557954+3092532</f>
        <v>200164295</v>
      </c>
      <c r="I75" s="16">
        <v>8295856</v>
      </c>
      <c r="J75" s="16">
        <f t="shared" si="7"/>
        <v>32859820</v>
      </c>
      <c r="K75" s="16">
        <v>291647</v>
      </c>
      <c r="L75" s="16">
        <v>14210000</v>
      </c>
      <c r="M75" s="16">
        <v>5521786</v>
      </c>
      <c r="N75" s="16">
        <v>0</v>
      </c>
      <c r="O75" s="16">
        <f>10260000+300000</f>
        <v>10560000</v>
      </c>
      <c r="P75" s="16">
        <f>1242555+1033832</f>
        <v>2276387</v>
      </c>
      <c r="Q75" s="16">
        <f t="shared" si="8"/>
        <v>195157</v>
      </c>
      <c r="R75" s="16">
        <v>93371</v>
      </c>
      <c r="S75" s="16">
        <v>101786</v>
      </c>
      <c r="T75" s="16">
        <v>0</v>
      </c>
      <c r="U75" s="16">
        <f>3800000+600000</f>
        <v>4400000</v>
      </c>
      <c r="V75" s="16">
        <f>SUM(W75:AD75)</f>
        <v>3105758</v>
      </c>
      <c r="W75" s="16">
        <f>65000+90000</f>
        <v>155000</v>
      </c>
      <c r="X75" s="16">
        <f>1070452+26410</f>
        <v>1096862</v>
      </c>
      <c r="Y75" s="16">
        <f>1049918+5620</f>
        <v>1055538</v>
      </c>
      <c r="Z75" s="16">
        <f>354746+490</f>
        <v>355236</v>
      </c>
      <c r="AA75" s="16">
        <v>344962</v>
      </c>
      <c r="AB75" s="16">
        <v>47123</v>
      </c>
      <c r="AC75" s="16">
        <v>0</v>
      </c>
      <c r="AD75" s="16">
        <f>52446-1409</f>
        <v>51037</v>
      </c>
      <c r="AE75" s="16">
        <f>SUM(AF75:AZ75)</f>
        <v>24079291</v>
      </c>
      <c r="AF75" s="16">
        <v>0</v>
      </c>
      <c r="AG75" s="16">
        <f>98033+23000</f>
        <v>121033</v>
      </c>
      <c r="AH75" s="16">
        <f>248009+115195</f>
        <v>363204</v>
      </c>
      <c r="AI75" s="16">
        <f>39747</f>
        <v>39747</v>
      </c>
      <c r="AJ75" s="16">
        <f>54522</f>
        <v>54522</v>
      </c>
      <c r="AK75" s="16">
        <f>75333</f>
        <v>75333</v>
      </c>
      <c r="AL75" s="16">
        <f>1957376-1950156</f>
        <v>7220</v>
      </c>
      <c r="AM75" s="16">
        <f>1736351+100000</f>
        <v>1836351</v>
      </c>
      <c r="AN75" s="16">
        <v>18042</v>
      </c>
      <c r="AO75" s="16">
        <v>11108</v>
      </c>
      <c r="AP75" s="16"/>
      <c r="AQ75" s="16">
        <f>297993+722000</f>
        <v>1019993</v>
      </c>
      <c r="AR75" s="16">
        <v>107567</v>
      </c>
      <c r="AS75" s="16">
        <v>0</v>
      </c>
      <c r="AT75" s="16">
        <v>0</v>
      </c>
      <c r="AU75" s="16">
        <v>0</v>
      </c>
      <c r="AV75" s="16">
        <v>0</v>
      </c>
      <c r="AW75" s="16">
        <f>17569978-3092532</f>
        <v>14477446</v>
      </c>
      <c r="AX75" s="16">
        <v>0</v>
      </c>
      <c r="AY75" s="16"/>
      <c r="AZ75" s="16">
        <f>5887725+60000</f>
        <v>5947725</v>
      </c>
      <c r="BA75" s="16">
        <f>SUM(BB75+BF75+BI75+BK75+BM75)</f>
        <v>694006</v>
      </c>
      <c r="BB75" s="16">
        <f>SUM(BC75:BE75)</f>
        <v>0</v>
      </c>
      <c r="BC75" s="16">
        <v>0</v>
      </c>
      <c r="BD75" s="16">
        <v>0</v>
      </c>
      <c r="BE75" s="16">
        <v>0</v>
      </c>
      <c r="BF75" s="16">
        <f t="shared" si="9"/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f t="shared" si="10"/>
        <v>304566</v>
      </c>
      <c r="BL75" s="16">
        <v>304566</v>
      </c>
      <c r="BM75" s="16">
        <f t="shared" si="11"/>
        <v>389440</v>
      </c>
      <c r="BN75" s="16">
        <v>0</v>
      </c>
      <c r="BO75" s="16">
        <v>0</v>
      </c>
      <c r="BP75" s="16">
        <v>6230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383210</v>
      </c>
      <c r="BX75" s="16">
        <v>0</v>
      </c>
      <c r="BY75" s="16">
        <f>SUM(BZ75+CQ75)</f>
        <v>9453631</v>
      </c>
      <c r="BZ75" s="16">
        <f>SUM(CA75+CD75+CJ75)</f>
        <v>9453631</v>
      </c>
      <c r="CA75" s="16">
        <f t="shared" si="12"/>
        <v>8841452</v>
      </c>
      <c r="CB75" s="16">
        <v>0</v>
      </c>
      <c r="CC75" s="16">
        <f>10547502-1706050</f>
        <v>8841452</v>
      </c>
      <c r="CD75" s="16">
        <f>SUM(CE75:CH75)</f>
        <v>212179</v>
      </c>
      <c r="CE75" s="16">
        <v>0</v>
      </c>
      <c r="CF75" s="16">
        <v>0</v>
      </c>
      <c r="CG75" s="16">
        <f>0+212179</f>
        <v>212179</v>
      </c>
      <c r="CH75" s="16">
        <v>0</v>
      </c>
      <c r="CI75" s="16">
        <v>0</v>
      </c>
      <c r="CJ75" s="16">
        <f>SUM(CK75:CN75)</f>
        <v>400000</v>
      </c>
      <c r="CK75" s="16">
        <v>0</v>
      </c>
      <c r="CL75" s="16">
        <v>0</v>
      </c>
      <c r="CM75" s="16">
        <f>0+400000</f>
        <v>400000</v>
      </c>
      <c r="CN75" s="16">
        <v>0</v>
      </c>
      <c r="CO75" s="16"/>
      <c r="CP75" s="16"/>
      <c r="CQ75" s="16">
        <v>0</v>
      </c>
      <c r="CR75" s="16">
        <f t="shared" si="13"/>
        <v>0</v>
      </c>
      <c r="CS75" s="16">
        <f t="shared" si="14"/>
        <v>0</v>
      </c>
      <c r="CT75" s="16">
        <v>0</v>
      </c>
      <c r="CU75" s="17">
        <v>0</v>
      </c>
      <c r="CV75" s="38"/>
    </row>
    <row r="76" spans="1:100" ht="31.5" x14ac:dyDescent="0.25">
      <c r="A76" s="13" t="s">
        <v>50</v>
      </c>
      <c r="B76" s="14" t="s">
        <v>15</v>
      </c>
      <c r="C76" s="14" t="s">
        <v>1</v>
      </c>
      <c r="D76" s="30" t="s">
        <v>495</v>
      </c>
      <c r="E76" s="15">
        <f>SUM(E77:E78)</f>
        <v>93934613</v>
      </c>
      <c r="F76" s="16">
        <f t="shared" ref="F76:BS76" si="93">SUM(F77:F78)</f>
        <v>92758062</v>
      </c>
      <c r="G76" s="16">
        <f t="shared" si="93"/>
        <v>92743062</v>
      </c>
      <c r="H76" s="16">
        <f t="shared" si="93"/>
        <v>53618487</v>
      </c>
      <c r="I76" s="16">
        <f t="shared" si="93"/>
        <v>1815124</v>
      </c>
      <c r="J76" s="16">
        <f t="shared" si="93"/>
        <v>27566694</v>
      </c>
      <c r="K76" s="16">
        <f t="shared" si="93"/>
        <v>396973</v>
      </c>
      <c r="L76" s="16">
        <f t="shared" si="93"/>
        <v>5875008</v>
      </c>
      <c r="M76" s="16">
        <f t="shared" si="93"/>
        <v>16960028</v>
      </c>
      <c r="N76" s="16">
        <f t="shared" si="93"/>
        <v>0</v>
      </c>
      <c r="O76" s="16">
        <f t="shared" si="93"/>
        <v>2981334</v>
      </c>
      <c r="P76" s="16">
        <f t="shared" si="93"/>
        <v>1353351</v>
      </c>
      <c r="Q76" s="16">
        <f t="shared" si="93"/>
        <v>27611</v>
      </c>
      <c r="R76" s="16">
        <f t="shared" si="93"/>
        <v>27611</v>
      </c>
      <c r="S76" s="16">
        <f t="shared" si="93"/>
        <v>0</v>
      </c>
      <c r="T76" s="16">
        <f t="shared" si="93"/>
        <v>0</v>
      </c>
      <c r="U76" s="16">
        <f t="shared" si="93"/>
        <v>490176</v>
      </c>
      <c r="V76" s="16">
        <f t="shared" si="93"/>
        <v>3519832</v>
      </c>
      <c r="W76" s="16">
        <f t="shared" si="93"/>
        <v>550096</v>
      </c>
      <c r="X76" s="16">
        <f t="shared" si="93"/>
        <v>25930</v>
      </c>
      <c r="Y76" s="16">
        <f t="shared" si="93"/>
        <v>1529883</v>
      </c>
      <c r="Z76" s="16">
        <f t="shared" si="93"/>
        <v>1041215</v>
      </c>
      <c r="AA76" s="16">
        <f t="shared" si="93"/>
        <v>206069</v>
      </c>
      <c r="AB76" s="16">
        <f t="shared" si="93"/>
        <v>0</v>
      </c>
      <c r="AC76" s="16">
        <f t="shared" si="93"/>
        <v>0</v>
      </c>
      <c r="AD76" s="16">
        <f t="shared" ref="AD76" si="94">SUM(AD77:AD78)</f>
        <v>166639</v>
      </c>
      <c r="AE76" s="16">
        <f t="shared" si="93"/>
        <v>5705138</v>
      </c>
      <c r="AF76" s="16">
        <f t="shared" si="93"/>
        <v>0</v>
      </c>
      <c r="AG76" s="16">
        <f t="shared" si="93"/>
        <v>0</v>
      </c>
      <c r="AH76" s="16">
        <f t="shared" si="93"/>
        <v>710862</v>
      </c>
      <c r="AI76" s="16">
        <f t="shared" si="93"/>
        <v>0</v>
      </c>
      <c r="AJ76" s="16">
        <f t="shared" si="93"/>
        <v>12492</v>
      </c>
      <c r="AK76" s="16">
        <f t="shared" si="93"/>
        <v>0</v>
      </c>
      <c r="AL76" s="16">
        <f t="shared" si="93"/>
        <v>46225</v>
      </c>
      <c r="AM76" s="16">
        <f t="shared" si="93"/>
        <v>37374</v>
      </c>
      <c r="AN76" s="16">
        <f t="shared" si="93"/>
        <v>13386</v>
      </c>
      <c r="AO76" s="16">
        <f t="shared" si="93"/>
        <v>0</v>
      </c>
      <c r="AP76" s="16">
        <f>SUM(AP77:AP78)</f>
        <v>0</v>
      </c>
      <c r="AQ76" s="16">
        <f t="shared" si="93"/>
        <v>313124</v>
      </c>
      <c r="AR76" s="16">
        <f t="shared" si="93"/>
        <v>0</v>
      </c>
      <c r="AS76" s="16">
        <f t="shared" si="93"/>
        <v>0</v>
      </c>
      <c r="AT76" s="16">
        <f t="shared" si="93"/>
        <v>0</v>
      </c>
      <c r="AU76" s="16">
        <f t="shared" si="93"/>
        <v>0</v>
      </c>
      <c r="AV76" s="16">
        <f t="shared" si="93"/>
        <v>0</v>
      </c>
      <c r="AW76" s="16">
        <f t="shared" si="93"/>
        <v>4350829</v>
      </c>
      <c r="AX76" s="16">
        <f t="shared" si="93"/>
        <v>0</v>
      </c>
      <c r="AY76" s="16">
        <f t="shared" si="93"/>
        <v>0</v>
      </c>
      <c r="AZ76" s="16">
        <f t="shared" si="93"/>
        <v>220846</v>
      </c>
      <c r="BA76" s="16">
        <f t="shared" si="93"/>
        <v>15000</v>
      </c>
      <c r="BB76" s="16">
        <f t="shared" si="93"/>
        <v>0</v>
      </c>
      <c r="BC76" s="16">
        <f t="shared" si="93"/>
        <v>0</v>
      </c>
      <c r="BD76" s="16">
        <f t="shared" si="93"/>
        <v>0</v>
      </c>
      <c r="BE76" s="16">
        <f t="shared" si="93"/>
        <v>0</v>
      </c>
      <c r="BF76" s="16">
        <f t="shared" si="93"/>
        <v>0</v>
      </c>
      <c r="BG76" s="16">
        <f t="shared" si="93"/>
        <v>0</v>
      </c>
      <c r="BH76" s="16">
        <f t="shared" si="93"/>
        <v>0</v>
      </c>
      <c r="BI76" s="16">
        <f t="shared" si="93"/>
        <v>0</v>
      </c>
      <c r="BJ76" s="16">
        <f t="shared" si="93"/>
        <v>0</v>
      </c>
      <c r="BK76" s="16">
        <f t="shared" si="93"/>
        <v>15000</v>
      </c>
      <c r="BL76" s="16">
        <f t="shared" si="93"/>
        <v>15000</v>
      </c>
      <c r="BM76" s="16">
        <f t="shared" si="93"/>
        <v>0</v>
      </c>
      <c r="BN76" s="16">
        <f t="shared" si="93"/>
        <v>0</v>
      </c>
      <c r="BO76" s="16">
        <f t="shared" si="93"/>
        <v>0</v>
      </c>
      <c r="BP76" s="16">
        <f t="shared" si="93"/>
        <v>0</v>
      </c>
      <c r="BQ76" s="16">
        <f t="shared" si="93"/>
        <v>0</v>
      </c>
      <c r="BR76" s="16">
        <f t="shared" si="93"/>
        <v>0</v>
      </c>
      <c r="BS76" s="16">
        <f t="shared" si="93"/>
        <v>0</v>
      </c>
      <c r="BT76" s="16">
        <f t="shared" ref="BT76:CU76" si="95">SUM(BT77:BT78)</f>
        <v>0</v>
      </c>
      <c r="BU76" s="16">
        <f t="shared" si="95"/>
        <v>0</v>
      </c>
      <c r="BV76" s="16">
        <f t="shared" si="95"/>
        <v>0</v>
      </c>
      <c r="BW76" s="16">
        <f t="shared" si="95"/>
        <v>0</v>
      </c>
      <c r="BX76" s="16">
        <f t="shared" si="95"/>
        <v>0</v>
      </c>
      <c r="BY76" s="16">
        <f t="shared" si="95"/>
        <v>1176551</v>
      </c>
      <c r="BZ76" s="16">
        <f t="shared" si="95"/>
        <v>1176551</v>
      </c>
      <c r="CA76" s="16">
        <f t="shared" si="95"/>
        <v>1176551</v>
      </c>
      <c r="CB76" s="16">
        <f t="shared" si="95"/>
        <v>0</v>
      </c>
      <c r="CC76" s="16">
        <f t="shared" si="95"/>
        <v>1176551</v>
      </c>
      <c r="CD76" s="16">
        <f t="shared" si="95"/>
        <v>0</v>
      </c>
      <c r="CE76" s="16">
        <f t="shared" si="95"/>
        <v>0</v>
      </c>
      <c r="CF76" s="16">
        <f t="shared" si="95"/>
        <v>0</v>
      </c>
      <c r="CG76" s="16">
        <f t="shared" si="95"/>
        <v>0</v>
      </c>
      <c r="CH76" s="16">
        <f t="shared" si="95"/>
        <v>0</v>
      </c>
      <c r="CI76" s="16">
        <f t="shared" ref="CI76" si="96">SUM(CI77:CI78)</f>
        <v>0</v>
      </c>
      <c r="CJ76" s="16">
        <f t="shared" si="95"/>
        <v>0</v>
      </c>
      <c r="CK76" s="16">
        <f t="shared" si="95"/>
        <v>0</v>
      </c>
      <c r="CL76" s="16">
        <f t="shared" si="95"/>
        <v>0</v>
      </c>
      <c r="CM76" s="16">
        <f t="shared" si="95"/>
        <v>0</v>
      </c>
      <c r="CN76" s="16">
        <f t="shared" si="95"/>
        <v>0</v>
      </c>
      <c r="CO76" s="16">
        <f t="shared" si="95"/>
        <v>0</v>
      </c>
      <c r="CP76" s="16">
        <f t="shared" si="95"/>
        <v>0</v>
      </c>
      <c r="CQ76" s="16">
        <f t="shared" si="95"/>
        <v>0</v>
      </c>
      <c r="CR76" s="16">
        <f t="shared" si="95"/>
        <v>0</v>
      </c>
      <c r="CS76" s="16">
        <f t="shared" si="95"/>
        <v>0</v>
      </c>
      <c r="CT76" s="16">
        <f t="shared" si="95"/>
        <v>0</v>
      </c>
      <c r="CU76" s="17">
        <f t="shared" si="95"/>
        <v>0</v>
      </c>
      <c r="CV76" s="38"/>
    </row>
    <row r="77" spans="1:100" ht="15.75" x14ac:dyDescent="0.25">
      <c r="A77" s="13" t="s">
        <v>1</v>
      </c>
      <c r="B77" s="14" t="s">
        <v>1</v>
      </c>
      <c r="C77" s="14" t="s">
        <v>93</v>
      </c>
      <c r="D77" s="30" t="s">
        <v>94</v>
      </c>
      <c r="E77" s="15">
        <f>SUM(F77+BY77+CR77)</f>
        <v>5456088</v>
      </c>
      <c r="F77" s="16">
        <f>SUM(G77+BA77)</f>
        <v>5363637</v>
      </c>
      <c r="G77" s="16">
        <f>SUM(H77+I77+J77+Q77+T77+U77+V77+AE77)</f>
        <v>5363637</v>
      </c>
      <c r="H77" s="16">
        <v>4281945</v>
      </c>
      <c r="I77" s="16">
        <v>107049</v>
      </c>
      <c r="J77" s="16">
        <f t="shared" si="7"/>
        <v>279988</v>
      </c>
      <c r="K77" s="16">
        <v>0</v>
      </c>
      <c r="L77" s="16">
        <v>118309</v>
      </c>
      <c r="M77" s="16">
        <v>0</v>
      </c>
      <c r="N77" s="16">
        <v>0</v>
      </c>
      <c r="O77" s="16">
        <v>159520</v>
      </c>
      <c r="P77" s="16">
        <v>2159</v>
      </c>
      <c r="Q77" s="16">
        <f t="shared" si="8"/>
        <v>11992</v>
      </c>
      <c r="R77" s="16">
        <v>11992</v>
      </c>
      <c r="S77" s="16">
        <v>0</v>
      </c>
      <c r="T77" s="16">
        <v>0</v>
      </c>
      <c r="U77" s="16">
        <v>227163</v>
      </c>
      <c r="V77" s="16">
        <f>SUM(W77:AD77)</f>
        <v>41613</v>
      </c>
      <c r="W77" s="16">
        <v>0</v>
      </c>
      <c r="X77" s="16">
        <v>23182</v>
      </c>
      <c r="Y77" s="16">
        <v>15341</v>
      </c>
      <c r="Z77" s="16">
        <v>1570</v>
      </c>
      <c r="AA77" s="16">
        <v>975</v>
      </c>
      <c r="AB77" s="16">
        <v>0</v>
      </c>
      <c r="AC77" s="16">
        <v>0</v>
      </c>
      <c r="AD77" s="16">
        <v>545</v>
      </c>
      <c r="AE77" s="16">
        <f>SUM(AF77:AZ77)</f>
        <v>413887</v>
      </c>
      <c r="AF77" s="16">
        <v>0</v>
      </c>
      <c r="AG77" s="16">
        <v>0</v>
      </c>
      <c r="AH77" s="16">
        <v>10862</v>
      </c>
      <c r="AI77" s="16">
        <v>0</v>
      </c>
      <c r="AJ77" s="16">
        <v>1591</v>
      </c>
      <c r="AK77" s="16">
        <v>0</v>
      </c>
      <c r="AL77" s="16">
        <v>46225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350510</v>
      </c>
      <c r="AX77" s="16">
        <v>0</v>
      </c>
      <c r="AY77" s="16">
        <v>0</v>
      </c>
      <c r="AZ77" s="16">
        <v>4699</v>
      </c>
      <c r="BA77" s="16">
        <f>SUM(BB77+BF77+BI77+BK77+BM77)</f>
        <v>0</v>
      </c>
      <c r="BB77" s="16">
        <f>SUM(BC77:BE77)</f>
        <v>0</v>
      </c>
      <c r="BC77" s="16">
        <v>0</v>
      </c>
      <c r="BD77" s="16">
        <v>0</v>
      </c>
      <c r="BE77" s="16">
        <v>0</v>
      </c>
      <c r="BF77" s="16">
        <f t="shared" si="9"/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f t="shared" si="10"/>
        <v>0</v>
      </c>
      <c r="BL77" s="16">
        <v>0</v>
      </c>
      <c r="BM77" s="16">
        <f t="shared" si="11"/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f>SUM(BZ77+CQ77)</f>
        <v>92451</v>
      </c>
      <c r="BZ77" s="16">
        <f>SUM(CA77+CD77+CJ77)</f>
        <v>92451</v>
      </c>
      <c r="CA77" s="16">
        <f t="shared" si="12"/>
        <v>92451</v>
      </c>
      <c r="CB77" s="16">
        <v>0</v>
      </c>
      <c r="CC77" s="16">
        <v>92451</v>
      </c>
      <c r="CD77" s="16">
        <f>SUM(CE77:CH77)</f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f>SUM(CK77:CN77)</f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f t="shared" si="13"/>
        <v>0</v>
      </c>
      <c r="CS77" s="16">
        <f t="shared" si="14"/>
        <v>0</v>
      </c>
      <c r="CT77" s="16">
        <v>0</v>
      </c>
      <c r="CU77" s="17">
        <v>0</v>
      </c>
      <c r="CV77" s="38"/>
    </row>
    <row r="78" spans="1:100" ht="15.75" x14ac:dyDescent="0.25">
      <c r="A78" s="13" t="s">
        <v>1</v>
      </c>
      <c r="B78" s="14" t="s">
        <v>1</v>
      </c>
      <c r="C78" s="14" t="s">
        <v>95</v>
      </c>
      <c r="D78" s="30" t="s">
        <v>96</v>
      </c>
      <c r="E78" s="15">
        <f>SUM(F78+BY78+CR78)</f>
        <v>88478525</v>
      </c>
      <c r="F78" s="16">
        <f>SUM(G78+BA78)</f>
        <v>87394425</v>
      </c>
      <c r="G78" s="16">
        <f>SUM(H78+I78+J78+Q78+T78+U78+V78+AE78)</f>
        <v>87379425</v>
      </c>
      <c r="H78" s="16">
        <f>48802135+534407</f>
        <v>49336542</v>
      </c>
      <c r="I78" s="16">
        <v>1708075</v>
      </c>
      <c r="J78" s="16">
        <f t="shared" si="7"/>
        <v>27286706</v>
      </c>
      <c r="K78" s="16">
        <v>396973</v>
      </c>
      <c r="L78" s="16">
        <v>5756699</v>
      </c>
      <c r="M78" s="16">
        <v>16960028</v>
      </c>
      <c r="N78" s="16">
        <v>0</v>
      </c>
      <c r="O78" s="16">
        <f>3121814-300000</f>
        <v>2821814</v>
      </c>
      <c r="P78" s="16">
        <v>1351192</v>
      </c>
      <c r="Q78" s="16">
        <f t="shared" si="8"/>
        <v>15619</v>
      </c>
      <c r="R78" s="16">
        <v>15619</v>
      </c>
      <c r="S78" s="16">
        <v>0</v>
      </c>
      <c r="T78" s="16">
        <v>0</v>
      </c>
      <c r="U78" s="16">
        <v>263013</v>
      </c>
      <c r="V78" s="16">
        <f>SUM(W78:AD78)</f>
        <v>3478219</v>
      </c>
      <c r="W78" s="16">
        <v>550096</v>
      </c>
      <c r="X78" s="16">
        <v>2748</v>
      </c>
      <c r="Y78" s="16">
        <v>1514542</v>
      </c>
      <c r="Z78" s="16">
        <v>1039645</v>
      </c>
      <c r="AA78" s="16">
        <v>205094</v>
      </c>
      <c r="AB78" s="16">
        <v>0</v>
      </c>
      <c r="AC78" s="16">
        <v>0</v>
      </c>
      <c r="AD78" s="16">
        <v>166094</v>
      </c>
      <c r="AE78" s="16">
        <f>SUM(AF78:AZ78)</f>
        <v>5291251</v>
      </c>
      <c r="AF78" s="16">
        <v>0</v>
      </c>
      <c r="AG78" s="16">
        <v>0</v>
      </c>
      <c r="AH78" s="16">
        <v>700000</v>
      </c>
      <c r="AI78" s="16">
        <v>0</v>
      </c>
      <c r="AJ78" s="16">
        <v>10901</v>
      </c>
      <c r="AK78" s="16">
        <v>0</v>
      </c>
      <c r="AL78" s="16">
        <f>79407-79407</f>
        <v>0</v>
      </c>
      <c r="AM78" s="16">
        <f>62374-25000</f>
        <v>37374</v>
      </c>
      <c r="AN78" s="16">
        <v>13386</v>
      </c>
      <c r="AO78" s="16">
        <v>0</v>
      </c>
      <c r="AP78" s="16">
        <v>0</v>
      </c>
      <c r="AQ78" s="16">
        <v>313124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4000319</v>
      </c>
      <c r="AX78" s="16">
        <v>0</v>
      </c>
      <c r="AY78" s="16">
        <v>0</v>
      </c>
      <c r="AZ78" s="16">
        <f>346147-130000</f>
        <v>216147</v>
      </c>
      <c r="BA78" s="16">
        <f>SUM(BB78+BF78+BI78+BK78+BM78)</f>
        <v>15000</v>
      </c>
      <c r="BB78" s="16">
        <f>SUM(BC78:BE78)</f>
        <v>0</v>
      </c>
      <c r="BC78" s="16">
        <v>0</v>
      </c>
      <c r="BD78" s="16">
        <v>0</v>
      </c>
      <c r="BE78" s="16">
        <v>0</v>
      </c>
      <c r="BF78" s="16">
        <f t="shared" si="9"/>
        <v>0</v>
      </c>
      <c r="BG78" s="16">
        <v>0</v>
      </c>
      <c r="BH78" s="16">
        <v>0</v>
      </c>
      <c r="BI78" s="16">
        <v>0</v>
      </c>
      <c r="BJ78" s="16">
        <v>0</v>
      </c>
      <c r="BK78" s="16">
        <f t="shared" si="10"/>
        <v>15000</v>
      </c>
      <c r="BL78" s="16">
        <v>15000</v>
      </c>
      <c r="BM78" s="16">
        <f t="shared" si="11"/>
        <v>0</v>
      </c>
      <c r="BN78" s="16">
        <v>0</v>
      </c>
      <c r="BO78" s="16">
        <v>0</v>
      </c>
      <c r="BP78" s="16">
        <v>0</v>
      </c>
      <c r="BQ78" s="16">
        <v>0</v>
      </c>
      <c r="BR78" s="16">
        <v>0</v>
      </c>
      <c r="BS78" s="16">
        <v>0</v>
      </c>
      <c r="BT78" s="16">
        <v>0</v>
      </c>
      <c r="BU78" s="16">
        <v>0</v>
      </c>
      <c r="BV78" s="16">
        <v>0</v>
      </c>
      <c r="BW78" s="16">
        <v>0</v>
      </c>
      <c r="BX78" s="16">
        <v>0</v>
      </c>
      <c r="BY78" s="16">
        <f>SUM(BZ78+CQ78)</f>
        <v>1084100</v>
      </c>
      <c r="BZ78" s="16">
        <f>SUM(CA78+CD78+CJ78)</f>
        <v>1084100</v>
      </c>
      <c r="CA78" s="16">
        <f t="shared" si="12"/>
        <v>1084100</v>
      </c>
      <c r="CB78" s="16">
        <v>0</v>
      </c>
      <c r="CC78" s="16">
        <v>1084100</v>
      </c>
      <c r="CD78" s="16">
        <f>SUM(CE78:CH78)</f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f>SUM(CK78:CN78)</f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f t="shared" si="13"/>
        <v>0</v>
      </c>
      <c r="CS78" s="16">
        <f t="shared" si="14"/>
        <v>0</v>
      </c>
      <c r="CT78" s="16">
        <v>0</v>
      </c>
      <c r="CU78" s="17">
        <v>0</v>
      </c>
      <c r="CV78" s="38"/>
    </row>
    <row r="79" spans="1:100" ht="15.75" x14ac:dyDescent="0.25">
      <c r="A79" s="13" t="s">
        <v>50</v>
      </c>
      <c r="B79" s="14" t="s">
        <v>50</v>
      </c>
      <c r="C79" s="14" t="s">
        <v>1</v>
      </c>
      <c r="D79" s="30" t="s">
        <v>97</v>
      </c>
      <c r="E79" s="15">
        <f t="shared" ref="E79:AJ79" si="97">SUM(E80)</f>
        <v>103702753</v>
      </c>
      <c r="F79" s="16">
        <f t="shared" si="97"/>
        <v>102902695</v>
      </c>
      <c r="G79" s="16">
        <f t="shared" si="97"/>
        <v>102469295</v>
      </c>
      <c r="H79" s="16">
        <f t="shared" si="97"/>
        <v>74259203</v>
      </c>
      <c r="I79" s="16">
        <f t="shared" si="97"/>
        <v>1006318</v>
      </c>
      <c r="J79" s="16">
        <f t="shared" si="97"/>
        <v>12906225</v>
      </c>
      <c r="K79" s="16">
        <f t="shared" si="97"/>
        <v>184304</v>
      </c>
      <c r="L79" s="16">
        <f t="shared" si="97"/>
        <v>6884857</v>
      </c>
      <c r="M79" s="16">
        <f t="shared" si="97"/>
        <v>850080</v>
      </c>
      <c r="N79" s="16">
        <f t="shared" si="97"/>
        <v>678641</v>
      </c>
      <c r="O79" s="16">
        <f t="shared" si="97"/>
        <v>4000000</v>
      </c>
      <c r="P79" s="16">
        <f t="shared" si="97"/>
        <v>308343</v>
      </c>
      <c r="Q79" s="16">
        <f t="shared" si="97"/>
        <v>4668876</v>
      </c>
      <c r="R79" s="16">
        <f t="shared" si="97"/>
        <v>68876</v>
      </c>
      <c r="S79" s="16">
        <f t="shared" si="97"/>
        <v>4600000</v>
      </c>
      <c r="T79" s="16">
        <f t="shared" si="97"/>
        <v>0</v>
      </c>
      <c r="U79" s="16">
        <f t="shared" si="97"/>
        <v>480000</v>
      </c>
      <c r="V79" s="16">
        <f t="shared" si="97"/>
        <v>765096</v>
      </c>
      <c r="W79" s="16">
        <f t="shared" si="97"/>
        <v>55801</v>
      </c>
      <c r="X79" s="16">
        <f t="shared" si="97"/>
        <v>223862</v>
      </c>
      <c r="Y79" s="16">
        <f t="shared" si="97"/>
        <v>408145</v>
      </c>
      <c r="Z79" s="16">
        <f t="shared" si="97"/>
        <v>39733</v>
      </c>
      <c r="AA79" s="16">
        <f t="shared" si="97"/>
        <v>26694</v>
      </c>
      <c r="AB79" s="16">
        <f t="shared" si="97"/>
        <v>0</v>
      </c>
      <c r="AC79" s="16">
        <f t="shared" si="97"/>
        <v>0</v>
      </c>
      <c r="AD79" s="16">
        <f t="shared" si="97"/>
        <v>10861</v>
      </c>
      <c r="AE79" s="16">
        <f t="shared" si="97"/>
        <v>8383577</v>
      </c>
      <c r="AF79" s="16">
        <f t="shared" si="97"/>
        <v>0</v>
      </c>
      <c r="AG79" s="16">
        <f t="shared" si="97"/>
        <v>87015</v>
      </c>
      <c r="AH79" s="16">
        <f t="shared" si="97"/>
        <v>323635</v>
      </c>
      <c r="AI79" s="16">
        <f t="shared" si="97"/>
        <v>0</v>
      </c>
      <c r="AJ79" s="16">
        <f t="shared" si="97"/>
        <v>39788</v>
      </c>
      <c r="AK79" s="16">
        <f t="shared" ref="AK79:BR79" si="98">SUM(AK80)</f>
        <v>80109</v>
      </c>
      <c r="AL79" s="16">
        <f t="shared" si="98"/>
        <v>15000</v>
      </c>
      <c r="AM79" s="16">
        <f t="shared" si="98"/>
        <v>91399</v>
      </c>
      <c r="AN79" s="16">
        <f t="shared" si="98"/>
        <v>18042</v>
      </c>
      <c r="AO79" s="16">
        <f t="shared" si="98"/>
        <v>0</v>
      </c>
      <c r="AP79" s="16">
        <f t="shared" si="98"/>
        <v>0</v>
      </c>
      <c r="AQ79" s="16">
        <f t="shared" si="98"/>
        <v>1016689</v>
      </c>
      <c r="AR79" s="16">
        <f t="shared" si="98"/>
        <v>0</v>
      </c>
      <c r="AS79" s="16">
        <f t="shared" si="98"/>
        <v>0</v>
      </c>
      <c r="AT79" s="16">
        <f t="shared" si="98"/>
        <v>0</v>
      </c>
      <c r="AU79" s="16">
        <f t="shared" si="98"/>
        <v>0</v>
      </c>
      <c r="AV79" s="16">
        <f t="shared" si="98"/>
        <v>0</v>
      </c>
      <c r="AW79" s="16">
        <f t="shared" si="98"/>
        <v>6300000</v>
      </c>
      <c r="AX79" s="16">
        <f t="shared" si="98"/>
        <v>36800</v>
      </c>
      <c r="AY79" s="16">
        <f t="shared" si="98"/>
        <v>0</v>
      </c>
      <c r="AZ79" s="16">
        <f t="shared" si="98"/>
        <v>375100</v>
      </c>
      <c r="BA79" s="16">
        <f t="shared" si="98"/>
        <v>433400</v>
      </c>
      <c r="BB79" s="16">
        <f t="shared" si="98"/>
        <v>0</v>
      </c>
      <c r="BC79" s="16">
        <f t="shared" si="98"/>
        <v>0</v>
      </c>
      <c r="BD79" s="16">
        <f t="shared" si="98"/>
        <v>0</v>
      </c>
      <c r="BE79" s="16">
        <f t="shared" si="98"/>
        <v>0</v>
      </c>
      <c r="BF79" s="16">
        <f t="shared" si="98"/>
        <v>0</v>
      </c>
      <c r="BG79" s="16">
        <f t="shared" si="98"/>
        <v>0</v>
      </c>
      <c r="BH79" s="16">
        <f t="shared" si="98"/>
        <v>0</v>
      </c>
      <c r="BI79" s="16">
        <f t="shared" si="98"/>
        <v>0</v>
      </c>
      <c r="BJ79" s="16">
        <f t="shared" si="98"/>
        <v>0</v>
      </c>
      <c r="BK79" s="16">
        <f t="shared" si="98"/>
        <v>133400</v>
      </c>
      <c r="BL79" s="16">
        <f t="shared" si="98"/>
        <v>133400</v>
      </c>
      <c r="BM79" s="16">
        <f t="shared" si="98"/>
        <v>300000</v>
      </c>
      <c r="BN79" s="16">
        <f t="shared" si="98"/>
        <v>0</v>
      </c>
      <c r="BO79" s="16">
        <f t="shared" si="98"/>
        <v>0</v>
      </c>
      <c r="BP79" s="16">
        <f t="shared" si="98"/>
        <v>0</v>
      </c>
      <c r="BQ79" s="16">
        <f t="shared" si="98"/>
        <v>0</v>
      </c>
      <c r="BR79" s="16">
        <f t="shared" si="98"/>
        <v>0</v>
      </c>
      <c r="BS79" s="16">
        <f t="shared" ref="BS79:CU79" si="99">SUM(BS80)</f>
        <v>0</v>
      </c>
      <c r="BT79" s="16">
        <f t="shared" si="99"/>
        <v>0</v>
      </c>
      <c r="BU79" s="16">
        <f t="shared" si="99"/>
        <v>0</v>
      </c>
      <c r="BV79" s="16">
        <f t="shared" si="99"/>
        <v>0</v>
      </c>
      <c r="BW79" s="16">
        <f t="shared" si="99"/>
        <v>0</v>
      </c>
      <c r="BX79" s="16">
        <f t="shared" si="99"/>
        <v>300000</v>
      </c>
      <c r="BY79" s="16">
        <f t="shared" si="99"/>
        <v>800058</v>
      </c>
      <c r="BZ79" s="16">
        <f t="shared" si="99"/>
        <v>800058</v>
      </c>
      <c r="CA79" s="16">
        <f t="shared" si="99"/>
        <v>800058</v>
      </c>
      <c r="CB79" s="16">
        <f t="shared" si="99"/>
        <v>0</v>
      </c>
      <c r="CC79" s="16">
        <f t="shared" si="99"/>
        <v>800058</v>
      </c>
      <c r="CD79" s="16">
        <f t="shared" si="99"/>
        <v>0</v>
      </c>
      <c r="CE79" s="16">
        <f t="shared" si="99"/>
        <v>0</v>
      </c>
      <c r="CF79" s="16">
        <f t="shared" si="99"/>
        <v>0</v>
      </c>
      <c r="CG79" s="16">
        <f t="shared" si="99"/>
        <v>0</v>
      </c>
      <c r="CH79" s="16">
        <f t="shared" si="99"/>
        <v>0</v>
      </c>
      <c r="CI79" s="16">
        <f t="shared" si="99"/>
        <v>0</v>
      </c>
      <c r="CJ79" s="16">
        <f t="shared" si="99"/>
        <v>0</v>
      </c>
      <c r="CK79" s="16">
        <f t="shared" si="99"/>
        <v>0</v>
      </c>
      <c r="CL79" s="16">
        <f t="shared" si="99"/>
        <v>0</v>
      </c>
      <c r="CM79" s="16">
        <f t="shared" si="99"/>
        <v>0</v>
      </c>
      <c r="CN79" s="16">
        <f t="shared" si="99"/>
        <v>0</v>
      </c>
      <c r="CO79" s="16">
        <f t="shared" si="99"/>
        <v>0</v>
      </c>
      <c r="CP79" s="16">
        <f t="shared" si="99"/>
        <v>0</v>
      </c>
      <c r="CQ79" s="16">
        <f t="shared" si="99"/>
        <v>0</v>
      </c>
      <c r="CR79" s="16">
        <f t="shared" si="99"/>
        <v>0</v>
      </c>
      <c r="CS79" s="16">
        <f t="shared" si="99"/>
        <v>0</v>
      </c>
      <c r="CT79" s="16">
        <f t="shared" si="99"/>
        <v>0</v>
      </c>
      <c r="CU79" s="17">
        <f t="shared" si="99"/>
        <v>0</v>
      </c>
      <c r="CV79" s="38"/>
    </row>
    <row r="80" spans="1:100" ht="31.5" x14ac:dyDescent="0.25">
      <c r="A80" s="13" t="s">
        <v>1</v>
      </c>
      <c r="B80" s="14" t="s">
        <v>1</v>
      </c>
      <c r="C80" s="14" t="s">
        <v>98</v>
      </c>
      <c r="D80" s="30" t="s">
        <v>99</v>
      </c>
      <c r="E80" s="15">
        <f>SUM(F80+BY80+CR80)</f>
        <v>103702753</v>
      </c>
      <c r="F80" s="16">
        <f>SUM(G80+BA80)</f>
        <v>102902695</v>
      </c>
      <c r="G80" s="16">
        <f>SUM(H80+I80+J80+Q80+T80+U80+V80+AE80)</f>
        <v>102469295</v>
      </c>
      <c r="H80" s="16">
        <f>69357765+4901438</f>
        <v>74259203</v>
      </c>
      <c r="I80" s="16">
        <f>900988+105330</f>
        <v>1006318</v>
      </c>
      <c r="J80" s="16">
        <f t="shared" si="7"/>
        <v>12906225</v>
      </c>
      <c r="K80" s="16">
        <v>184304</v>
      </c>
      <c r="L80" s="16">
        <v>6884857</v>
      </c>
      <c r="M80" s="16">
        <v>850080</v>
      </c>
      <c r="N80" s="16">
        <f>678883-242</f>
        <v>678641</v>
      </c>
      <c r="O80" s="16">
        <v>4000000</v>
      </c>
      <c r="P80" s="16">
        <v>308343</v>
      </c>
      <c r="Q80" s="16">
        <f t="shared" si="8"/>
        <v>4668876</v>
      </c>
      <c r="R80" s="16">
        <v>68876</v>
      </c>
      <c r="S80" s="16">
        <v>4600000</v>
      </c>
      <c r="T80" s="16">
        <v>0</v>
      </c>
      <c r="U80" s="16">
        <v>480000</v>
      </c>
      <c r="V80" s="16">
        <f>SUM(W80:AD80)</f>
        <v>765096</v>
      </c>
      <c r="W80" s="16">
        <v>55801</v>
      </c>
      <c r="X80" s="16">
        <v>223862</v>
      </c>
      <c r="Y80" s="16">
        <v>408145</v>
      </c>
      <c r="Z80" s="16">
        <f>39246+487</f>
        <v>39733</v>
      </c>
      <c r="AA80" s="16">
        <v>26694</v>
      </c>
      <c r="AB80" s="16">
        <v>0</v>
      </c>
      <c r="AC80" s="16">
        <v>0</v>
      </c>
      <c r="AD80" s="16">
        <f>9785+1076</f>
        <v>10861</v>
      </c>
      <c r="AE80" s="16">
        <f>SUM(AF80:AZ80)</f>
        <v>8383577</v>
      </c>
      <c r="AF80" s="16">
        <v>0</v>
      </c>
      <c r="AG80" s="16">
        <v>87015</v>
      </c>
      <c r="AH80" s="16">
        <v>323635</v>
      </c>
      <c r="AI80" s="16">
        <v>0</v>
      </c>
      <c r="AJ80" s="16">
        <v>39788</v>
      </c>
      <c r="AK80" s="16">
        <v>80109</v>
      </c>
      <c r="AL80" s="16">
        <v>15000</v>
      </c>
      <c r="AM80" s="16">
        <v>91399</v>
      </c>
      <c r="AN80" s="16">
        <v>18042</v>
      </c>
      <c r="AO80" s="16">
        <v>0</v>
      </c>
      <c r="AP80" s="16">
        <v>0</v>
      </c>
      <c r="AQ80" s="16">
        <f>1018010-1321</f>
        <v>1016689</v>
      </c>
      <c r="AR80" s="16">
        <v>0</v>
      </c>
      <c r="AS80" s="16">
        <v>0</v>
      </c>
      <c r="AT80" s="16">
        <v>0</v>
      </c>
      <c r="AU80" s="16">
        <v>0</v>
      </c>
      <c r="AV80" s="16">
        <v>0</v>
      </c>
      <c r="AW80" s="16">
        <v>6300000</v>
      </c>
      <c r="AX80" s="16">
        <v>36800</v>
      </c>
      <c r="AY80" s="16">
        <v>0</v>
      </c>
      <c r="AZ80" s="16">
        <v>375100</v>
      </c>
      <c r="BA80" s="16">
        <f>SUM(BB80+BF80+BI80+BK80+BM80)</f>
        <v>433400</v>
      </c>
      <c r="BB80" s="16">
        <f>SUM(BC80:BE80)</f>
        <v>0</v>
      </c>
      <c r="BC80" s="16">
        <v>0</v>
      </c>
      <c r="BD80" s="16">
        <v>0</v>
      </c>
      <c r="BE80" s="16">
        <v>0</v>
      </c>
      <c r="BF80" s="16">
        <f t="shared" si="9"/>
        <v>0</v>
      </c>
      <c r="BG80" s="16">
        <v>0</v>
      </c>
      <c r="BH80" s="16">
        <v>0</v>
      </c>
      <c r="BI80" s="16">
        <v>0</v>
      </c>
      <c r="BJ80" s="16">
        <v>0</v>
      </c>
      <c r="BK80" s="16">
        <f t="shared" si="10"/>
        <v>133400</v>
      </c>
      <c r="BL80" s="16">
        <v>133400</v>
      </c>
      <c r="BM80" s="16">
        <f t="shared" si="11"/>
        <v>300000</v>
      </c>
      <c r="BN80" s="16">
        <v>0</v>
      </c>
      <c r="BO80" s="16">
        <v>0</v>
      </c>
      <c r="BP80" s="16">
        <v>0</v>
      </c>
      <c r="BQ80" s="16">
        <v>0</v>
      </c>
      <c r="BR80" s="16">
        <v>0</v>
      </c>
      <c r="BS80" s="16">
        <v>0</v>
      </c>
      <c r="BT80" s="16">
        <v>0</v>
      </c>
      <c r="BU80" s="16">
        <v>0</v>
      </c>
      <c r="BV80" s="16">
        <v>0</v>
      </c>
      <c r="BW80" s="16">
        <v>0</v>
      </c>
      <c r="BX80" s="16">
        <v>300000</v>
      </c>
      <c r="BY80" s="16">
        <f>SUM(BZ80+CQ80)</f>
        <v>800058</v>
      </c>
      <c r="BZ80" s="16">
        <f>SUM(CA80+CD80+CJ80)</f>
        <v>800058</v>
      </c>
      <c r="CA80" s="16">
        <f t="shared" si="12"/>
        <v>800058</v>
      </c>
      <c r="CB80" s="16">
        <v>0</v>
      </c>
      <c r="CC80" s="16">
        <f>1714370-914312</f>
        <v>800058</v>
      </c>
      <c r="CD80" s="16">
        <f>SUM(CE80:CH80)</f>
        <v>0</v>
      </c>
      <c r="CE80" s="16">
        <v>0</v>
      </c>
      <c r="CF80" s="16">
        <v>0</v>
      </c>
      <c r="CG80" s="16">
        <v>0</v>
      </c>
      <c r="CH80" s="16">
        <v>0</v>
      </c>
      <c r="CI80" s="16">
        <v>0</v>
      </c>
      <c r="CJ80" s="16">
        <f>SUM(CK80:CN80)</f>
        <v>0</v>
      </c>
      <c r="CK80" s="16">
        <v>0</v>
      </c>
      <c r="CL80" s="16">
        <v>0</v>
      </c>
      <c r="CM80" s="16">
        <v>0</v>
      </c>
      <c r="CN80" s="16">
        <v>0</v>
      </c>
      <c r="CO80" s="16">
        <v>0</v>
      </c>
      <c r="CP80" s="16">
        <v>0</v>
      </c>
      <c r="CQ80" s="16">
        <v>0</v>
      </c>
      <c r="CR80" s="16">
        <f t="shared" si="13"/>
        <v>0</v>
      </c>
      <c r="CS80" s="16">
        <f t="shared" si="14"/>
        <v>0</v>
      </c>
      <c r="CT80" s="16">
        <v>0</v>
      </c>
      <c r="CU80" s="17">
        <v>0</v>
      </c>
      <c r="CV80" s="38"/>
    </row>
    <row r="81" spans="1:100" ht="15.75" x14ac:dyDescent="0.25">
      <c r="A81" s="13" t="s">
        <v>50</v>
      </c>
      <c r="B81" s="14" t="s">
        <v>100</v>
      </c>
      <c r="C81" s="14" t="s">
        <v>1</v>
      </c>
      <c r="D81" s="30" t="s">
        <v>101</v>
      </c>
      <c r="E81" s="15">
        <f t="shared" ref="E81:AJ81" si="100">SUM(E82)</f>
        <v>18903438</v>
      </c>
      <c r="F81" s="16">
        <f t="shared" si="100"/>
        <v>18240449</v>
      </c>
      <c r="G81" s="16">
        <f t="shared" si="100"/>
        <v>18233164</v>
      </c>
      <c r="H81" s="16">
        <f t="shared" si="100"/>
        <v>15212356</v>
      </c>
      <c r="I81" s="16">
        <f t="shared" si="100"/>
        <v>566318</v>
      </c>
      <c r="J81" s="16">
        <f t="shared" si="100"/>
        <v>1475820</v>
      </c>
      <c r="K81" s="16">
        <f t="shared" si="100"/>
        <v>0</v>
      </c>
      <c r="L81" s="16">
        <f t="shared" si="100"/>
        <v>660831</v>
      </c>
      <c r="M81" s="16">
        <f t="shared" si="100"/>
        <v>0</v>
      </c>
      <c r="N81" s="16">
        <f t="shared" si="100"/>
        <v>0</v>
      </c>
      <c r="O81" s="16">
        <f t="shared" si="100"/>
        <v>407944</v>
      </c>
      <c r="P81" s="16">
        <f t="shared" si="100"/>
        <v>407045</v>
      </c>
      <c r="Q81" s="16">
        <f t="shared" si="100"/>
        <v>9038</v>
      </c>
      <c r="R81" s="16">
        <f t="shared" si="100"/>
        <v>826</v>
      </c>
      <c r="S81" s="16">
        <f t="shared" si="100"/>
        <v>8212</v>
      </c>
      <c r="T81" s="16">
        <f t="shared" si="100"/>
        <v>0</v>
      </c>
      <c r="U81" s="16">
        <f t="shared" si="100"/>
        <v>253226</v>
      </c>
      <c r="V81" s="16">
        <f t="shared" si="100"/>
        <v>212427</v>
      </c>
      <c r="W81" s="16">
        <f t="shared" si="100"/>
        <v>49509</v>
      </c>
      <c r="X81" s="16">
        <f t="shared" si="100"/>
        <v>87262</v>
      </c>
      <c r="Y81" s="16">
        <f t="shared" si="100"/>
        <v>59214</v>
      </c>
      <c r="Z81" s="16">
        <f t="shared" si="100"/>
        <v>7820</v>
      </c>
      <c r="AA81" s="16">
        <f t="shared" si="100"/>
        <v>8622</v>
      </c>
      <c r="AB81" s="16">
        <f t="shared" si="100"/>
        <v>0</v>
      </c>
      <c r="AC81" s="16">
        <f t="shared" si="100"/>
        <v>0</v>
      </c>
      <c r="AD81" s="16">
        <f t="shared" si="100"/>
        <v>0</v>
      </c>
      <c r="AE81" s="16">
        <f t="shared" si="100"/>
        <v>503979</v>
      </c>
      <c r="AF81" s="16">
        <f t="shared" si="100"/>
        <v>0</v>
      </c>
      <c r="AG81" s="16">
        <f t="shared" si="100"/>
        <v>1976</v>
      </c>
      <c r="AH81" s="16">
        <f t="shared" si="100"/>
        <v>37809</v>
      </c>
      <c r="AI81" s="16">
        <f t="shared" si="100"/>
        <v>1591</v>
      </c>
      <c r="AJ81" s="16">
        <f t="shared" si="100"/>
        <v>0</v>
      </c>
      <c r="AK81" s="16">
        <f t="shared" ref="AK81:BR81" si="101">SUM(AK82)</f>
        <v>13795</v>
      </c>
      <c r="AL81" s="16">
        <f t="shared" si="101"/>
        <v>0</v>
      </c>
      <c r="AM81" s="16">
        <f t="shared" si="101"/>
        <v>0</v>
      </c>
      <c r="AN81" s="16">
        <f t="shared" si="101"/>
        <v>14550</v>
      </c>
      <c r="AO81" s="16">
        <f t="shared" si="101"/>
        <v>2280</v>
      </c>
      <c r="AP81" s="16">
        <f t="shared" si="101"/>
        <v>0</v>
      </c>
      <c r="AQ81" s="16">
        <f t="shared" si="101"/>
        <v>0</v>
      </c>
      <c r="AR81" s="16">
        <f t="shared" si="101"/>
        <v>375000</v>
      </c>
      <c r="AS81" s="16">
        <f t="shared" si="101"/>
        <v>22200</v>
      </c>
      <c r="AT81" s="16">
        <f t="shared" si="101"/>
        <v>0</v>
      </c>
      <c r="AU81" s="16">
        <f t="shared" si="101"/>
        <v>0</v>
      </c>
      <c r="AV81" s="16">
        <f t="shared" si="101"/>
        <v>0</v>
      </c>
      <c r="AW81" s="16">
        <f t="shared" si="101"/>
        <v>17830</v>
      </c>
      <c r="AX81" s="16">
        <f t="shared" si="101"/>
        <v>10000</v>
      </c>
      <c r="AY81" s="16">
        <f t="shared" si="101"/>
        <v>0</v>
      </c>
      <c r="AZ81" s="16">
        <f t="shared" si="101"/>
        <v>6948</v>
      </c>
      <c r="BA81" s="16">
        <f t="shared" si="101"/>
        <v>7285</v>
      </c>
      <c r="BB81" s="16">
        <f t="shared" si="101"/>
        <v>0</v>
      </c>
      <c r="BC81" s="16">
        <f t="shared" si="101"/>
        <v>0</v>
      </c>
      <c r="BD81" s="16">
        <f t="shared" si="101"/>
        <v>0</v>
      </c>
      <c r="BE81" s="16">
        <f t="shared" si="101"/>
        <v>0</v>
      </c>
      <c r="BF81" s="16">
        <f t="shared" si="101"/>
        <v>0</v>
      </c>
      <c r="BG81" s="16">
        <f t="shared" si="101"/>
        <v>0</v>
      </c>
      <c r="BH81" s="16">
        <f t="shared" si="101"/>
        <v>0</v>
      </c>
      <c r="BI81" s="16">
        <f t="shared" si="101"/>
        <v>0</v>
      </c>
      <c r="BJ81" s="16">
        <f t="shared" si="101"/>
        <v>0</v>
      </c>
      <c r="BK81" s="16">
        <f t="shared" si="101"/>
        <v>0</v>
      </c>
      <c r="BL81" s="16">
        <f t="shared" si="101"/>
        <v>0</v>
      </c>
      <c r="BM81" s="16">
        <f t="shared" si="101"/>
        <v>7285</v>
      </c>
      <c r="BN81" s="16">
        <f t="shared" si="101"/>
        <v>0</v>
      </c>
      <c r="BO81" s="16">
        <f t="shared" si="101"/>
        <v>0</v>
      </c>
      <c r="BP81" s="16">
        <f t="shared" si="101"/>
        <v>0</v>
      </c>
      <c r="BQ81" s="16">
        <f t="shared" si="101"/>
        <v>0</v>
      </c>
      <c r="BR81" s="16">
        <f t="shared" si="101"/>
        <v>0</v>
      </c>
      <c r="BS81" s="16">
        <f t="shared" ref="BS81:CU81" si="102">SUM(BS82)</f>
        <v>0</v>
      </c>
      <c r="BT81" s="16">
        <f t="shared" si="102"/>
        <v>0</v>
      </c>
      <c r="BU81" s="16">
        <f t="shared" si="102"/>
        <v>0</v>
      </c>
      <c r="BV81" s="16">
        <f t="shared" si="102"/>
        <v>0</v>
      </c>
      <c r="BW81" s="16">
        <f t="shared" si="102"/>
        <v>7285</v>
      </c>
      <c r="BX81" s="16">
        <f t="shared" si="102"/>
        <v>0</v>
      </c>
      <c r="BY81" s="16">
        <f t="shared" si="102"/>
        <v>662989</v>
      </c>
      <c r="BZ81" s="16">
        <f t="shared" si="102"/>
        <v>662989</v>
      </c>
      <c r="CA81" s="16">
        <f t="shared" si="102"/>
        <v>662989</v>
      </c>
      <c r="CB81" s="16">
        <f t="shared" si="102"/>
        <v>0</v>
      </c>
      <c r="CC81" s="16">
        <f t="shared" si="102"/>
        <v>662989</v>
      </c>
      <c r="CD81" s="16">
        <f t="shared" si="102"/>
        <v>0</v>
      </c>
      <c r="CE81" s="16">
        <f t="shared" si="102"/>
        <v>0</v>
      </c>
      <c r="CF81" s="16">
        <f t="shared" si="102"/>
        <v>0</v>
      </c>
      <c r="CG81" s="16">
        <f t="shared" si="102"/>
        <v>0</v>
      </c>
      <c r="CH81" s="16">
        <f t="shared" si="102"/>
        <v>0</v>
      </c>
      <c r="CI81" s="16">
        <f t="shared" si="102"/>
        <v>0</v>
      </c>
      <c r="CJ81" s="16">
        <f t="shared" si="102"/>
        <v>0</v>
      </c>
      <c r="CK81" s="16">
        <f t="shared" si="102"/>
        <v>0</v>
      </c>
      <c r="CL81" s="16">
        <f t="shared" si="102"/>
        <v>0</v>
      </c>
      <c r="CM81" s="16">
        <f t="shared" si="102"/>
        <v>0</v>
      </c>
      <c r="CN81" s="16">
        <f t="shared" si="102"/>
        <v>0</v>
      </c>
      <c r="CO81" s="16">
        <f t="shared" si="102"/>
        <v>0</v>
      </c>
      <c r="CP81" s="16">
        <f t="shared" si="102"/>
        <v>0</v>
      </c>
      <c r="CQ81" s="16">
        <f t="shared" si="102"/>
        <v>0</v>
      </c>
      <c r="CR81" s="16">
        <f t="shared" si="102"/>
        <v>0</v>
      </c>
      <c r="CS81" s="16">
        <f t="shared" si="102"/>
        <v>0</v>
      </c>
      <c r="CT81" s="16">
        <f t="shared" si="102"/>
        <v>0</v>
      </c>
      <c r="CU81" s="17">
        <f t="shared" si="102"/>
        <v>0</v>
      </c>
      <c r="CV81" s="38"/>
    </row>
    <row r="82" spans="1:100" ht="15.75" x14ac:dyDescent="0.25">
      <c r="A82" s="13" t="s">
        <v>1</v>
      </c>
      <c r="B82" s="14" t="s">
        <v>1</v>
      </c>
      <c r="C82" s="14" t="s">
        <v>102</v>
      </c>
      <c r="D82" s="30" t="s">
        <v>103</v>
      </c>
      <c r="E82" s="15">
        <f>SUM(F82+BY82+CR82)</f>
        <v>18903438</v>
      </c>
      <c r="F82" s="16">
        <f>SUM(G82+BA82)</f>
        <v>18240449</v>
      </c>
      <c r="G82" s="16">
        <f>SUM(H82+I82+J82+Q82+T82+U82+V82+AE82)</f>
        <v>18233164</v>
      </c>
      <c r="H82" s="16">
        <f>15116357+95999</f>
        <v>15212356</v>
      </c>
      <c r="I82" s="16">
        <f>545155+21163</f>
        <v>566318</v>
      </c>
      <c r="J82" s="16">
        <f t="shared" ref="J82:J150" si="103">SUM(K82:P82)</f>
        <v>1475820</v>
      </c>
      <c r="K82" s="16">
        <v>0</v>
      </c>
      <c r="L82" s="16">
        <v>660831</v>
      </c>
      <c r="M82" s="16">
        <v>0</v>
      </c>
      <c r="N82" s="16">
        <v>0</v>
      </c>
      <c r="O82" s="16">
        <f>425774-17830</f>
        <v>407944</v>
      </c>
      <c r="P82" s="16">
        <f>300947+106098</f>
        <v>407045</v>
      </c>
      <c r="Q82" s="16">
        <f t="shared" ref="Q82:Q150" si="104">SUM(R82:S82)</f>
        <v>9038</v>
      </c>
      <c r="R82" s="16">
        <v>826</v>
      </c>
      <c r="S82" s="16">
        <v>8212</v>
      </c>
      <c r="T82" s="16">
        <v>0</v>
      </c>
      <c r="U82" s="16">
        <v>253226</v>
      </c>
      <c r="V82" s="16">
        <f>SUM(W82:AD82)</f>
        <v>212427</v>
      </c>
      <c r="W82" s="16">
        <v>49509</v>
      </c>
      <c r="X82" s="16">
        <v>87262</v>
      </c>
      <c r="Y82" s="16">
        <v>59214</v>
      </c>
      <c r="Z82" s="16">
        <v>7820</v>
      </c>
      <c r="AA82" s="16">
        <v>8622</v>
      </c>
      <c r="AB82" s="16">
        <v>0</v>
      </c>
      <c r="AC82" s="16">
        <v>0</v>
      </c>
      <c r="AD82" s="16">
        <v>0</v>
      </c>
      <c r="AE82" s="16">
        <f>SUM(AF82:AZ82)</f>
        <v>503979</v>
      </c>
      <c r="AF82" s="16">
        <v>0</v>
      </c>
      <c r="AG82" s="16">
        <v>1976</v>
      </c>
      <c r="AH82" s="16">
        <v>37809</v>
      </c>
      <c r="AI82" s="16">
        <v>1591</v>
      </c>
      <c r="AJ82" s="16">
        <v>0</v>
      </c>
      <c r="AK82" s="16">
        <f>0+13795</f>
        <v>13795</v>
      </c>
      <c r="AL82" s="16">
        <f>161098-161098</f>
        <v>0</v>
      </c>
      <c r="AM82" s="16">
        <v>0</v>
      </c>
      <c r="AN82" s="16">
        <v>14550</v>
      </c>
      <c r="AO82" s="16">
        <v>2280</v>
      </c>
      <c r="AP82" s="16"/>
      <c r="AQ82" s="16">
        <v>0</v>
      </c>
      <c r="AR82" s="16">
        <v>375000</v>
      </c>
      <c r="AS82" s="16">
        <v>22200</v>
      </c>
      <c r="AT82" s="16">
        <v>0</v>
      </c>
      <c r="AU82" s="16">
        <v>0</v>
      </c>
      <c r="AV82" s="16">
        <v>0</v>
      </c>
      <c r="AW82" s="16">
        <f>0+17830</f>
        <v>17830</v>
      </c>
      <c r="AX82" s="16">
        <v>10000</v>
      </c>
      <c r="AY82" s="16"/>
      <c r="AZ82" s="16">
        <f>4948+2000</f>
        <v>6948</v>
      </c>
      <c r="BA82" s="16">
        <f>SUM(BB82+BF82+BI82+BK82+BM82)</f>
        <v>7285</v>
      </c>
      <c r="BB82" s="16">
        <f>SUM(BC82:BE82)</f>
        <v>0</v>
      </c>
      <c r="BC82" s="16">
        <v>0</v>
      </c>
      <c r="BD82" s="16">
        <v>0</v>
      </c>
      <c r="BE82" s="16">
        <v>0</v>
      </c>
      <c r="BF82" s="16">
        <f t="shared" ref="BF82:BF150" si="105">SUM(BG82:BH82)</f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f t="shared" ref="BK82:BK150" si="106">SUM(BL82)</f>
        <v>0</v>
      </c>
      <c r="BL82" s="16">
        <v>0</v>
      </c>
      <c r="BM82" s="16">
        <f t="shared" ref="BM82:BM150" si="107">SUM(BN82:BX82)</f>
        <v>7285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7285</v>
      </c>
      <c r="BX82" s="16">
        <v>0</v>
      </c>
      <c r="BY82" s="16">
        <f>SUM(BZ82+CQ82)</f>
        <v>662989</v>
      </c>
      <c r="BZ82" s="16">
        <f>SUM(CA82+CD82+CJ82)</f>
        <v>662989</v>
      </c>
      <c r="CA82" s="16">
        <f t="shared" ref="CA82:CA150" si="108">SUM(CB82:CC82)</f>
        <v>662989</v>
      </c>
      <c r="CB82" s="16">
        <v>0</v>
      </c>
      <c r="CC82" s="16">
        <f>623784+53000-13795</f>
        <v>662989</v>
      </c>
      <c r="CD82" s="16">
        <f>SUM(CE82:CH82)</f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f>SUM(CK82:CN82)</f>
        <v>0</v>
      </c>
      <c r="CK82" s="16">
        <v>0</v>
      </c>
      <c r="CL82" s="16">
        <v>0</v>
      </c>
      <c r="CM82" s="16">
        <v>0</v>
      </c>
      <c r="CN82" s="16">
        <v>0</v>
      </c>
      <c r="CO82" s="16"/>
      <c r="CP82" s="16"/>
      <c r="CQ82" s="16">
        <v>0</v>
      </c>
      <c r="CR82" s="16">
        <f t="shared" ref="CR82:CR150" si="109">SUM(CS82)</f>
        <v>0</v>
      </c>
      <c r="CS82" s="16">
        <f t="shared" ref="CS82:CS150" si="110">SUM(CT82:CU82)</f>
        <v>0</v>
      </c>
      <c r="CT82" s="16">
        <v>0</v>
      </c>
      <c r="CU82" s="17">
        <v>0</v>
      </c>
      <c r="CV82" s="38"/>
    </row>
    <row r="83" spans="1:100" ht="31.5" x14ac:dyDescent="0.25">
      <c r="A83" s="13" t="s">
        <v>50</v>
      </c>
      <c r="B83" s="14" t="s">
        <v>54</v>
      </c>
      <c r="C83" s="14" t="s">
        <v>1</v>
      </c>
      <c r="D83" s="30" t="s">
        <v>104</v>
      </c>
      <c r="E83" s="15">
        <f t="shared" ref="E83:AJ83" si="111">SUM(E84)</f>
        <v>27112458</v>
      </c>
      <c r="F83" s="16">
        <f t="shared" si="111"/>
        <v>26021927</v>
      </c>
      <c r="G83" s="16">
        <f t="shared" si="111"/>
        <v>26012168</v>
      </c>
      <c r="H83" s="16">
        <f t="shared" si="111"/>
        <v>21000000</v>
      </c>
      <c r="I83" s="16">
        <f t="shared" si="111"/>
        <v>1150805</v>
      </c>
      <c r="J83" s="16">
        <f t="shared" si="111"/>
        <v>2411610</v>
      </c>
      <c r="K83" s="16">
        <f t="shared" si="111"/>
        <v>0</v>
      </c>
      <c r="L83" s="16">
        <f t="shared" si="111"/>
        <v>608859</v>
      </c>
      <c r="M83" s="16">
        <f t="shared" si="111"/>
        <v>0</v>
      </c>
      <c r="N83" s="16">
        <f t="shared" si="111"/>
        <v>0</v>
      </c>
      <c r="O83" s="16">
        <f t="shared" si="111"/>
        <v>737485</v>
      </c>
      <c r="P83" s="16">
        <f t="shared" si="111"/>
        <v>1065266</v>
      </c>
      <c r="Q83" s="16">
        <f t="shared" si="111"/>
        <v>1127</v>
      </c>
      <c r="R83" s="16">
        <f t="shared" si="111"/>
        <v>1127</v>
      </c>
      <c r="S83" s="16">
        <f t="shared" si="111"/>
        <v>0</v>
      </c>
      <c r="T83" s="16">
        <f t="shared" si="111"/>
        <v>0</v>
      </c>
      <c r="U83" s="16">
        <f t="shared" si="111"/>
        <v>194708</v>
      </c>
      <c r="V83" s="16">
        <f t="shared" si="111"/>
        <v>116828</v>
      </c>
      <c r="W83" s="16">
        <f t="shared" si="111"/>
        <v>35575</v>
      </c>
      <c r="X83" s="16">
        <f t="shared" si="111"/>
        <v>17420</v>
      </c>
      <c r="Y83" s="16">
        <f t="shared" si="111"/>
        <v>30181</v>
      </c>
      <c r="Z83" s="16">
        <f t="shared" si="111"/>
        <v>4415</v>
      </c>
      <c r="AA83" s="16">
        <f t="shared" si="111"/>
        <v>3782</v>
      </c>
      <c r="AB83" s="16">
        <f t="shared" si="111"/>
        <v>17520</v>
      </c>
      <c r="AC83" s="16">
        <f t="shared" si="111"/>
        <v>0</v>
      </c>
      <c r="AD83" s="16">
        <f t="shared" si="111"/>
        <v>7935</v>
      </c>
      <c r="AE83" s="16">
        <f t="shared" si="111"/>
        <v>1137090</v>
      </c>
      <c r="AF83" s="16">
        <f t="shared" si="111"/>
        <v>0</v>
      </c>
      <c r="AG83" s="16">
        <f t="shared" si="111"/>
        <v>206340</v>
      </c>
      <c r="AH83" s="16">
        <f t="shared" si="111"/>
        <v>48322</v>
      </c>
      <c r="AI83" s="16">
        <f t="shared" si="111"/>
        <v>0</v>
      </c>
      <c r="AJ83" s="16">
        <f t="shared" si="111"/>
        <v>13181</v>
      </c>
      <c r="AK83" s="16">
        <f t="shared" ref="AK83:BR83" si="112">SUM(AK84)</f>
        <v>39053</v>
      </c>
      <c r="AL83" s="16">
        <f t="shared" si="112"/>
        <v>0</v>
      </c>
      <c r="AM83" s="16">
        <f t="shared" si="112"/>
        <v>100000</v>
      </c>
      <c r="AN83" s="16">
        <f t="shared" si="112"/>
        <v>18042</v>
      </c>
      <c r="AO83" s="16">
        <f t="shared" si="112"/>
        <v>24815</v>
      </c>
      <c r="AP83" s="16">
        <f t="shared" si="112"/>
        <v>0</v>
      </c>
      <c r="AQ83" s="16">
        <f t="shared" si="112"/>
        <v>0</v>
      </c>
      <c r="AR83" s="16">
        <f t="shared" si="112"/>
        <v>174188</v>
      </c>
      <c r="AS83" s="16">
        <f t="shared" si="112"/>
        <v>0</v>
      </c>
      <c r="AT83" s="16">
        <f t="shared" si="112"/>
        <v>0</v>
      </c>
      <c r="AU83" s="16">
        <f t="shared" si="112"/>
        <v>0</v>
      </c>
      <c r="AV83" s="16">
        <f t="shared" si="112"/>
        <v>0</v>
      </c>
      <c r="AW83" s="16">
        <f t="shared" si="112"/>
        <v>0</v>
      </c>
      <c r="AX83" s="16">
        <f t="shared" si="112"/>
        <v>0</v>
      </c>
      <c r="AY83" s="16">
        <f t="shared" si="112"/>
        <v>0</v>
      </c>
      <c r="AZ83" s="16">
        <f t="shared" si="112"/>
        <v>513149</v>
      </c>
      <c r="BA83" s="16">
        <f t="shared" si="112"/>
        <v>9759</v>
      </c>
      <c r="BB83" s="16">
        <f t="shared" si="112"/>
        <v>0</v>
      </c>
      <c r="BC83" s="16">
        <f t="shared" si="112"/>
        <v>0</v>
      </c>
      <c r="BD83" s="16">
        <f t="shared" si="112"/>
        <v>0</v>
      </c>
      <c r="BE83" s="16">
        <f t="shared" si="112"/>
        <v>0</v>
      </c>
      <c r="BF83" s="16">
        <f t="shared" si="112"/>
        <v>0</v>
      </c>
      <c r="BG83" s="16">
        <f t="shared" si="112"/>
        <v>0</v>
      </c>
      <c r="BH83" s="16">
        <f t="shared" si="112"/>
        <v>0</v>
      </c>
      <c r="BI83" s="16">
        <f t="shared" si="112"/>
        <v>0</v>
      </c>
      <c r="BJ83" s="16">
        <f t="shared" si="112"/>
        <v>0</v>
      </c>
      <c r="BK83" s="16">
        <f t="shared" si="112"/>
        <v>0</v>
      </c>
      <c r="BL83" s="16">
        <f t="shared" si="112"/>
        <v>0</v>
      </c>
      <c r="BM83" s="16">
        <f t="shared" si="112"/>
        <v>9759</v>
      </c>
      <c r="BN83" s="16">
        <f t="shared" si="112"/>
        <v>0</v>
      </c>
      <c r="BO83" s="16">
        <f t="shared" si="112"/>
        <v>0</v>
      </c>
      <c r="BP83" s="16">
        <f t="shared" si="112"/>
        <v>0</v>
      </c>
      <c r="BQ83" s="16">
        <f t="shared" si="112"/>
        <v>0</v>
      </c>
      <c r="BR83" s="16">
        <f t="shared" si="112"/>
        <v>0</v>
      </c>
      <c r="BS83" s="16">
        <f t="shared" ref="BS83:CU83" si="113">SUM(BS84)</f>
        <v>0</v>
      </c>
      <c r="BT83" s="16">
        <f t="shared" si="113"/>
        <v>0</v>
      </c>
      <c r="BU83" s="16">
        <f t="shared" si="113"/>
        <v>0</v>
      </c>
      <c r="BV83" s="16">
        <f t="shared" si="113"/>
        <v>0</v>
      </c>
      <c r="BW83" s="16">
        <f t="shared" si="113"/>
        <v>9759</v>
      </c>
      <c r="BX83" s="16">
        <f t="shared" si="113"/>
        <v>0</v>
      </c>
      <c r="BY83" s="16">
        <f t="shared" si="113"/>
        <v>1090531</v>
      </c>
      <c r="BZ83" s="16">
        <f t="shared" si="113"/>
        <v>1090531</v>
      </c>
      <c r="CA83" s="16">
        <f t="shared" si="113"/>
        <v>790531</v>
      </c>
      <c r="CB83" s="16">
        <f t="shared" si="113"/>
        <v>0</v>
      </c>
      <c r="CC83" s="16">
        <f t="shared" si="113"/>
        <v>790531</v>
      </c>
      <c r="CD83" s="16">
        <f t="shared" si="113"/>
        <v>0</v>
      </c>
      <c r="CE83" s="16">
        <f t="shared" si="113"/>
        <v>0</v>
      </c>
      <c r="CF83" s="16">
        <f t="shared" si="113"/>
        <v>0</v>
      </c>
      <c r="CG83" s="16">
        <f t="shared" si="113"/>
        <v>0</v>
      </c>
      <c r="CH83" s="16">
        <f t="shared" si="113"/>
        <v>0</v>
      </c>
      <c r="CI83" s="16">
        <f t="shared" si="113"/>
        <v>0</v>
      </c>
      <c r="CJ83" s="16">
        <f t="shared" si="113"/>
        <v>300000</v>
      </c>
      <c r="CK83" s="16">
        <f t="shared" si="113"/>
        <v>0</v>
      </c>
      <c r="CL83" s="16">
        <f t="shared" si="113"/>
        <v>0</v>
      </c>
      <c r="CM83" s="16">
        <f t="shared" si="113"/>
        <v>300000</v>
      </c>
      <c r="CN83" s="16">
        <f t="shared" si="113"/>
        <v>0</v>
      </c>
      <c r="CO83" s="16">
        <f>SUM(CO84)</f>
        <v>0</v>
      </c>
      <c r="CP83" s="16">
        <f>SUM(CP84)</f>
        <v>0</v>
      </c>
      <c r="CQ83" s="16">
        <f t="shared" si="113"/>
        <v>0</v>
      </c>
      <c r="CR83" s="16">
        <f t="shared" si="113"/>
        <v>0</v>
      </c>
      <c r="CS83" s="16">
        <f t="shared" si="113"/>
        <v>0</v>
      </c>
      <c r="CT83" s="16">
        <f t="shared" si="113"/>
        <v>0</v>
      </c>
      <c r="CU83" s="17">
        <f t="shared" si="113"/>
        <v>0</v>
      </c>
      <c r="CV83" s="38"/>
    </row>
    <row r="84" spans="1:100" ht="15.75" x14ac:dyDescent="0.25">
      <c r="A84" s="13" t="s">
        <v>1</v>
      </c>
      <c r="B84" s="14" t="s">
        <v>1</v>
      </c>
      <c r="C84" s="14" t="s">
        <v>105</v>
      </c>
      <c r="D84" s="30" t="s">
        <v>106</v>
      </c>
      <c r="E84" s="15">
        <f>SUM(F84+BY84+CR84)</f>
        <v>27112458</v>
      </c>
      <c r="F84" s="16">
        <f>SUM(G84+BA84)</f>
        <v>26021927</v>
      </c>
      <c r="G84" s="16">
        <f>SUM(H84+I84+J84+Q84+T84+U84+V84+AE84)</f>
        <v>26012168</v>
      </c>
      <c r="H84" s="16">
        <f>17399118+3600882</f>
        <v>21000000</v>
      </c>
      <c r="I84" s="16">
        <v>1150805</v>
      </c>
      <c r="J84" s="16">
        <f t="shared" si="103"/>
        <v>2411610</v>
      </c>
      <c r="K84" s="16">
        <v>0</v>
      </c>
      <c r="L84" s="16">
        <f>908859-300000</f>
        <v>608859</v>
      </c>
      <c r="M84" s="16">
        <v>0</v>
      </c>
      <c r="N84" s="16">
        <v>0</v>
      </c>
      <c r="O84" s="16">
        <v>737485</v>
      </c>
      <c r="P84" s="16">
        <f>695266+370000</f>
        <v>1065266</v>
      </c>
      <c r="Q84" s="16">
        <f t="shared" si="104"/>
        <v>1127</v>
      </c>
      <c r="R84" s="16">
        <v>1127</v>
      </c>
      <c r="S84" s="16">
        <v>0</v>
      </c>
      <c r="T84" s="16">
        <v>0</v>
      </c>
      <c r="U84" s="16">
        <v>194708</v>
      </c>
      <c r="V84" s="16">
        <f>SUM(W84:AD84)</f>
        <v>116828</v>
      </c>
      <c r="W84" s="16">
        <v>35575</v>
      </c>
      <c r="X84" s="16">
        <v>17420</v>
      </c>
      <c r="Y84" s="16">
        <v>30181</v>
      </c>
      <c r="Z84" s="16">
        <v>4415</v>
      </c>
      <c r="AA84" s="16">
        <v>3782</v>
      </c>
      <c r="AB84" s="16">
        <v>17520</v>
      </c>
      <c r="AC84" s="16">
        <v>0</v>
      </c>
      <c r="AD84" s="16">
        <v>7935</v>
      </c>
      <c r="AE84" s="16">
        <f>SUM(AF84:AZ84)</f>
        <v>1137090</v>
      </c>
      <c r="AF84" s="16">
        <v>0</v>
      </c>
      <c r="AG84" s="16">
        <v>206340</v>
      </c>
      <c r="AH84" s="16">
        <v>48322</v>
      </c>
      <c r="AI84" s="16">
        <v>0</v>
      </c>
      <c r="AJ84" s="16">
        <v>13181</v>
      </c>
      <c r="AK84" s="16">
        <f>0+39053</f>
        <v>39053</v>
      </c>
      <c r="AL84" s="16">
        <f>139053-139053</f>
        <v>0</v>
      </c>
      <c r="AM84" s="16">
        <f>0+100000</f>
        <v>100000</v>
      </c>
      <c r="AN84" s="16">
        <v>18042</v>
      </c>
      <c r="AO84" s="16">
        <v>24815</v>
      </c>
      <c r="AP84" s="16"/>
      <c r="AQ84" s="16">
        <v>0</v>
      </c>
      <c r="AR84" s="16">
        <v>174188</v>
      </c>
      <c r="AS84" s="16">
        <v>0</v>
      </c>
      <c r="AT84" s="16">
        <v>0</v>
      </c>
      <c r="AU84" s="16">
        <v>0</v>
      </c>
      <c r="AV84" s="16">
        <v>0</v>
      </c>
      <c r="AW84" s="16">
        <v>0</v>
      </c>
      <c r="AX84" s="16">
        <v>0</v>
      </c>
      <c r="AY84" s="16"/>
      <c r="AZ84" s="16">
        <f>283149+230000</f>
        <v>513149</v>
      </c>
      <c r="BA84" s="16">
        <f>SUM(BB84+BF84+BI84+BK84+BM84)</f>
        <v>9759</v>
      </c>
      <c r="BB84" s="16">
        <f>SUM(BC84:BE84)</f>
        <v>0</v>
      </c>
      <c r="BC84" s="16">
        <v>0</v>
      </c>
      <c r="BD84" s="16">
        <v>0</v>
      </c>
      <c r="BE84" s="16">
        <v>0</v>
      </c>
      <c r="BF84" s="16">
        <f t="shared" si="105"/>
        <v>0</v>
      </c>
      <c r="BG84" s="16">
        <v>0</v>
      </c>
      <c r="BH84" s="16">
        <v>0</v>
      </c>
      <c r="BI84" s="16">
        <v>0</v>
      </c>
      <c r="BJ84" s="16">
        <v>0</v>
      </c>
      <c r="BK84" s="16">
        <f t="shared" si="106"/>
        <v>0</v>
      </c>
      <c r="BL84" s="16">
        <v>0</v>
      </c>
      <c r="BM84" s="16">
        <f t="shared" si="107"/>
        <v>9759</v>
      </c>
      <c r="BN84" s="16">
        <v>0</v>
      </c>
      <c r="BO84" s="16">
        <v>0</v>
      </c>
      <c r="BP84" s="16">
        <v>0</v>
      </c>
      <c r="BQ84" s="16">
        <v>0</v>
      </c>
      <c r="BR84" s="16">
        <v>0</v>
      </c>
      <c r="BS84" s="16">
        <v>0</v>
      </c>
      <c r="BT84" s="16">
        <v>0</v>
      </c>
      <c r="BU84" s="16">
        <v>0</v>
      </c>
      <c r="BV84" s="16">
        <v>0</v>
      </c>
      <c r="BW84" s="16">
        <v>9759</v>
      </c>
      <c r="BX84" s="16">
        <v>0</v>
      </c>
      <c r="BY84" s="16">
        <f>SUM(BZ84+CQ84)</f>
        <v>1090531</v>
      </c>
      <c r="BZ84" s="16">
        <f>SUM(CA84+CD84+CJ84)</f>
        <v>1090531</v>
      </c>
      <c r="CA84" s="16">
        <f t="shared" si="108"/>
        <v>790531</v>
      </c>
      <c r="CB84" s="16">
        <v>0</v>
      </c>
      <c r="CC84" s="16">
        <f>1390531-600000</f>
        <v>790531</v>
      </c>
      <c r="CD84" s="16">
        <f>SUM(CE84:CH84)</f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f>SUM(CK84:CN84)</f>
        <v>300000</v>
      </c>
      <c r="CK84" s="16">
        <v>0</v>
      </c>
      <c r="CL84" s="16">
        <v>0</v>
      </c>
      <c r="CM84" s="16">
        <f>0+300000</f>
        <v>300000</v>
      </c>
      <c r="CN84" s="16">
        <v>0</v>
      </c>
      <c r="CO84" s="16"/>
      <c r="CP84" s="16"/>
      <c r="CQ84" s="16">
        <v>0</v>
      </c>
      <c r="CR84" s="16">
        <f t="shared" si="109"/>
        <v>0</v>
      </c>
      <c r="CS84" s="16">
        <f t="shared" si="110"/>
        <v>0</v>
      </c>
      <c r="CT84" s="16">
        <v>0</v>
      </c>
      <c r="CU84" s="17">
        <v>0</v>
      </c>
      <c r="CV84" s="38"/>
    </row>
    <row r="85" spans="1:100" ht="15.75" x14ac:dyDescent="0.25">
      <c r="A85" s="13" t="s">
        <v>50</v>
      </c>
      <c r="B85" s="14" t="s">
        <v>107</v>
      </c>
      <c r="C85" s="14" t="s">
        <v>1</v>
      </c>
      <c r="D85" s="30" t="s">
        <v>108</v>
      </c>
      <c r="E85" s="15">
        <f t="shared" ref="E85:AJ85" si="114">SUM(E86)</f>
        <v>6696793</v>
      </c>
      <c r="F85" s="16">
        <f t="shared" si="114"/>
        <v>6597610</v>
      </c>
      <c r="G85" s="16">
        <f t="shared" si="114"/>
        <v>6597610</v>
      </c>
      <c r="H85" s="16">
        <f t="shared" si="114"/>
        <v>4917301</v>
      </c>
      <c r="I85" s="16">
        <f t="shared" si="114"/>
        <v>991754</v>
      </c>
      <c r="J85" s="16">
        <f t="shared" si="114"/>
        <v>276298</v>
      </c>
      <c r="K85" s="16">
        <f t="shared" si="114"/>
        <v>0</v>
      </c>
      <c r="L85" s="16">
        <f t="shared" si="114"/>
        <v>0</v>
      </c>
      <c r="M85" s="16">
        <f t="shared" si="114"/>
        <v>0</v>
      </c>
      <c r="N85" s="16">
        <f t="shared" si="114"/>
        <v>0</v>
      </c>
      <c r="O85" s="16">
        <f t="shared" si="114"/>
        <v>209046</v>
      </c>
      <c r="P85" s="16">
        <f t="shared" si="114"/>
        <v>67252</v>
      </c>
      <c r="Q85" s="16">
        <f t="shared" si="114"/>
        <v>2259</v>
      </c>
      <c r="R85" s="16">
        <f t="shared" si="114"/>
        <v>2259</v>
      </c>
      <c r="S85" s="16">
        <f t="shared" si="114"/>
        <v>0</v>
      </c>
      <c r="T85" s="16">
        <f t="shared" si="114"/>
        <v>0</v>
      </c>
      <c r="U85" s="16">
        <f t="shared" si="114"/>
        <v>179263</v>
      </c>
      <c r="V85" s="16">
        <f t="shared" si="114"/>
        <v>77065</v>
      </c>
      <c r="W85" s="16">
        <f t="shared" si="114"/>
        <v>5430</v>
      </c>
      <c r="X85" s="16">
        <f t="shared" si="114"/>
        <v>41209</v>
      </c>
      <c r="Y85" s="16">
        <f t="shared" si="114"/>
        <v>19975</v>
      </c>
      <c r="Z85" s="16">
        <f t="shared" si="114"/>
        <v>3332</v>
      </c>
      <c r="AA85" s="16">
        <f t="shared" si="114"/>
        <v>6699</v>
      </c>
      <c r="AB85" s="16">
        <f t="shared" si="114"/>
        <v>0</v>
      </c>
      <c r="AC85" s="16">
        <f t="shared" si="114"/>
        <v>0</v>
      </c>
      <c r="AD85" s="16">
        <f t="shared" si="114"/>
        <v>420</v>
      </c>
      <c r="AE85" s="16">
        <f t="shared" si="114"/>
        <v>153670</v>
      </c>
      <c r="AF85" s="16">
        <f t="shared" si="114"/>
        <v>0</v>
      </c>
      <c r="AG85" s="16">
        <f t="shared" si="114"/>
        <v>15129</v>
      </c>
      <c r="AH85" s="16">
        <f t="shared" si="114"/>
        <v>15936</v>
      </c>
      <c r="AI85" s="16">
        <f t="shared" si="114"/>
        <v>0</v>
      </c>
      <c r="AJ85" s="16">
        <f t="shared" si="114"/>
        <v>1591</v>
      </c>
      <c r="AK85" s="16">
        <f t="shared" ref="AK85:BR85" si="115">SUM(AK86)</f>
        <v>0</v>
      </c>
      <c r="AL85" s="16">
        <f t="shared" si="115"/>
        <v>0</v>
      </c>
      <c r="AM85" s="16">
        <f t="shared" si="115"/>
        <v>34955</v>
      </c>
      <c r="AN85" s="16">
        <f t="shared" si="115"/>
        <v>15627</v>
      </c>
      <c r="AO85" s="16">
        <f t="shared" si="115"/>
        <v>55065</v>
      </c>
      <c r="AP85" s="16">
        <f t="shared" si="115"/>
        <v>0</v>
      </c>
      <c r="AQ85" s="16">
        <f t="shared" si="115"/>
        <v>0</v>
      </c>
      <c r="AR85" s="16">
        <f t="shared" si="115"/>
        <v>15367</v>
      </c>
      <c r="AS85" s="16">
        <f t="shared" si="115"/>
        <v>0</v>
      </c>
      <c r="AT85" s="16">
        <f t="shared" si="115"/>
        <v>0</v>
      </c>
      <c r="AU85" s="16">
        <f t="shared" si="115"/>
        <v>0</v>
      </c>
      <c r="AV85" s="16">
        <f t="shared" si="115"/>
        <v>0</v>
      </c>
      <c r="AW85" s="16">
        <f t="shared" si="115"/>
        <v>0</v>
      </c>
      <c r="AX85" s="16">
        <f t="shared" si="115"/>
        <v>0</v>
      </c>
      <c r="AY85" s="16">
        <f t="shared" si="115"/>
        <v>0</v>
      </c>
      <c r="AZ85" s="16">
        <f t="shared" si="115"/>
        <v>0</v>
      </c>
      <c r="BA85" s="16">
        <f t="shared" si="115"/>
        <v>0</v>
      </c>
      <c r="BB85" s="16">
        <f t="shared" si="115"/>
        <v>0</v>
      </c>
      <c r="BC85" s="16">
        <f t="shared" si="115"/>
        <v>0</v>
      </c>
      <c r="BD85" s="16">
        <f t="shared" si="115"/>
        <v>0</v>
      </c>
      <c r="BE85" s="16">
        <f t="shared" si="115"/>
        <v>0</v>
      </c>
      <c r="BF85" s="16">
        <f t="shared" si="115"/>
        <v>0</v>
      </c>
      <c r="BG85" s="16">
        <f t="shared" si="115"/>
        <v>0</v>
      </c>
      <c r="BH85" s="16">
        <f t="shared" si="115"/>
        <v>0</v>
      </c>
      <c r="BI85" s="16">
        <f t="shared" si="115"/>
        <v>0</v>
      </c>
      <c r="BJ85" s="16">
        <f t="shared" si="115"/>
        <v>0</v>
      </c>
      <c r="BK85" s="16">
        <f t="shared" si="115"/>
        <v>0</v>
      </c>
      <c r="BL85" s="16">
        <f t="shared" si="115"/>
        <v>0</v>
      </c>
      <c r="BM85" s="16">
        <f t="shared" si="115"/>
        <v>0</v>
      </c>
      <c r="BN85" s="16">
        <f t="shared" si="115"/>
        <v>0</v>
      </c>
      <c r="BO85" s="16">
        <f t="shared" si="115"/>
        <v>0</v>
      </c>
      <c r="BP85" s="16">
        <f t="shared" si="115"/>
        <v>0</v>
      </c>
      <c r="BQ85" s="16">
        <f t="shared" si="115"/>
        <v>0</v>
      </c>
      <c r="BR85" s="16">
        <f t="shared" si="115"/>
        <v>0</v>
      </c>
      <c r="BS85" s="16">
        <f t="shared" ref="BS85:CU85" si="116">SUM(BS86)</f>
        <v>0</v>
      </c>
      <c r="BT85" s="16">
        <f t="shared" si="116"/>
        <v>0</v>
      </c>
      <c r="BU85" s="16">
        <f t="shared" si="116"/>
        <v>0</v>
      </c>
      <c r="BV85" s="16">
        <f t="shared" si="116"/>
        <v>0</v>
      </c>
      <c r="BW85" s="16">
        <f t="shared" si="116"/>
        <v>0</v>
      </c>
      <c r="BX85" s="16">
        <f t="shared" si="116"/>
        <v>0</v>
      </c>
      <c r="BY85" s="16">
        <f t="shared" si="116"/>
        <v>99183</v>
      </c>
      <c r="BZ85" s="16">
        <f t="shared" si="116"/>
        <v>99183</v>
      </c>
      <c r="CA85" s="16">
        <f t="shared" si="116"/>
        <v>99183</v>
      </c>
      <c r="CB85" s="16">
        <f t="shared" si="116"/>
        <v>0</v>
      </c>
      <c r="CC85" s="16">
        <f t="shared" si="116"/>
        <v>99183</v>
      </c>
      <c r="CD85" s="16">
        <f t="shared" si="116"/>
        <v>0</v>
      </c>
      <c r="CE85" s="16">
        <f t="shared" si="116"/>
        <v>0</v>
      </c>
      <c r="CF85" s="16">
        <f t="shared" si="116"/>
        <v>0</v>
      </c>
      <c r="CG85" s="16">
        <f t="shared" si="116"/>
        <v>0</v>
      </c>
      <c r="CH85" s="16">
        <f t="shared" si="116"/>
        <v>0</v>
      </c>
      <c r="CI85" s="16">
        <f t="shared" si="116"/>
        <v>0</v>
      </c>
      <c r="CJ85" s="16">
        <f t="shared" si="116"/>
        <v>0</v>
      </c>
      <c r="CK85" s="16">
        <f t="shared" si="116"/>
        <v>0</v>
      </c>
      <c r="CL85" s="16">
        <f t="shared" si="116"/>
        <v>0</v>
      </c>
      <c r="CM85" s="16">
        <f t="shared" si="116"/>
        <v>0</v>
      </c>
      <c r="CN85" s="16">
        <f t="shared" si="116"/>
        <v>0</v>
      </c>
      <c r="CO85" s="16">
        <f t="shared" si="116"/>
        <v>0</v>
      </c>
      <c r="CP85" s="16">
        <f t="shared" si="116"/>
        <v>0</v>
      </c>
      <c r="CQ85" s="16">
        <f t="shared" si="116"/>
        <v>0</v>
      </c>
      <c r="CR85" s="16">
        <f t="shared" si="116"/>
        <v>0</v>
      </c>
      <c r="CS85" s="16">
        <f t="shared" si="116"/>
        <v>0</v>
      </c>
      <c r="CT85" s="16">
        <f t="shared" si="116"/>
        <v>0</v>
      </c>
      <c r="CU85" s="17">
        <f t="shared" si="116"/>
        <v>0</v>
      </c>
      <c r="CV85" s="38"/>
    </row>
    <row r="86" spans="1:100" ht="15.75" x14ac:dyDescent="0.25">
      <c r="A86" s="13" t="s">
        <v>1</v>
      </c>
      <c r="B86" s="14" t="s">
        <v>1</v>
      </c>
      <c r="C86" s="14" t="s">
        <v>109</v>
      </c>
      <c r="D86" s="30" t="s">
        <v>110</v>
      </c>
      <c r="E86" s="15">
        <f>SUM(F86+BY86+CR86)</f>
        <v>6696793</v>
      </c>
      <c r="F86" s="16">
        <f>SUM(G86+BA86)</f>
        <v>6597610</v>
      </c>
      <c r="G86" s="16">
        <f>SUM(H86+I86+J86+Q86+T86+U86+V86+AE86)</f>
        <v>6597610</v>
      </c>
      <c r="H86" s="16">
        <v>4917301</v>
      </c>
      <c r="I86" s="16">
        <v>991754</v>
      </c>
      <c r="J86" s="16">
        <f t="shared" si="103"/>
        <v>276298</v>
      </c>
      <c r="K86" s="16">
        <v>0</v>
      </c>
      <c r="L86" s="16">
        <f>60905-60905</f>
        <v>0</v>
      </c>
      <c r="M86" s="16">
        <v>0</v>
      </c>
      <c r="N86" s="16">
        <v>0</v>
      </c>
      <c r="O86" s="16">
        <v>209046</v>
      </c>
      <c r="P86" s="16">
        <v>67252</v>
      </c>
      <c r="Q86" s="16">
        <f t="shared" si="104"/>
        <v>2259</v>
      </c>
      <c r="R86" s="16">
        <v>2259</v>
      </c>
      <c r="S86" s="16">
        <v>0</v>
      </c>
      <c r="T86" s="16">
        <v>0</v>
      </c>
      <c r="U86" s="16">
        <f>186901-7638</f>
        <v>179263</v>
      </c>
      <c r="V86" s="16">
        <f>SUM(W86:AD86)</f>
        <v>77065</v>
      </c>
      <c r="W86" s="16">
        <v>5430</v>
      </c>
      <c r="X86" s="16">
        <f>35008+6201</f>
        <v>41209</v>
      </c>
      <c r="Y86" s="16">
        <f>19564+411</f>
        <v>19975</v>
      </c>
      <c r="Z86" s="16">
        <f>2306+1026</f>
        <v>3332</v>
      </c>
      <c r="AA86" s="16">
        <v>6699</v>
      </c>
      <c r="AB86" s="16">
        <v>0</v>
      </c>
      <c r="AC86" s="16">
        <v>0</v>
      </c>
      <c r="AD86" s="16">
        <v>420</v>
      </c>
      <c r="AE86" s="16">
        <f>SUM(AF86:AZ86)</f>
        <v>153670</v>
      </c>
      <c r="AF86" s="16">
        <v>0</v>
      </c>
      <c r="AG86" s="16">
        <v>15129</v>
      </c>
      <c r="AH86" s="16">
        <v>15936</v>
      </c>
      <c r="AI86" s="16">
        <v>0</v>
      </c>
      <c r="AJ86" s="16">
        <v>1591</v>
      </c>
      <c r="AK86" s="16">
        <v>0</v>
      </c>
      <c r="AL86" s="16">
        <f>49591-49591</f>
        <v>0</v>
      </c>
      <c r="AM86" s="16">
        <v>34955</v>
      </c>
      <c r="AN86" s="16">
        <v>15627</v>
      </c>
      <c r="AO86" s="16">
        <v>55065</v>
      </c>
      <c r="AP86" s="16"/>
      <c r="AQ86" s="16">
        <v>0</v>
      </c>
      <c r="AR86" s="16">
        <v>15367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/>
      <c r="AZ86" s="16">
        <v>0</v>
      </c>
      <c r="BA86" s="16">
        <f>SUM(BB86+BF86+BI86+BK86+BM86)</f>
        <v>0</v>
      </c>
      <c r="BB86" s="16">
        <f>SUM(BC86:BE86)</f>
        <v>0</v>
      </c>
      <c r="BC86" s="16">
        <v>0</v>
      </c>
      <c r="BD86" s="16">
        <v>0</v>
      </c>
      <c r="BE86" s="16">
        <v>0</v>
      </c>
      <c r="BF86" s="16">
        <f t="shared" si="105"/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f t="shared" si="106"/>
        <v>0</v>
      </c>
      <c r="BL86" s="16">
        <v>0</v>
      </c>
      <c r="BM86" s="16">
        <f t="shared" si="107"/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f>6518-6518</f>
        <v>0</v>
      </c>
      <c r="BX86" s="16">
        <v>0</v>
      </c>
      <c r="BY86" s="16">
        <f>SUM(BZ86+CQ86)</f>
        <v>99183</v>
      </c>
      <c r="BZ86" s="16">
        <f>SUM(CA86+CD86+CJ86)</f>
        <v>99183</v>
      </c>
      <c r="CA86" s="16">
        <f t="shared" si="108"/>
        <v>99183</v>
      </c>
      <c r="CB86" s="16">
        <v>0</v>
      </c>
      <c r="CC86" s="16">
        <v>99183</v>
      </c>
      <c r="CD86" s="16">
        <f>SUM(CE86:CH86)</f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f>SUM(CK86:CN86)</f>
        <v>0</v>
      </c>
      <c r="CK86" s="16">
        <v>0</v>
      </c>
      <c r="CL86" s="16">
        <v>0</v>
      </c>
      <c r="CM86" s="16">
        <v>0</v>
      </c>
      <c r="CN86" s="16">
        <v>0</v>
      </c>
      <c r="CO86" s="16"/>
      <c r="CP86" s="16"/>
      <c r="CQ86" s="16">
        <v>0</v>
      </c>
      <c r="CR86" s="16">
        <f t="shared" si="109"/>
        <v>0</v>
      </c>
      <c r="CS86" s="16">
        <f t="shared" si="110"/>
        <v>0</v>
      </c>
      <c r="CT86" s="16">
        <v>0</v>
      </c>
      <c r="CU86" s="17">
        <v>0</v>
      </c>
      <c r="CV86" s="38"/>
    </row>
    <row r="87" spans="1:100" ht="15.75" x14ac:dyDescent="0.25">
      <c r="A87" s="13" t="s">
        <v>50</v>
      </c>
      <c r="B87" s="14" t="s">
        <v>111</v>
      </c>
      <c r="C87" s="14" t="s">
        <v>1</v>
      </c>
      <c r="D87" s="30" t="s">
        <v>112</v>
      </c>
      <c r="E87" s="15">
        <f t="shared" ref="E87:AJ87" si="117">SUM(E88)</f>
        <v>27439337</v>
      </c>
      <c r="F87" s="16">
        <f t="shared" si="117"/>
        <v>27003590</v>
      </c>
      <c r="G87" s="16">
        <f t="shared" si="117"/>
        <v>26545690</v>
      </c>
      <c r="H87" s="16">
        <f t="shared" si="117"/>
        <v>21418309</v>
      </c>
      <c r="I87" s="16">
        <f t="shared" si="117"/>
        <v>17441</v>
      </c>
      <c r="J87" s="16">
        <f t="shared" si="117"/>
        <v>3236194</v>
      </c>
      <c r="K87" s="16">
        <f t="shared" si="117"/>
        <v>8400</v>
      </c>
      <c r="L87" s="16">
        <f t="shared" si="117"/>
        <v>292442</v>
      </c>
      <c r="M87" s="16">
        <f t="shared" si="117"/>
        <v>0</v>
      </c>
      <c r="N87" s="16">
        <f t="shared" si="117"/>
        <v>0</v>
      </c>
      <c r="O87" s="16">
        <f t="shared" si="117"/>
        <v>2824635</v>
      </c>
      <c r="P87" s="16">
        <f t="shared" si="117"/>
        <v>110717</v>
      </c>
      <c r="Q87" s="16">
        <f t="shared" si="117"/>
        <v>298640</v>
      </c>
      <c r="R87" s="16">
        <f t="shared" si="117"/>
        <v>0</v>
      </c>
      <c r="S87" s="16">
        <f t="shared" si="117"/>
        <v>298640</v>
      </c>
      <c r="T87" s="16">
        <f t="shared" si="117"/>
        <v>0</v>
      </c>
      <c r="U87" s="16">
        <f t="shared" si="117"/>
        <v>104221</v>
      </c>
      <c r="V87" s="16">
        <f t="shared" si="117"/>
        <v>115720</v>
      </c>
      <c r="W87" s="16">
        <f t="shared" si="117"/>
        <v>63694</v>
      </c>
      <c r="X87" s="16">
        <f t="shared" si="117"/>
        <v>0</v>
      </c>
      <c r="Y87" s="16">
        <f t="shared" si="117"/>
        <v>35778</v>
      </c>
      <c r="Z87" s="16">
        <f t="shared" si="117"/>
        <v>7397</v>
      </c>
      <c r="AA87" s="16">
        <f t="shared" si="117"/>
        <v>4515</v>
      </c>
      <c r="AB87" s="16">
        <f t="shared" si="117"/>
        <v>0</v>
      </c>
      <c r="AC87" s="16">
        <f t="shared" si="117"/>
        <v>0</v>
      </c>
      <c r="AD87" s="16">
        <f t="shared" si="117"/>
        <v>4336</v>
      </c>
      <c r="AE87" s="16">
        <f t="shared" si="117"/>
        <v>1355165</v>
      </c>
      <c r="AF87" s="16">
        <f t="shared" si="117"/>
        <v>0</v>
      </c>
      <c r="AG87" s="16">
        <f t="shared" si="117"/>
        <v>0</v>
      </c>
      <c r="AH87" s="16">
        <f t="shared" si="117"/>
        <v>19640</v>
      </c>
      <c r="AI87" s="16">
        <f t="shared" si="117"/>
        <v>0</v>
      </c>
      <c r="AJ87" s="16">
        <f t="shared" si="117"/>
        <v>1591</v>
      </c>
      <c r="AK87" s="16">
        <f t="shared" ref="AK87:BR87" si="118">SUM(AK88)</f>
        <v>0</v>
      </c>
      <c r="AL87" s="16">
        <f t="shared" si="118"/>
        <v>217873</v>
      </c>
      <c r="AM87" s="16">
        <f t="shared" si="118"/>
        <v>4555</v>
      </c>
      <c r="AN87" s="16">
        <f t="shared" si="118"/>
        <v>52380</v>
      </c>
      <c r="AO87" s="16">
        <f t="shared" si="118"/>
        <v>0</v>
      </c>
      <c r="AP87" s="16">
        <f t="shared" si="118"/>
        <v>0</v>
      </c>
      <c r="AQ87" s="16">
        <f t="shared" si="118"/>
        <v>41355</v>
      </c>
      <c r="AR87" s="16">
        <f t="shared" si="118"/>
        <v>0</v>
      </c>
      <c r="AS87" s="16">
        <f t="shared" si="118"/>
        <v>20448</v>
      </c>
      <c r="AT87" s="16">
        <f t="shared" si="118"/>
        <v>0</v>
      </c>
      <c r="AU87" s="16">
        <f t="shared" si="118"/>
        <v>0</v>
      </c>
      <c r="AV87" s="16">
        <f t="shared" si="118"/>
        <v>0</v>
      </c>
      <c r="AW87" s="16">
        <f t="shared" si="118"/>
        <v>954751</v>
      </c>
      <c r="AX87" s="16">
        <f t="shared" si="118"/>
        <v>0</v>
      </c>
      <c r="AY87" s="16">
        <f t="shared" si="118"/>
        <v>0</v>
      </c>
      <c r="AZ87" s="16">
        <f t="shared" si="118"/>
        <v>42572</v>
      </c>
      <c r="BA87" s="16">
        <f t="shared" si="118"/>
        <v>457900</v>
      </c>
      <c r="BB87" s="16">
        <f t="shared" si="118"/>
        <v>0</v>
      </c>
      <c r="BC87" s="16">
        <f t="shared" si="118"/>
        <v>0</v>
      </c>
      <c r="BD87" s="16">
        <f t="shared" si="118"/>
        <v>0</v>
      </c>
      <c r="BE87" s="16">
        <f t="shared" si="118"/>
        <v>0</v>
      </c>
      <c r="BF87" s="16">
        <f t="shared" si="118"/>
        <v>0</v>
      </c>
      <c r="BG87" s="16">
        <f t="shared" si="118"/>
        <v>0</v>
      </c>
      <c r="BH87" s="16">
        <f t="shared" si="118"/>
        <v>0</v>
      </c>
      <c r="BI87" s="16">
        <f t="shared" si="118"/>
        <v>0</v>
      </c>
      <c r="BJ87" s="16">
        <f t="shared" si="118"/>
        <v>0</v>
      </c>
      <c r="BK87" s="16">
        <f t="shared" si="118"/>
        <v>6328</v>
      </c>
      <c r="BL87" s="16">
        <f t="shared" si="118"/>
        <v>6328</v>
      </c>
      <c r="BM87" s="16">
        <f t="shared" si="118"/>
        <v>451572</v>
      </c>
      <c r="BN87" s="16">
        <f t="shared" si="118"/>
        <v>0</v>
      </c>
      <c r="BO87" s="16">
        <f t="shared" si="118"/>
        <v>0</v>
      </c>
      <c r="BP87" s="16">
        <f t="shared" si="118"/>
        <v>0</v>
      </c>
      <c r="BQ87" s="16">
        <f t="shared" si="118"/>
        <v>0</v>
      </c>
      <c r="BR87" s="16">
        <f t="shared" si="118"/>
        <v>0</v>
      </c>
      <c r="BS87" s="16">
        <f t="shared" ref="BS87:CU87" si="119">SUM(BS88)</f>
        <v>0</v>
      </c>
      <c r="BT87" s="16">
        <f t="shared" si="119"/>
        <v>0</v>
      </c>
      <c r="BU87" s="16">
        <f t="shared" si="119"/>
        <v>0</v>
      </c>
      <c r="BV87" s="16">
        <f t="shared" si="119"/>
        <v>0</v>
      </c>
      <c r="BW87" s="16">
        <f t="shared" si="119"/>
        <v>0</v>
      </c>
      <c r="BX87" s="16">
        <f t="shared" si="119"/>
        <v>451572</v>
      </c>
      <c r="BY87" s="16">
        <f t="shared" si="119"/>
        <v>435747</v>
      </c>
      <c r="BZ87" s="16">
        <f t="shared" si="119"/>
        <v>435747</v>
      </c>
      <c r="CA87" s="16">
        <f t="shared" si="119"/>
        <v>435747</v>
      </c>
      <c r="CB87" s="16">
        <f t="shared" si="119"/>
        <v>0</v>
      </c>
      <c r="CC87" s="16">
        <f t="shared" si="119"/>
        <v>435747</v>
      </c>
      <c r="CD87" s="16">
        <f t="shared" si="119"/>
        <v>0</v>
      </c>
      <c r="CE87" s="16">
        <f t="shared" si="119"/>
        <v>0</v>
      </c>
      <c r="CF87" s="16">
        <f t="shared" si="119"/>
        <v>0</v>
      </c>
      <c r="CG87" s="16">
        <f t="shared" si="119"/>
        <v>0</v>
      </c>
      <c r="CH87" s="16">
        <f t="shared" si="119"/>
        <v>0</v>
      </c>
      <c r="CI87" s="16">
        <f t="shared" si="119"/>
        <v>0</v>
      </c>
      <c r="CJ87" s="16">
        <f t="shared" si="119"/>
        <v>0</v>
      </c>
      <c r="CK87" s="16">
        <f t="shared" si="119"/>
        <v>0</v>
      </c>
      <c r="CL87" s="16">
        <f t="shared" si="119"/>
        <v>0</v>
      </c>
      <c r="CM87" s="16">
        <f t="shared" si="119"/>
        <v>0</v>
      </c>
      <c r="CN87" s="16">
        <f t="shared" si="119"/>
        <v>0</v>
      </c>
      <c r="CO87" s="16">
        <f t="shared" si="119"/>
        <v>0</v>
      </c>
      <c r="CP87" s="16">
        <f t="shared" si="119"/>
        <v>0</v>
      </c>
      <c r="CQ87" s="16">
        <f t="shared" si="119"/>
        <v>0</v>
      </c>
      <c r="CR87" s="16">
        <f t="shared" si="119"/>
        <v>0</v>
      </c>
      <c r="CS87" s="16">
        <f t="shared" si="119"/>
        <v>0</v>
      </c>
      <c r="CT87" s="16">
        <f t="shared" si="119"/>
        <v>0</v>
      </c>
      <c r="CU87" s="17">
        <f t="shared" si="119"/>
        <v>0</v>
      </c>
      <c r="CV87" s="38"/>
    </row>
    <row r="88" spans="1:100" ht="15.75" x14ac:dyDescent="0.25">
      <c r="A88" s="13" t="s">
        <v>1</v>
      </c>
      <c r="B88" s="14" t="s">
        <v>1</v>
      </c>
      <c r="C88" s="14" t="s">
        <v>113</v>
      </c>
      <c r="D88" s="30" t="s">
        <v>114</v>
      </c>
      <c r="E88" s="15">
        <f>SUM(F88+BY88+CR88)</f>
        <v>27439337</v>
      </c>
      <c r="F88" s="16">
        <f>SUM(G88+BA88)</f>
        <v>27003590</v>
      </c>
      <c r="G88" s="16">
        <f>SUM(H88+I88+J88+Q88+T88+U88+V88+AE88)</f>
        <v>26545690</v>
      </c>
      <c r="H88" s="16">
        <v>21418309</v>
      </c>
      <c r="I88" s="16">
        <v>17441</v>
      </c>
      <c r="J88" s="16">
        <f t="shared" si="103"/>
        <v>3236194</v>
      </c>
      <c r="K88" s="16">
        <v>8400</v>
      </c>
      <c r="L88" s="16">
        <v>292442</v>
      </c>
      <c r="M88" s="16">
        <v>0</v>
      </c>
      <c r="N88" s="16">
        <v>0</v>
      </c>
      <c r="O88" s="16">
        <v>2824635</v>
      </c>
      <c r="P88" s="16">
        <v>110717</v>
      </c>
      <c r="Q88" s="16">
        <f t="shared" si="104"/>
        <v>298640</v>
      </c>
      <c r="R88" s="16">
        <v>0</v>
      </c>
      <c r="S88" s="16">
        <v>298640</v>
      </c>
      <c r="T88" s="16">
        <v>0</v>
      </c>
      <c r="U88" s="16">
        <v>104221</v>
      </c>
      <c r="V88" s="16">
        <f>SUM(W88:AD88)</f>
        <v>115720</v>
      </c>
      <c r="W88" s="16">
        <v>63694</v>
      </c>
      <c r="X88" s="16">
        <v>0</v>
      </c>
      <c r="Y88" s="16">
        <v>35778</v>
      </c>
      <c r="Z88" s="16">
        <v>7397</v>
      </c>
      <c r="AA88" s="16">
        <v>4515</v>
      </c>
      <c r="AB88" s="16">
        <v>0</v>
      </c>
      <c r="AC88" s="16">
        <v>0</v>
      </c>
      <c r="AD88" s="16">
        <v>4336</v>
      </c>
      <c r="AE88" s="16">
        <f>SUM(AF88:AZ88)</f>
        <v>1355165</v>
      </c>
      <c r="AF88" s="16">
        <v>0</v>
      </c>
      <c r="AG88" s="16">
        <v>0</v>
      </c>
      <c r="AH88" s="16">
        <v>19640</v>
      </c>
      <c r="AI88" s="16">
        <v>0</v>
      </c>
      <c r="AJ88" s="16">
        <v>1591</v>
      </c>
      <c r="AK88" s="16">
        <v>0</v>
      </c>
      <c r="AL88" s="16">
        <v>217873</v>
      </c>
      <c r="AM88" s="16">
        <v>4555</v>
      </c>
      <c r="AN88" s="16">
        <v>52380</v>
      </c>
      <c r="AO88" s="16">
        <v>0</v>
      </c>
      <c r="AP88" s="16">
        <v>0</v>
      </c>
      <c r="AQ88" s="16">
        <v>41355</v>
      </c>
      <c r="AR88" s="16">
        <v>0</v>
      </c>
      <c r="AS88" s="16">
        <v>20448</v>
      </c>
      <c r="AT88" s="16">
        <v>0</v>
      </c>
      <c r="AU88" s="16">
        <v>0</v>
      </c>
      <c r="AV88" s="16">
        <v>0</v>
      </c>
      <c r="AW88" s="16">
        <v>954751</v>
      </c>
      <c r="AX88" s="16">
        <v>0</v>
      </c>
      <c r="AY88" s="16">
        <v>0</v>
      </c>
      <c r="AZ88" s="16">
        <f>12572+30000</f>
        <v>42572</v>
      </c>
      <c r="BA88" s="16">
        <f>SUM(BB88+BF88+BI88+BK88+BM88)</f>
        <v>457900</v>
      </c>
      <c r="BB88" s="16">
        <f>SUM(BC88:BE88)</f>
        <v>0</v>
      </c>
      <c r="BC88" s="16">
        <v>0</v>
      </c>
      <c r="BD88" s="16">
        <v>0</v>
      </c>
      <c r="BE88" s="16">
        <v>0</v>
      </c>
      <c r="BF88" s="16">
        <f t="shared" si="105"/>
        <v>0</v>
      </c>
      <c r="BG88" s="16">
        <v>0</v>
      </c>
      <c r="BH88" s="16">
        <v>0</v>
      </c>
      <c r="BI88" s="16">
        <v>0</v>
      </c>
      <c r="BJ88" s="16">
        <v>0</v>
      </c>
      <c r="BK88" s="16">
        <f t="shared" si="106"/>
        <v>6328</v>
      </c>
      <c r="BL88" s="16">
        <v>6328</v>
      </c>
      <c r="BM88" s="16">
        <f t="shared" si="107"/>
        <v>451572</v>
      </c>
      <c r="BN88" s="16">
        <v>0</v>
      </c>
      <c r="BO88" s="16">
        <v>0</v>
      </c>
      <c r="BP88" s="16">
        <v>0</v>
      </c>
      <c r="BQ88" s="16">
        <v>0</v>
      </c>
      <c r="BR88" s="16">
        <v>0</v>
      </c>
      <c r="BS88" s="16">
        <v>0</v>
      </c>
      <c r="BT88" s="16">
        <v>0</v>
      </c>
      <c r="BU88" s="16">
        <v>0</v>
      </c>
      <c r="BV88" s="16">
        <v>0</v>
      </c>
      <c r="BW88" s="16">
        <v>0</v>
      </c>
      <c r="BX88" s="16">
        <f>481572-30000</f>
        <v>451572</v>
      </c>
      <c r="BY88" s="16">
        <f>SUM(BZ88+CQ88)</f>
        <v>435747</v>
      </c>
      <c r="BZ88" s="16">
        <f>SUM(CA88+CD88+CJ88)</f>
        <v>435747</v>
      </c>
      <c r="CA88" s="16">
        <f t="shared" si="108"/>
        <v>435747</v>
      </c>
      <c r="CB88" s="16">
        <v>0</v>
      </c>
      <c r="CC88" s="16">
        <v>435747</v>
      </c>
      <c r="CD88" s="16">
        <f>SUM(CE88:CH88)</f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f>SUM(CK88:CN88)</f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f t="shared" si="109"/>
        <v>0</v>
      </c>
      <c r="CS88" s="16">
        <f t="shared" si="110"/>
        <v>0</v>
      </c>
      <c r="CT88" s="16">
        <v>0</v>
      </c>
      <c r="CU88" s="17">
        <v>0</v>
      </c>
      <c r="CV88" s="38"/>
    </row>
    <row r="89" spans="1:100" ht="31.5" x14ac:dyDescent="0.25">
      <c r="A89" s="18" t="s">
        <v>115</v>
      </c>
      <c r="B89" s="19" t="s">
        <v>1</v>
      </c>
      <c r="C89" s="19" t="s">
        <v>1</v>
      </c>
      <c r="D89" s="31" t="s">
        <v>116</v>
      </c>
      <c r="E89" s="20">
        <f>SUM(E90+E93)</f>
        <v>19460736</v>
      </c>
      <c r="F89" s="21">
        <f t="shared" ref="F89:BS89" si="120">SUM(F90+F93)</f>
        <v>19441257</v>
      </c>
      <c r="G89" s="21">
        <f t="shared" si="120"/>
        <v>19427601</v>
      </c>
      <c r="H89" s="21">
        <f t="shared" si="120"/>
        <v>8497142</v>
      </c>
      <c r="I89" s="21">
        <f t="shared" si="120"/>
        <v>2058886</v>
      </c>
      <c r="J89" s="21">
        <f t="shared" si="120"/>
        <v>268389</v>
      </c>
      <c r="K89" s="21">
        <f t="shared" si="120"/>
        <v>0</v>
      </c>
      <c r="L89" s="21">
        <f t="shared" si="120"/>
        <v>0</v>
      </c>
      <c r="M89" s="21">
        <f t="shared" si="120"/>
        <v>0</v>
      </c>
      <c r="N89" s="21">
        <f t="shared" si="120"/>
        <v>0</v>
      </c>
      <c r="O89" s="21">
        <f t="shared" si="120"/>
        <v>248967</v>
      </c>
      <c r="P89" s="21">
        <f t="shared" si="120"/>
        <v>19422</v>
      </c>
      <c r="Q89" s="21">
        <f t="shared" si="120"/>
        <v>3330</v>
      </c>
      <c r="R89" s="21">
        <f t="shared" si="120"/>
        <v>1594</v>
      </c>
      <c r="S89" s="21">
        <f t="shared" si="120"/>
        <v>1736</v>
      </c>
      <c r="T89" s="21">
        <f t="shared" si="120"/>
        <v>0</v>
      </c>
      <c r="U89" s="21">
        <f t="shared" si="120"/>
        <v>52351</v>
      </c>
      <c r="V89" s="21">
        <f t="shared" si="120"/>
        <v>250372</v>
      </c>
      <c r="W89" s="21">
        <f t="shared" si="120"/>
        <v>0</v>
      </c>
      <c r="X89" s="21">
        <f t="shared" si="120"/>
        <v>146919</v>
      </c>
      <c r="Y89" s="21">
        <f t="shared" si="120"/>
        <v>64230</v>
      </c>
      <c r="Z89" s="21">
        <f t="shared" si="120"/>
        <v>36484</v>
      </c>
      <c r="AA89" s="21">
        <f t="shared" si="120"/>
        <v>2648</v>
      </c>
      <c r="AB89" s="21">
        <f t="shared" si="120"/>
        <v>0</v>
      </c>
      <c r="AC89" s="21">
        <f t="shared" si="120"/>
        <v>0</v>
      </c>
      <c r="AD89" s="21">
        <f t="shared" ref="AD89" si="121">SUM(AD90+AD93)</f>
        <v>91</v>
      </c>
      <c r="AE89" s="21">
        <f t="shared" si="120"/>
        <v>8297131</v>
      </c>
      <c r="AF89" s="21">
        <f t="shared" si="120"/>
        <v>8198891</v>
      </c>
      <c r="AG89" s="21">
        <f t="shared" si="120"/>
        <v>4246</v>
      </c>
      <c r="AH89" s="21">
        <f t="shared" si="120"/>
        <v>0</v>
      </c>
      <c r="AI89" s="21">
        <f t="shared" si="120"/>
        <v>0</v>
      </c>
      <c r="AJ89" s="21">
        <f t="shared" si="120"/>
        <v>2382</v>
      </c>
      <c r="AK89" s="21">
        <f t="shared" si="120"/>
        <v>0</v>
      </c>
      <c r="AL89" s="21">
        <f t="shared" si="120"/>
        <v>1842</v>
      </c>
      <c r="AM89" s="21">
        <f t="shared" si="120"/>
        <v>51398</v>
      </c>
      <c r="AN89" s="21">
        <f t="shared" si="120"/>
        <v>0</v>
      </c>
      <c r="AO89" s="21">
        <f t="shared" si="120"/>
        <v>0</v>
      </c>
      <c r="AP89" s="21">
        <f>SUM(AP90+AP93)</f>
        <v>0</v>
      </c>
      <c r="AQ89" s="21">
        <f t="shared" si="120"/>
        <v>0</v>
      </c>
      <c r="AR89" s="21">
        <f t="shared" si="120"/>
        <v>0</v>
      </c>
      <c r="AS89" s="21">
        <f t="shared" si="120"/>
        <v>0</v>
      </c>
      <c r="AT89" s="21">
        <f t="shared" si="120"/>
        <v>0</v>
      </c>
      <c r="AU89" s="21">
        <f t="shared" si="120"/>
        <v>0</v>
      </c>
      <c r="AV89" s="21">
        <f t="shared" si="120"/>
        <v>0</v>
      </c>
      <c r="AW89" s="21">
        <f t="shared" si="120"/>
        <v>0</v>
      </c>
      <c r="AX89" s="21">
        <f t="shared" si="120"/>
        <v>0</v>
      </c>
      <c r="AY89" s="21">
        <f t="shared" si="120"/>
        <v>38372</v>
      </c>
      <c r="AZ89" s="21">
        <f t="shared" si="120"/>
        <v>0</v>
      </c>
      <c r="BA89" s="21">
        <f t="shared" si="120"/>
        <v>13656</v>
      </c>
      <c r="BB89" s="21">
        <f t="shared" si="120"/>
        <v>0</v>
      </c>
      <c r="BC89" s="21">
        <f t="shared" si="120"/>
        <v>0</v>
      </c>
      <c r="BD89" s="21">
        <f t="shared" si="120"/>
        <v>0</v>
      </c>
      <c r="BE89" s="21">
        <f t="shared" si="120"/>
        <v>0</v>
      </c>
      <c r="BF89" s="21">
        <f t="shared" si="120"/>
        <v>0</v>
      </c>
      <c r="BG89" s="21">
        <f t="shared" si="120"/>
        <v>0</v>
      </c>
      <c r="BH89" s="21">
        <f t="shared" si="120"/>
        <v>0</v>
      </c>
      <c r="BI89" s="21">
        <f t="shared" si="120"/>
        <v>0</v>
      </c>
      <c r="BJ89" s="21">
        <f t="shared" si="120"/>
        <v>0</v>
      </c>
      <c r="BK89" s="21">
        <f t="shared" si="120"/>
        <v>0</v>
      </c>
      <c r="BL89" s="21">
        <f t="shared" si="120"/>
        <v>0</v>
      </c>
      <c r="BM89" s="21">
        <f t="shared" si="120"/>
        <v>13656</v>
      </c>
      <c r="BN89" s="21">
        <f t="shared" si="120"/>
        <v>0</v>
      </c>
      <c r="BO89" s="21">
        <f t="shared" si="120"/>
        <v>0</v>
      </c>
      <c r="BP89" s="21">
        <f t="shared" si="120"/>
        <v>13656</v>
      </c>
      <c r="BQ89" s="21">
        <f t="shared" si="120"/>
        <v>0</v>
      </c>
      <c r="BR89" s="21">
        <f t="shared" si="120"/>
        <v>0</v>
      </c>
      <c r="BS89" s="21">
        <f t="shared" si="120"/>
        <v>0</v>
      </c>
      <c r="BT89" s="21">
        <f t="shared" ref="BT89:CU89" si="122">SUM(BT90+BT93)</f>
        <v>0</v>
      </c>
      <c r="BU89" s="21">
        <f t="shared" si="122"/>
        <v>0</v>
      </c>
      <c r="BV89" s="21">
        <f t="shared" si="122"/>
        <v>0</v>
      </c>
      <c r="BW89" s="21">
        <f t="shared" si="122"/>
        <v>0</v>
      </c>
      <c r="BX89" s="21">
        <f t="shared" si="122"/>
        <v>0</v>
      </c>
      <c r="BY89" s="21">
        <f t="shared" si="122"/>
        <v>19479</v>
      </c>
      <c r="BZ89" s="21">
        <f t="shared" si="122"/>
        <v>19479</v>
      </c>
      <c r="CA89" s="21">
        <f t="shared" si="122"/>
        <v>19479</v>
      </c>
      <c r="CB89" s="21">
        <f t="shared" si="122"/>
        <v>0</v>
      </c>
      <c r="CC89" s="21">
        <f t="shared" si="122"/>
        <v>19479</v>
      </c>
      <c r="CD89" s="21">
        <f t="shared" si="122"/>
        <v>0</v>
      </c>
      <c r="CE89" s="21">
        <f t="shared" si="122"/>
        <v>0</v>
      </c>
      <c r="CF89" s="21">
        <f t="shared" si="122"/>
        <v>0</v>
      </c>
      <c r="CG89" s="21">
        <f t="shared" si="122"/>
        <v>0</v>
      </c>
      <c r="CH89" s="21">
        <f t="shared" si="122"/>
        <v>0</v>
      </c>
      <c r="CI89" s="21">
        <f t="shared" ref="CI89" si="123">SUM(CI90+CI93)</f>
        <v>0</v>
      </c>
      <c r="CJ89" s="21">
        <f t="shared" si="122"/>
        <v>0</v>
      </c>
      <c r="CK89" s="21">
        <f t="shared" si="122"/>
        <v>0</v>
      </c>
      <c r="CL89" s="21">
        <f t="shared" si="122"/>
        <v>0</v>
      </c>
      <c r="CM89" s="21">
        <f t="shared" si="122"/>
        <v>0</v>
      </c>
      <c r="CN89" s="21">
        <f t="shared" si="122"/>
        <v>0</v>
      </c>
      <c r="CO89" s="21">
        <f t="shared" si="122"/>
        <v>0</v>
      </c>
      <c r="CP89" s="21">
        <f t="shared" si="122"/>
        <v>0</v>
      </c>
      <c r="CQ89" s="21">
        <f t="shared" si="122"/>
        <v>0</v>
      </c>
      <c r="CR89" s="21">
        <f t="shared" si="122"/>
        <v>0</v>
      </c>
      <c r="CS89" s="21">
        <f t="shared" si="122"/>
        <v>0</v>
      </c>
      <c r="CT89" s="21">
        <f t="shared" si="122"/>
        <v>0</v>
      </c>
      <c r="CU89" s="22">
        <f t="shared" si="122"/>
        <v>0</v>
      </c>
      <c r="CV89" s="38"/>
    </row>
    <row r="90" spans="1:100" ht="15.75" x14ac:dyDescent="0.25">
      <c r="A90" s="13" t="s">
        <v>117</v>
      </c>
      <c r="B90" s="14" t="s">
        <v>7</v>
      </c>
      <c r="C90" s="14" t="s">
        <v>1</v>
      </c>
      <c r="D90" s="30" t="s">
        <v>118</v>
      </c>
      <c r="E90" s="15">
        <f t="shared" ref="E90:AJ90" si="124">SUM(E91:E92)</f>
        <v>11039886</v>
      </c>
      <c r="F90" s="16">
        <f t="shared" si="124"/>
        <v>11036025</v>
      </c>
      <c r="G90" s="16">
        <f t="shared" si="124"/>
        <v>11022369</v>
      </c>
      <c r="H90" s="16">
        <f t="shared" si="124"/>
        <v>8202648</v>
      </c>
      <c r="I90" s="16">
        <f t="shared" si="124"/>
        <v>1990338</v>
      </c>
      <c r="J90" s="16">
        <f t="shared" si="124"/>
        <v>259275</v>
      </c>
      <c r="K90" s="16">
        <f t="shared" si="124"/>
        <v>0</v>
      </c>
      <c r="L90" s="16">
        <f t="shared" si="124"/>
        <v>0</v>
      </c>
      <c r="M90" s="16">
        <f t="shared" si="124"/>
        <v>0</v>
      </c>
      <c r="N90" s="16">
        <f t="shared" si="124"/>
        <v>0</v>
      </c>
      <c r="O90" s="16">
        <f t="shared" si="124"/>
        <v>248967</v>
      </c>
      <c r="P90" s="16">
        <f t="shared" si="124"/>
        <v>10308</v>
      </c>
      <c r="Q90" s="16">
        <f t="shared" si="124"/>
        <v>1594</v>
      </c>
      <c r="R90" s="16">
        <f t="shared" si="124"/>
        <v>1594</v>
      </c>
      <c r="S90" s="16">
        <f t="shared" si="124"/>
        <v>0</v>
      </c>
      <c r="T90" s="16">
        <f t="shared" si="124"/>
        <v>0</v>
      </c>
      <c r="U90" s="16">
        <f t="shared" si="124"/>
        <v>52351</v>
      </c>
      <c r="V90" s="16">
        <f t="shared" si="124"/>
        <v>250372</v>
      </c>
      <c r="W90" s="16">
        <f t="shared" si="124"/>
        <v>0</v>
      </c>
      <c r="X90" s="16">
        <f t="shared" si="124"/>
        <v>146919</v>
      </c>
      <c r="Y90" s="16">
        <f t="shared" si="124"/>
        <v>64230</v>
      </c>
      <c r="Z90" s="16">
        <f t="shared" si="124"/>
        <v>36484</v>
      </c>
      <c r="AA90" s="16">
        <f t="shared" si="124"/>
        <v>2648</v>
      </c>
      <c r="AB90" s="16">
        <f t="shared" si="124"/>
        <v>0</v>
      </c>
      <c r="AC90" s="16">
        <f t="shared" si="124"/>
        <v>0</v>
      </c>
      <c r="AD90" s="16">
        <f t="shared" ref="AD90" si="125">SUM(AD91:AD92)</f>
        <v>91</v>
      </c>
      <c r="AE90" s="16">
        <f t="shared" si="124"/>
        <v>265791</v>
      </c>
      <c r="AF90" s="16">
        <f t="shared" si="124"/>
        <v>169287</v>
      </c>
      <c r="AG90" s="16">
        <f t="shared" si="124"/>
        <v>4246</v>
      </c>
      <c r="AH90" s="16">
        <f t="shared" si="124"/>
        <v>0</v>
      </c>
      <c r="AI90" s="16">
        <f t="shared" si="124"/>
        <v>0</v>
      </c>
      <c r="AJ90" s="16">
        <f t="shared" si="124"/>
        <v>2382</v>
      </c>
      <c r="AK90" s="16">
        <f t="shared" ref="AK90:BR90" si="126">SUM(AK91:AK92)</f>
        <v>0</v>
      </c>
      <c r="AL90" s="16">
        <f t="shared" si="126"/>
        <v>106</v>
      </c>
      <c r="AM90" s="16">
        <f t="shared" si="126"/>
        <v>51398</v>
      </c>
      <c r="AN90" s="16">
        <f t="shared" si="126"/>
        <v>0</v>
      </c>
      <c r="AO90" s="16">
        <f t="shared" si="126"/>
        <v>0</v>
      </c>
      <c r="AP90" s="16">
        <f>SUM(AP91:AP92)</f>
        <v>0</v>
      </c>
      <c r="AQ90" s="16">
        <f t="shared" si="126"/>
        <v>0</v>
      </c>
      <c r="AR90" s="16">
        <f t="shared" si="126"/>
        <v>0</v>
      </c>
      <c r="AS90" s="16">
        <f t="shared" si="126"/>
        <v>0</v>
      </c>
      <c r="AT90" s="16">
        <f t="shared" si="126"/>
        <v>0</v>
      </c>
      <c r="AU90" s="16">
        <f t="shared" si="126"/>
        <v>0</v>
      </c>
      <c r="AV90" s="16">
        <f t="shared" si="126"/>
        <v>0</v>
      </c>
      <c r="AW90" s="16">
        <f t="shared" si="126"/>
        <v>0</v>
      </c>
      <c r="AX90" s="16">
        <f t="shared" si="126"/>
        <v>0</v>
      </c>
      <c r="AY90" s="16">
        <f t="shared" si="126"/>
        <v>38372</v>
      </c>
      <c r="AZ90" s="16">
        <f t="shared" si="126"/>
        <v>0</v>
      </c>
      <c r="BA90" s="16">
        <f t="shared" si="126"/>
        <v>13656</v>
      </c>
      <c r="BB90" s="16">
        <f t="shared" si="126"/>
        <v>0</v>
      </c>
      <c r="BC90" s="16">
        <f t="shared" si="126"/>
        <v>0</v>
      </c>
      <c r="BD90" s="16">
        <f t="shared" si="126"/>
        <v>0</v>
      </c>
      <c r="BE90" s="16">
        <f t="shared" si="126"/>
        <v>0</v>
      </c>
      <c r="BF90" s="16">
        <f t="shared" si="126"/>
        <v>0</v>
      </c>
      <c r="BG90" s="16">
        <f t="shared" si="126"/>
        <v>0</v>
      </c>
      <c r="BH90" s="16">
        <f t="shared" si="126"/>
        <v>0</v>
      </c>
      <c r="BI90" s="16">
        <f t="shared" si="126"/>
        <v>0</v>
      </c>
      <c r="BJ90" s="16">
        <f t="shared" si="126"/>
        <v>0</v>
      </c>
      <c r="BK90" s="16">
        <f t="shared" si="126"/>
        <v>0</v>
      </c>
      <c r="BL90" s="16">
        <f t="shared" si="126"/>
        <v>0</v>
      </c>
      <c r="BM90" s="16">
        <f t="shared" si="126"/>
        <v>13656</v>
      </c>
      <c r="BN90" s="16">
        <f t="shared" si="126"/>
        <v>0</v>
      </c>
      <c r="BO90" s="16">
        <f t="shared" si="126"/>
        <v>0</v>
      </c>
      <c r="BP90" s="16">
        <f t="shared" si="126"/>
        <v>13656</v>
      </c>
      <c r="BQ90" s="16">
        <f t="shared" si="126"/>
        <v>0</v>
      </c>
      <c r="BR90" s="16">
        <f t="shared" si="126"/>
        <v>0</v>
      </c>
      <c r="BS90" s="16">
        <f t="shared" ref="BS90:CU90" si="127">SUM(BS91:BS92)</f>
        <v>0</v>
      </c>
      <c r="BT90" s="16">
        <f t="shared" si="127"/>
        <v>0</v>
      </c>
      <c r="BU90" s="16">
        <f t="shared" si="127"/>
        <v>0</v>
      </c>
      <c r="BV90" s="16">
        <f t="shared" si="127"/>
        <v>0</v>
      </c>
      <c r="BW90" s="16">
        <f t="shared" si="127"/>
        <v>0</v>
      </c>
      <c r="BX90" s="16">
        <f t="shared" si="127"/>
        <v>0</v>
      </c>
      <c r="BY90" s="16">
        <f t="shared" si="127"/>
        <v>3861</v>
      </c>
      <c r="BZ90" s="16">
        <f t="shared" si="127"/>
        <v>3861</v>
      </c>
      <c r="CA90" s="16">
        <f t="shared" si="127"/>
        <v>3861</v>
      </c>
      <c r="CB90" s="16">
        <f t="shared" si="127"/>
        <v>0</v>
      </c>
      <c r="CC90" s="16">
        <f t="shared" si="127"/>
        <v>3861</v>
      </c>
      <c r="CD90" s="16">
        <f t="shared" si="127"/>
        <v>0</v>
      </c>
      <c r="CE90" s="16">
        <f t="shared" si="127"/>
        <v>0</v>
      </c>
      <c r="CF90" s="16">
        <f t="shared" si="127"/>
        <v>0</v>
      </c>
      <c r="CG90" s="16">
        <f t="shared" si="127"/>
        <v>0</v>
      </c>
      <c r="CH90" s="16">
        <f t="shared" si="127"/>
        <v>0</v>
      </c>
      <c r="CI90" s="16">
        <f t="shared" ref="CI90" si="128">SUM(CI91:CI92)</f>
        <v>0</v>
      </c>
      <c r="CJ90" s="16">
        <f t="shared" si="127"/>
        <v>0</v>
      </c>
      <c r="CK90" s="16">
        <f t="shared" si="127"/>
        <v>0</v>
      </c>
      <c r="CL90" s="16">
        <f t="shared" si="127"/>
        <v>0</v>
      </c>
      <c r="CM90" s="16">
        <f t="shared" si="127"/>
        <v>0</v>
      </c>
      <c r="CN90" s="16">
        <f t="shared" si="127"/>
        <v>0</v>
      </c>
      <c r="CO90" s="16">
        <f t="shared" si="127"/>
        <v>0</v>
      </c>
      <c r="CP90" s="16">
        <f t="shared" si="127"/>
        <v>0</v>
      </c>
      <c r="CQ90" s="16">
        <f t="shared" si="127"/>
        <v>0</v>
      </c>
      <c r="CR90" s="16">
        <f t="shared" si="127"/>
        <v>0</v>
      </c>
      <c r="CS90" s="16">
        <f t="shared" si="127"/>
        <v>0</v>
      </c>
      <c r="CT90" s="16">
        <f t="shared" si="127"/>
        <v>0</v>
      </c>
      <c r="CU90" s="17">
        <f t="shared" si="127"/>
        <v>0</v>
      </c>
      <c r="CV90" s="38"/>
    </row>
    <row r="91" spans="1:100" ht="31.5" x14ac:dyDescent="0.25">
      <c r="A91" s="13" t="s">
        <v>1</v>
      </c>
      <c r="B91" s="14" t="s">
        <v>1</v>
      </c>
      <c r="C91" s="14" t="s">
        <v>29</v>
      </c>
      <c r="D91" s="30" t="s">
        <v>119</v>
      </c>
      <c r="E91" s="15">
        <f>SUM(F91+BY91+CR91)</f>
        <v>8875852</v>
      </c>
      <c r="F91" s="16">
        <f>SUM(G91+BA91)</f>
        <v>8875852</v>
      </c>
      <c r="G91" s="16">
        <f>SUM(H91+I91+J91+Q91+T91+U91+V91+AE91)</f>
        <v>8862196</v>
      </c>
      <c r="H91" s="16">
        <f>7436254+204-890600</f>
        <v>6545858</v>
      </c>
      <c r="I91" s="16">
        <f>1712485-105064</f>
        <v>1607421</v>
      </c>
      <c r="J91" s="16">
        <f t="shared" si="103"/>
        <v>180629</v>
      </c>
      <c r="K91" s="16">
        <v>0</v>
      </c>
      <c r="L91" s="16">
        <v>0</v>
      </c>
      <c r="M91" s="16">
        <v>0</v>
      </c>
      <c r="N91" s="16">
        <v>0</v>
      </c>
      <c r="O91" s="16">
        <v>172773</v>
      </c>
      <c r="P91" s="16">
        <v>7856</v>
      </c>
      <c r="Q91" s="16">
        <f t="shared" si="104"/>
        <v>0</v>
      </c>
      <c r="R91" s="16">
        <v>0</v>
      </c>
      <c r="S91" s="16">
        <v>0</v>
      </c>
      <c r="T91" s="16">
        <v>0</v>
      </c>
      <c r="U91" s="16">
        <v>33423</v>
      </c>
      <c r="V91" s="16">
        <f>SUM(W91:AD91)</f>
        <v>246214</v>
      </c>
      <c r="W91" s="16">
        <v>0</v>
      </c>
      <c r="X91" s="16">
        <v>146919</v>
      </c>
      <c r="Y91" s="16">
        <v>60163</v>
      </c>
      <c r="Z91" s="16">
        <v>36484</v>
      </c>
      <c r="AA91" s="16">
        <v>2648</v>
      </c>
      <c r="AB91" s="16">
        <v>0</v>
      </c>
      <c r="AC91" s="16">
        <v>0</v>
      </c>
      <c r="AD91" s="16">
        <v>0</v>
      </c>
      <c r="AE91" s="16">
        <f>SUM(AF91:AZ91)</f>
        <v>248651</v>
      </c>
      <c r="AF91" s="16">
        <v>158775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f>1282-1176</f>
        <v>106</v>
      </c>
      <c r="AM91" s="16">
        <v>51398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f>0+38372</f>
        <v>38372</v>
      </c>
      <c r="AZ91" s="16">
        <v>0</v>
      </c>
      <c r="BA91" s="16">
        <f>SUM(BB91+BF91+BI91+BK91+BM91)</f>
        <v>13656</v>
      </c>
      <c r="BB91" s="16">
        <f>SUM(BC91:BE91)</f>
        <v>0</v>
      </c>
      <c r="BC91" s="16">
        <v>0</v>
      </c>
      <c r="BD91" s="16">
        <v>0</v>
      </c>
      <c r="BE91" s="16">
        <v>0</v>
      </c>
      <c r="BF91" s="16">
        <f t="shared" si="105"/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f t="shared" si="106"/>
        <v>0</v>
      </c>
      <c r="BL91" s="16">
        <v>0</v>
      </c>
      <c r="BM91" s="16">
        <f t="shared" si="107"/>
        <v>13656</v>
      </c>
      <c r="BN91" s="16">
        <v>0</v>
      </c>
      <c r="BO91" s="16">
        <v>0</v>
      </c>
      <c r="BP91" s="16">
        <f>50852-37196</f>
        <v>13656</v>
      </c>
      <c r="BQ91" s="16">
        <v>0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f>SUM(BZ91+CQ91)</f>
        <v>0</v>
      </c>
      <c r="BZ91" s="16">
        <f>SUM(CA91+CD91+CJ91)</f>
        <v>0</v>
      </c>
      <c r="CA91" s="16">
        <f t="shared" si="108"/>
        <v>0</v>
      </c>
      <c r="CB91" s="16">
        <v>0</v>
      </c>
      <c r="CC91" s="16">
        <v>0</v>
      </c>
      <c r="CD91" s="16">
        <f>SUM(CE91:CH91)</f>
        <v>0</v>
      </c>
      <c r="CE91" s="16">
        <v>0</v>
      </c>
      <c r="CF91" s="16">
        <v>0</v>
      </c>
      <c r="CG91" s="16">
        <v>0</v>
      </c>
      <c r="CH91" s="16">
        <v>0</v>
      </c>
      <c r="CI91" s="16">
        <v>0</v>
      </c>
      <c r="CJ91" s="16">
        <f>SUM(CK91:CN91)</f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0</v>
      </c>
      <c r="CQ91" s="16">
        <v>0</v>
      </c>
      <c r="CR91" s="16">
        <f t="shared" si="109"/>
        <v>0</v>
      </c>
      <c r="CS91" s="16">
        <f t="shared" si="110"/>
        <v>0</v>
      </c>
      <c r="CT91" s="16">
        <v>0</v>
      </c>
      <c r="CU91" s="17">
        <v>0</v>
      </c>
      <c r="CV91" s="38"/>
    </row>
    <row r="92" spans="1:100" ht="31.5" x14ac:dyDescent="0.25">
      <c r="A92" s="13" t="s">
        <v>1</v>
      </c>
      <c r="B92" s="14" t="s">
        <v>1</v>
      </c>
      <c r="C92" s="14" t="s">
        <v>39</v>
      </c>
      <c r="D92" s="30" t="s">
        <v>120</v>
      </c>
      <c r="E92" s="15">
        <f>SUM(F92+BY92+CR92)</f>
        <v>2164034</v>
      </c>
      <c r="F92" s="16">
        <f>SUM(G92+BA92)</f>
        <v>2160173</v>
      </c>
      <c r="G92" s="16">
        <f>SUM(H92+I92+J92+Q92+T92+U92+V92+AE92)</f>
        <v>2160173</v>
      </c>
      <c r="H92" s="16">
        <f>1853433-196643</f>
        <v>1656790</v>
      </c>
      <c r="I92" s="16">
        <f>434949-52032</f>
        <v>382917</v>
      </c>
      <c r="J92" s="16">
        <f t="shared" si="103"/>
        <v>78646</v>
      </c>
      <c r="K92" s="16">
        <v>0</v>
      </c>
      <c r="L92" s="16">
        <v>0</v>
      </c>
      <c r="M92" s="16">
        <v>0</v>
      </c>
      <c r="N92" s="16">
        <v>0</v>
      </c>
      <c r="O92" s="16">
        <v>76194</v>
      </c>
      <c r="P92" s="16">
        <v>2452</v>
      </c>
      <c r="Q92" s="16">
        <f t="shared" si="104"/>
        <v>1594</v>
      </c>
      <c r="R92" s="16">
        <v>1594</v>
      </c>
      <c r="S92" s="16">
        <v>0</v>
      </c>
      <c r="T92" s="16">
        <v>0</v>
      </c>
      <c r="U92" s="16">
        <v>18928</v>
      </c>
      <c r="V92" s="16">
        <f>SUM(W92:AD92)</f>
        <v>4158</v>
      </c>
      <c r="W92" s="16">
        <v>0</v>
      </c>
      <c r="X92" s="16">
        <v>0</v>
      </c>
      <c r="Y92" s="16">
        <v>4067</v>
      </c>
      <c r="Z92" s="16">
        <v>0</v>
      </c>
      <c r="AA92" s="16">
        <v>0</v>
      </c>
      <c r="AB92" s="16">
        <v>0</v>
      </c>
      <c r="AC92" s="16">
        <v>0</v>
      </c>
      <c r="AD92" s="16">
        <v>91</v>
      </c>
      <c r="AE92" s="16">
        <f>SUM(AF92:AZ92)</f>
        <v>17140</v>
      </c>
      <c r="AF92" s="16">
        <v>10512</v>
      </c>
      <c r="AG92" s="16">
        <v>4246</v>
      </c>
      <c r="AH92" s="16">
        <v>0</v>
      </c>
      <c r="AI92" s="16">
        <v>0</v>
      </c>
      <c r="AJ92" s="16">
        <v>2382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f>SUM(BB92+BF92+BI92+BK92+BM92)</f>
        <v>0</v>
      </c>
      <c r="BB92" s="16">
        <f>SUM(BC92:BE92)</f>
        <v>0</v>
      </c>
      <c r="BC92" s="16">
        <v>0</v>
      </c>
      <c r="BD92" s="16">
        <v>0</v>
      </c>
      <c r="BE92" s="16">
        <v>0</v>
      </c>
      <c r="BF92" s="16">
        <f t="shared" si="105"/>
        <v>0</v>
      </c>
      <c r="BG92" s="16">
        <v>0</v>
      </c>
      <c r="BH92" s="16">
        <v>0</v>
      </c>
      <c r="BI92" s="16">
        <v>0</v>
      </c>
      <c r="BJ92" s="16">
        <v>0</v>
      </c>
      <c r="BK92" s="16">
        <f t="shared" si="106"/>
        <v>0</v>
      </c>
      <c r="BL92" s="16">
        <v>0</v>
      </c>
      <c r="BM92" s="16">
        <f t="shared" si="107"/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f>SUM(BZ92+CQ92)</f>
        <v>3861</v>
      </c>
      <c r="BZ92" s="16">
        <f>SUM(CA92+CD92+CJ92)</f>
        <v>3861</v>
      </c>
      <c r="CA92" s="16">
        <f t="shared" si="108"/>
        <v>3861</v>
      </c>
      <c r="CB92" s="16">
        <v>0</v>
      </c>
      <c r="CC92" s="16">
        <v>3861</v>
      </c>
      <c r="CD92" s="16">
        <f>SUM(CE92:CH92)</f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f>SUM(CK92:CN92)</f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f t="shared" si="109"/>
        <v>0</v>
      </c>
      <c r="CS92" s="16">
        <f t="shared" si="110"/>
        <v>0</v>
      </c>
      <c r="CT92" s="16">
        <v>0</v>
      </c>
      <c r="CU92" s="17">
        <v>0</v>
      </c>
      <c r="CV92" s="38"/>
    </row>
    <row r="93" spans="1:100" ht="31.5" x14ac:dyDescent="0.25">
      <c r="A93" s="13" t="s">
        <v>117</v>
      </c>
      <c r="B93" s="14" t="s">
        <v>47</v>
      </c>
      <c r="C93" s="14" t="s">
        <v>1</v>
      </c>
      <c r="D93" s="30" t="s">
        <v>121</v>
      </c>
      <c r="E93" s="15">
        <f t="shared" ref="E93:AJ93" si="129">SUM(E94:E102)</f>
        <v>8420850</v>
      </c>
      <c r="F93" s="16">
        <f t="shared" si="129"/>
        <v>8405232</v>
      </c>
      <c r="G93" s="16">
        <f t="shared" si="129"/>
        <v>8405232</v>
      </c>
      <c r="H93" s="16">
        <f t="shared" si="129"/>
        <v>294494</v>
      </c>
      <c r="I93" s="16">
        <f t="shared" si="129"/>
        <v>68548</v>
      </c>
      <c r="J93" s="16">
        <f t="shared" si="129"/>
        <v>9114</v>
      </c>
      <c r="K93" s="16">
        <f t="shared" si="129"/>
        <v>0</v>
      </c>
      <c r="L93" s="16">
        <f t="shared" si="129"/>
        <v>0</v>
      </c>
      <c r="M93" s="16">
        <f t="shared" si="129"/>
        <v>0</v>
      </c>
      <c r="N93" s="16">
        <f t="shared" si="129"/>
        <v>0</v>
      </c>
      <c r="O93" s="16">
        <f t="shared" si="129"/>
        <v>0</v>
      </c>
      <c r="P93" s="16">
        <f t="shared" si="129"/>
        <v>9114</v>
      </c>
      <c r="Q93" s="16">
        <f t="shared" si="129"/>
        <v>1736</v>
      </c>
      <c r="R93" s="16">
        <f t="shared" si="129"/>
        <v>0</v>
      </c>
      <c r="S93" s="16">
        <f t="shared" si="129"/>
        <v>1736</v>
      </c>
      <c r="T93" s="16">
        <f t="shared" si="129"/>
        <v>0</v>
      </c>
      <c r="U93" s="16">
        <f t="shared" si="129"/>
        <v>0</v>
      </c>
      <c r="V93" s="16">
        <f t="shared" si="129"/>
        <v>0</v>
      </c>
      <c r="W93" s="16">
        <f t="shared" si="129"/>
        <v>0</v>
      </c>
      <c r="X93" s="16">
        <f t="shared" si="129"/>
        <v>0</v>
      </c>
      <c r="Y93" s="16">
        <f t="shared" si="129"/>
        <v>0</v>
      </c>
      <c r="Z93" s="16">
        <f t="shared" si="129"/>
        <v>0</v>
      </c>
      <c r="AA93" s="16">
        <f t="shared" si="129"/>
        <v>0</v>
      </c>
      <c r="AB93" s="16">
        <f t="shared" si="129"/>
        <v>0</v>
      </c>
      <c r="AC93" s="16">
        <f t="shared" si="129"/>
        <v>0</v>
      </c>
      <c r="AD93" s="16">
        <f t="shared" si="129"/>
        <v>0</v>
      </c>
      <c r="AE93" s="16">
        <f t="shared" si="129"/>
        <v>8031340</v>
      </c>
      <c r="AF93" s="16">
        <f t="shared" si="129"/>
        <v>8029604</v>
      </c>
      <c r="AG93" s="16">
        <f t="shared" si="129"/>
        <v>0</v>
      </c>
      <c r="AH93" s="16">
        <f t="shared" si="129"/>
        <v>0</v>
      </c>
      <c r="AI93" s="16">
        <f t="shared" si="129"/>
        <v>0</v>
      </c>
      <c r="AJ93" s="16">
        <f t="shared" si="129"/>
        <v>0</v>
      </c>
      <c r="AK93" s="16">
        <f t="shared" ref="AK93:BP93" si="130">SUM(AK94:AK102)</f>
        <v>0</v>
      </c>
      <c r="AL93" s="16">
        <f t="shared" si="130"/>
        <v>1736</v>
      </c>
      <c r="AM93" s="16">
        <f t="shared" si="130"/>
        <v>0</v>
      </c>
      <c r="AN93" s="16">
        <f t="shared" si="130"/>
        <v>0</v>
      </c>
      <c r="AO93" s="16">
        <f t="shared" si="130"/>
        <v>0</v>
      </c>
      <c r="AP93" s="16">
        <f t="shared" si="130"/>
        <v>0</v>
      </c>
      <c r="AQ93" s="16">
        <f t="shared" si="130"/>
        <v>0</v>
      </c>
      <c r="AR93" s="16">
        <f t="shared" si="130"/>
        <v>0</v>
      </c>
      <c r="AS93" s="16">
        <f t="shared" si="130"/>
        <v>0</v>
      </c>
      <c r="AT93" s="16">
        <f t="shared" si="130"/>
        <v>0</v>
      </c>
      <c r="AU93" s="16">
        <f t="shared" si="130"/>
        <v>0</v>
      </c>
      <c r="AV93" s="16">
        <f t="shared" si="130"/>
        <v>0</v>
      </c>
      <c r="AW93" s="16">
        <f t="shared" si="130"/>
        <v>0</v>
      </c>
      <c r="AX93" s="16">
        <f t="shared" si="130"/>
        <v>0</v>
      </c>
      <c r="AY93" s="16">
        <f t="shared" si="130"/>
        <v>0</v>
      </c>
      <c r="AZ93" s="16">
        <f t="shared" si="130"/>
        <v>0</v>
      </c>
      <c r="BA93" s="16">
        <f t="shared" si="130"/>
        <v>0</v>
      </c>
      <c r="BB93" s="16">
        <f t="shared" si="130"/>
        <v>0</v>
      </c>
      <c r="BC93" s="16">
        <f t="shared" si="130"/>
        <v>0</v>
      </c>
      <c r="BD93" s="16">
        <f t="shared" si="130"/>
        <v>0</v>
      </c>
      <c r="BE93" s="16">
        <f t="shared" si="130"/>
        <v>0</v>
      </c>
      <c r="BF93" s="16">
        <f t="shared" si="130"/>
        <v>0</v>
      </c>
      <c r="BG93" s="16">
        <f t="shared" si="130"/>
        <v>0</v>
      </c>
      <c r="BH93" s="16">
        <f t="shared" si="130"/>
        <v>0</v>
      </c>
      <c r="BI93" s="16">
        <f t="shared" si="130"/>
        <v>0</v>
      </c>
      <c r="BJ93" s="16">
        <f t="shared" si="130"/>
        <v>0</v>
      </c>
      <c r="BK93" s="16">
        <f t="shared" si="130"/>
        <v>0</v>
      </c>
      <c r="BL93" s="16">
        <f t="shared" si="130"/>
        <v>0</v>
      </c>
      <c r="BM93" s="16">
        <f t="shared" si="130"/>
        <v>0</v>
      </c>
      <c r="BN93" s="16">
        <f t="shared" si="130"/>
        <v>0</v>
      </c>
      <c r="BO93" s="16">
        <f t="shared" si="130"/>
        <v>0</v>
      </c>
      <c r="BP93" s="16">
        <f t="shared" si="130"/>
        <v>0</v>
      </c>
      <c r="BQ93" s="16">
        <f t="shared" ref="BQ93:CU93" si="131">SUM(BQ94:BQ102)</f>
        <v>0</v>
      </c>
      <c r="BR93" s="16">
        <f t="shared" si="131"/>
        <v>0</v>
      </c>
      <c r="BS93" s="16">
        <f t="shared" si="131"/>
        <v>0</v>
      </c>
      <c r="BT93" s="16">
        <f t="shared" si="131"/>
        <v>0</v>
      </c>
      <c r="BU93" s="16">
        <f t="shared" si="131"/>
        <v>0</v>
      </c>
      <c r="BV93" s="16">
        <f t="shared" si="131"/>
        <v>0</v>
      </c>
      <c r="BW93" s="16">
        <f t="shared" si="131"/>
        <v>0</v>
      </c>
      <c r="BX93" s="16">
        <f t="shared" si="131"/>
        <v>0</v>
      </c>
      <c r="BY93" s="16">
        <f t="shared" si="131"/>
        <v>15618</v>
      </c>
      <c r="BZ93" s="16">
        <f t="shared" si="131"/>
        <v>15618</v>
      </c>
      <c r="CA93" s="16">
        <f t="shared" si="131"/>
        <v>15618</v>
      </c>
      <c r="CB93" s="16">
        <f t="shared" si="131"/>
        <v>0</v>
      </c>
      <c r="CC93" s="16">
        <f t="shared" si="131"/>
        <v>15618</v>
      </c>
      <c r="CD93" s="16">
        <f t="shared" si="131"/>
        <v>0</v>
      </c>
      <c r="CE93" s="16">
        <f t="shared" si="131"/>
        <v>0</v>
      </c>
      <c r="CF93" s="16">
        <f t="shared" si="131"/>
        <v>0</v>
      </c>
      <c r="CG93" s="16">
        <f t="shared" si="131"/>
        <v>0</v>
      </c>
      <c r="CH93" s="16">
        <f t="shared" si="131"/>
        <v>0</v>
      </c>
      <c r="CI93" s="16">
        <f t="shared" si="131"/>
        <v>0</v>
      </c>
      <c r="CJ93" s="16">
        <f t="shared" si="131"/>
        <v>0</v>
      </c>
      <c r="CK93" s="16">
        <f t="shared" si="131"/>
        <v>0</v>
      </c>
      <c r="CL93" s="16">
        <f t="shared" si="131"/>
        <v>0</v>
      </c>
      <c r="CM93" s="16">
        <f t="shared" si="131"/>
        <v>0</v>
      </c>
      <c r="CN93" s="16">
        <f t="shared" si="131"/>
        <v>0</v>
      </c>
      <c r="CO93" s="16">
        <f t="shared" si="131"/>
        <v>0</v>
      </c>
      <c r="CP93" s="16">
        <f t="shared" si="131"/>
        <v>0</v>
      </c>
      <c r="CQ93" s="16">
        <f t="shared" si="131"/>
        <v>0</v>
      </c>
      <c r="CR93" s="16">
        <f t="shared" si="131"/>
        <v>0</v>
      </c>
      <c r="CS93" s="16">
        <f t="shared" si="131"/>
        <v>0</v>
      </c>
      <c r="CT93" s="16">
        <f t="shared" si="131"/>
        <v>0</v>
      </c>
      <c r="CU93" s="17">
        <f t="shared" si="131"/>
        <v>0</v>
      </c>
      <c r="CV93" s="38"/>
    </row>
    <row r="94" spans="1:100" ht="15.75" x14ac:dyDescent="0.25">
      <c r="A94" s="13" t="s">
        <v>1</v>
      </c>
      <c r="B94" s="14" t="s">
        <v>1</v>
      </c>
      <c r="C94" s="14" t="s">
        <v>17</v>
      </c>
      <c r="D94" s="30" t="s">
        <v>511</v>
      </c>
      <c r="E94" s="15">
        <f t="shared" ref="E94:E102" si="132">SUM(F94+BY94+CR94)</f>
        <v>803480</v>
      </c>
      <c r="F94" s="16">
        <f t="shared" ref="F94:F102" si="133">SUM(G94+BA94)</f>
        <v>803480</v>
      </c>
      <c r="G94" s="16">
        <f t="shared" ref="G94:G102" si="134">SUM(H94+I94+J94+Q94+T94+U94+V94+AE94)</f>
        <v>803480</v>
      </c>
      <c r="H94" s="16">
        <v>0</v>
      </c>
      <c r="I94" s="16">
        <v>0</v>
      </c>
      <c r="J94" s="16">
        <f t="shared" si="103"/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f t="shared" si="104"/>
        <v>0</v>
      </c>
      <c r="R94" s="16">
        <v>0</v>
      </c>
      <c r="S94" s="16">
        <v>0</v>
      </c>
      <c r="T94" s="16">
        <v>0</v>
      </c>
      <c r="U94" s="16">
        <v>0</v>
      </c>
      <c r="V94" s="16">
        <f t="shared" ref="V94:V102" si="135">SUM(W94:AD94)</f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f t="shared" ref="AE94:AE102" si="136">SUM(AF94:AZ94)</f>
        <v>803480</v>
      </c>
      <c r="AF94" s="16">
        <v>803480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f t="shared" ref="BA94:BA102" si="137">SUM(BB94+BF94+BI94+BK94+BM94)</f>
        <v>0</v>
      </c>
      <c r="BB94" s="16">
        <f t="shared" ref="BB94:BB102" si="138">SUM(BC94:BE94)</f>
        <v>0</v>
      </c>
      <c r="BC94" s="16">
        <v>0</v>
      </c>
      <c r="BD94" s="16">
        <v>0</v>
      </c>
      <c r="BE94" s="16">
        <v>0</v>
      </c>
      <c r="BF94" s="16">
        <f t="shared" si="105"/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f t="shared" si="106"/>
        <v>0</v>
      </c>
      <c r="BL94" s="16">
        <v>0</v>
      </c>
      <c r="BM94" s="16">
        <f t="shared" si="107"/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f t="shared" ref="BY94:BY102" si="139">SUM(BZ94+CQ94)</f>
        <v>0</v>
      </c>
      <c r="BZ94" s="16">
        <f t="shared" ref="BZ94:BZ102" si="140">SUM(CA94+CD94+CJ94)</f>
        <v>0</v>
      </c>
      <c r="CA94" s="16">
        <f t="shared" si="108"/>
        <v>0</v>
      </c>
      <c r="CB94" s="16">
        <v>0</v>
      </c>
      <c r="CC94" s="16">
        <v>0</v>
      </c>
      <c r="CD94" s="16">
        <f t="shared" ref="CD94:CD102" si="141">SUM(CE94:CH94)</f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f t="shared" ref="CJ94:CJ102" si="142">SUM(CK94:CN94)</f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f t="shared" si="109"/>
        <v>0</v>
      </c>
      <c r="CS94" s="16">
        <f t="shared" si="110"/>
        <v>0</v>
      </c>
      <c r="CT94" s="16">
        <v>0</v>
      </c>
      <c r="CU94" s="17">
        <v>0</v>
      </c>
      <c r="CV94" s="38"/>
    </row>
    <row r="95" spans="1:100" ht="15.75" x14ac:dyDescent="0.25">
      <c r="A95" s="13" t="s">
        <v>1</v>
      </c>
      <c r="B95" s="14" t="s">
        <v>1</v>
      </c>
      <c r="C95" s="14" t="s">
        <v>21</v>
      </c>
      <c r="D95" s="30" t="s">
        <v>512</v>
      </c>
      <c r="E95" s="15">
        <f t="shared" si="132"/>
        <v>498305</v>
      </c>
      <c r="F95" s="16">
        <f t="shared" si="133"/>
        <v>498305</v>
      </c>
      <c r="G95" s="16">
        <f t="shared" si="134"/>
        <v>498305</v>
      </c>
      <c r="H95" s="16">
        <v>0</v>
      </c>
      <c r="I95" s="16">
        <v>0</v>
      </c>
      <c r="J95" s="16">
        <f>SUM(K95:P95)</f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f>SUM(R95:S95)</f>
        <v>0</v>
      </c>
      <c r="R95" s="16">
        <v>0</v>
      </c>
      <c r="S95" s="16">
        <v>0</v>
      </c>
      <c r="T95" s="16">
        <v>0</v>
      </c>
      <c r="U95" s="16">
        <v>0</v>
      </c>
      <c r="V95" s="16">
        <f t="shared" si="135"/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f t="shared" si="136"/>
        <v>498305</v>
      </c>
      <c r="AF95" s="16">
        <v>498305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f t="shared" si="137"/>
        <v>0</v>
      </c>
      <c r="BB95" s="16">
        <f t="shared" si="138"/>
        <v>0</v>
      </c>
      <c r="BC95" s="16">
        <v>0</v>
      </c>
      <c r="BD95" s="16">
        <v>0</v>
      </c>
      <c r="BE95" s="16">
        <v>0</v>
      </c>
      <c r="BF95" s="16">
        <f>SUM(BG95:BH95)</f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f>SUM(BL95)</f>
        <v>0</v>
      </c>
      <c r="BL95" s="16">
        <v>0</v>
      </c>
      <c r="BM95" s="16">
        <f>SUM(BN95:BX95)</f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f t="shared" si="139"/>
        <v>0</v>
      </c>
      <c r="BZ95" s="16">
        <f t="shared" si="140"/>
        <v>0</v>
      </c>
      <c r="CA95" s="16">
        <f>SUM(CB95:CC95)</f>
        <v>0</v>
      </c>
      <c r="CB95" s="16">
        <v>0</v>
      </c>
      <c r="CC95" s="16">
        <v>0</v>
      </c>
      <c r="CD95" s="16">
        <f t="shared" si="141"/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f t="shared" si="142"/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f>SUM(CS95)</f>
        <v>0</v>
      </c>
      <c r="CS95" s="16">
        <f>SUM(CT95:CU95)</f>
        <v>0</v>
      </c>
      <c r="CT95" s="16">
        <v>0</v>
      </c>
      <c r="CU95" s="17">
        <v>0</v>
      </c>
      <c r="CV95" s="38"/>
    </row>
    <row r="96" spans="1:100" ht="15.75" x14ac:dyDescent="0.25">
      <c r="A96" s="13" t="s">
        <v>1</v>
      </c>
      <c r="B96" s="14" t="s">
        <v>1</v>
      </c>
      <c r="C96" s="14" t="s">
        <v>23</v>
      </c>
      <c r="D96" s="30" t="s">
        <v>513</v>
      </c>
      <c r="E96" s="15">
        <f t="shared" si="132"/>
        <v>5078113</v>
      </c>
      <c r="F96" s="16">
        <f t="shared" si="133"/>
        <v>5078113</v>
      </c>
      <c r="G96" s="16">
        <f t="shared" si="134"/>
        <v>5078113</v>
      </c>
      <c r="H96" s="16">
        <v>0</v>
      </c>
      <c r="I96" s="16">
        <v>0</v>
      </c>
      <c r="J96" s="16">
        <f>SUM(K96:P96)</f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f>SUM(R96:S96)</f>
        <v>0</v>
      </c>
      <c r="R96" s="16">
        <v>0</v>
      </c>
      <c r="S96" s="16">
        <v>0</v>
      </c>
      <c r="T96" s="16">
        <v>0</v>
      </c>
      <c r="U96" s="16">
        <v>0</v>
      </c>
      <c r="V96" s="16">
        <f t="shared" si="135"/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f t="shared" si="136"/>
        <v>5078113</v>
      </c>
      <c r="AF96" s="16">
        <v>5078113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f t="shared" si="137"/>
        <v>0</v>
      </c>
      <c r="BB96" s="16">
        <f t="shared" si="138"/>
        <v>0</v>
      </c>
      <c r="BC96" s="16">
        <v>0</v>
      </c>
      <c r="BD96" s="16">
        <v>0</v>
      </c>
      <c r="BE96" s="16">
        <v>0</v>
      </c>
      <c r="BF96" s="16">
        <f>SUM(BG96:BH96)</f>
        <v>0</v>
      </c>
      <c r="BG96" s="16">
        <v>0</v>
      </c>
      <c r="BH96" s="16">
        <v>0</v>
      </c>
      <c r="BI96" s="16">
        <v>0</v>
      </c>
      <c r="BJ96" s="16">
        <v>0</v>
      </c>
      <c r="BK96" s="16">
        <f>SUM(BL96)</f>
        <v>0</v>
      </c>
      <c r="BL96" s="16">
        <v>0</v>
      </c>
      <c r="BM96" s="16">
        <f>SUM(BN96:BX96)</f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f t="shared" si="139"/>
        <v>0</v>
      </c>
      <c r="BZ96" s="16">
        <f t="shared" si="140"/>
        <v>0</v>
      </c>
      <c r="CA96" s="16">
        <f>SUM(CB96:CC96)</f>
        <v>0</v>
      </c>
      <c r="CB96" s="16">
        <v>0</v>
      </c>
      <c r="CC96" s="16">
        <v>0</v>
      </c>
      <c r="CD96" s="16">
        <f t="shared" si="141"/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f t="shared" si="142"/>
        <v>0</v>
      </c>
      <c r="CK96" s="16"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f>SUM(CS96)</f>
        <v>0</v>
      </c>
      <c r="CS96" s="16">
        <f>SUM(CT96:CU96)</f>
        <v>0</v>
      </c>
      <c r="CT96" s="16">
        <v>0</v>
      </c>
      <c r="CU96" s="17">
        <v>0</v>
      </c>
      <c r="CV96" s="38"/>
    </row>
    <row r="97" spans="1:100" ht="15.75" x14ac:dyDescent="0.25">
      <c r="A97" s="13" t="s">
        <v>1</v>
      </c>
      <c r="B97" s="14" t="s">
        <v>1</v>
      </c>
      <c r="C97" s="14" t="s">
        <v>25</v>
      </c>
      <c r="D97" s="30" t="s">
        <v>515</v>
      </c>
      <c r="E97" s="15">
        <f t="shared" si="132"/>
        <v>315668</v>
      </c>
      <c r="F97" s="16">
        <f t="shared" si="133"/>
        <v>315668</v>
      </c>
      <c r="G97" s="16">
        <f t="shared" si="134"/>
        <v>315668</v>
      </c>
      <c r="H97" s="16">
        <v>0</v>
      </c>
      <c r="I97" s="16">
        <v>0</v>
      </c>
      <c r="J97" s="16">
        <f t="shared" si="103"/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f t="shared" si="104"/>
        <v>0</v>
      </c>
      <c r="R97" s="16">
        <v>0</v>
      </c>
      <c r="S97" s="16">
        <v>0</v>
      </c>
      <c r="T97" s="16">
        <v>0</v>
      </c>
      <c r="U97" s="16">
        <v>0</v>
      </c>
      <c r="V97" s="16">
        <f t="shared" si="135"/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f t="shared" si="136"/>
        <v>315668</v>
      </c>
      <c r="AF97" s="16">
        <v>315668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f t="shared" si="137"/>
        <v>0</v>
      </c>
      <c r="BB97" s="16">
        <f t="shared" si="138"/>
        <v>0</v>
      </c>
      <c r="BC97" s="16">
        <v>0</v>
      </c>
      <c r="BD97" s="16">
        <v>0</v>
      </c>
      <c r="BE97" s="16">
        <v>0</v>
      </c>
      <c r="BF97" s="16">
        <f t="shared" si="105"/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f t="shared" si="106"/>
        <v>0</v>
      </c>
      <c r="BL97" s="16">
        <v>0</v>
      </c>
      <c r="BM97" s="16">
        <f t="shared" si="107"/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f t="shared" si="139"/>
        <v>0</v>
      </c>
      <c r="BZ97" s="16">
        <f t="shared" si="140"/>
        <v>0</v>
      </c>
      <c r="CA97" s="16">
        <f t="shared" si="108"/>
        <v>0</v>
      </c>
      <c r="CB97" s="16">
        <v>0</v>
      </c>
      <c r="CC97" s="16">
        <v>0</v>
      </c>
      <c r="CD97" s="16">
        <f t="shared" si="141"/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f t="shared" si="142"/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f t="shared" si="109"/>
        <v>0</v>
      </c>
      <c r="CS97" s="16">
        <f t="shared" si="110"/>
        <v>0</v>
      </c>
      <c r="CT97" s="16">
        <v>0</v>
      </c>
      <c r="CU97" s="17">
        <v>0</v>
      </c>
      <c r="CV97" s="38"/>
    </row>
    <row r="98" spans="1:100" ht="31.5" x14ac:dyDescent="0.25">
      <c r="A98" s="13" t="s">
        <v>1</v>
      </c>
      <c r="B98" s="14" t="s">
        <v>1</v>
      </c>
      <c r="C98" s="14" t="s">
        <v>98</v>
      </c>
      <c r="D98" s="30" t="s">
        <v>99</v>
      </c>
      <c r="E98" s="15">
        <f t="shared" si="132"/>
        <v>555159</v>
      </c>
      <c r="F98" s="16">
        <f t="shared" si="133"/>
        <v>555159</v>
      </c>
      <c r="G98" s="16">
        <f t="shared" si="134"/>
        <v>555159</v>
      </c>
      <c r="H98" s="16">
        <v>0</v>
      </c>
      <c r="I98" s="16">
        <v>0</v>
      </c>
      <c r="J98" s="16">
        <f t="shared" si="103"/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f t="shared" si="104"/>
        <v>0</v>
      </c>
      <c r="R98" s="16">
        <v>0</v>
      </c>
      <c r="S98" s="16">
        <v>0</v>
      </c>
      <c r="T98" s="16">
        <v>0</v>
      </c>
      <c r="U98" s="16">
        <v>0</v>
      </c>
      <c r="V98" s="16">
        <f t="shared" si="135"/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f t="shared" si="136"/>
        <v>555159</v>
      </c>
      <c r="AF98" s="16">
        <v>555159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0</v>
      </c>
      <c r="AZ98" s="16">
        <v>0</v>
      </c>
      <c r="BA98" s="16">
        <f t="shared" si="137"/>
        <v>0</v>
      </c>
      <c r="BB98" s="16">
        <f t="shared" si="138"/>
        <v>0</v>
      </c>
      <c r="BC98" s="16">
        <v>0</v>
      </c>
      <c r="BD98" s="16">
        <v>0</v>
      </c>
      <c r="BE98" s="16">
        <v>0</v>
      </c>
      <c r="BF98" s="16">
        <f t="shared" si="105"/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f t="shared" si="106"/>
        <v>0</v>
      </c>
      <c r="BL98" s="16">
        <v>0</v>
      </c>
      <c r="BM98" s="16">
        <f t="shared" si="107"/>
        <v>0</v>
      </c>
      <c r="BN98" s="16">
        <v>0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0</v>
      </c>
      <c r="BV98" s="16">
        <v>0</v>
      </c>
      <c r="BW98" s="16">
        <v>0</v>
      </c>
      <c r="BX98" s="16">
        <v>0</v>
      </c>
      <c r="BY98" s="16">
        <f t="shared" si="139"/>
        <v>0</v>
      </c>
      <c r="BZ98" s="16">
        <f t="shared" si="140"/>
        <v>0</v>
      </c>
      <c r="CA98" s="16">
        <f t="shared" si="108"/>
        <v>0</v>
      </c>
      <c r="CB98" s="16">
        <v>0</v>
      </c>
      <c r="CC98" s="16">
        <v>0</v>
      </c>
      <c r="CD98" s="16">
        <f t="shared" si="141"/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f t="shared" si="142"/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f t="shared" si="109"/>
        <v>0</v>
      </c>
      <c r="CS98" s="16">
        <f t="shared" si="110"/>
        <v>0</v>
      </c>
      <c r="CT98" s="16">
        <v>0</v>
      </c>
      <c r="CU98" s="17">
        <v>0</v>
      </c>
      <c r="CV98" s="38"/>
    </row>
    <row r="99" spans="1:100" ht="15.75" x14ac:dyDescent="0.25">
      <c r="A99" s="13" t="s">
        <v>1</v>
      </c>
      <c r="B99" s="14" t="s">
        <v>1</v>
      </c>
      <c r="C99" s="14" t="s">
        <v>29</v>
      </c>
      <c r="D99" s="30" t="s">
        <v>514</v>
      </c>
      <c r="E99" s="15">
        <f t="shared" si="132"/>
        <v>661407</v>
      </c>
      <c r="F99" s="16">
        <f t="shared" si="133"/>
        <v>661407</v>
      </c>
      <c r="G99" s="16">
        <f t="shared" si="134"/>
        <v>661407</v>
      </c>
      <c r="H99" s="16">
        <v>0</v>
      </c>
      <c r="I99" s="16">
        <v>0</v>
      </c>
      <c r="J99" s="16">
        <f t="shared" si="103"/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f t="shared" si="104"/>
        <v>0</v>
      </c>
      <c r="R99" s="16">
        <v>0</v>
      </c>
      <c r="S99" s="16">
        <v>0</v>
      </c>
      <c r="T99" s="16">
        <v>0</v>
      </c>
      <c r="U99" s="16">
        <v>0</v>
      </c>
      <c r="V99" s="16">
        <f t="shared" si="135"/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f t="shared" si="136"/>
        <v>661407</v>
      </c>
      <c r="AF99" s="16">
        <v>661407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f t="shared" si="137"/>
        <v>0</v>
      </c>
      <c r="BB99" s="16">
        <f t="shared" si="138"/>
        <v>0</v>
      </c>
      <c r="BC99" s="16">
        <v>0</v>
      </c>
      <c r="BD99" s="16">
        <v>0</v>
      </c>
      <c r="BE99" s="16">
        <v>0</v>
      </c>
      <c r="BF99" s="16">
        <f t="shared" si="105"/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f t="shared" si="106"/>
        <v>0</v>
      </c>
      <c r="BL99" s="16">
        <v>0</v>
      </c>
      <c r="BM99" s="16">
        <f t="shared" si="107"/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f t="shared" si="139"/>
        <v>0</v>
      </c>
      <c r="BZ99" s="16">
        <f t="shared" si="140"/>
        <v>0</v>
      </c>
      <c r="CA99" s="16">
        <f t="shared" si="108"/>
        <v>0</v>
      </c>
      <c r="CB99" s="16">
        <v>0</v>
      </c>
      <c r="CC99" s="16">
        <v>0</v>
      </c>
      <c r="CD99" s="16">
        <f t="shared" si="141"/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f t="shared" si="142"/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f t="shared" si="109"/>
        <v>0</v>
      </c>
      <c r="CS99" s="16">
        <f t="shared" si="110"/>
        <v>0</v>
      </c>
      <c r="CT99" s="16">
        <v>0</v>
      </c>
      <c r="CU99" s="17">
        <v>0</v>
      </c>
      <c r="CV99" s="38"/>
    </row>
    <row r="100" spans="1:100" ht="31.5" x14ac:dyDescent="0.25">
      <c r="A100" s="13" t="s">
        <v>1</v>
      </c>
      <c r="B100" s="14" t="s">
        <v>1</v>
      </c>
      <c r="C100" s="14" t="s">
        <v>122</v>
      </c>
      <c r="D100" s="30" t="s">
        <v>509</v>
      </c>
      <c r="E100" s="15">
        <f t="shared" si="132"/>
        <v>366211</v>
      </c>
      <c r="F100" s="16">
        <f t="shared" si="133"/>
        <v>350593</v>
      </c>
      <c r="G100" s="16">
        <f t="shared" si="134"/>
        <v>350593</v>
      </c>
      <c r="H100" s="16">
        <v>274466</v>
      </c>
      <c r="I100" s="16">
        <v>63541</v>
      </c>
      <c r="J100" s="16">
        <f t="shared" si="103"/>
        <v>9114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9114</v>
      </c>
      <c r="Q100" s="16">
        <f t="shared" si="104"/>
        <v>1736</v>
      </c>
      <c r="R100" s="16">
        <v>0</v>
      </c>
      <c r="S100" s="16">
        <v>1736</v>
      </c>
      <c r="T100" s="16">
        <v>0</v>
      </c>
      <c r="U100" s="16">
        <v>0</v>
      </c>
      <c r="V100" s="16">
        <f t="shared" si="135"/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f t="shared" si="136"/>
        <v>1736</v>
      </c>
      <c r="AF100" s="16">
        <v>0</v>
      </c>
      <c r="AG100" s="16">
        <v>0</v>
      </c>
      <c r="AH100" s="16">
        <v>0</v>
      </c>
      <c r="AI100" s="16">
        <v>0</v>
      </c>
      <c r="AJ100" s="16">
        <v>0</v>
      </c>
      <c r="AK100" s="16">
        <v>0</v>
      </c>
      <c r="AL100" s="16">
        <v>1736</v>
      </c>
      <c r="AM100" s="16">
        <v>0</v>
      </c>
      <c r="AN100" s="16">
        <v>0</v>
      </c>
      <c r="AO100" s="16">
        <v>0</v>
      </c>
      <c r="AP100" s="16">
        <v>0</v>
      </c>
      <c r="AQ100" s="16">
        <v>0</v>
      </c>
      <c r="AR100" s="16">
        <v>0</v>
      </c>
      <c r="AS100" s="16">
        <v>0</v>
      </c>
      <c r="AT100" s="16">
        <v>0</v>
      </c>
      <c r="AU100" s="16">
        <v>0</v>
      </c>
      <c r="AV100" s="16">
        <v>0</v>
      </c>
      <c r="AW100" s="16">
        <v>0</v>
      </c>
      <c r="AX100" s="16">
        <v>0</v>
      </c>
      <c r="AY100" s="16">
        <v>0</v>
      </c>
      <c r="AZ100" s="16">
        <v>0</v>
      </c>
      <c r="BA100" s="16">
        <f t="shared" si="137"/>
        <v>0</v>
      </c>
      <c r="BB100" s="16">
        <f t="shared" si="138"/>
        <v>0</v>
      </c>
      <c r="BC100" s="16">
        <v>0</v>
      </c>
      <c r="BD100" s="16">
        <v>0</v>
      </c>
      <c r="BE100" s="16">
        <v>0</v>
      </c>
      <c r="BF100" s="16">
        <f t="shared" si="105"/>
        <v>0</v>
      </c>
      <c r="BG100" s="16">
        <v>0</v>
      </c>
      <c r="BH100" s="16">
        <v>0</v>
      </c>
      <c r="BI100" s="16">
        <v>0</v>
      </c>
      <c r="BJ100" s="16">
        <v>0</v>
      </c>
      <c r="BK100" s="16">
        <f t="shared" si="106"/>
        <v>0</v>
      </c>
      <c r="BL100" s="16">
        <v>0</v>
      </c>
      <c r="BM100" s="16">
        <f t="shared" si="107"/>
        <v>0</v>
      </c>
      <c r="BN100" s="16">
        <v>0</v>
      </c>
      <c r="BO100" s="16">
        <v>0</v>
      </c>
      <c r="BP100" s="16">
        <v>0</v>
      </c>
      <c r="BQ100" s="16">
        <v>0</v>
      </c>
      <c r="BR100" s="16">
        <v>0</v>
      </c>
      <c r="BS100" s="16">
        <v>0</v>
      </c>
      <c r="BT100" s="16">
        <v>0</v>
      </c>
      <c r="BU100" s="16">
        <v>0</v>
      </c>
      <c r="BV100" s="16">
        <v>0</v>
      </c>
      <c r="BW100" s="16">
        <v>0</v>
      </c>
      <c r="BX100" s="16">
        <v>0</v>
      </c>
      <c r="BY100" s="16">
        <f t="shared" si="139"/>
        <v>15618</v>
      </c>
      <c r="BZ100" s="16">
        <f t="shared" si="140"/>
        <v>15618</v>
      </c>
      <c r="CA100" s="16">
        <f t="shared" si="108"/>
        <v>15618</v>
      </c>
      <c r="CB100" s="16">
        <v>0</v>
      </c>
      <c r="CC100" s="16">
        <v>15618</v>
      </c>
      <c r="CD100" s="16">
        <f t="shared" si="141"/>
        <v>0</v>
      </c>
      <c r="CE100" s="16">
        <v>0</v>
      </c>
      <c r="CF100" s="16">
        <v>0</v>
      </c>
      <c r="CG100" s="16">
        <v>0</v>
      </c>
      <c r="CH100" s="16">
        <v>0</v>
      </c>
      <c r="CI100" s="16">
        <v>0</v>
      </c>
      <c r="CJ100" s="16">
        <f t="shared" si="142"/>
        <v>0</v>
      </c>
      <c r="CK100" s="16">
        <v>0</v>
      </c>
      <c r="CL100" s="16">
        <v>0</v>
      </c>
      <c r="CM100" s="16">
        <v>0</v>
      </c>
      <c r="CN100" s="16">
        <v>0</v>
      </c>
      <c r="CO100" s="16">
        <v>0</v>
      </c>
      <c r="CP100" s="16">
        <v>0</v>
      </c>
      <c r="CQ100" s="16">
        <v>0</v>
      </c>
      <c r="CR100" s="16">
        <f t="shared" si="109"/>
        <v>0</v>
      </c>
      <c r="CS100" s="16">
        <f t="shared" si="110"/>
        <v>0</v>
      </c>
      <c r="CT100" s="16">
        <v>0</v>
      </c>
      <c r="CU100" s="17">
        <v>0</v>
      </c>
      <c r="CV100" s="38"/>
    </row>
    <row r="101" spans="1:100" ht="15.75" x14ac:dyDescent="0.25">
      <c r="A101" s="13" t="s">
        <v>1</v>
      </c>
      <c r="B101" s="14" t="s">
        <v>1</v>
      </c>
      <c r="C101" s="14" t="s">
        <v>113</v>
      </c>
      <c r="D101" s="30" t="s">
        <v>537</v>
      </c>
      <c r="E101" s="15">
        <f t="shared" si="132"/>
        <v>117472</v>
      </c>
      <c r="F101" s="16">
        <f t="shared" si="133"/>
        <v>117472</v>
      </c>
      <c r="G101" s="16">
        <f t="shared" si="134"/>
        <v>117472</v>
      </c>
      <c r="H101" s="16">
        <v>0</v>
      </c>
      <c r="I101" s="16">
        <v>0</v>
      </c>
      <c r="J101" s="16">
        <f>SUM(K101:P101)</f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f>SUM(R101:S101)</f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f t="shared" si="135"/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f t="shared" si="136"/>
        <v>117472</v>
      </c>
      <c r="AF101" s="16">
        <v>117472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f t="shared" si="137"/>
        <v>0</v>
      </c>
      <c r="BB101" s="16">
        <f t="shared" si="138"/>
        <v>0</v>
      </c>
      <c r="BC101" s="16">
        <v>0</v>
      </c>
      <c r="BD101" s="16">
        <v>0</v>
      </c>
      <c r="BE101" s="16">
        <v>0</v>
      </c>
      <c r="BF101" s="16">
        <f>SUM(BG101:BH101)</f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f>SUM(BL101)</f>
        <v>0</v>
      </c>
      <c r="BL101" s="16">
        <v>0</v>
      </c>
      <c r="BM101" s="16">
        <f>SUM(BN101:BX101)</f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f t="shared" si="139"/>
        <v>0</v>
      </c>
      <c r="BZ101" s="16">
        <f t="shared" si="140"/>
        <v>0</v>
      </c>
      <c r="CA101" s="16">
        <f>SUM(CB101:CC101)</f>
        <v>0</v>
      </c>
      <c r="CB101" s="16">
        <v>0</v>
      </c>
      <c r="CC101" s="16">
        <v>0</v>
      </c>
      <c r="CD101" s="16">
        <f t="shared" si="141"/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f t="shared" si="142"/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f>SUM(CS101)</f>
        <v>0</v>
      </c>
      <c r="CS101" s="16">
        <f>SUM(CT101:CU101)</f>
        <v>0</v>
      </c>
      <c r="CT101" s="16">
        <v>0</v>
      </c>
      <c r="CU101" s="17">
        <v>0</v>
      </c>
      <c r="CV101" s="38"/>
    </row>
    <row r="102" spans="1:100" ht="31.5" x14ac:dyDescent="0.25">
      <c r="A102" s="13" t="s">
        <v>1</v>
      </c>
      <c r="B102" s="14" t="s">
        <v>1</v>
      </c>
      <c r="C102" s="14" t="s">
        <v>33</v>
      </c>
      <c r="D102" s="30" t="s">
        <v>123</v>
      </c>
      <c r="E102" s="15">
        <f t="shared" si="132"/>
        <v>25035</v>
      </c>
      <c r="F102" s="16">
        <f t="shared" si="133"/>
        <v>25035</v>
      </c>
      <c r="G102" s="16">
        <f t="shared" si="134"/>
        <v>25035</v>
      </c>
      <c r="H102" s="16">
        <v>20028</v>
      </c>
      <c r="I102" s="16">
        <v>5007</v>
      </c>
      <c r="J102" s="16">
        <f t="shared" si="103"/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f t="shared" si="104"/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f t="shared" si="135"/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f t="shared" si="136"/>
        <v>0</v>
      </c>
      <c r="AF102" s="16">
        <f>129044-129044</f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0</v>
      </c>
      <c r="AY102" s="16">
        <v>0</v>
      </c>
      <c r="AZ102" s="16">
        <v>0</v>
      </c>
      <c r="BA102" s="16">
        <f t="shared" si="137"/>
        <v>0</v>
      </c>
      <c r="BB102" s="16">
        <f t="shared" si="138"/>
        <v>0</v>
      </c>
      <c r="BC102" s="16">
        <v>0</v>
      </c>
      <c r="BD102" s="16">
        <v>0</v>
      </c>
      <c r="BE102" s="16">
        <v>0</v>
      </c>
      <c r="BF102" s="16">
        <f t="shared" si="105"/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f t="shared" si="106"/>
        <v>0</v>
      </c>
      <c r="BL102" s="16">
        <v>0</v>
      </c>
      <c r="BM102" s="16">
        <f t="shared" si="107"/>
        <v>0</v>
      </c>
      <c r="BN102" s="16">
        <v>0</v>
      </c>
      <c r="BO102" s="16">
        <v>0</v>
      </c>
      <c r="BP102" s="16">
        <v>0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f t="shared" si="139"/>
        <v>0</v>
      </c>
      <c r="BZ102" s="16">
        <f t="shared" si="140"/>
        <v>0</v>
      </c>
      <c r="CA102" s="16">
        <f t="shared" si="108"/>
        <v>0</v>
      </c>
      <c r="CB102" s="16">
        <v>0</v>
      </c>
      <c r="CC102" s="16">
        <v>0</v>
      </c>
      <c r="CD102" s="16">
        <f t="shared" si="141"/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f t="shared" si="142"/>
        <v>0</v>
      </c>
      <c r="CK102" s="16"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f t="shared" si="109"/>
        <v>0</v>
      </c>
      <c r="CS102" s="16">
        <f t="shared" si="110"/>
        <v>0</v>
      </c>
      <c r="CT102" s="16">
        <v>0</v>
      </c>
      <c r="CU102" s="17">
        <v>0</v>
      </c>
      <c r="CV102" s="38"/>
    </row>
    <row r="103" spans="1:100" ht="31.5" x14ac:dyDescent="0.25">
      <c r="A103" s="18" t="s">
        <v>124</v>
      </c>
      <c r="B103" s="19" t="s">
        <v>1</v>
      </c>
      <c r="C103" s="19" t="s">
        <v>1</v>
      </c>
      <c r="D103" s="31" t="s">
        <v>125</v>
      </c>
      <c r="E103" s="20">
        <f>SUM(E104)</f>
        <v>146098141</v>
      </c>
      <c r="F103" s="21">
        <f t="shared" ref="F103:BS104" si="143">SUM(F104)</f>
        <v>146098141</v>
      </c>
      <c r="G103" s="21">
        <f t="shared" si="143"/>
        <v>0</v>
      </c>
      <c r="H103" s="21">
        <f t="shared" si="143"/>
        <v>0</v>
      </c>
      <c r="I103" s="21">
        <f t="shared" si="143"/>
        <v>0</v>
      </c>
      <c r="J103" s="21">
        <f t="shared" si="143"/>
        <v>0</v>
      </c>
      <c r="K103" s="21">
        <f t="shared" si="143"/>
        <v>0</v>
      </c>
      <c r="L103" s="21">
        <f t="shared" si="143"/>
        <v>0</v>
      </c>
      <c r="M103" s="21">
        <f t="shared" si="143"/>
        <v>0</v>
      </c>
      <c r="N103" s="21">
        <f t="shared" si="143"/>
        <v>0</v>
      </c>
      <c r="O103" s="21">
        <f t="shared" si="143"/>
        <v>0</v>
      </c>
      <c r="P103" s="21">
        <f t="shared" si="143"/>
        <v>0</v>
      </c>
      <c r="Q103" s="21">
        <f t="shared" si="143"/>
        <v>0</v>
      </c>
      <c r="R103" s="21">
        <f t="shared" si="143"/>
        <v>0</v>
      </c>
      <c r="S103" s="21">
        <f t="shared" si="143"/>
        <v>0</v>
      </c>
      <c r="T103" s="21">
        <f t="shared" si="143"/>
        <v>0</v>
      </c>
      <c r="U103" s="21">
        <f t="shared" si="143"/>
        <v>0</v>
      </c>
      <c r="V103" s="21">
        <f t="shared" si="143"/>
        <v>0</v>
      </c>
      <c r="W103" s="21">
        <f t="shared" si="143"/>
        <v>0</v>
      </c>
      <c r="X103" s="21">
        <f t="shared" si="143"/>
        <v>0</v>
      </c>
      <c r="Y103" s="21">
        <f t="shared" si="143"/>
        <v>0</v>
      </c>
      <c r="Z103" s="21">
        <f t="shared" si="143"/>
        <v>0</v>
      </c>
      <c r="AA103" s="21">
        <f t="shared" si="143"/>
        <v>0</v>
      </c>
      <c r="AB103" s="21">
        <f t="shared" si="143"/>
        <v>0</v>
      </c>
      <c r="AC103" s="21">
        <f t="shared" si="143"/>
        <v>0</v>
      </c>
      <c r="AD103" s="21">
        <f t="shared" si="143"/>
        <v>0</v>
      </c>
      <c r="AE103" s="21">
        <f t="shared" si="143"/>
        <v>0</v>
      </c>
      <c r="AF103" s="21">
        <f t="shared" si="143"/>
        <v>0</v>
      </c>
      <c r="AG103" s="21">
        <f t="shared" si="143"/>
        <v>0</v>
      </c>
      <c r="AH103" s="21">
        <f t="shared" si="143"/>
        <v>0</v>
      </c>
      <c r="AI103" s="21">
        <f t="shared" si="143"/>
        <v>0</v>
      </c>
      <c r="AJ103" s="21">
        <f t="shared" si="143"/>
        <v>0</v>
      </c>
      <c r="AK103" s="21">
        <f t="shared" si="143"/>
        <v>0</v>
      </c>
      <c r="AL103" s="21">
        <f t="shared" si="143"/>
        <v>0</v>
      </c>
      <c r="AM103" s="21">
        <f t="shared" si="143"/>
        <v>0</v>
      </c>
      <c r="AN103" s="21">
        <f t="shared" si="143"/>
        <v>0</v>
      </c>
      <c r="AO103" s="21">
        <f t="shared" si="143"/>
        <v>0</v>
      </c>
      <c r="AP103" s="21">
        <f t="shared" si="143"/>
        <v>0</v>
      </c>
      <c r="AQ103" s="21">
        <f t="shared" si="143"/>
        <v>0</v>
      </c>
      <c r="AR103" s="21">
        <f t="shared" si="143"/>
        <v>0</v>
      </c>
      <c r="AS103" s="21">
        <f t="shared" si="143"/>
        <v>0</v>
      </c>
      <c r="AT103" s="21">
        <f t="shared" si="143"/>
        <v>0</v>
      </c>
      <c r="AU103" s="21">
        <f t="shared" si="143"/>
        <v>0</v>
      </c>
      <c r="AV103" s="21">
        <f t="shared" si="143"/>
        <v>0</v>
      </c>
      <c r="AW103" s="21">
        <f t="shared" si="143"/>
        <v>0</v>
      </c>
      <c r="AX103" s="21">
        <f t="shared" si="143"/>
        <v>0</v>
      </c>
      <c r="AY103" s="21">
        <f t="shared" si="143"/>
        <v>0</v>
      </c>
      <c r="AZ103" s="21">
        <f t="shared" si="143"/>
        <v>0</v>
      </c>
      <c r="BA103" s="21">
        <f t="shared" si="143"/>
        <v>146098141</v>
      </c>
      <c r="BB103" s="21">
        <f t="shared" si="143"/>
        <v>146098141</v>
      </c>
      <c r="BC103" s="21">
        <f t="shared" si="143"/>
        <v>146098141</v>
      </c>
      <c r="BD103" s="21">
        <f t="shared" si="143"/>
        <v>0</v>
      </c>
      <c r="BE103" s="21">
        <f t="shared" si="143"/>
        <v>0</v>
      </c>
      <c r="BF103" s="21">
        <f t="shared" si="143"/>
        <v>0</v>
      </c>
      <c r="BG103" s="21">
        <f t="shared" si="143"/>
        <v>0</v>
      </c>
      <c r="BH103" s="21">
        <f t="shared" si="143"/>
        <v>0</v>
      </c>
      <c r="BI103" s="21">
        <f t="shared" si="143"/>
        <v>0</v>
      </c>
      <c r="BJ103" s="21">
        <f t="shared" si="143"/>
        <v>0</v>
      </c>
      <c r="BK103" s="21">
        <f t="shared" si="143"/>
        <v>0</v>
      </c>
      <c r="BL103" s="21">
        <f t="shared" si="143"/>
        <v>0</v>
      </c>
      <c r="BM103" s="21">
        <f t="shared" si="143"/>
        <v>0</v>
      </c>
      <c r="BN103" s="21">
        <f t="shared" si="143"/>
        <v>0</v>
      </c>
      <c r="BO103" s="21">
        <f t="shared" si="143"/>
        <v>0</v>
      </c>
      <c r="BP103" s="21">
        <f t="shared" si="143"/>
        <v>0</v>
      </c>
      <c r="BQ103" s="21">
        <f t="shared" si="143"/>
        <v>0</v>
      </c>
      <c r="BR103" s="21">
        <f t="shared" si="143"/>
        <v>0</v>
      </c>
      <c r="BS103" s="21">
        <f t="shared" si="143"/>
        <v>0</v>
      </c>
      <c r="BT103" s="21">
        <f t="shared" ref="BT103:CU104" si="144">SUM(BT104)</f>
        <v>0</v>
      </c>
      <c r="BU103" s="21">
        <f t="shared" si="144"/>
        <v>0</v>
      </c>
      <c r="BV103" s="21">
        <f t="shared" si="144"/>
        <v>0</v>
      </c>
      <c r="BW103" s="21">
        <f t="shared" si="144"/>
        <v>0</v>
      </c>
      <c r="BX103" s="21">
        <f t="shared" si="144"/>
        <v>0</v>
      </c>
      <c r="BY103" s="21">
        <f t="shared" si="144"/>
        <v>0</v>
      </c>
      <c r="BZ103" s="21">
        <f t="shared" si="144"/>
        <v>0</v>
      </c>
      <c r="CA103" s="21">
        <f t="shared" si="144"/>
        <v>0</v>
      </c>
      <c r="CB103" s="21">
        <f t="shared" si="144"/>
        <v>0</v>
      </c>
      <c r="CC103" s="21">
        <f t="shared" si="144"/>
        <v>0</v>
      </c>
      <c r="CD103" s="21">
        <f t="shared" si="144"/>
        <v>0</v>
      </c>
      <c r="CE103" s="21">
        <f t="shared" si="144"/>
        <v>0</v>
      </c>
      <c r="CF103" s="21">
        <f t="shared" si="144"/>
        <v>0</v>
      </c>
      <c r="CG103" s="21">
        <f t="shared" si="144"/>
        <v>0</v>
      </c>
      <c r="CH103" s="21">
        <f t="shared" si="144"/>
        <v>0</v>
      </c>
      <c r="CI103" s="21">
        <f t="shared" si="144"/>
        <v>0</v>
      </c>
      <c r="CJ103" s="21">
        <f t="shared" si="144"/>
        <v>0</v>
      </c>
      <c r="CK103" s="21">
        <f t="shared" si="144"/>
        <v>0</v>
      </c>
      <c r="CL103" s="21">
        <f t="shared" si="144"/>
        <v>0</v>
      </c>
      <c r="CM103" s="21">
        <f t="shared" si="144"/>
        <v>0</v>
      </c>
      <c r="CN103" s="21">
        <f t="shared" si="144"/>
        <v>0</v>
      </c>
      <c r="CO103" s="21">
        <f t="shared" si="144"/>
        <v>0</v>
      </c>
      <c r="CP103" s="21">
        <f t="shared" si="144"/>
        <v>0</v>
      </c>
      <c r="CQ103" s="21">
        <f t="shared" si="144"/>
        <v>0</v>
      </c>
      <c r="CR103" s="21">
        <f t="shared" si="144"/>
        <v>0</v>
      </c>
      <c r="CS103" s="21">
        <f t="shared" si="144"/>
        <v>0</v>
      </c>
      <c r="CT103" s="21">
        <f t="shared" si="144"/>
        <v>0</v>
      </c>
      <c r="CU103" s="22">
        <f t="shared" si="144"/>
        <v>0</v>
      </c>
      <c r="CV103" s="38"/>
    </row>
    <row r="104" spans="1:100" ht="31.5" x14ac:dyDescent="0.25">
      <c r="A104" s="13" t="s">
        <v>100</v>
      </c>
      <c r="B104" s="14" t="s">
        <v>100</v>
      </c>
      <c r="C104" s="14" t="s">
        <v>1</v>
      </c>
      <c r="D104" s="30" t="s">
        <v>126</v>
      </c>
      <c r="E104" s="15">
        <f>SUM(E105)</f>
        <v>146098141</v>
      </c>
      <c r="F104" s="16">
        <f t="shared" si="143"/>
        <v>146098141</v>
      </c>
      <c r="G104" s="16">
        <f t="shared" si="143"/>
        <v>0</v>
      </c>
      <c r="H104" s="16">
        <f t="shared" si="143"/>
        <v>0</v>
      </c>
      <c r="I104" s="16">
        <f t="shared" si="143"/>
        <v>0</v>
      </c>
      <c r="J104" s="16">
        <f t="shared" si="143"/>
        <v>0</v>
      </c>
      <c r="K104" s="16">
        <f t="shared" si="143"/>
        <v>0</v>
      </c>
      <c r="L104" s="16">
        <f t="shared" si="143"/>
        <v>0</v>
      </c>
      <c r="M104" s="16">
        <f t="shared" si="143"/>
        <v>0</v>
      </c>
      <c r="N104" s="16">
        <f t="shared" si="143"/>
        <v>0</v>
      </c>
      <c r="O104" s="16">
        <f t="shared" si="143"/>
        <v>0</v>
      </c>
      <c r="P104" s="16">
        <f t="shared" si="143"/>
        <v>0</v>
      </c>
      <c r="Q104" s="16">
        <f t="shared" si="143"/>
        <v>0</v>
      </c>
      <c r="R104" s="16">
        <f t="shared" si="143"/>
        <v>0</v>
      </c>
      <c r="S104" s="16">
        <f t="shared" si="143"/>
        <v>0</v>
      </c>
      <c r="T104" s="16">
        <f t="shared" si="143"/>
        <v>0</v>
      </c>
      <c r="U104" s="16">
        <f t="shared" si="143"/>
        <v>0</v>
      </c>
      <c r="V104" s="16">
        <f t="shared" si="143"/>
        <v>0</v>
      </c>
      <c r="W104" s="16">
        <f t="shared" si="143"/>
        <v>0</v>
      </c>
      <c r="X104" s="16">
        <f t="shared" si="143"/>
        <v>0</v>
      </c>
      <c r="Y104" s="16">
        <f t="shared" si="143"/>
        <v>0</v>
      </c>
      <c r="Z104" s="16">
        <f t="shared" si="143"/>
        <v>0</v>
      </c>
      <c r="AA104" s="16">
        <f t="shared" si="143"/>
        <v>0</v>
      </c>
      <c r="AB104" s="16">
        <f t="shared" si="143"/>
        <v>0</v>
      </c>
      <c r="AC104" s="16">
        <f t="shared" si="143"/>
        <v>0</v>
      </c>
      <c r="AD104" s="16">
        <f t="shared" si="143"/>
        <v>0</v>
      </c>
      <c r="AE104" s="16">
        <f t="shared" si="143"/>
        <v>0</v>
      </c>
      <c r="AF104" s="16">
        <f t="shared" si="143"/>
        <v>0</v>
      </c>
      <c r="AG104" s="16">
        <f t="shared" si="143"/>
        <v>0</v>
      </c>
      <c r="AH104" s="16">
        <f t="shared" si="143"/>
        <v>0</v>
      </c>
      <c r="AI104" s="16">
        <f t="shared" si="143"/>
        <v>0</v>
      </c>
      <c r="AJ104" s="16">
        <f t="shared" si="143"/>
        <v>0</v>
      </c>
      <c r="AK104" s="16">
        <f t="shared" si="143"/>
        <v>0</v>
      </c>
      <c r="AL104" s="16">
        <f t="shared" si="143"/>
        <v>0</v>
      </c>
      <c r="AM104" s="16">
        <f t="shared" si="143"/>
        <v>0</v>
      </c>
      <c r="AN104" s="16">
        <f t="shared" si="143"/>
        <v>0</v>
      </c>
      <c r="AO104" s="16">
        <f t="shared" si="143"/>
        <v>0</v>
      </c>
      <c r="AP104" s="16">
        <f t="shared" si="143"/>
        <v>0</v>
      </c>
      <c r="AQ104" s="16">
        <f t="shared" si="143"/>
        <v>0</v>
      </c>
      <c r="AR104" s="16">
        <f t="shared" si="143"/>
        <v>0</v>
      </c>
      <c r="AS104" s="16">
        <f t="shared" si="143"/>
        <v>0</v>
      </c>
      <c r="AT104" s="16">
        <f t="shared" si="143"/>
        <v>0</v>
      </c>
      <c r="AU104" s="16">
        <f t="shared" si="143"/>
        <v>0</v>
      </c>
      <c r="AV104" s="16">
        <f t="shared" si="143"/>
        <v>0</v>
      </c>
      <c r="AW104" s="16">
        <f t="shared" si="143"/>
        <v>0</v>
      </c>
      <c r="AX104" s="16">
        <f t="shared" si="143"/>
        <v>0</v>
      </c>
      <c r="AY104" s="16">
        <f t="shared" si="143"/>
        <v>0</v>
      </c>
      <c r="AZ104" s="16">
        <f t="shared" si="143"/>
        <v>0</v>
      </c>
      <c r="BA104" s="16">
        <f t="shared" si="143"/>
        <v>146098141</v>
      </c>
      <c r="BB104" s="16">
        <f t="shared" si="143"/>
        <v>146098141</v>
      </c>
      <c r="BC104" s="16">
        <f t="shared" si="143"/>
        <v>146098141</v>
      </c>
      <c r="BD104" s="16">
        <f t="shared" si="143"/>
        <v>0</v>
      </c>
      <c r="BE104" s="16">
        <f t="shared" si="143"/>
        <v>0</v>
      </c>
      <c r="BF104" s="16">
        <f t="shared" si="143"/>
        <v>0</v>
      </c>
      <c r="BG104" s="16">
        <f t="shared" si="143"/>
        <v>0</v>
      </c>
      <c r="BH104" s="16">
        <f t="shared" si="143"/>
        <v>0</v>
      </c>
      <c r="BI104" s="16">
        <f t="shared" si="143"/>
        <v>0</v>
      </c>
      <c r="BJ104" s="16">
        <f t="shared" si="143"/>
        <v>0</v>
      </c>
      <c r="BK104" s="16">
        <f t="shared" si="143"/>
        <v>0</v>
      </c>
      <c r="BL104" s="16">
        <f t="shared" si="143"/>
        <v>0</v>
      </c>
      <c r="BM104" s="16">
        <f t="shared" si="143"/>
        <v>0</v>
      </c>
      <c r="BN104" s="16">
        <f t="shared" si="143"/>
        <v>0</v>
      </c>
      <c r="BO104" s="16">
        <f t="shared" si="143"/>
        <v>0</v>
      </c>
      <c r="BP104" s="16">
        <f t="shared" si="143"/>
        <v>0</v>
      </c>
      <c r="BQ104" s="16">
        <f t="shared" si="143"/>
        <v>0</v>
      </c>
      <c r="BR104" s="16">
        <f t="shared" si="143"/>
        <v>0</v>
      </c>
      <c r="BS104" s="16">
        <f t="shared" si="143"/>
        <v>0</v>
      </c>
      <c r="BT104" s="16">
        <f t="shared" si="144"/>
        <v>0</v>
      </c>
      <c r="BU104" s="16">
        <f t="shared" si="144"/>
        <v>0</v>
      </c>
      <c r="BV104" s="16">
        <f t="shared" si="144"/>
        <v>0</v>
      </c>
      <c r="BW104" s="16">
        <f t="shared" si="144"/>
        <v>0</v>
      </c>
      <c r="BX104" s="16">
        <f t="shared" si="144"/>
        <v>0</v>
      </c>
      <c r="BY104" s="16">
        <f t="shared" si="144"/>
        <v>0</v>
      </c>
      <c r="BZ104" s="16">
        <f t="shared" si="144"/>
        <v>0</v>
      </c>
      <c r="CA104" s="16">
        <f t="shared" si="144"/>
        <v>0</v>
      </c>
      <c r="CB104" s="16">
        <f t="shared" si="144"/>
        <v>0</v>
      </c>
      <c r="CC104" s="16">
        <f t="shared" si="144"/>
        <v>0</v>
      </c>
      <c r="CD104" s="16">
        <f t="shared" si="144"/>
        <v>0</v>
      </c>
      <c r="CE104" s="16">
        <f t="shared" si="144"/>
        <v>0</v>
      </c>
      <c r="CF104" s="16">
        <f t="shared" si="144"/>
        <v>0</v>
      </c>
      <c r="CG104" s="16">
        <f t="shared" si="144"/>
        <v>0</v>
      </c>
      <c r="CH104" s="16">
        <f t="shared" si="144"/>
        <v>0</v>
      </c>
      <c r="CI104" s="16">
        <f t="shared" si="144"/>
        <v>0</v>
      </c>
      <c r="CJ104" s="16">
        <f t="shared" si="144"/>
        <v>0</v>
      </c>
      <c r="CK104" s="16">
        <f t="shared" si="144"/>
        <v>0</v>
      </c>
      <c r="CL104" s="16">
        <f t="shared" si="144"/>
        <v>0</v>
      </c>
      <c r="CM104" s="16">
        <f t="shared" si="144"/>
        <v>0</v>
      </c>
      <c r="CN104" s="16">
        <f t="shared" si="144"/>
        <v>0</v>
      </c>
      <c r="CO104" s="16">
        <f t="shared" si="144"/>
        <v>0</v>
      </c>
      <c r="CP104" s="16">
        <f t="shared" si="144"/>
        <v>0</v>
      </c>
      <c r="CQ104" s="16">
        <f t="shared" si="144"/>
        <v>0</v>
      </c>
      <c r="CR104" s="16">
        <f t="shared" si="144"/>
        <v>0</v>
      </c>
      <c r="CS104" s="16">
        <f t="shared" si="144"/>
        <v>0</v>
      </c>
      <c r="CT104" s="16">
        <f t="shared" si="144"/>
        <v>0</v>
      </c>
      <c r="CU104" s="17">
        <f t="shared" si="144"/>
        <v>0</v>
      </c>
      <c r="CV104" s="38"/>
    </row>
    <row r="105" spans="1:100" ht="15.75" x14ac:dyDescent="0.25">
      <c r="A105" s="13" t="s">
        <v>1</v>
      </c>
      <c r="B105" s="14" t="s">
        <v>1</v>
      </c>
      <c r="C105" s="14" t="s">
        <v>17</v>
      </c>
      <c r="D105" s="30" t="s">
        <v>127</v>
      </c>
      <c r="E105" s="15">
        <f>SUM(F105+BY105+CR105)</f>
        <v>146098141</v>
      </c>
      <c r="F105" s="16">
        <f>SUM(G105+BA105)</f>
        <v>146098141</v>
      </c>
      <c r="G105" s="16">
        <f>SUM(H105+I105+J105+Q105+T105+U105+V105+AE105)</f>
        <v>0</v>
      </c>
      <c r="H105" s="16">
        <v>0</v>
      </c>
      <c r="I105" s="16">
        <v>0</v>
      </c>
      <c r="J105" s="16">
        <f t="shared" si="103"/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f t="shared" si="104"/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f>SUM(W105:AD105)</f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f>SUM(AF105:AZ105)</f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f>SUM(BB105+BF105+BI105+BK105+BM105)</f>
        <v>146098141</v>
      </c>
      <c r="BB105" s="16">
        <f>SUM(BC105:BE105)</f>
        <v>146098141</v>
      </c>
      <c r="BC105" s="16">
        <f>144656032+1442109</f>
        <v>146098141</v>
      </c>
      <c r="BD105" s="16">
        <v>0</v>
      </c>
      <c r="BE105" s="16">
        <v>0</v>
      </c>
      <c r="BF105" s="16">
        <f t="shared" si="105"/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f t="shared" si="106"/>
        <v>0</v>
      </c>
      <c r="BL105" s="16">
        <v>0</v>
      </c>
      <c r="BM105" s="16">
        <f t="shared" si="107"/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f>SUM(BZ105+CQ105)</f>
        <v>0</v>
      </c>
      <c r="BZ105" s="16">
        <f>SUM(CA105+CD105+CJ105)</f>
        <v>0</v>
      </c>
      <c r="CA105" s="16">
        <f t="shared" si="108"/>
        <v>0</v>
      </c>
      <c r="CB105" s="16">
        <v>0</v>
      </c>
      <c r="CC105" s="16">
        <v>0</v>
      </c>
      <c r="CD105" s="16">
        <f>SUM(CE105:CH105)</f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f>SUM(CK105:CN105)</f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f t="shared" si="109"/>
        <v>0</v>
      </c>
      <c r="CS105" s="16">
        <f t="shared" si="110"/>
        <v>0</v>
      </c>
      <c r="CT105" s="16">
        <v>0</v>
      </c>
      <c r="CU105" s="17">
        <v>0</v>
      </c>
      <c r="CV105" s="38"/>
    </row>
    <row r="106" spans="1:100" ht="15.75" x14ac:dyDescent="0.25">
      <c r="A106" s="18" t="s">
        <v>128</v>
      </c>
      <c r="B106" s="19" t="s">
        <v>1</v>
      </c>
      <c r="C106" s="19" t="s">
        <v>1</v>
      </c>
      <c r="D106" s="31" t="s">
        <v>129</v>
      </c>
      <c r="E106" s="20">
        <f t="shared" ref="E106:AJ106" si="145">SUM(E107)</f>
        <v>27431137</v>
      </c>
      <c r="F106" s="21">
        <f t="shared" si="145"/>
        <v>27431137</v>
      </c>
      <c r="G106" s="21">
        <f t="shared" si="145"/>
        <v>27431137</v>
      </c>
      <c r="H106" s="21">
        <f t="shared" si="145"/>
        <v>21919802</v>
      </c>
      <c r="I106" s="21">
        <f t="shared" si="145"/>
        <v>5412176</v>
      </c>
      <c r="J106" s="21">
        <f t="shared" si="145"/>
        <v>0</v>
      </c>
      <c r="K106" s="21">
        <f t="shared" si="145"/>
        <v>0</v>
      </c>
      <c r="L106" s="21">
        <f t="shared" si="145"/>
        <v>0</v>
      </c>
      <c r="M106" s="21">
        <f t="shared" si="145"/>
        <v>0</v>
      </c>
      <c r="N106" s="21">
        <f t="shared" si="145"/>
        <v>0</v>
      </c>
      <c r="O106" s="21">
        <f t="shared" si="145"/>
        <v>0</v>
      </c>
      <c r="P106" s="21">
        <f t="shared" si="145"/>
        <v>0</v>
      </c>
      <c r="Q106" s="21">
        <f t="shared" si="145"/>
        <v>0</v>
      </c>
      <c r="R106" s="21">
        <f t="shared" si="145"/>
        <v>0</v>
      </c>
      <c r="S106" s="21">
        <f t="shared" si="145"/>
        <v>0</v>
      </c>
      <c r="T106" s="21">
        <f t="shared" si="145"/>
        <v>0</v>
      </c>
      <c r="U106" s="21">
        <f t="shared" si="145"/>
        <v>99159</v>
      </c>
      <c r="V106" s="21">
        <f t="shared" si="145"/>
        <v>0</v>
      </c>
      <c r="W106" s="21">
        <f t="shared" si="145"/>
        <v>0</v>
      </c>
      <c r="X106" s="21">
        <f t="shared" si="145"/>
        <v>0</v>
      </c>
      <c r="Y106" s="21">
        <f t="shared" si="145"/>
        <v>0</v>
      </c>
      <c r="Z106" s="21">
        <f t="shared" si="145"/>
        <v>0</v>
      </c>
      <c r="AA106" s="21">
        <f t="shared" si="145"/>
        <v>0</v>
      </c>
      <c r="AB106" s="21">
        <f t="shared" si="145"/>
        <v>0</v>
      </c>
      <c r="AC106" s="21">
        <f t="shared" si="145"/>
        <v>0</v>
      </c>
      <c r="AD106" s="21">
        <f t="shared" si="145"/>
        <v>0</v>
      </c>
      <c r="AE106" s="21">
        <f t="shared" si="145"/>
        <v>0</v>
      </c>
      <c r="AF106" s="21">
        <f t="shared" si="145"/>
        <v>0</v>
      </c>
      <c r="AG106" s="21">
        <f t="shared" si="145"/>
        <v>0</v>
      </c>
      <c r="AH106" s="21">
        <f t="shared" si="145"/>
        <v>0</v>
      </c>
      <c r="AI106" s="21">
        <f t="shared" si="145"/>
        <v>0</v>
      </c>
      <c r="AJ106" s="21">
        <f t="shared" si="145"/>
        <v>0</v>
      </c>
      <c r="AK106" s="21">
        <f t="shared" ref="AK106:BR106" si="146">SUM(AK107)</f>
        <v>0</v>
      </c>
      <c r="AL106" s="21">
        <f t="shared" si="146"/>
        <v>0</v>
      </c>
      <c r="AM106" s="21">
        <f t="shared" si="146"/>
        <v>0</v>
      </c>
      <c r="AN106" s="21">
        <f t="shared" si="146"/>
        <v>0</v>
      </c>
      <c r="AO106" s="21">
        <f t="shared" si="146"/>
        <v>0</v>
      </c>
      <c r="AP106" s="21">
        <f t="shared" si="146"/>
        <v>0</v>
      </c>
      <c r="AQ106" s="21">
        <f t="shared" si="146"/>
        <v>0</v>
      </c>
      <c r="AR106" s="21">
        <f t="shared" si="146"/>
        <v>0</v>
      </c>
      <c r="AS106" s="21">
        <f t="shared" si="146"/>
        <v>0</v>
      </c>
      <c r="AT106" s="21">
        <f t="shared" si="146"/>
        <v>0</v>
      </c>
      <c r="AU106" s="21">
        <f t="shared" si="146"/>
        <v>0</v>
      </c>
      <c r="AV106" s="21">
        <f t="shared" si="146"/>
        <v>0</v>
      </c>
      <c r="AW106" s="21">
        <f t="shared" si="146"/>
        <v>0</v>
      </c>
      <c r="AX106" s="21">
        <f t="shared" si="146"/>
        <v>0</v>
      </c>
      <c r="AY106" s="21">
        <f t="shared" si="146"/>
        <v>0</v>
      </c>
      <c r="AZ106" s="21">
        <f t="shared" si="146"/>
        <v>0</v>
      </c>
      <c r="BA106" s="21">
        <f t="shared" si="146"/>
        <v>0</v>
      </c>
      <c r="BB106" s="21">
        <f t="shared" si="146"/>
        <v>0</v>
      </c>
      <c r="BC106" s="21">
        <f t="shared" si="146"/>
        <v>0</v>
      </c>
      <c r="BD106" s="21">
        <f t="shared" si="146"/>
        <v>0</v>
      </c>
      <c r="BE106" s="21">
        <f t="shared" si="146"/>
        <v>0</v>
      </c>
      <c r="BF106" s="21">
        <f t="shared" si="146"/>
        <v>0</v>
      </c>
      <c r="BG106" s="21">
        <f t="shared" si="146"/>
        <v>0</v>
      </c>
      <c r="BH106" s="21">
        <f t="shared" si="146"/>
        <v>0</v>
      </c>
      <c r="BI106" s="21">
        <f t="shared" si="146"/>
        <v>0</v>
      </c>
      <c r="BJ106" s="21">
        <f t="shared" si="146"/>
        <v>0</v>
      </c>
      <c r="BK106" s="21">
        <f t="shared" si="146"/>
        <v>0</v>
      </c>
      <c r="BL106" s="21">
        <f t="shared" si="146"/>
        <v>0</v>
      </c>
      <c r="BM106" s="21">
        <f t="shared" si="146"/>
        <v>0</v>
      </c>
      <c r="BN106" s="21">
        <f t="shared" si="146"/>
        <v>0</v>
      </c>
      <c r="BO106" s="21">
        <f t="shared" si="146"/>
        <v>0</v>
      </c>
      <c r="BP106" s="21">
        <f t="shared" si="146"/>
        <v>0</v>
      </c>
      <c r="BQ106" s="21">
        <f t="shared" si="146"/>
        <v>0</v>
      </c>
      <c r="BR106" s="21">
        <f t="shared" si="146"/>
        <v>0</v>
      </c>
      <c r="BS106" s="21">
        <f t="shared" ref="BS106:CU106" si="147">SUM(BS107)</f>
        <v>0</v>
      </c>
      <c r="BT106" s="21">
        <f t="shared" si="147"/>
        <v>0</v>
      </c>
      <c r="BU106" s="21">
        <f t="shared" si="147"/>
        <v>0</v>
      </c>
      <c r="BV106" s="21">
        <f t="shared" si="147"/>
        <v>0</v>
      </c>
      <c r="BW106" s="21">
        <f t="shared" si="147"/>
        <v>0</v>
      </c>
      <c r="BX106" s="21">
        <f t="shared" si="147"/>
        <v>0</v>
      </c>
      <c r="BY106" s="21">
        <f t="shared" si="147"/>
        <v>0</v>
      </c>
      <c r="BZ106" s="21">
        <f t="shared" si="147"/>
        <v>0</v>
      </c>
      <c r="CA106" s="21">
        <f t="shared" si="147"/>
        <v>0</v>
      </c>
      <c r="CB106" s="21">
        <f t="shared" si="147"/>
        <v>0</v>
      </c>
      <c r="CC106" s="21">
        <f t="shared" si="147"/>
        <v>0</v>
      </c>
      <c r="CD106" s="21">
        <f t="shared" si="147"/>
        <v>0</v>
      </c>
      <c r="CE106" s="21">
        <f t="shared" si="147"/>
        <v>0</v>
      </c>
      <c r="CF106" s="21">
        <f t="shared" si="147"/>
        <v>0</v>
      </c>
      <c r="CG106" s="21">
        <f t="shared" si="147"/>
        <v>0</v>
      </c>
      <c r="CH106" s="21">
        <f t="shared" si="147"/>
        <v>0</v>
      </c>
      <c r="CI106" s="21">
        <f t="shared" si="147"/>
        <v>0</v>
      </c>
      <c r="CJ106" s="21">
        <f t="shared" si="147"/>
        <v>0</v>
      </c>
      <c r="CK106" s="21">
        <f t="shared" si="147"/>
        <v>0</v>
      </c>
      <c r="CL106" s="21">
        <f t="shared" si="147"/>
        <v>0</v>
      </c>
      <c r="CM106" s="21">
        <f t="shared" si="147"/>
        <v>0</v>
      </c>
      <c r="CN106" s="21">
        <f t="shared" si="147"/>
        <v>0</v>
      </c>
      <c r="CO106" s="21">
        <f t="shared" si="147"/>
        <v>0</v>
      </c>
      <c r="CP106" s="21">
        <f t="shared" si="147"/>
        <v>0</v>
      </c>
      <c r="CQ106" s="21">
        <f t="shared" si="147"/>
        <v>0</v>
      </c>
      <c r="CR106" s="21">
        <f t="shared" si="147"/>
        <v>0</v>
      </c>
      <c r="CS106" s="21">
        <f t="shared" si="147"/>
        <v>0</v>
      </c>
      <c r="CT106" s="21">
        <f t="shared" si="147"/>
        <v>0</v>
      </c>
      <c r="CU106" s="22">
        <f t="shared" si="147"/>
        <v>0</v>
      </c>
      <c r="CV106" s="38"/>
    </row>
    <row r="107" spans="1:100" ht="31.5" x14ac:dyDescent="0.25">
      <c r="A107" s="13" t="s">
        <v>54</v>
      </c>
      <c r="B107" s="14" t="s">
        <v>50</v>
      </c>
      <c r="C107" s="14" t="s">
        <v>1</v>
      </c>
      <c r="D107" s="30" t="s">
        <v>130</v>
      </c>
      <c r="E107" s="15">
        <f>SUM(E108:E109)</f>
        <v>27431137</v>
      </c>
      <c r="F107" s="16">
        <f t="shared" ref="F107:BS107" si="148">SUM(F108:F109)</f>
        <v>27431137</v>
      </c>
      <c r="G107" s="16">
        <f t="shared" si="148"/>
        <v>27431137</v>
      </c>
      <c r="H107" s="16">
        <f t="shared" si="148"/>
        <v>21919802</v>
      </c>
      <c r="I107" s="16">
        <f t="shared" si="148"/>
        <v>5412176</v>
      </c>
      <c r="J107" s="16">
        <f t="shared" si="148"/>
        <v>0</v>
      </c>
      <c r="K107" s="16">
        <f t="shared" si="148"/>
        <v>0</v>
      </c>
      <c r="L107" s="16">
        <f t="shared" si="148"/>
        <v>0</v>
      </c>
      <c r="M107" s="16">
        <f t="shared" si="148"/>
        <v>0</v>
      </c>
      <c r="N107" s="16">
        <f t="shared" si="148"/>
        <v>0</v>
      </c>
      <c r="O107" s="16">
        <f t="shared" si="148"/>
        <v>0</v>
      </c>
      <c r="P107" s="16">
        <f t="shared" si="148"/>
        <v>0</v>
      </c>
      <c r="Q107" s="16">
        <f t="shared" si="148"/>
        <v>0</v>
      </c>
      <c r="R107" s="16">
        <f t="shared" si="148"/>
        <v>0</v>
      </c>
      <c r="S107" s="16">
        <f t="shared" si="148"/>
        <v>0</v>
      </c>
      <c r="T107" s="16">
        <f t="shared" si="148"/>
        <v>0</v>
      </c>
      <c r="U107" s="16">
        <f t="shared" si="148"/>
        <v>99159</v>
      </c>
      <c r="V107" s="16">
        <f t="shared" si="148"/>
        <v>0</v>
      </c>
      <c r="W107" s="16">
        <f t="shared" si="148"/>
        <v>0</v>
      </c>
      <c r="X107" s="16">
        <f t="shared" si="148"/>
        <v>0</v>
      </c>
      <c r="Y107" s="16">
        <f t="shared" si="148"/>
        <v>0</v>
      </c>
      <c r="Z107" s="16">
        <f t="shared" si="148"/>
        <v>0</v>
      </c>
      <c r="AA107" s="16">
        <f t="shared" si="148"/>
        <v>0</v>
      </c>
      <c r="AB107" s="16">
        <f t="shared" si="148"/>
        <v>0</v>
      </c>
      <c r="AC107" s="16">
        <f t="shared" si="148"/>
        <v>0</v>
      </c>
      <c r="AD107" s="16">
        <f t="shared" ref="AD107" si="149">SUM(AD108:AD109)</f>
        <v>0</v>
      </c>
      <c r="AE107" s="16">
        <f t="shared" si="148"/>
        <v>0</v>
      </c>
      <c r="AF107" s="16">
        <f t="shared" si="148"/>
        <v>0</v>
      </c>
      <c r="AG107" s="16">
        <f t="shared" si="148"/>
        <v>0</v>
      </c>
      <c r="AH107" s="16">
        <f t="shared" si="148"/>
        <v>0</v>
      </c>
      <c r="AI107" s="16">
        <f t="shared" si="148"/>
        <v>0</v>
      </c>
      <c r="AJ107" s="16">
        <f t="shared" si="148"/>
        <v>0</v>
      </c>
      <c r="AK107" s="16">
        <f t="shared" si="148"/>
        <v>0</v>
      </c>
      <c r="AL107" s="16">
        <f t="shared" si="148"/>
        <v>0</v>
      </c>
      <c r="AM107" s="16">
        <f t="shared" si="148"/>
        <v>0</v>
      </c>
      <c r="AN107" s="16">
        <f t="shared" si="148"/>
        <v>0</v>
      </c>
      <c r="AO107" s="16">
        <f t="shared" si="148"/>
        <v>0</v>
      </c>
      <c r="AP107" s="16">
        <f>SUM(AP108:AP109)</f>
        <v>0</v>
      </c>
      <c r="AQ107" s="16">
        <f t="shared" si="148"/>
        <v>0</v>
      </c>
      <c r="AR107" s="16">
        <f t="shared" si="148"/>
        <v>0</v>
      </c>
      <c r="AS107" s="16">
        <f t="shared" si="148"/>
        <v>0</v>
      </c>
      <c r="AT107" s="16">
        <f t="shared" si="148"/>
        <v>0</v>
      </c>
      <c r="AU107" s="16">
        <f t="shared" si="148"/>
        <v>0</v>
      </c>
      <c r="AV107" s="16">
        <f t="shared" si="148"/>
        <v>0</v>
      </c>
      <c r="AW107" s="16">
        <f t="shared" si="148"/>
        <v>0</v>
      </c>
      <c r="AX107" s="16">
        <f t="shared" si="148"/>
        <v>0</v>
      </c>
      <c r="AY107" s="16">
        <f t="shared" si="148"/>
        <v>0</v>
      </c>
      <c r="AZ107" s="16">
        <f t="shared" si="148"/>
        <v>0</v>
      </c>
      <c r="BA107" s="16">
        <f t="shared" si="148"/>
        <v>0</v>
      </c>
      <c r="BB107" s="16">
        <f t="shared" si="148"/>
        <v>0</v>
      </c>
      <c r="BC107" s="16">
        <f t="shared" si="148"/>
        <v>0</v>
      </c>
      <c r="BD107" s="16">
        <f t="shared" si="148"/>
        <v>0</v>
      </c>
      <c r="BE107" s="16">
        <f t="shared" si="148"/>
        <v>0</v>
      </c>
      <c r="BF107" s="16">
        <f t="shared" si="148"/>
        <v>0</v>
      </c>
      <c r="BG107" s="16">
        <f t="shared" si="148"/>
        <v>0</v>
      </c>
      <c r="BH107" s="16">
        <f t="shared" si="148"/>
        <v>0</v>
      </c>
      <c r="BI107" s="16">
        <f t="shared" si="148"/>
        <v>0</v>
      </c>
      <c r="BJ107" s="16">
        <f t="shared" si="148"/>
        <v>0</v>
      </c>
      <c r="BK107" s="16">
        <f t="shared" si="148"/>
        <v>0</v>
      </c>
      <c r="BL107" s="16">
        <f t="shared" si="148"/>
        <v>0</v>
      </c>
      <c r="BM107" s="16">
        <f t="shared" si="148"/>
        <v>0</v>
      </c>
      <c r="BN107" s="16">
        <f t="shared" si="148"/>
        <v>0</v>
      </c>
      <c r="BO107" s="16">
        <f t="shared" si="148"/>
        <v>0</v>
      </c>
      <c r="BP107" s="16">
        <f t="shared" si="148"/>
        <v>0</v>
      </c>
      <c r="BQ107" s="16">
        <f t="shared" si="148"/>
        <v>0</v>
      </c>
      <c r="BR107" s="16">
        <f t="shared" si="148"/>
        <v>0</v>
      </c>
      <c r="BS107" s="16">
        <f t="shared" si="148"/>
        <v>0</v>
      </c>
      <c r="BT107" s="16">
        <f t="shared" ref="BT107:CU107" si="150">SUM(BT108:BT109)</f>
        <v>0</v>
      </c>
      <c r="BU107" s="16">
        <f t="shared" si="150"/>
        <v>0</v>
      </c>
      <c r="BV107" s="16">
        <f t="shared" si="150"/>
        <v>0</v>
      </c>
      <c r="BW107" s="16">
        <f t="shared" si="150"/>
        <v>0</v>
      </c>
      <c r="BX107" s="16">
        <f t="shared" si="150"/>
        <v>0</v>
      </c>
      <c r="BY107" s="16">
        <f t="shared" si="150"/>
        <v>0</v>
      </c>
      <c r="BZ107" s="16">
        <f t="shared" si="150"/>
        <v>0</v>
      </c>
      <c r="CA107" s="16">
        <f t="shared" si="150"/>
        <v>0</v>
      </c>
      <c r="CB107" s="16">
        <f t="shared" si="150"/>
        <v>0</v>
      </c>
      <c r="CC107" s="16">
        <f t="shared" si="150"/>
        <v>0</v>
      </c>
      <c r="CD107" s="16">
        <f t="shared" si="150"/>
        <v>0</v>
      </c>
      <c r="CE107" s="16">
        <f t="shared" si="150"/>
        <v>0</v>
      </c>
      <c r="CF107" s="16">
        <f t="shared" si="150"/>
        <v>0</v>
      </c>
      <c r="CG107" s="16">
        <f t="shared" si="150"/>
        <v>0</v>
      </c>
      <c r="CH107" s="16">
        <f t="shared" si="150"/>
        <v>0</v>
      </c>
      <c r="CI107" s="16">
        <f t="shared" ref="CI107" si="151">SUM(CI108:CI109)</f>
        <v>0</v>
      </c>
      <c r="CJ107" s="16">
        <f t="shared" si="150"/>
        <v>0</v>
      </c>
      <c r="CK107" s="16">
        <f t="shared" si="150"/>
        <v>0</v>
      </c>
      <c r="CL107" s="16">
        <f t="shared" si="150"/>
        <v>0</v>
      </c>
      <c r="CM107" s="16">
        <f t="shared" si="150"/>
        <v>0</v>
      </c>
      <c r="CN107" s="16">
        <f t="shared" si="150"/>
        <v>0</v>
      </c>
      <c r="CO107" s="16">
        <f t="shared" si="150"/>
        <v>0</v>
      </c>
      <c r="CP107" s="16">
        <f t="shared" si="150"/>
        <v>0</v>
      </c>
      <c r="CQ107" s="16">
        <f t="shared" si="150"/>
        <v>0</v>
      </c>
      <c r="CR107" s="16">
        <f t="shared" si="150"/>
        <v>0</v>
      </c>
      <c r="CS107" s="16">
        <f t="shared" si="150"/>
        <v>0</v>
      </c>
      <c r="CT107" s="16">
        <f t="shared" si="150"/>
        <v>0</v>
      </c>
      <c r="CU107" s="17">
        <f t="shared" si="150"/>
        <v>0</v>
      </c>
      <c r="CV107" s="38"/>
    </row>
    <row r="108" spans="1:100" ht="31.5" x14ac:dyDescent="0.25">
      <c r="A108" s="13" t="s">
        <v>1</v>
      </c>
      <c r="B108" s="14" t="s">
        <v>1</v>
      </c>
      <c r="C108" s="14" t="s">
        <v>29</v>
      </c>
      <c r="D108" s="30" t="s">
        <v>131</v>
      </c>
      <c r="E108" s="15">
        <f>SUM(F108+BY108+CR108)</f>
        <v>19458568</v>
      </c>
      <c r="F108" s="16">
        <f>SUM(G108+BA108)</f>
        <v>19458568</v>
      </c>
      <c r="G108" s="16">
        <f>SUM(H108+I108+J108+Q108+T108+U108+V108+AE108)</f>
        <v>19458568</v>
      </c>
      <c r="H108" s="16">
        <v>15566854</v>
      </c>
      <c r="I108" s="16">
        <v>3891714</v>
      </c>
      <c r="J108" s="16">
        <f t="shared" si="103"/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f t="shared" si="104"/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f>SUM(W108:AD108)</f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f>SUM(AF108:AZ108)</f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f>SUM(BB108+BF108+BI108+BK108+BM108)</f>
        <v>0</v>
      </c>
      <c r="BB108" s="16">
        <f>SUM(BC108:BE108)</f>
        <v>0</v>
      </c>
      <c r="BC108" s="16">
        <v>0</v>
      </c>
      <c r="BD108" s="16">
        <v>0</v>
      </c>
      <c r="BE108" s="16">
        <v>0</v>
      </c>
      <c r="BF108" s="16">
        <f t="shared" si="105"/>
        <v>0</v>
      </c>
      <c r="BG108" s="16">
        <v>0</v>
      </c>
      <c r="BH108" s="16">
        <v>0</v>
      </c>
      <c r="BI108" s="16">
        <v>0</v>
      </c>
      <c r="BJ108" s="16">
        <v>0</v>
      </c>
      <c r="BK108" s="16">
        <f t="shared" si="106"/>
        <v>0</v>
      </c>
      <c r="BL108" s="16">
        <v>0</v>
      </c>
      <c r="BM108" s="16">
        <f t="shared" si="107"/>
        <v>0</v>
      </c>
      <c r="BN108" s="16">
        <v>0</v>
      </c>
      <c r="BO108" s="16">
        <v>0</v>
      </c>
      <c r="BP108" s="16">
        <v>0</v>
      </c>
      <c r="BQ108" s="16">
        <v>0</v>
      </c>
      <c r="BR108" s="16">
        <v>0</v>
      </c>
      <c r="BS108" s="16">
        <v>0</v>
      </c>
      <c r="BT108" s="16">
        <v>0</v>
      </c>
      <c r="BU108" s="16">
        <v>0</v>
      </c>
      <c r="BV108" s="16">
        <v>0</v>
      </c>
      <c r="BW108" s="16">
        <v>0</v>
      </c>
      <c r="BX108" s="16">
        <v>0</v>
      </c>
      <c r="BY108" s="16">
        <f>SUM(BZ108+CQ108)</f>
        <v>0</v>
      </c>
      <c r="BZ108" s="16">
        <f>SUM(CA108+CD108+CJ108)</f>
        <v>0</v>
      </c>
      <c r="CA108" s="16">
        <f t="shared" si="108"/>
        <v>0</v>
      </c>
      <c r="CB108" s="16">
        <v>0</v>
      </c>
      <c r="CC108" s="16">
        <v>0</v>
      </c>
      <c r="CD108" s="16">
        <f>SUM(CE108:CH108)</f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f>SUM(CK108:CN108)</f>
        <v>0</v>
      </c>
      <c r="CK108" s="16"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f t="shared" si="109"/>
        <v>0</v>
      </c>
      <c r="CS108" s="16">
        <f t="shared" si="110"/>
        <v>0</v>
      </c>
      <c r="CT108" s="16">
        <v>0</v>
      </c>
      <c r="CU108" s="17">
        <v>0</v>
      </c>
      <c r="CV108" s="38"/>
    </row>
    <row r="109" spans="1:100" ht="15.75" x14ac:dyDescent="0.25">
      <c r="A109" s="13" t="s">
        <v>1</v>
      </c>
      <c r="B109" s="14" t="s">
        <v>1</v>
      </c>
      <c r="C109" s="14" t="s">
        <v>29</v>
      </c>
      <c r="D109" s="30" t="s">
        <v>132</v>
      </c>
      <c r="E109" s="15">
        <f>SUM(F109+BY109+CR109)</f>
        <v>7972569</v>
      </c>
      <c r="F109" s="16">
        <f>SUM(G109+BA109)</f>
        <v>7972569</v>
      </c>
      <c r="G109" s="16">
        <f>SUM(H109+I109+J109+Q109+T109+U109+V109+AE109)</f>
        <v>7972569</v>
      </c>
      <c r="H109" s="16">
        <v>6352948</v>
      </c>
      <c r="I109" s="16">
        <v>1520462</v>
      </c>
      <c r="J109" s="16">
        <f t="shared" si="103"/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f t="shared" si="104"/>
        <v>0</v>
      </c>
      <c r="R109" s="16">
        <v>0</v>
      </c>
      <c r="S109" s="16">
        <v>0</v>
      </c>
      <c r="T109" s="16">
        <v>0</v>
      </c>
      <c r="U109" s="16">
        <v>99159</v>
      </c>
      <c r="V109" s="16">
        <f>SUM(W109:AD109)</f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f>SUM(AF109:AZ109)</f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f>SUM(BB109+BF109+BI109+BK109+BM109)</f>
        <v>0</v>
      </c>
      <c r="BB109" s="16">
        <f>SUM(BC109:BE109)</f>
        <v>0</v>
      </c>
      <c r="BC109" s="16">
        <v>0</v>
      </c>
      <c r="BD109" s="16">
        <v>0</v>
      </c>
      <c r="BE109" s="16">
        <v>0</v>
      </c>
      <c r="BF109" s="16">
        <f t="shared" si="105"/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f t="shared" si="106"/>
        <v>0</v>
      </c>
      <c r="BL109" s="16">
        <v>0</v>
      </c>
      <c r="BM109" s="16">
        <f t="shared" si="107"/>
        <v>0</v>
      </c>
      <c r="BN109" s="16">
        <v>0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f>SUM(BZ109+CQ109)</f>
        <v>0</v>
      </c>
      <c r="BZ109" s="16">
        <f>SUM(CA109+CD109+CJ109)</f>
        <v>0</v>
      </c>
      <c r="CA109" s="16">
        <f t="shared" si="108"/>
        <v>0</v>
      </c>
      <c r="CB109" s="16">
        <v>0</v>
      </c>
      <c r="CC109" s="16">
        <v>0</v>
      </c>
      <c r="CD109" s="16">
        <f>SUM(CE109:CH109)</f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f>SUM(CK109:CN109)</f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f t="shared" si="109"/>
        <v>0</v>
      </c>
      <c r="CS109" s="16">
        <f t="shared" si="110"/>
        <v>0</v>
      </c>
      <c r="CT109" s="16">
        <v>0</v>
      </c>
      <c r="CU109" s="17">
        <v>0</v>
      </c>
      <c r="CV109" s="38"/>
    </row>
    <row r="110" spans="1:100" ht="47.25" x14ac:dyDescent="0.25">
      <c r="A110" s="18" t="s">
        <v>133</v>
      </c>
      <c r="B110" s="19" t="s">
        <v>1</v>
      </c>
      <c r="C110" s="19" t="s">
        <v>1</v>
      </c>
      <c r="D110" s="31" t="s">
        <v>134</v>
      </c>
      <c r="E110" s="20">
        <f>SUM(E111+E113)</f>
        <v>12472908</v>
      </c>
      <c r="F110" s="21">
        <f t="shared" ref="F110:BS110" si="152">SUM(F111+F113)</f>
        <v>12429073</v>
      </c>
      <c r="G110" s="21">
        <f t="shared" si="152"/>
        <v>3786990</v>
      </c>
      <c r="H110" s="21">
        <f t="shared" si="152"/>
        <v>2971382</v>
      </c>
      <c r="I110" s="21">
        <f t="shared" si="152"/>
        <v>680746</v>
      </c>
      <c r="J110" s="21">
        <f t="shared" si="152"/>
        <v>45417</v>
      </c>
      <c r="K110" s="21">
        <f t="shared" si="152"/>
        <v>0</v>
      </c>
      <c r="L110" s="21">
        <f t="shared" si="152"/>
        <v>0</v>
      </c>
      <c r="M110" s="21">
        <f t="shared" si="152"/>
        <v>0</v>
      </c>
      <c r="N110" s="21">
        <f t="shared" si="152"/>
        <v>2513</v>
      </c>
      <c r="O110" s="21">
        <f t="shared" si="152"/>
        <v>42904</v>
      </c>
      <c r="P110" s="21">
        <f t="shared" si="152"/>
        <v>0</v>
      </c>
      <c r="Q110" s="21">
        <f t="shared" si="152"/>
        <v>0</v>
      </c>
      <c r="R110" s="21">
        <f t="shared" si="152"/>
        <v>0</v>
      </c>
      <c r="S110" s="21">
        <f t="shared" si="152"/>
        <v>0</v>
      </c>
      <c r="T110" s="21">
        <f t="shared" si="152"/>
        <v>0</v>
      </c>
      <c r="U110" s="21">
        <f t="shared" si="152"/>
        <v>40815</v>
      </c>
      <c r="V110" s="21">
        <f t="shared" si="152"/>
        <v>20114</v>
      </c>
      <c r="W110" s="21">
        <f t="shared" si="152"/>
        <v>0</v>
      </c>
      <c r="X110" s="21">
        <f t="shared" si="152"/>
        <v>4431</v>
      </c>
      <c r="Y110" s="21">
        <f t="shared" si="152"/>
        <v>15555</v>
      </c>
      <c r="Z110" s="21">
        <f t="shared" si="152"/>
        <v>128</v>
      </c>
      <c r="AA110" s="21">
        <f t="shared" si="152"/>
        <v>0</v>
      </c>
      <c r="AB110" s="21">
        <f t="shared" si="152"/>
        <v>0</v>
      </c>
      <c r="AC110" s="21">
        <f t="shared" si="152"/>
        <v>0</v>
      </c>
      <c r="AD110" s="21">
        <f t="shared" ref="AD110" si="153">SUM(AD111+AD113)</f>
        <v>0</v>
      </c>
      <c r="AE110" s="21">
        <f t="shared" si="152"/>
        <v>28516</v>
      </c>
      <c r="AF110" s="21">
        <f t="shared" si="152"/>
        <v>0</v>
      </c>
      <c r="AG110" s="21">
        <f t="shared" si="152"/>
        <v>0</v>
      </c>
      <c r="AH110" s="21">
        <f t="shared" si="152"/>
        <v>6598</v>
      </c>
      <c r="AI110" s="21">
        <f t="shared" si="152"/>
        <v>0</v>
      </c>
      <c r="AJ110" s="21">
        <f t="shared" si="152"/>
        <v>0</v>
      </c>
      <c r="AK110" s="21">
        <f t="shared" si="152"/>
        <v>0</v>
      </c>
      <c r="AL110" s="21">
        <f t="shared" si="152"/>
        <v>21918</v>
      </c>
      <c r="AM110" s="21">
        <f t="shared" si="152"/>
        <v>0</v>
      </c>
      <c r="AN110" s="21">
        <f t="shared" si="152"/>
        <v>0</v>
      </c>
      <c r="AO110" s="21">
        <f t="shared" si="152"/>
        <v>0</v>
      </c>
      <c r="AP110" s="21">
        <f>SUM(AP111+AP113)</f>
        <v>0</v>
      </c>
      <c r="AQ110" s="21">
        <f t="shared" si="152"/>
        <v>0</v>
      </c>
      <c r="AR110" s="21">
        <f t="shared" si="152"/>
        <v>0</v>
      </c>
      <c r="AS110" s="21">
        <f t="shared" si="152"/>
        <v>0</v>
      </c>
      <c r="AT110" s="21">
        <f t="shared" si="152"/>
        <v>0</v>
      </c>
      <c r="AU110" s="21">
        <f t="shared" si="152"/>
        <v>0</v>
      </c>
      <c r="AV110" s="21">
        <f t="shared" si="152"/>
        <v>0</v>
      </c>
      <c r="AW110" s="21">
        <f t="shared" si="152"/>
        <v>0</v>
      </c>
      <c r="AX110" s="21">
        <f t="shared" si="152"/>
        <v>0</v>
      </c>
      <c r="AY110" s="21">
        <f t="shared" si="152"/>
        <v>0</v>
      </c>
      <c r="AZ110" s="21">
        <f t="shared" si="152"/>
        <v>0</v>
      </c>
      <c r="BA110" s="21">
        <f t="shared" si="152"/>
        <v>8642083</v>
      </c>
      <c r="BB110" s="21">
        <f t="shared" si="152"/>
        <v>0</v>
      </c>
      <c r="BC110" s="21">
        <f t="shared" si="152"/>
        <v>0</v>
      </c>
      <c r="BD110" s="21">
        <f t="shared" si="152"/>
        <v>0</v>
      </c>
      <c r="BE110" s="21">
        <f t="shared" si="152"/>
        <v>0</v>
      </c>
      <c r="BF110" s="21">
        <f t="shared" si="152"/>
        <v>8642083</v>
      </c>
      <c r="BG110" s="21">
        <f t="shared" si="152"/>
        <v>8642083</v>
      </c>
      <c r="BH110" s="21">
        <f t="shared" si="152"/>
        <v>0</v>
      </c>
      <c r="BI110" s="21">
        <f t="shared" si="152"/>
        <v>0</v>
      </c>
      <c r="BJ110" s="21">
        <f t="shared" si="152"/>
        <v>0</v>
      </c>
      <c r="BK110" s="21">
        <f t="shared" si="152"/>
        <v>0</v>
      </c>
      <c r="BL110" s="21">
        <f t="shared" si="152"/>
        <v>0</v>
      </c>
      <c r="BM110" s="21">
        <f t="shared" si="152"/>
        <v>0</v>
      </c>
      <c r="BN110" s="21">
        <f t="shared" si="152"/>
        <v>0</v>
      </c>
      <c r="BO110" s="21">
        <f t="shared" si="152"/>
        <v>0</v>
      </c>
      <c r="BP110" s="21">
        <f t="shared" si="152"/>
        <v>0</v>
      </c>
      <c r="BQ110" s="21">
        <f t="shared" si="152"/>
        <v>0</v>
      </c>
      <c r="BR110" s="21">
        <f t="shared" si="152"/>
        <v>0</v>
      </c>
      <c r="BS110" s="21">
        <f t="shared" si="152"/>
        <v>0</v>
      </c>
      <c r="BT110" s="21">
        <f t="shared" ref="BT110:CU110" si="154">SUM(BT111+BT113)</f>
        <v>0</v>
      </c>
      <c r="BU110" s="21">
        <f t="shared" si="154"/>
        <v>0</v>
      </c>
      <c r="BV110" s="21">
        <f t="shared" si="154"/>
        <v>0</v>
      </c>
      <c r="BW110" s="21">
        <f t="shared" si="154"/>
        <v>0</v>
      </c>
      <c r="BX110" s="21">
        <f t="shared" si="154"/>
        <v>0</v>
      </c>
      <c r="BY110" s="21">
        <f t="shared" si="154"/>
        <v>43835</v>
      </c>
      <c r="BZ110" s="21">
        <f t="shared" si="154"/>
        <v>43835</v>
      </c>
      <c r="CA110" s="21">
        <f t="shared" si="154"/>
        <v>43835</v>
      </c>
      <c r="CB110" s="21">
        <f t="shared" si="154"/>
        <v>0</v>
      </c>
      <c r="CC110" s="21">
        <f t="shared" si="154"/>
        <v>43835</v>
      </c>
      <c r="CD110" s="21">
        <f t="shared" si="154"/>
        <v>0</v>
      </c>
      <c r="CE110" s="21">
        <f t="shared" si="154"/>
        <v>0</v>
      </c>
      <c r="CF110" s="21">
        <f t="shared" si="154"/>
        <v>0</v>
      </c>
      <c r="CG110" s="21">
        <f t="shared" si="154"/>
        <v>0</v>
      </c>
      <c r="CH110" s="21">
        <f t="shared" si="154"/>
        <v>0</v>
      </c>
      <c r="CI110" s="21">
        <f t="shared" ref="CI110" si="155">SUM(CI111+CI113)</f>
        <v>0</v>
      </c>
      <c r="CJ110" s="21">
        <f t="shared" si="154"/>
        <v>0</v>
      </c>
      <c r="CK110" s="21">
        <f t="shared" si="154"/>
        <v>0</v>
      </c>
      <c r="CL110" s="21">
        <f t="shared" si="154"/>
        <v>0</v>
      </c>
      <c r="CM110" s="21">
        <f t="shared" si="154"/>
        <v>0</v>
      </c>
      <c r="CN110" s="21">
        <f t="shared" si="154"/>
        <v>0</v>
      </c>
      <c r="CO110" s="21">
        <f t="shared" si="154"/>
        <v>0</v>
      </c>
      <c r="CP110" s="21">
        <f t="shared" si="154"/>
        <v>0</v>
      </c>
      <c r="CQ110" s="21">
        <f t="shared" si="154"/>
        <v>0</v>
      </c>
      <c r="CR110" s="21">
        <f t="shared" si="154"/>
        <v>0</v>
      </c>
      <c r="CS110" s="21">
        <f t="shared" si="154"/>
        <v>0</v>
      </c>
      <c r="CT110" s="21">
        <f t="shared" si="154"/>
        <v>0</v>
      </c>
      <c r="CU110" s="22">
        <f t="shared" si="154"/>
        <v>0</v>
      </c>
      <c r="CV110" s="38"/>
    </row>
    <row r="111" spans="1:100" ht="15.75" x14ac:dyDescent="0.25">
      <c r="A111" s="13" t="s">
        <v>107</v>
      </c>
      <c r="B111" s="14" t="s">
        <v>7</v>
      </c>
      <c r="C111" s="14" t="s">
        <v>1</v>
      </c>
      <c r="D111" s="30" t="s">
        <v>135</v>
      </c>
      <c r="E111" s="15">
        <f>SUM(E112)</f>
        <v>8642083</v>
      </c>
      <c r="F111" s="16">
        <f t="shared" ref="F111:BS111" si="156">SUM(F112)</f>
        <v>8642083</v>
      </c>
      <c r="G111" s="16">
        <f t="shared" si="156"/>
        <v>0</v>
      </c>
      <c r="H111" s="16">
        <f t="shared" si="156"/>
        <v>0</v>
      </c>
      <c r="I111" s="16">
        <f t="shared" si="156"/>
        <v>0</v>
      </c>
      <c r="J111" s="16">
        <f t="shared" si="156"/>
        <v>0</v>
      </c>
      <c r="K111" s="16">
        <f t="shared" si="156"/>
        <v>0</v>
      </c>
      <c r="L111" s="16">
        <f t="shared" si="156"/>
        <v>0</v>
      </c>
      <c r="M111" s="16">
        <f t="shared" si="156"/>
        <v>0</v>
      </c>
      <c r="N111" s="16">
        <f t="shared" si="156"/>
        <v>0</v>
      </c>
      <c r="O111" s="16">
        <f t="shared" si="156"/>
        <v>0</v>
      </c>
      <c r="P111" s="16">
        <f t="shared" si="156"/>
        <v>0</v>
      </c>
      <c r="Q111" s="16">
        <f t="shared" si="156"/>
        <v>0</v>
      </c>
      <c r="R111" s="16">
        <f t="shared" si="156"/>
        <v>0</v>
      </c>
      <c r="S111" s="16">
        <f t="shared" si="156"/>
        <v>0</v>
      </c>
      <c r="T111" s="16">
        <f t="shared" si="156"/>
        <v>0</v>
      </c>
      <c r="U111" s="16">
        <f t="shared" si="156"/>
        <v>0</v>
      </c>
      <c r="V111" s="16">
        <f t="shared" si="156"/>
        <v>0</v>
      </c>
      <c r="W111" s="16">
        <f t="shared" si="156"/>
        <v>0</v>
      </c>
      <c r="X111" s="16">
        <f t="shared" si="156"/>
        <v>0</v>
      </c>
      <c r="Y111" s="16">
        <f t="shared" si="156"/>
        <v>0</v>
      </c>
      <c r="Z111" s="16">
        <f t="shared" si="156"/>
        <v>0</v>
      </c>
      <c r="AA111" s="16">
        <f t="shared" si="156"/>
        <v>0</v>
      </c>
      <c r="AB111" s="16">
        <f t="shared" si="156"/>
        <v>0</v>
      </c>
      <c r="AC111" s="16">
        <f t="shared" si="156"/>
        <v>0</v>
      </c>
      <c r="AD111" s="16">
        <f t="shared" si="156"/>
        <v>0</v>
      </c>
      <c r="AE111" s="16">
        <f t="shared" si="156"/>
        <v>0</v>
      </c>
      <c r="AF111" s="16">
        <f t="shared" si="156"/>
        <v>0</v>
      </c>
      <c r="AG111" s="16">
        <f t="shared" si="156"/>
        <v>0</v>
      </c>
      <c r="AH111" s="16">
        <f t="shared" si="156"/>
        <v>0</v>
      </c>
      <c r="AI111" s="16">
        <f t="shared" si="156"/>
        <v>0</v>
      </c>
      <c r="AJ111" s="16">
        <f t="shared" si="156"/>
        <v>0</v>
      </c>
      <c r="AK111" s="16">
        <f t="shared" si="156"/>
        <v>0</v>
      </c>
      <c r="AL111" s="16">
        <f t="shared" si="156"/>
        <v>0</v>
      </c>
      <c r="AM111" s="16">
        <f t="shared" si="156"/>
        <v>0</v>
      </c>
      <c r="AN111" s="16">
        <f t="shared" si="156"/>
        <v>0</v>
      </c>
      <c r="AO111" s="16">
        <f t="shared" si="156"/>
        <v>0</v>
      </c>
      <c r="AP111" s="16">
        <f t="shared" si="156"/>
        <v>0</v>
      </c>
      <c r="AQ111" s="16">
        <f t="shared" si="156"/>
        <v>0</v>
      </c>
      <c r="AR111" s="16">
        <f t="shared" si="156"/>
        <v>0</v>
      </c>
      <c r="AS111" s="16">
        <f t="shared" si="156"/>
        <v>0</v>
      </c>
      <c r="AT111" s="16">
        <f t="shared" si="156"/>
        <v>0</v>
      </c>
      <c r="AU111" s="16">
        <f t="shared" si="156"/>
        <v>0</v>
      </c>
      <c r="AV111" s="16">
        <f t="shared" si="156"/>
        <v>0</v>
      </c>
      <c r="AW111" s="16">
        <f t="shared" si="156"/>
        <v>0</v>
      </c>
      <c r="AX111" s="16">
        <f t="shared" si="156"/>
        <v>0</v>
      </c>
      <c r="AY111" s="16">
        <f t="shared" si="156"/>
        <v>0</v>
      </c>
      <c r="AZ111" s="16">
        <f t="shared" si="156"/>
        <v>0</v>
      </c>
      <c r="BA111" s="16">
        <f t="shared" si="156"/>
        <v>8642083</v>
      </c>
      <c r="BB111" s="16">
        <f t="shared" si="156"/>
        <v>0</v>
      </c>
      <c r="BC111" s="16">
        <f t="shared" si="156"/>
        <v>0</v>
      </c>
      <c r="BD111" s="16">
        <f t="shared" si="156"/>
        <v>0</v>
      </c>
      <c r="BE111" s="16">
        <f t="shared" si="156"/>
        <v>0</v>
      </c>
      <c r="BF111" s="16">
        <f t="shared" si="156"/>
        <v>8642083</v>
      </c>
      <c r="BG111" s="16">
        <f t="shared" si="156"/>
        <v>8642083</v>
      </c>
      <c r="BH111" s="16">
        <f t="shared" si="156"/>
        <v>0</v>
      </c>
      <c r="BI111" s="16">
        <f t="shared" si="156"/>
        <v>0</v>
      </c>
      <c r="BJ111" s="16">
        <f t="shared" si="156"/>
        <v>0</v>
      </c>
      <c r="BK111" s="16">
        <f t="shared" si="156"/>
        <v>0</v>
      </c>
      <c r="BL111" s="16">
        <f t="shared" si="156"/>
        <v>0</v>
      </c>
      <c r="BM111" s="16">
        <f t="shared" si="156"/>
        <v>0</v>
      </c>
      <c r="BN111" s="16">
        <f t="shared" si="156"/>
        <v>0</v>
      </c>
      <c r="BO111" s="16">
        <f t="shared" si="156"/>
        <v>0</v>
      </c>
      <c r="BP111" s="16">
        <f t="shared" si="156"/>
        <v>0</v>
      </c>
      <c r="BQ111" s="16">
        <f t="shared" si="156"/>
        <v>0</v>
      </c>
      <c r="BR111" s="16">
        <f t="shared" si="156"/>
        <v>0</v>
      </c>
      <c r="BS111" s="16">
        <f t="shared" si="156"/>
        <v>0</v>
      </c>
      <c r="BT111" s="16">
        <f t="shared" ref="BT111:CU111" si="157">SUM(BT112)</f>
        <v>0</v>
      </c>
      <c r="BU111" s="16">
        <f t="shared" si="157"/>
        <v>0</v>
      </c>
      <c r="BV111" s="16">
        <f t="shared" si="157"/>
        <v>0</v>
      </c>
      <c r="BW111" s="16">
        <f t="shared" si="157"/>
        <v>0</v>
      </c>
      <c r="BX111" s="16">
        <f t="shared" si="157"/>
        <v>0</v>
      </c>
      <c r="BY111" s="16">
        <f t="shared" si="157"/>
        <v>0</v>
      </c>
      <c r="BZ111" s="16">
        <f t="shared" si="157"/>
        <v>0</v>
      </c>
      <c r="CA111" s="16">
        <f t="shared" si="157"/>
        <v>0</v>
      </c>
      <c r="CB111" s="16">
        <f t="shared" si="157"/>
        <v>0</v>
      </c>
      <c r="CC111" s="16">
        <f t="shared" si="157"/>
        <v>0</v>
      </c>
      <c r="CD111" s="16">
        <f t="shared" si="157"/>
        <v>0</v>
      </c>
      <c r="CE111" s="16">
        <f t="shared" si="157"/>
        <v>0</v>
      </c>
      <c r="CF111" s="16">
        <f t="shared" si="157"/>
        <v>0</v>
      </c>
      <c r="CG111" s="16">
        <f t="shared" si="157"/>
        <v>0</v>
      </c>
      <c r="CH111" s="16">
        <f t="shared" si="157"/>
        <v>0</v>
      </c>
      <c r="CI111" s="16">
        <f t="shared" si="157"/>
        <v>0</v>
      </c>
      <c r="CJ111" s="16">
        <f t="shared" si="157"/>
        <v>0</v>
      </c>
      <c r="CK111" s="16">
        <f t="shared" si="157"/>
        <v>0</v>
      </c>
      <c r="CL111" s="16">
        <f t="shared" si="157"/>
        <v>0</v>
      </c>
      <c r="CM111" s="16">
        <f t="shared" si="157"/>
        <v>0</v>
      </c>
      <c r="CN111" s="16">
        <f t="shared" si="157"/>
        <v>0</v>
      </c>
      <c r="CO111" s="16">
        <f t="shared" si="157"/>
        <v>0</v>
      </c>
      <c r="CP111" s="16">
        <f t="shared" si="157"/>
        <v>0</v>
      </c>
      <c r="CQ111" s="16">
        <f t="shared" si="157"/>
        <v>0</v>
      </c>
      <c r="CR111" s="16">
        <f t="shared" si="157"/>
        <v>0</v>
      </c>
      <c r="CS111" s="16">
        <f t="shared" si="157"/>
        <v>0</v>
      </c>
      <c r="CT111" s="16">
        <f t="shared" si="157"/>
        <v>0</v>
      </c>
      <c r="CU111" s="17">
        <f t="shared" si="157"/>
        <v>0</v>
      </c>
      <c r="CV111" s="38"/>
    </row>
    <row r="112" spans="1:100" ht="31.5" x14ac:dyDescent="0.25">
      <c r="A112" s="13" t="s">
        <v>1</v>
      </c>
      <c r="B112" s="14" t="s">
        <v>1</v>
      </c>
      <c r="C112" s="14" t="s">
        <v>29</v>
      </c>
      <c r="D112" s="30" t="s">
        <v>496</v>
      </c>
      <c r="E112" s="15">
        <f>SUM(F112+BY112+CR112)</f>
        <v>8642083</v>
      </c>
      <c r="F112" s="16">
        <f>SUM(G112+BA112)</f>
        <v>8642083</v>
      </c>
      <c r="G112" s="16">
        <f>SUM(H112+I112+J112+Q112+T112+U112+V112+AE112)</f>
        <v>0</v>
      </c>
      <c r="H112" s="16">
        <v>0</v>
      </c>
      <c r="I112" s="16">
        <v>0</v>
      </c>
      <c r="J112" s="16">
        <f t="shared" si="103"/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f t="shared" si="104"/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f>SUM(W112:AD112)</f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f>SUM(AF112:AZ112)</f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f>SUM(BB112+BF112+BI112+BK112+BM112)</f>
        <v>8642083</v>
      </c>
      <c r="BB112" s="16">
        <f>SUM(BC112:BE112)</f>
        <v>0</v>
      </c>
      <c r="BC112" s="16">
        <v>0</v>
      </c>
      <c r="BD112" s="16">
        <v>0</v>
      </c>
      <c r="BE112" s="16">
        <v>0</v>
      </c>
      <c r="BF112" s="16">
        <f t="shared" si="105"/>
        <v>8642083</v>
      </c>
      <c r="BG112" s="16">
        <v>8642083</v>
      </c>
      <c r="BH112" s="16">
        <v>0</v>
      </c>
      <c r="BI112" s="16">
        <v>0</v>
      </c>
      <c r="BJ112" s="16">
        <v>0</v>
      </c>
      <c r="BK112" s="16">
        <f t="shared" si="106"/>
        <v>0</v>
      </c>
      <c r="BL112" s="16">
        <v>0</v>
      </c>
      <c r="BM112" s="16">
        <f t="shared" si="107"/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f>SUM(BZ112+CQ112)</f>
        <v>0</v>
      </c>
      <c r="BZ112" s="16">
        <f>SUM(CA112+CD112+CJ112)</f>
        <v>0</v>
      </c>
      <c r="CA112" s="16">
        <f t="shared" si="108"/>
        <v>0</v>
      </c>
      <c r="CB112" s="16">
        <v>0</v>
      </c>
      <c r="CC112" s="16">
        <v>0</v>
      </c>
      <c r="CD112" s="16">
        <f>SUM(CE112:CH112)</f>
        <v>0</v>
      </c>
      <c r="CE112" s="16">
        <v>0</v>
      </c>
      <c r="CF112" s="16">
        <v>0</v>
      </c>
      <c r="CG112" s="16">
        <v>0</v>
      </c>
      <c r="CH112" s="16">
        <v>0</v>
      </c>
      <c r="CI112" s="16">
        <v>0</v>
      </c>
      <c r="CJ112" s="16">
        <f>SUM(CK112:CN112)</f>
        <v>0</v>
      </c>
      <c r="CK112" s="16">
        <v>0</v>
      </c>
      <c r="CL112" s="16">
        <v>0</v>
      </c>
      <c r="CM112" s="16">
        <v>0</v>
      </c>
      <c r="CN112" s="16">
        <v>0</v>
      </c>
      <c r="CO112" s="16">
        <v>0</v>
      </c>
      <c r="CP112" s="16">
        <v>0</v>
      </c>
      <c r="CQ112" s="16">
        <v>0</v>
      </c>
      <c r="CR112" s="16">
        <f t="shared" si="109"/>
        <v>0</v>
      </c>
      <c r="CS112" s="16">
        <f t="shared" si="110"/>
        <v>0</v>
      </c>
      <c r="CT112" s="16">
        <v>0</v>
      </c>
      <c r="CU112" s="17">
        <v>0</v>
      </c>
      <c r="CV112" s="38"/>
    </row>
    <row r="113" spans="1:100" ht="15.75" x14ac:dyDescent="0.25">
      <c r="A113" s="13" t="s">
        <v>107</v>
      </c>
      <c r="B113" s="14" t="s">
        <v>50</v>
      </c>
      <c r="C113" s="14" t="s">
        <v>1</v>
      </c>
      <c r="D113" s="30" t="s">
        <v>136</v>
      </c>
      <c r="E113" s="15">
        <f t="shared" ref="E113:AJ113" si="158">SUM(E114)</f>
        <v>3830825</v>
      </c>
      <c r="F113" s="16">
        <f t="shared" si="158"/>
        <v>3786990</v>
      </c>
      <c r="G113" s="16">
        <f t="shared" si="158"/>
        <v>3786990</v>
      </c>
      <c r="H113" s="16">
        <f t="shared" si="158"/>
        <v>2971382</v>
      </c>
      <c r="I113" s="16">
        <f t="shared" si="158"/>
        <v>680746</v>
      </c>
      <c r="J113" s="16">
        <f t="shared" si="158"/>
        <v>45417</v>
      </c>
      <c r="K113" s="16">
        <f t="shared" si="158"/>
        <v>0</v>
      </c>
      <c r="L113" s="16">
        <f t="shared" si="158"/>
        <v>0</v>
      </c>
      <c r="M113" s="16">
        <f t="shared" si="158"/>
        <v>0</v>
      </c>
      <c r="N113" s="16">
        <f t="shared" si="158"/>
        <v>2513</v>
      </c>
      <c r="O113" s="16">
        <f t="shared" si="158"/>
        <v>42904</v>
      </c>
      <c r="P113" s="16">
        <f t="shared" si="158"/>
        <v>0</v>
      </c>
      <c r="Q113" s="16">
        <f t="shared" si="158"/>
        <v>0</v>
      </c>
      <c r="R113" s="16">
        <f t="shared" si="158"/>
        <v>0</v>
      </c>
      <c r="S113" s="16">
        <f t="shared" si="158"/>
        <v>0</v>
      </c>
      <c r="T113" s="16">
        <f t="shared" si="158"/>
        <v>0</v>
      </c>
      <c r="U113" s="16">
        <f t="shared" si="158"/>
        <v>40815</v>
      </c>
      <c r="V113" s="16">
        <f t="shared" si="158"/>
        <v>20114</v>
      </c>
      <c r="W113" s="16">
        <f t="shared" si="158"/>
        <v>0</v>
      </c>
      <c r="X113" s="16">
        <f t="shared" si="158"/>
        <v>4431</v>
      </c>
      <c r="Y113" s="16">
        <f t="shared" si="158"/>
        <v>15555</v>
      </c>
      <c r="Z113" s="16">
        <f t="shared" si="158"/>
        <v>128</v>
      </c>
      <c r="AA113" s="16">
        <f t="shared" si="158"/>
        <v>0</v>
      </c>
      <c r="AB113" s="16">
        <f t="shared" si="158"/>
        <v>0</v>
      </c>
      <c r="AC113" s="16">
        <f t="shared" si="158"/>
        <v>0</v>
      </c>
      <c r="AD113" s="16">
        <f t="shared" si="158"/>
        <v>0</v>
      </c>
      <c r="AE113" s="16">
        <f t="shared" si="158"/>
        <v>28516</v>
      </c>
      <c r="AF113" s="16">
        <f t="shared" si="158"/>
        <v>0</v>
      </c>
      <c r="AG113" s="16">
        <f t="shared" si="158"/>
        <v>0</v>
      </c>
      <c r="AH113" s="16">
        <f t="shared" si="158"/>
        <v>6598</v>
      </c>
      <c r="AI113" s="16">
        <f t="shared" si="158"/>
        <v>0</v>
      </c>
      <c r="AJ113" s="16">
        <f t="shared" si="158"/>
        <v>0</v>
      </c>
      <c r="AK113" s="16">
        <f t="shared" ref="AK113:BR113" si="159">SUM(AK114)</f>
        <v>0</v>
      </c>
      <c r="AL113" s="16">
        <f t="shared" si="159"/>
        <v>21918</v>
      </c>
      <c r="AM113" s="16">
        <f t="shared" si="159"/>
        <v>0</v>
      </c>
      <c r="AN113" s="16">
        <f t="shared" si="159"/>
        <v>0</v>
      </c>
      <c r="AO113" s="16">
        <f t="shared" si="159"/>
        <v>0</v>
      </c>
      <c r="AP113" s="16">
        <f t="shared" si="159"/>
        <v>0</v>
      </c>
      <c r="AQ113" s="16">
        <f t="shared" si="159"/>
        <v>0</v>
      </c>
      <c r="AR113" s="16">
        <f t="shared" si="159"/>
        <v>0</v>
      </c>
      <c r="AS113" s="16">
        <f t="shared" si="159"/>
        <v>0</v>
      </c>
      <c r="AT113" s="16">
        <f t="shared" si="159"/>
        <v>0</v>
      </c>
      <c r="AU113" s="16">
        <f t="shared" si="159"/>
        <v>0</v>
      </c>
      <c r="AV113" s="16">
        <f t="shared" si="159"/>
        <v>0</v>
      </c>
      <c r="AW113" s="16">
        <f t="shared" si="159"/>
        <v>0</v>
      </c>
      <c r="AX113" s="16">
        <f t="shared" si="159"/>
        <v>0</v>
      </c>
      <c r="AY113" s="16">
        <f t="shared" si="159"/>
        <v>0</v>
      </c>
      <c r="AZ113" s="16">
        <f t="shared" si="159"/>
        <v>0</v>
      </c>
      <c r="BA113" s="16">
        <f t="shared" si="159"/>
        <v>0</v>
      </c>
      <c r="BB113" s="16">
        <f t="shared" si="159"/>
        <v>0</v>
      </c>
      <c r="BC113" s="16">
        <f t="shared" si="159"/>
        <v>0</v>
      </c>
      <c r="BD113" s="16">
        <f t="shared" si="159"/>
        <v>0</v>
      </c>
      <c r="BE113" s="16">
        <f t="shared" si="159"/>
        <v>0</v>
      </c>
      <c r="BF113" s="16">
        <f t="shared" si="159"/>
        <v>0</v>
      </c>
      <c r="BG113" s="16">
        <f t="shared" si="159"/>
        <v>0</v>
      </c>
      <c r="BH113" s="16">
        <f t="shared" si="159"/>
        <v>0</v>
      </c>
      <c r="BI113" s="16">
        <f t="shared" si="159"/>
        <v>0</v>
      </c>
      <c r="BJ113" s="16">
        <f t="shared" si="159"/>
        <v>0</v>
      </c>
      <c r="BK113" s="16">
        <f t="shared" si="159"/>
        <v>0</v>
      </c>
      <c r="BL113" s="16">
        <f t="shared" si="159"/>
        <v>0</v>
      </c>
      <c r="BM113" s="16">
        <f t="shared" si="159"/>
        <v>0</v>
      </c>
      <c r="BN113" s="16">
        <f t="shared" si="159"/>
        <v>0</v>
      </c>
      <c r="BO113" s="16">
        <f t="shared" si="159"/>
        <v>0</v>
      </c>
      <c r="BP113" s="16">
        <f t="shared" si="159"/>
        <v>0</v>
      </c>
      <c r="BQ113" s="16">
        <f t="shared" si="159"/>
        <v>0</v>
      </c>
      <c r="BR113" s="16">
        <f t="shared" si="159"/>
        <v>0</v>
      </c>
      <c r="BS113" s="16">
        <f t="shared" ref="BS113:CU113" si="160">SUM(BS114)</f>
        <v>0</v>
      </c>
      <c r="BT113" s="16">
        <f t="shared" si="160"/>
        <v>0</v>
      </c>
      <c r="BU113" s="16">
        <f t="shared" si="160"/>
        <v>0</v>
      </c>
      <c r="BV113" s="16">
        <f t="shared" si="160"/>
        <v>0</v>
      </c>
      <c r="BW113" s="16">
        <f t="shared" si="160"/>
        <v>0</v>
      </c>
      <c r="BX113" s="16">
        <f t="shared" si="160"/>
        <v>0</v>
      </c>
      <c r="BY113" s="16">
        <f t="shared" si="160"/>
        <v>43835</v>
      </c>
      <c r="BZ113" s="16">
        <f t="shared" si="160"/>
        <v>43835</v>
      </c>
      <c r="CA113" s="16">
        <f t="shared" si="160"/>
        <v>43835</v>
      </c>
      <c r="CB113" s="16">
        <f t="shared" si="160"/>
        <v>0</v>
      </c>
      <c r="CC113" s="16">
        <f t="shared" si="160"/>
        <v>43835</v>
      </c>
      <c r="CD113" s="16">
        <f t="shared" si="160"/>
        <v>0</v>
      </c>
      <c r="CE113" s="16">
        <f t="shared" si="160"/>
        <v>0</v>
      </c>
      <c r="CF113" s="16">
        <f t="shared" si="160"/>
        <v>0</v>
      </c>
      <c r="CG113" s="16">
        <f t="shared" si="160"/>
        <v>0</v>
      </c>
      <c r="CH113" s="16">
        <f t="shared" si="160"/>
        <v>0</v>
      </c>
      <c r="CI113" s="16">
        <f t="shared" si="160"/>
        <v>0</v>
      </c>
      <c r="CJ113" s="16">
        <f t="shared" si="160"/>
        <v>0</v>
      </c>
      <c r="CK113" s="16">
        <f t="shared" si="160"/>
        <v>0</v>
      </c>
      <c r="CL113" s="16">
        <f t="shared" si="160"/>
        <v>0</v>
      </c>
      <c r="CM113" s="16">
        <f t="shared" si="160"/>
        <v>0</v>
      </c>
      <c r="CN113" s="16">
        <f t="shared" si="160"/>
        <v>0</v>
      </c>
      <c r="CO113" s="16">
        <f t="shared" si="160"/>
        <v>0</v>
      </c>
      <c r="CP113" s="16">
        <f t="shared" si="160"/>
        <v>0</v>
      </c>
      <c r="CQ113" s="16">
        <f t="shared" si="160"/>
        <v>0</v>
      </c>
      <c r="CR113" s="16">
        <f t="shared" si="160"/>
        <v>0</v>
      </c>
      <c r="CS113" s="16">
        <f t="shared" si="160"/>
        <v>0</v>
      </c>
      <c r="CT113" s="16">
        <f t="shared" si="160"/>
        <v>0</v>
      </c>
      <c r="CU113" s="17">
        <f t="shared" si="160"/>
        <v>0</v>
      </c>
      <c r="CV113" s="38"/>
    </row>
    <row r="114" spans="1:100" ht="31.5" x14ac:dyDescent="0.25">
      <c r="A114" s="13" t="s">
        <v>1</v>
      </c>
      <c r="B114" s="14" t="s">
        <v>1</v>
      </c>
      <c r="C114" s="14" t="s">
        <v>29</v>
      </c>
      <c r="D114" s="30" t="s">
        <v>137</v>
      </c>
      <c r="E114" s="15">
        <f>SUM(F114+BY114+CR114)</f>
        <v>3830825</v>
      </c>
      <c r="F114" s="16">
        <f>SUM(G114+BA114)</f>
        <v>3786990</v>
      </c>
      <c r="G114" s="16">
        <f>SUM(H114+I114+J114+Q114+T114+U114+V114+AE114)</f>
        <v>3786990</v>
      </c>
      <c r="H114" s="16">
        <v>2971382</v>
      </c>
      <c r="I114" s="16">
        <v>680746</v>
      </c>
      <c r="J114" s="16">
        <f t="shared" si="103"/>
        <v>45417</v>
      </c>
      <c r="K114" s="16">
        <v>0</v>
      </c>
      <c r="L114" s="16">
        <v>0</v>
      </c>
      <c r="M114" s="16">
        <v>0</v>
      </c>
      <c r="N114" s="16">
        <v>2513</v>
      </c>
      <c r="O114" s="16">
        <v>42904</v>
      </c>
      <c r="P114" s="16">
        <v>0</v>
      </c>
      <c r="Q114" s="16">
        <f t="shared" si="104"/>
        <v>0</v>
      </c>
      <c r="R114" s="16">
        <v>0</v>
      </c>
      <c r="S114" s="16">
        <v>0</v>
      </c>
      <c r="T114" s="16">
        <v>0</v>
      </c>
      <c r="U114" s="16">
        <v>40815</v>
      </c>
      <c r="V114" s="16">
        <f>SUM(W114:AD114)</f>
        <v>20114</v>
      </c>
      <c r="W114" s="16">
        <v>0</v>
      </c>
      <c r="X114" s="16">
        <v>4431</v>
      </c>
      <c r="Y114" s="16">
        <v>15555</v>
      </c>
      <c r="Z114" s="16">
        <v>128</v>
      </c>
      <c r="AA114" s="16">
        <v>0</v>
      </c>
      <c r="AB114" s="16">
        <v>0</v>
      </c>
      <c r="AC114" s="16">
        <v>0</v>
      </c>
      <c r="AD114" s="16">
        <v>0</v>
      </c>
      <c r="AE114" s="16">
        <f>SUM(AF114:AZ114)</f>
        <v>28516</v>
      </c>
      <c r="AF114" s="16">
        <v>0</v>
      </c>
      <c r="AG114" s="16">
        <v>0</v>
      </c>
      <c r="AH114" s="16">
        <v>6598</v>
      </c>
      <c r="AI114" s="16">
        <v>0</v>
      </c>
      <c r="AJ114" s="16">
        <v>0</v>
      </c>
      <c r="AK114" s="16">
        <v>0</v>
      </c>
      <c r="AL114" s="16">
        <v>21918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f>SUM(BB114+BF114+BI114+BK114+BM114)</f>
        <v>0</v>
      </c>
      <c r="BB114" s="16">
        <f>SUM(BC114:BE114)</f>
        <v>0</v>
      </c>
      <c r="BC114" s="16">
        <v>0</v>
      </c>
      <c r="BD114" s="16">
        <v>0</v>
      </c>
      <c r="BE114" s="16">
        <v>0</v>
      </c>
      <c r="BF114" s="16">
        <f t="shared" si="105"/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f t="shared" si="106"/>
        <v>0</v>
      </c>
      <c r="BL114" s="16">
        <v>0</v>
      </c>
      <c r="BM114" s="16">
        <f t="shared" si="107"/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f>SUM(BZ114+CQ114)</f>
        <v>43835</v>
      </c>
      <c r="BZ114" s="16">
        <f>SUM(CA114+CD114+CJ114)</f>
        <v>43835</v>
      </c>
      <c r="CA114" s="16">
        <f t="shared" si="108"/>
        <v>43835</v>
      </c>
      <c r="CB114" s="16">
        <v>0</v>
      </c>
      <c r="CC114" s="16">
        <v>43835</v>
      </c>
      <c r="CD114" s="16">
        <f>SUM(CE114:CH114)</f>
        <v>0</v>
      </c>
      <c r="CE114" s="16">
        <v>0</v>
      </c>
      <c r="CF114" s="16">
        <v>0</v>
      </c>
      <c r="CG114" s="16">
        <v>0</v>
      </c>
      <c r="CH114" s="16">
        <v>0</v>
      </c>
      <c r="CI114" s="16">
        <v>0</v>
      </c>
      <c r="CJ114" s="16">
        <f>SUM(CK114:CN114)</f>
        <v>0</v>
      </c>
      <c r="CK114" s="16">
        <v>0</v>
      </c>
      <c r="CL114" s="16">
        <v>0</v>
      </c>
      <c r="CM114" s="16">
        <v>0</v>
      </c>
      <c r="CN114" s="16">
        <v>0</v>
      </c>
      <c r="CO114" s="16">
        <v>0</v>
      </c>
      <c r="CP114" s="16">
        <v>0</v>
      </c>
      <c r="CQ114" s="16">
        <v>0</v>
      </c>
      <c r="CR114" s="16">
        <f t="shared" si="109"/>
        <v>0</v>
      </c>
      <c r="CS114" s="16">
        <f t="shared" si="110"/>
        <v>0</v>
      </c>
      <c r="CT114" s="16">
        <v>0</v>
      </c>
      <c r="CU114" s="17">
        <v>0</v>
      </c>
      <c r="CV114" s="38"/>
    </row>
    <row r="115" spans="1:100" ht="31.5" x14ac:dyDescent="0.25">
      <c r="A115" s="18" t="s">
        <v>138</v>
      </c>
      <c r="B115" s="19" t="s">
        <v>1</v>
      </c>
      <c r="C115" s="19" t="s">
        <v>1</v>
      </c>
      <c r="D115" s="31" t="s">
        <v>139</v>
      </c>
      <c r="E115" s="20">
        <f t="shared" ref="E115:AJ115" si="161">SUM(E116+E118+E120+E123)</f>
        <v>32159033</v>
      </c>
      <c r="F115" s="21">
        <f t="shared" si="161"/>
        <v>32159033</v>
      </c>
      <c r="G115" s="21">
        <f t="shared" si="161"/>
        <v>4949220</v>
      </c>
      <c r="H115" s="21">
        <f t="shared" si="161"/>
        <v>0</v>
      </c>
      <c r="I115" s="21">
        <f t="shared" si="161"/>
        <v>0</v>
      </c>
      <c r="J115" s="21">
        <f t="shared" si="161"/>
        <v>0</v>
      </c>
      <c r="K115" s="21">
        <f t="shared" si="161"/>
        <v>0</v>
      </c>
      <c r="L115" s="21">
        <f t="shared" si="161"/>
        <v>0</v>
      </c>
      <c r="M115" s="21">
        <f t="shared" si="161"/>
        <v>0</v>
      </c>
      <c r="N115" s="21">
        <f t="shared" si="161"/>
        <v>0</v>
      </c>
      <c r="O115" s="21">
        <f t="shared" si="161"/>
        <v>0</v>
      </c>
      <c r="P115" s="21">
        <f t="shared" si="161"/>
        <v>0</v>
      </c>
      <c r="Q115" s="21">
        <f t="shared" si="161"/>
        <v>0</v>
      </c>
      <c r="R115" s="21">
        <f t="shared" si="161"/>
        <v>0</v>
      </c>
      <c r="S115" s="21">
        <f t="shared" si="161"/>
        <v>0</v>
      </c>
      <c r="T115" s="21">
        <f t="shared" si="161"/>
        <v>0</v>
      </c>
      <c r="U115" s="21">
        <f t="shared" si="161"/>
        <v>0</v>
      </c>
      <c r="V115" s="21">
        <f t="shared" si="161"/>
        <v>0</v>
      </c>
      <c r="W115" s="21">
        <f t="shared" si="161"/>
        <v>0</v>
      </c>
      <c r="X115" s="21">
        <f t="shared" si="161"/>
        <v>0</v>
      </c>
      <c r="Y115" s="21">
        <f t="shared" si="161"/>
        <v>0</v>
      </c>
      <c r="Z115" s="21">
        <f t="shared" si="161"/>
        <v>0</v>
      </c>
      <c r="AA115" s="21">
        <f t="shared" si="161"/>
        <v>0</v>
      </c>
      <c r="AB115" s="21">
        <f t="shared" si="161"/>
        <v>0</v>
      </c>
      <c r="AC115" s="21">
        <f t="shared" si="161"/>
        <v>0</v>
      </c>
      <c r="AD115" s="21">
        <f t="shared" si="161"/>
        <v>0</v>
      </c>
      <c r="AE115" s="21">
        <f t="shared" si="161"/>
        <v>4949220</v>
      </c>
      <c r="AF115" s="21">
        <f t="shared" si="161"/>
        <v>0</v>
      </c>
      <c r="AG115" s="21">
        <f t="shared" si="161"/>
        <v>0</v>
      </c>
      <c r="AH115" s="21">
        <f t="shared" si="161"/>
        <v>0</v>
      </c>
      <c r="AI115" s="21">
        <f t="shared" si="161"/>
        <v>0</v>
      </c>
      <c r="AJ115" s="21">
        <f t="shared" si="161"/>
        <v>0</v>
      </c>
      <c r="AK115" s="21">
        <f t="shared" ref="AK115:BP115" si="162">SUM(AK116+AK118+AK120+AK123)</f>
        <v>0</v>
      </c>
      <c r="AL115" s="21">
        <f t="shared" si="162"/>
        <v>0</v>
      </c>
      <c r="AM115" s="21">
        <f t="shared" si="162"/>
        <v>0</v>
      </c>
      <c r="AN115" s="21">
        <f t="shared" si="162"/>
        <v>0</v>
      </c>
      <c r="AO115" s="21">
        <f t="shared" si="162"/>
        <v>0</v>
      </c>
      <c r="AP115" s="21">
        <f t="shared" si="162"/>
        <v>0</v>
      </c>
      <c r="AQ115" s="21">
        <f t="shared" si="162"/>
        <v>0</v>
      </c>
      <c r="AR115" s="21">
        <f t="shared" si="162"/>
        <v>0</v>
      </c>
      <c r="AS115" s="21">
        <f t="shared" si="162"/>
        <v>0</v>
      </c>
      <c r="AT115" s="21">
        <f t="shared" si="162"/>
        <v>0</v>
      </c>
      <c r="AU115" s="21">
        <f t="shared" si="162"/>
        <v>0</v>
      </c>
      <c r="AV115" s="21">
        <f t="shared" si="162"/>
        <v>0</v>
      </c>
      <c r="AW115" s="21">
        <f t="shared" si="162"/>
        <v>0</v>
      </c>
      <c r="AX115" s="21">
        <f t="shared" si="162"/>
        <v>0</v>
      </c>
      <c r="AY115" s="21">
        <f t="shared" si="162"/>
        <v>0</v>
      </c>
      <c r="AZ115" s="21">
        <f t="shared" si="162"/>
        <v>4949220</v>
      </c>
      <c r="BA115" s="21">
        <f t="shared" si="162"/>
        <v>27209813</v>
      </c>
      <c r="BB115" s="21">
        <f t="shared" si="162"/>
        <v>27209813</v>
      </c>
      <c r="BC115" s="21">
        <f t="shared" si="162"/>
        <v>0</v>
      </c>
      <c r="BD115" s="21">
        <f t="shared" si="162"/>
        <v>6980711</v>
      </c>
      <c r="BE115" s="21">
        <f t="shared" si="162"/>
        <v>20229102</v>
      </c>
      <c r="BF115" s="21">
        <f t="shared" si="162"/>
        <v>0</v>
      </c>
      <c r="BG115" s="21">
        <f t="shared" si="162"/>
        <v>0</v>
      </c>
      <c r="BH115" s="21">
        <f t="shared" si="162"/>
        <v>0</v>
      </c>
      <c r="BI115" s="21">
        <f t="shared" si="162"/>
        <v>0</v>
      </c>
      <c r="BJ115" s="21">
        <f t="shared" si="162"/>
        <v>0</v>
      </c>
      <c r="BK115" s="21">
        <f t="shared" si="162"/>
        <v>0</v>
      </c>
      <c r="BL115" s="21">
        <f t="shared" si="162"/>
        <v>0</v>
      </c>
      <c r="BM115" s="21">
        <f t="shared" si="162"/>
        <v>0</v>
      </c>
      <c r="BN115" s="21">
        <f t="shared" si="162"/>
        <v>0</v>
      </c>
      <c r="BO115" s="21">
        <f t="shared" si="162"/>
        <v>0</v>
      </c>
      <c r="BP115" s="21">
        <f t="shared" si="162"/>
        <v>0</v>
      </c>
      <c r="BQ115" s="21">
        <f t="shared" ref="BQ115:CU115" si="163">SUM(BQ116+BQ118+BQ120+BQ123)</f>
        <v>0</v>
      </c>
      <c r="BR115" s="21">
        <f t="shared" si="163"/>
        <v>0</v>
      </c>
      <c r="BS115" s="21">
        <f t="shared" si="163"/>
        <v>0</v>
      </c>
      <c r="BT115" s="21">
        <f t="shared" si="163"/>
        <v>0</v>
      </c>
      <c r="BU115" s="21">
        <f t="shared" si="163"/>
        <v>0</v>
      </c>
      <c r="BV115" s="21">
        <f t="shared" si="163"/>
        <v>0</v>
      </c>
      <c r="BW115" s="21">
        <f t="shared" si="163"/>
        <v>0</v>
      </c>
      <c r="BX115" s="21">
        <f t="shared" si="163"/>
        <v>0</v>
      </c>
      <c r="BY115" s="21">
        <f t="shared" si="163"/>
        <v>0</v>
      </c>
      <c r="BZ115" s="21">
        <f t="shared" si="163"/>
        <v>0</v>
      </c>
      <c r="CA115" s="21">
        <f t="shared" si="163"/>
        <v>0</v>
      </c>
      <c r="CB115" s="21">
        <f t="shared" si="163"/>
        <v>0</v>
      </c>
      <c r="CC115" s="21">
        <f t="shared" si="163"/>
        <v>0</v>
      </c>
      <c r="CD115" s="21">
        <f t="shared" si="163"/>
        <v>0</v>
      </c>
      <c r="CE115" s="21">
        <f t="shared" si="163"/>
        <v>0</v>
      </c>
      <c r="CF115" s="21">
        <f t="shared" si="163"/>
        <v>0</v>
      </c>
      <c r="CG115" s="21">
        <f t="shared" si="163"/>
        <v>0</v>
      </c>
      <c r="CH115" s="21">
        <f t="shared" si="163"/>
        <v>0</v>
      </c>
      <c r="CI115" s="21">
        <f t="shared" si="163"/>
        <v>0</v>
      </c>
      <c r="CJ115" s="21">
        <f t="shared" si="163"/>
        <v>0</v>
      </c>
      <c r="CK115" s="21">
        <f t="shared" si="163"/>
        <v>0</v>
      </c>
      <c r="CL115" s="21">
        <f t="shared" si="163"/>
        <v>0</v>
      </c>
      <c r="CM115" s="21">
        <f t="shared" si="163"/>
        <v>0</v>
      </c>
      <c r="CN115" s="21">
        <f t="shared" si="163"/>
        <v>0</v>
      </c>
      <c r="CO115" s="21">
        <f t="shared" si="163"/>
        <v>0</v>
      </c>
      <c r="CP115" s="21">
        <f t="shared" si="163"/>
        <v>0</v>
      </c>
      <c r="CQ115" s="21">
        <f t="shared" si="163"/>
        <v>0</v>
      </c>
      <c r="CR115" s="21">
        <f t="shared" si="163"/>
        <v>0</v>
      </c>
      <c r="CS115" s="21">
        <f t="shared" si="163"/>
        <v>0</v>
      </c>
      <c r="CT115" s="21">
        <f t="shared" si="163"/>
        <v>0</v>
      </c>
      <c r="CU115" s="22">
        <f t="shared" si="163"/>
        <v>0</v>
      </c>
      <c r="CV115" s="38"/>
    </row>
    <row r="116" spans="1:100" ht="15.75" x14ac:dyDescent="0.25">
      <c r="A116" s="13" t="s">
        <v>57</v>
      </c>
      <c r="B116" s="14" t="s">
        <v>3</v>
      </c>
      <c r="C116" s="14" t="s">
        <v>1</v>
      </c>
      <c r="D116" s="30" t="s">
        <v>140</v>
      </c>
      <c r="E116" s="15">
        <f t="shared" ref="E116:AJ116" si="164">SUM(E117)</f>
        <v>6980711</v>
      </c>
      <c r="F116" s="16">
        <f t="shared" si="164"/>
        <v>6980711</v>
      </c>
      <c r="G116" s="16">
        <f t="shared" si="164"/>
        <v>0</v>
      </c>
      <c r="H116" s="16">
        <f t="shared" si="164"/>
        <v>0</v>
      </c>
      <c r="I116" s="16">
        <f t="shared" si="164"/>
        <v>0</v>
      </c>
      <c r="J116" s="16">
        <f t="shared" si="164"/>
        <v>0</v>
      </c>
      <c r="K116" s="16">
        <f t="shared" si="164"/>
        <v>0</v>
      </c>
      <c r="L116" s="16">
        <f t="shared" si="164"/>
        <v>0</v>
      </c>
      <c r="M116" s="16">
        <f t="shared" si="164"/>
        <v>0</v>
      </c>
      <c r="N116" s="16">
        <f t="shared" si="164"/>
        <v>0</v>
      </c>
      <c r="O116" s="16">
        <f t="shared" si="164"/>
        <v>0</v>
      </c>
      <c r="P116" s="16">
        <f t="shared" si="164"/>
        <v>0</v>
      </c>
      <c r="Q116" s="16">
        <f t="shared" si="164"/>
        <v>0</v>
      </c>
      <c r="R116" s="16">
        <f t="shared" si="164"/>
        <v>0</v>
      </c>
      <c r="S116" s="16">
        <f t="shared" si="164"/>
        <v>0</v>
      </c>
      <c r="T116" s="16">
        <f t="shared" si="164"/>
        <v>0</v>
      </c>
      <c r="U116" s="16">
        <f t="shared" si="164"/>
        <v>0</v>
      </c>
      <c r="V116" s="16">
        <f t="shared" si="164"/>
        <v>0</v>
      </c>
      <c r="W116" s="16">
        <f t="shared" si="164"/>
        <v>0</v>
      </c>
      <c r="X116" s="16">
        <f t="shared" si="164"/>
        <v>0</v>
      </c>
      <c r="Y116" s="16">
        <f t="shared" si="164"/>
        <v>0</v>
      </c>
      <c r="Z116" s="16">
        <f t="shared" si="164"/>
        <v>0</v>
      </c>
      <c r="AA116" s="16">
        <f t="shared" si="164"/>
        <v>0</v>
      </c>
      <c r="AB116" s="16">
        <f t="shared" si="164"/>
        <v>0</v>
      </c>
      <c r="AC116" s="16">
        <f t="shared" si="164"/>
        <v>0</v>
      </c>
      <c r="AD116" s="16">
        <f t="shared" si="164"/>
        <v>0</v>
      </c>
      <c r="AE116" s="16">
        <f t="shared" si="164"/>
        <v>0</v>
      </c>
      <c r="AF116" s="16">
        <f t="shared" si="164"/>
        <v>0</v>
      </c>
      <c r="AG116" s="16">
        <f t="shared" si="164"/>
        <v>0</v>
      </c>
      <c r="AH116" s="16">
        <f t="shared" si="164"/>
        <v>0</v>
      </c>
      <c r="AI116" s="16">
        <f t="shared" si="164"/>
        <v>0</v>
      </c>
      <c r="AJ116" s="16">
        <f t="shared" si="164"/>
        <v>0</v>
      </c>
      <c r="AK116" s="16">
        <f t="shared" ref="AK116:BR116" si="165">SUM(AK117)</f>
        <v>0</v>
      </c>
      <c r="AL116" s="16">
        <f t="shared" si="165"/>
        <v>0</v>
      </c>
      <c r="AM116" s="16">
        <f t="shared" si="165"/>
        <v>0</v>
      </c>
      <c r="AN116" s="16">
        <f t="shared" si="165"/>
        <v>0</v>
      </c>
      <c r="AO116" s="16">
        <f t="shared" si="165"/>
        <v>0</v>
      </c>
      <c r="AP116" s="16">
        <f t="shared" si="165"/>
        <v>0</v>
      </c>
      <c r="AQ116" s="16">
        <f t="shared" si="165"/>
        <v>0</v>
      </c>
      <c r="AR116" s="16">
        <f t="shared" si="165"/>
        <v>0</v>
      </c>
      <c r="AS116" s="16">
        <f t="shared" si="165"/>
        <v>0</v>
      </c>
      <c r="AT116" s="16">
        <f t="shared" si="165"/>
        <v>0</v>
      </c>
      <c r="AU116" s="16">
        <f t="shared" si="165"/>
        <v>0</v>
      </c>
      <c r="AV116" s="16">
        <f t="shared" si="165"/>
        <v>0</v>
      </c>
      <c r="AW116" s="16">
        <f t="shared" si="165"/>
        <v>0</v>
      </c>
      <c r="AX116" s="16">
        <f t="shared" si="165"/>
        <v>0</v>
      </c>
      <c r="AY116" s="16">
        <f t="shared" si="165"/>
        <v>0</v>
      </c>
      <c r="AZ116" s="16">
        <f t="shared" si="165"/>
        <v>0</v>
      </c>
      <c r="BA116" s="16">
        <f t="shared" si="165"/>
        <v>6980711</v>
      </c>
      <c r="BB116" s="16">
        <f t="shared" si="165"/>
        <v>6980711</v>
      </c>
      <c r="BC116" s="16">
        <f t="shared" si="165"/>
        <v>0</v>
      </c>
      <c r="BD116" s="16">
        <f t="shared" si="165"/>
        <v>6980711</v>
      </c>
      <c r="BE116" s="16">
        <f t="shared" si="165"/>
        <v>0</v>
      </c>
      <c r="BF116" s="16">
        <f t="shared" si="165"/>
        <v>0</v>
      </c>
      <c r="BG116" s="16">
        <f t="shared" si="165"/>
        <v>0</v>
      </c>
      <c r="BH116" s="16">
        <f t="shared" si="165"/>
        <v>0</v>
      </c>
      <c r="BI116" s="16">
        <f t="shared" si="165"/>
        <v>0</v>
      </c>
      <c r="BJ116" s="16">
        <f t="shared" si="165"/>
        <v>0</v>
      </c>
      <c r="BK116" s="16">
        <f t="shared" si="165"/>
        <v>0</v>
      </c>
      <c r="BL116" s="16">
        <f t="shared" si="165"/>
        <v>0</v>
      </c>
      <c r="BM116" s="16">
        <f t="shared" si="165"/>
        <v>0</v>
      </c>
      <c r="BN116" s="16">
        <f t="shared" si="165"/>
        <v>0</v>
      </c>
      <c r="BO116" s="16">
        <f t="shared" si="165"/>
        <v>0</v>
      </c>
      <c r="BP116" s="16">
        <f t="shared" si="165"/>
        <v>0</v>
      </c>
      <c r="BQ116" s="16">
        <f t="shared" si="165"/>
        <v>0</v>
      </c>
      <c r="BR116" s="16">
        <f t="shared" si="165"/>
        <v>0</v>
      </c>
      <c r="BS116" s="16">
        <f t="shared" ref="BS116:CU116" si="166">SUM(BS117)</f>
        <v>0</v>
      </c>
      <c r="BT116" s="16">
        <f t="shared" si="166"/>
        <v>0</v>
      </c>
      <c r="BU116" s="16">
        <f t="shared" si="166"/>
        <v>0</v>
      </c>
      <c r="BV116" s="16">
        <f t="shared" si="166"/>
        <v>0</v>
      </c>
      <c r="BW116" s="16">
        <f t="shared" si="166"/>
        <v>0</v>
      </c>
      <c r="BX116" s="16">
        <f t="shared" si="166"/>
        <v>0</v>
      </c>
      <c r="BY116" s="16">
        <f t="shared" si="166"/>
        <v>0</v>
      </c>
      <c r="BZ116" s="16">
        <f t="shared" si="166"/>
        <v>0</v>
      </c>
      <c r="CA116" s="16">
        <f t="shared" si="166"/>
        <v>0</v>
      </c>
      <c r="CB116" s="16">
        <f t="shared" si="166"/>
        <v>0</v>
      </c>
      <c r="CC116" s="16">
        <f t="shared" si="166"/>
        <v>0</v>
      </c>
      <c r="CD116" s="16">
        <f t="shared" si="166"/>
        <v>0</v>
      </c>
      <c r="CE116" s="16">
        <f t="shared" si="166"/>
        <v>0</v>
      </c>
      <c r="CF116" s="16">
        <f t="shared" si="166"/>
        <v>0</v>
      </c>
      <c r="CG116" s="16">
        <f t="shared" si="166"/>
        <v>0</v>
      </c>
      <c r="CH116" s="16">
        <f t="shared" si="166"/>
        <v>0</v>
      </c>
      <c r="CI116" s="16">
        <f t="shared" si="166"/>
        <v>0</v>
      </c>
      <c r="CJ116" s="16">
        <f t="shared" si="166"/>
        <v>0</v>
      </c>
      <c r="CK116" s="16">
        <f t="shared" si="166"/>
        <v>0</v>
      </c>
      <c r="CL116" s="16">
        <f t="shared" si="166"/>
        <v>0</v>
      </c>
      <c r="CM116" s="16">
        <f t="shared" si="166"/>
        <v>0</v>
      </c>
      <c r="CN116" s="16">
        <f t="shared" si="166"/>
        <v>0</v>
      </c>
      <c r="CO116" s="16">
        <f t="shared" si="166"/>
        <v>0</v>
      </c>
      <c r="CP116" s="16">
        <f t="shared" si="166"/>
        <v>0</v>
      </c>
      <c r="CQ116" s="16">
        <f t="shared" si="166"/>
        <v>0</v>
      </c>
      <c r="CR116" s="16">
        <f t="shared" si="166"/>
        <v>0</v>
      </c>
      <c r="CS116" s="16">
        <f t="shared" si="166"/>
        <v>0</v>
      </c>
      <c r="CT116" s="16">
        <f t="shared" si="166"/>
        <v>0</v>
      </c>
      <c r="CU116" s="17">
        <f t="shared" si="166"/>
        <v>0</v>
      </c>
      <c r="CV116" s="38"/>
    </row>
    <row r="117" spans="1:100" ht="15.75" x14ac:dyDescent="0.25">
      <c r="A117" s="13" t="s">
        <v>1</v>
      </c>
      <c r="B117" s="14" t="s">
        <v>1</v>
      </c>
      <c r="C117" s="14" t="s">
        <v>17</v>
      </c>
      <c r="D117" s="30" t="s">
        <v>141</v>
      </c>
      <c r="E117" s="15">
        <f>SUM(F117+BY117+CR117)</f>
        <v>6980711</v>
      </c>
      <c r="F117" s="16">
        <f>SUM(G117+BA117)</f>
        <v>6980711</v>
      </c>
      <c r="G117" s="16">
        <f>SUM(H117+I117+J117+Q117+T117+U117+V117+AE117)</f>
        <v>0</v>
      </c>
      <c r="H117" s="16">
        <v>0</v>
      </c>
      <c r="I117" s="16">
        <v>0</v>
      </c>
      <c r="J117" s="16">
        <f t="shared" si="103"/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f t="shared" si="104"/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f>SUM(W117:AD117)</f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f>SUM(AF117:AZ117)</f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f>SUM(BB117+BF117+BI117+BK117+BM117)</f>
        <v>6980711</v>
      </c>
      <c r="BB117" s="16">
        <f>SUM(BC117:BE117)</f>
        <v>6980711</v>
      </c>
      <c r="BC117" s="16">
        <v>0</v>
      </c>
      <c r="BD117" s="16">
        <v>6980711</v>
      </c>
      <c r="BE117" s="16">
        <v>0</v>
      </c>
      <c r="BF117" s="16">
        <f t="shared" si="105"/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f t="shared" si="106"/>
        <v>0</v>
      </c>
      <c r="BL117" s="16">
        <v>0</v>
      </c>
      <c r="BM117" s="16">
        <f t="shared" si="107"/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f>SUM(BZ117+CQ117)</f>
        <v>0</v>
      </c>
      <c r="BZ117" s="16">
        <f>SUM(CA117+CD117+CJ117)</f>
        <v>0</v>
      </c>
      <c r="CA117" s="16">
        <f t="shared" si="108"/>
        <v>0</v>
      </c>
      <c r="CB117" s="16">
        <v>0</v>
      </c>
      <c r="CC117" s="16">
        <v>0</v>
      </c>
      <c r="CD117" s="16">
        <f>SUM(CE117:CH117)</f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f>SUM(CK117:CN117)</f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f t="shared" si="109"/>
        <v>0</v>
      </c>
      <c r="CS117" s="16">
        <f t="shared" si="110"/>
        <v>0</v>
      </c>
      <c r="CT117" s="16">
        <v>0</v>
      </c>
      <c r="CU117" s="17">
        <v>0</v>
      </c>
      <c r="CV117" s="38"/>
    </row>
    <row r="118" spans="1:100" ht="15.75" x14ac:dyDescent="0.25">
      <c r="A118" s="13" t="s">
        <v>57</v>
      </c>
      <c r="B118" s="14" t="s">
        <v>100</v>
      </c>
      <c r="C118" s="14" t="s">
        <v>1</v>
      </c>
      <c r="D118" s="30" t="s">
        <v>142</v>
      </c>
      <c r="E118" s="15">
        <f t="shared" ref="E118:AJ118" si="167">SUM(E119)</f>
        <v>20229102</v>
      </c>
      <c r="F118" s="16">
        <f t="shared" si="167"/>
        <v>20229102</v>
      </c>
      <c r="G118" s="16">
        <f t="shared" si="167"/>
        <v>0</v>
      </c>
      <c r="H118" s="16">
        <f t="shared" si="167"/>
        <v>0</v>
      </c>
      <c r="I118" s="16">
        <f t="shared" si="167"/>
        <v>0</v>
      </c>
      <c r="J118" s="16">
        <f t="shared" si="167"/>
        <v>0</v>
      </c>
      <c r="K118" s="16">
        <f t="shared" si="167"/>
        <v>0</v>
      </c>
      <c r="L118" s="16">
        <f t="shared" si="167"/>
        <v>0</v>
      </c>
      <c r="M118" s="16">
        <f t="shared" si="167"/>
        <v>0</v>
      </c>
      <c r="N118" s="16">
        <f t="shared" si="167"/>
        <v>0</v>
      </c>
      <c r="O118" s="16">
        <f t="shared" si="167"/>
        <v>0</v>
      </c>
      <c r="P118" s="16">
        <f t="shared" si="167"/>
        <v>0</v>
      </c>
      <c r="Q118" s="16">
        <f t="shared" si="167"/>
        <v>0</v>
      </c>
      <c r="R118" s="16">
        <f t="shared" si="167"/>
        <v>0</v>
      </c>
      <c r="S118" s="16">
        <f t="shared" si="167"/>
        <v>0</v>
      </c>
      <c r="T118" s="16">
        <f t="shared" si="167"/>
        <v>0</v>
      </c>
      <c r="U118" s="16">
        <f t="shared" si="167"/>
        <v>0</v>
      </c>
      <c r="V118" s="16">
        <f t="shared" si="167"/>
        <v>0</v>
      </c>
      <c r="W118" s="16">
        <f t="shared" si="167"/>
        <v>0</v>
      </c>
      <c r="X118" s="16">
        <f t="shared" si="167"/>
        <v>0</v>
      </c>
      <c r="Y118" s="16">
        <f t="shared" si="167"/>
        <v>0</v>
      </c>
      <c r="Z118" s="16">
        <f t="shared" si="167"/>
        <v>0</v>
      </c>
      <c r="AA118" s="16">
        <f t="shared" si="167"/>
        <v>0</v>
      </c>
      <c r="AB118" s="16">
        <f t="shared" si="167"/>
        <v>0</v>
      </c>
      <c r="AC118" s="16">
        <f t="shared" si="167"/>
        <v>0</v>
      </c>
      <c r="AD118" s="16">
        <f t="shared" si="167"/>
        <v>0</v>
      </c>
      <c r="AE118" s="16">
        <f t="shared" si="167"/>
        <v>0</v>
      </c>
      <c r="AF118" s="16">
        <f t="shared" si="167"/>
        <v>0</v>
      </c>
      <c r="AG118" s="16">
        <f t="shared" si="167"/>
        <v>0</v>
      </c>
      <c r="AH118" s="16">
        <f t="shared" si="167"/>
        <v>0</v>
      </c>
      <c r="AI118" s="16">
        <f t="shared" si="167"/>
        <v>0</v>
      </c>
      <c r="AJ118" s="16">
        <f t="shared" si="167"/>
        <v>0</v>
      </c>
      <c r="AK118" s="16">
        <f t="shared" ref="AK118:BR118" si="168">SUM(AK119)</f>
        <v>0</v>
      </c>
      <c r="AL118" s="16">
        <f t="shared" si="168"/>
        <v>0</v>
      </c>
      <c r="AM118" s="16">
        <f t="shared" si="168"/>
        <v>0</v>
      </c>
      <c r="AN118" s="16">
        <f t="shared" si="168"/>
        <v>0</v>
      </c>
      <c r="AO118" s="16">
        <f t="shared" si="168"/>
        <v>0</v>
      </c>
      <c r="AP118" s="16">
        <f t="shared" si="168"/>
        <v>0</v>
      </c>
      <c r="AQ118" s="16">
        <f t="shared" si="168"/>
        <v>0</v>
      </c>
      <c r="AR118" s="16">
        <f t="shared" si="168"/>
        <v>0</v>
      </c>
      <c r="AS118" s="16">
        <f t="shared" si="168"/>
        <v>0</v>
      </c>
      <c r="AT118" s="16">
        <f t="shared" si="168"/>
        <v>0</v>
      </c>
      <c r="AU118" s="16">
        <f t="shared" si="168"/>
        <v>0</v>
      </c>
      <c r="AV118" s="16">
        <f t="shared" si="168"/>
        <v>0</v>
      </c>
      <c r="AW118" s="16">
        <f t="shared" si="168"/>
        <v>0</v>
      </c>
      <c r="AX118" s="16">
        <f t="shared" si="168"/>
        <v>0</v>
      </c>
      <c r="AY118" s="16">
        <f t="shared" si="168"/>
        <v>0</v>
      </c>
      <c r="AZ118" s="16">
        <f t="shared" si="168"/>
        <v>0</v>
      </c>
      <c r="BA118" s="16">
        <f t="shared" si="168"/>
        <v>20229102</v>
      </c>
      <c r="BB118" s="16">
        <f t="shared" si="168"/>
        <v>20229102</v>
      </c>
      <c r="BC118" s="16">
        <f t="shared" si="168"/>
        <v>0</v>
      </c>
      <c r="BD118" s="16">
        <f t="shared" si="168"/>
        <v>0</v>
      </c>
      <c r="BE118" s="16">
        <f t="shared" si="168"/>
        <v>20229102</v>
      </c>
      <c r="BF118" s="16">
        <f t="shared" si="168"/>
        <v>0</v>
      </c>
      <c r="BG118" s="16">
        <f t="shared" si="168"/>
        <v>0</v>
      </c>
      <c r="BH118" s="16">
        <f t="shared" si="168"/>
        <v>0</v>
      </c>
      <c r="BI118" s="16">
        <f t="shared" si="168"/>
        <v>0</v>
      </c>
      <c r="BJ118" s="16">
        <f t="shared" si="168"/>
        <v>0</v>
      </c>
      <c r="BK118" s="16">
        <f t="shared" si="168"/>
        <v>0</v>
      </c>
      <c r="BL118" s="16">
        <f t="shared" si="168"/>
        <v>0</v>
      </c>
      <c r="BM118" s="16">
        <f t="shared" si="168"/>
        <v>0</v>
      </c>
      <c r="BN118" s="16">
        <f t="shared" si="168"/>
        <v>0</v>
      </c>
      <c r="BO118" s="16">
        <f t="shared" si="168"/>
        <v>0</v>
      </c>
      <c r="BP118" s="16">
        <f t="shared" si="168"/>
        <v>0</v>
      </c>
      <c r="BQ118" s="16">
        <f t="shared" si="168"/>
        <v>0</v>
      </c>
      <c r="BR118" s="16">
        <f t="shared" si="168"/>
        <v>0</v>
      </c>
      <c r="BS118" s="16">
        <f t="shared" ref="BS118:CU118" si="169">SUM(BS119)</f>
        <v>0</v>
      </c>
      <c r="BT118" s="16">
        <f t="shared" si="169"/>
        <v>0</v>
      </c>
      <c r="BU118" s="16">
        <f t="shared" si="169"/>
        <v>0</v>
      </c>
      <c r="BV118" s="16">
        <f t="shared" si="169"/>
        <v>0</v>
      </c>
      <c r="BW118" s="16">
        <f t="shared" si="169"/>
        <v>0</v>
      </c>
      <c r="BX118" s="16">
        <f t="shared" si="169"/>
        <v>0</v>
      </c>
      <c r="BY118" s="16">
        <f t="shared" si="169"/>
        <v>0</v>
      </c>
      <c r="BZ118" s="16">
        <f t="shared" si="169"/>
        <v>0</v>
      </c>
      <c r="CA118" s="16">
        <f t="shared" si="169"/>
        <v>0</v>
      </c>
      <c r="CB118" s="16">
        <f t="shared" si="169"/>
        <v>0</v>
      </c>
      <c r="CC118" s="16">
        <f t="shared" si="169"/>
        <v>0</v>
      </c>
      <c r="CD118" s="16">
        <f t="shared" si="169"/>
        <v>0</v>
      </c>
      <c r="CE118" s="16">
        <f t="shared" si="169"/>
        <v>0</v>
      </c>
      <c r="CF118" s="16">
        <f t="shared" si="169"/>
        <v>0</v>
      </c>
      <c r="CG118" s="16">
        <f t="shared" si="169"/>
        <v>0</v>
      </c>
      <c r="CH118" s="16">
        <f t="shared" si="169"/>
        <v>0</v>
      </c>
      <c r="CI118" s="16">
        <f t="shared" si="169"/>
        <v>0</v>
      </c>
      <c r="CJ118" s="16">
        <f t="shared" si="169"/>
        <v>0</v>
      </c>
      <c r="CK118" s="16">
        <f t="shared" si="169"/>
        <v>0</v>
      </c>
      <c r="CL118" s="16">
        <f t="shared" si="169"/>
        <v>0</v>
      </c>
      <c r="CM118" s="16">
        <f t="shared" si="169"/>
        <v>0</v>
      </c>
      <c r="CN118" s="16">
        <f t="shared" si="169"/>
        <v>0</v>
      </c>
      <c r="CO118" s="16">
        <f t="shared" si="169"/>
        <v>0</v>
      </c>
      <c r="CP118" s="16">
        <f t="shared" si="169"/>
        <v>0</v>
      </c>
      <c r="CQ118" s="16">
        <f t="shared" si="169"/>
        <v>0</v>
      </c>
      <c r="CR118" s="16">
        <f t="shared" si="169"/>
        <v>0</v>
      </c>
      <c r="CS118" s="16">
        <f t="shared" si="169"/>
        <v>0</v>
      </c>
      <c r="CT118" s="16">
        <f t="shared" si="169"/>
        <v>0</v>
      </c>
      <c r="CU118" s="17">
        <f t="shared" si="169"/>
        <v>0</v>
      </c>
      <c r="CV118" s="38"/>
    </row>
    <row r="119" spans="1:100" ht="15.75" x14ac:dyDescent="0.25">
      <c r="A119" s="13" t="s">
        <v>1</v>
      </c>
      <c r="B119" s="14" t="s">
        <v>1</v>
      </c>
      <c r="C119" s="14" t="s">
        <v>36</v>
      </c>
      <c r="D119" s="30" t="s">
        <v>143</v>
      </c>
      <c r="E119" s="15">
        <f>SUM(F119+BY119+CR119)</f>
        <v>20229102</v>
      </c>
      <c r="F119" s="16">
        <f>SUM(G119+BA119)</f>
        <v>20229102</v>
      </c>
      <c r="G119" s="16">
        <f>SUM(H119+I119+J119+Q119+T119+U119+V119+AE119)</f>
        <v>0</v>
      </c>
      <c r="H119" s="16">
        <v>0</v>
      </c>
      <c r="I119" s="16">
        <v>0</v>
      </c>
      <c r="J119" s="16">
        <f t="shared" si="103"/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f t="shared" si="104"/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f>SUM(W119:AD119)</f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f>SUM(AF119:AZ119)</f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f>SUM(BB119+BF119+BI119+BK119+BM119)</f>
        <v>20229102</v>
      </c>
      <c r="BB119" s="16">
        <f>SUM(BC119:BE119)</f>
        <v>20229102</v>
      </c>
      <c r="BC119" s="16">
        <v>0</v>
      </c>
      <c r="BD119" s="16">
        <v>0</v>
      </c>
      <c r="BE119" s="16">
        <v>20229102</v>
      </c>
      <c r="BF119" s="16">
        <f t="shared" si="105"/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f t="shared" si="106"/>
        <v>0</v>
      </c>
      <c r="BL119" s="16">
        <v>0</v>
      </c>
      <c r="BM119" s="16">
        <f t="shared" si="107"/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f>SUM(BZ119+CQ119)</f>
        <v>0</v>
      </c>
      <c r="BZ119" s="16">
        <f>SUM(CA119+CD119+CJ119)</f>
        <v>0</v>
      </c>
      <c r="CA119" s="16">
        <f t="shared" si="108"/>
        <v>0</v>
      </c>
      <c r="CB119" s="16">
        <v>0</v>
      </c>
      <c r="CC119" s="16">
        <v>0</v>
      </c>
      <c r="CD119" s="16">
        <f>SUM(CE119:CH119)</f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f>SUM(CK119:CN119)</f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f t="shared" si="109"/>
        <v>0</v>
      </c>
      <c r="CS119" s="16">
        <f t="shared" si="110"/>
        <v>0</v>
      </c>
      <c r="CT119" s="16">
        <v>0</v>
      </c>
      <c r="CU119" s="17">
        <v>0</v>
      </c>
      <c r="CV119" s="38"/>
    </row>
    <row r="120" spans="1:100" ht="15.75" x14ac:dyDescent="0.25">
      <c r="A120" s="13" t="s">
        <v>57</v>
      </c>
      <c r="B120" s="14" t="s">
        <v>54</v>
      </c>
      <c r="C120" s="14" t="s">
        <v>1</v>
      </c>
      <c r="D120" s="30" t="s">
        <v>144</v>
      </c>
      <c r="E120" s="15">
        <f>SUM(E121:E122)</f>
        <v>3493944</v>
      </c>
      <c r="F120" s="16">
        <f t="shared" ref="F120:BQ120" si="170">SUM(F121:F122)</f>
        <v>3493944</v>
      </c>
      <c r="G120" s="16">
        <f t="shared" si="170"/>
        <v>3493944</v>
      </c>
      <c r="H120" s="16">
        <f t="shared" si="170"/>
        <v>0</v>
      </c>
      <c r="I120" s="16">
        <f t="shared" si="170"/>
        <v>0</v>
      </c>
      <c r="J120" s="16">
        <f t="shared" si="170"/>
        <v>0</v>
      </c>
      <c r="K120" s="16">
        <f t="shared" si="170"/>
        <v>0</v>
      </c>
      <c r="L120" s="16">
        <f t="shared" si="170"/>
        <v>0</v>
      </c>
      <c r="M120" s="16">
        <f t="shared" si="170"/>
        <v>0</v>
      </c>
      <c r="N120" s="16">
        <f t="shared" si="170"/>
        <v>0</v>
      </c>
      <c r="O120" s="16">
        <f t="shared" si="170"/>
        <v>0</v>
      </c>
      <c r="P120" s="16">
        <f t="shared" si="170"/>
        <v>0</v>
      </c>
      <c r="Q120" s="16">
        <f t="shared" si="170"/>
        <v>0</v>
      </c>
      <c r="R120" s="16">
        <f t="shared" si="170"/>
        <v>0</v>
      </c>
      <c r="S120" s="16">
        <f t="shared" si="170"/>
        <v>0</v>
      </c>
      <c r="T120" s="16">
        <f t="shared" si="170"/>
        <v>0</v>
      </c>
      <c r="U120" s="16">
        <f t="shared" si="170"/>
        <v>0</v>
      </c>
      <c r="V120" s="16">
        <f t="shared" si="170"/>
        <v>0</v>
      </c>
      <c r="W120" s="16">
        <f t="shared" si="170"/>
        <v>0</v>
      </c>
      <c r="X120" s="16">
        <f t="shared" si="170"/>
        <v>0</v>
      </c>
      <c r="Y120" s="16">
        <f t="shared" si="170"/>
        <v>0</v>
      </c>
      <c r="Z120" s="16">
        <f t="shared" si="170"/>
        <v>0</v>
      </c>
      <c r="AA120" s="16">
        <f t="shared" si="170"/>
        <v>0</v>
      </c>
      <c r="AB120" s="16">
        <f t="shared" si="170"/>
        <v>0</v>
      </c>
      <c r="AC120" s="16">
        <f t="shared" si="170"/>
        <v>0</v>
      </c>
      <c r="AD120" s="16">
        <f t="shared" si="170"/>
        <v>0</v>
      </c>
      <c r="AE120" s="16">
        <f t="shared" si="170"/>
        <v>3493944</v>
      </c>
      <c r="AF120" s="16">
        <f t="shared" si="170"/>
        <v>0</v>
      </c>
      <c r="AG120" s="16">
        <f t="shared" si="170"/>
        <v>0</v>
      </c>
      <c r="AH120" s="16">
        <f t="shared" si="170"/>
        <v>0</v>
      </c>
      <c r="AI120" s="16">
        <f t="shared" si="170"/>
        <v>0</v>
      </c>
      <c r="AJ120" s="16">
        <f t="shared" si="170"/>
        <v>0</v>
      </c>
      <c r="AK120" s="16">
        <f t="shared" si="170"/>
        <v>0</v>
      </c>
      <c r="AL120" s="16">
        <f t="shared" si="170"/>
        <v>0</v>
      </c>
      <c r="AM120" s="16">
        <f t="shared" si="170"/>
        <v>0</v>
      </c>
      <c r="AN120" s="16">
        <f t="shared" si="170"/>
        <v>0</v>
      </c>
      <c r="AO120" s="16">
        <f t="shared" si="170"/>
        <v>0</v>
      </c>
      <c r="AP120" s="16">
        <f t="shared" si="170"/>
        <v>0</v>
      </c>
      <c r="AQ120" s="16">
        <f t="shared" si="170"/>
        <v>0</v>
      </c>
      <c r="AR120" s="16">
        <f t="shared" si="170"/>
        <v>0</v>
      </c>
      <c r="AS120" s="16">
        <f t="shared" si="170"/>
        <v>0</v>
      </c>
      <c r="AT120" s="16">
        <f t="shared" si="170"/>
        <v>0</v>
      </c>
      <c r="AU120" s="16">
        <f t="shared" si="170"/>
        <v>0</v>
      </c>
      <c r="AV120" s="16">
        <f t="shared" si="170"/>
        <v>0</v>
      </c>
      <c r="AW120" s="16">
        <f t="shared" si="170"/>
        <v>0</v>
      </c>
      <c r="AX120" s="16">
        <f t="shared" si="170"/>
        <v>0</v>
      </c>
      <c r="AY120" s="16">
        <f t="shared" si="170"/>
        <v>0</v>
      </c>
      <c r="AZ120" s="16">
        <f t="shared" si="170"/>
        <v>3493944</v>
      </c>
      <c r="BA120" s="16">
        <f t="shared" si="170"/>
        <v>0</v>
      </c>
      <c r="BB120" s="16">
        <f t="shared" si="170"/>
        <v>0</v>
      </c>
      <c r="BC120" s="16">
        <f t="shared" si="170"/>
        <v>0</v>
      </c>
      <c r="BD120" s="16">
        <f t="shared" si="170"/>
        <v>0</v>
      </c>
      <c r="BE120" s="16">
        <f t="shared" si="170"/>
        <v>0</v>
      </c>
      <c r="BF120" s="16">
        <f t="shared" si="170"/>
        <v>0</v>
      </c>
      <c r="BG120" s="16">
        <f t="shared" si="170"/>
        <v>0</v>
      </c>
      <c r="BH120" s="16">
        <f t="shared" si="170"/>
        <v>0</v>
      </c>
      <c r="BI120" s="16">
        <f t="shared" si="170"/>
        <v>0</v>
      </c>
      <c r="BJ120" s="16">
        <f t="shared" si="170"/>
        <v>0</v>
      </c>
      <c r="BK120" s="16">
        <f t="shared" si="170"/>
        <v>0</v>
      </c>
      <c r="BL120" s="16">
        <f t="shared" si="170"/>
        <v>0</v>
      </c>
      <c r="BM120" s="16">
        <f t="shared" si="170"/>
        <v>0</v>
      </c>
      <c r="BN120" s="16">
        <f t="shared" si="170"/>
        <v>0</v>
      </c>
      <c r="BO120" s="16">
        <f t="shared" si="170"/>
        <v>0</v>
      </c>
      <c r="BP120" s="16">
        <f t="shared" si="170"/>
        <v>0</v>
      </c>
      <c r="BQ120" s="16">
        <f t="shared" si="170"/>
        <v>0</v>
      </c>
      <c r="BR120" s="16">
        <f t="shared" ref="BR120:CU120" si="171">SUM(BR121:BR122)</f>
        <v>0</v>
      </c>
      <c r="BS120" s="16">
        <f t="shared" si="171"/>
        <v>0</v>
      </c>
      <c r="BT120" s="16">
        <f t="shared" si="171"/>
        <v>0</v>
      </c>
      <c r="BU120" s="16">
        <f t="shared" si="171"/>
        <v>0</v>
      </c>
      <c r="BV120" s="16">
        <f t="shared" si="171"/>
        <v>0</v>
      </c>
      <c r="BW120" s="16">
        <f t="shared" si="171"/>
        <v>0</v>
      </c>
      <c r="BX120" s="16">
        <f t="shared" si="171"/>
        <v>0</v>
      </c>
      <c r="BY120" s="16">
        <f t="shared" si="171"/>
        <v>0</v>
      </c>
      <c r="BZ120" s="16">
        <f t="shared" si="171"/>
        <v>0</v>
      </c>
      <c r="CA120" s="16">
        <f t="shared" si="171"/>
        <v>0</v>
      </c>
      <c r="CB120" s="16">
        <f t="shared" si="171"/>
        <v>0</v>
      </c>
      <c r="CC120" s="16">
        <f t="shared" si="171"/>
        <v>0</v>
      </c>
      <c r="CD120" s="16">
        <f t="shared" si="171"/>
        <v>0</v>
      </c>
      <c r="CE120" s="16">
        <f t="shared" si="171"/>
        <v>0</v>
      </c>
      <c r="CF120" s="16">
        <f t="shared" si="171"/>
        <v>0</v>
      </c>
      <c r="CG120" s="16">
        <f t="shared" si="171"/>
        <v>0</v>
      </c>
      <c r="CH120" s="16">
        <f t="shared" si="171"/>
        <v>0</v>
      </c>
      <c r="CI120" s="16">
        <f t="shared" si="171"/>
        <v>0</v>
      </c>
      <c r="CJ120" s="16">
        <f t="shared" si="171"/>
        <v>0</v>
      </c>
      <c r="CK120" s="16">
        <f t="shared" si="171"/>
        <v>0</v>
      </c>
      <c r="CL120" s="16">
        <f t="shared" si="171"/>
        <v>0</v>
      </c>
      <c r="CM120" s="16">
        <f t="shared" si="171"/>
        <v>0</v>
      </c>
      <c r="CN120" s="16">
        <f t="shared" si="171"/>
        <v>0</v>
      </c>
      <c r="CO120" s="16">
        <f t="shared" si="171"/>
        <v>0</v>
      </c>
      <c r="CP120" s="16">
        <f t="shared" si="171"/>
        <v>0</v>
      </c>
      <c r="CQ120" s="16">
        <f t="shared" si="171"/>
        <v>0</v>
      </c>
      <c r="CR120" s="16">
        <f t="shared" si="171"/>
        <v>0</v>
      </c>
      <c r="CS120" s="16">
        <f t="shared" si="171"/>
        <v>0</v>
      </c>
      <c r="CT120" s="16">
        <f t="shared" si="171"/>
        <v>0</v>
      </c>
      <c r="CU120" s="17">
        <f t="shared" si="171"/>
        <v>0</v>
      </c>
      <c r="CV120" s="38"/>
    </row>
    <row r="121" spans="1:100" ht="15.75" x14ac:dyDescent="0.25">
      <c r="A121" s="13" t="s">
        <v>1</v>
      </c>
      <c r="B121" s="14" t="s">
        <v>1</v>
      </c>
      <c r="C121" s="14" t="s">
        <v>59</v>
      </c>
      <c r="D121" s="30" t="s">
        <v>548</v>
      </c>
      <c r="E121" s="15">
        <f>SUM(F121+BY121+CR121)</f>
        <v>2285320</v>
      </c>
      <c r="F121" s="16">
        <f>SUM(G121+BA121)</f>
        <v>2285320</v>
      </c>
      <c r="G121" s="16">
        <f>SUM(H121+I121+J121+Q121+T121+U121+V121+AE121)</f>
        <v>2285320</v>
      </c>
      <c r="H121" s="16">
        <v>0</v>
      </c>
      <c r="I121" s="16">
        <v>0</v>
      </c>
      <c r="J121" s="16">
        <f t="shared" si="103"/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f t="shared" si="104"/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f>SUM(W121:AD121)</f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  <c r="AE121" s="16">
        <f>SUM(AF121:AZ121)</f>
        <v>2285320</v>
      </c>
      <c r="AF121" s="16">
        <v>0</v>
      </c>
      <c r="AG121" s="16">
        <v>0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0</v>
      </c>
      <c r="AY121" s="16">
        <v>0</v>
      </c>
      <c r="AZ121" s="16">
        <f>0+2285320</f>
        <v>2285320</v>
      </c>
      <c r="BA121" s="16">
        <f>SUM(BB121+BF121+BI121+BK121+BM121)</f>
        <v>0</v>
      </c>
      <c r="BB121" s="16">
        <f>SUM(BC121:BE121)</f>
        <v>0</v>
      </c>
      <c r="BC121" s="16">
        <v>0</v>
      </c>
      <c r="BD121" s="16">
        <v>0</v>
      </c>
      <c r="BE121" s="16">
        <v>0</v>
      </c>
      <c r="BF121" s="16">
        <f t="shared" si="105"/>
        <v>0</v>
      </c>
      <c r="BG121" s="16">
        <v>0</v>
      </c>
      <c r="BH121" s="16">
        <v>0</v>
      </c>
      <c r="BI121" s="16">
        <v>0</v>
      </c>
      <c r="BJ121" s="16">
        <v>0</v>
      </c>
      <c r="BK121" s="16">
        <f t="shared" si="106"/>
        <v>0</v>
      </c>
      <c r="BL121" s="16">
        <v>0</v>
      </c>
      <c r="BM121" s="16">
        <f t="shared" si="107"/>
        <v>0</v>
      </c>
      <c r="BN121" s="16">
        <v>0</v>
      </c>
      <c r="BO121" s="16">
        <v>0</v>
      </c>
      <c r="BP121" s="16">
        <v>0</v>
      </c>
      <c r="BQ121" s="16">
        <v>0</v>
      </c>
      <c r="BR121" s="16">
        <v>0</v>
      </c>
      <c r="BS121" s="16">
        <v>0</v>
      </c>
      <c r="BT121" s="16">
        <v>0</v>
      </c>
      <c r="BU121" s="16">
        <v>0</v>
      </c>
      <c r="BV121" s="16">
        <v>0</v>
      </c>
      <c r="BW121" s="16">
        <v>0</v>
      </c>
      <c r="BX121" s="16">
        <v>0</v>
      </c>
      <c r="BY121" s="16">
        <f>SUM(BZ121+CQ121)</f>
        <v>0</v>
      </c>
      <c r="BZ121" s="16">
        <f>SUM(CA121+CD121+CJ121)</f>
        <v>0</v>
      </c>
      <c r="CA121" s="16">
        <f t="shared" si="108"/>
        <v>0</v>
      </c>
      <c r="CB121" s="16">
        <v>0</v>
      </c>
      <c r="CC121" s="16">
        <v>0</v>
      </c>
      <c r="CD121" s="16">
        <f>SUM(CE121:CH121)</f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f>SUM(CK121:CN121)</f>
        <v>0</v>
      </c>
      <c r="CK121" s="16">
        <v>0</v>
      </c>
      <c r="CL121" s="16">
        <v>0</v>
      </c>
      <c r="CM121" s="16">
        <v>0</v>
      </c>
      <c r="CN121" s="16">
        <v>0</v>
      </c>
      <c r="CO121" s="16">
        <v>0</v>
      </c>
      <c r="CP121" s="16">
        <v>0</v>
      </c>
      <c r="CQ121" s="16">
        <v>0</v>
      </c>
      <c r="CR121" s="16">
        <f t="shared" si="109"/>
        <v>0</v>
      </c>
      <c r="CS121" s="16">
        <f t="shared" si="110"/>
        <v>0</v>
      </c>
      <c r="CT121" s="16">
        <v>0</v>
      </c>
      <c r="CU121" s="17">
        <v>0</v>
      </c>
      <c r="CV121" s="38"/>
    </row>
    <row r="122" spans="1:100" ht="15.75" x14ac:dyDescent="0.25">
      <c r="A122" s="13" t="s">
        <v>1</v>
      </c>
      <c r="B122" s="14" t="s">
        <v>1</v>
      </c>
      <c r="C122" s="14" t="s">
        <v>36</v>
      </c>
      <c r="D122" s="30" t="s">
        <v>145</v>
      </c>
      <c r="E122" s="15">
        <f>SUM(F122+BY122+CR122)</f>
        <v>1208624</v>
      </c>
      <c r="F122" s="16">
        <f>SUM(G122+BA122)</f>
        <v>1208624</v>
      </c>
      <c r="G122" s="16">
        <f>SUM(H122+I122+J122+Q122+T122+U122+V122+AE122)</f>
        <v>1208624</v>
      </c>
      <c r="H122" s="16">
        <v>0</v>
      </c>
      <c r="I122" s="16">
        <v>0</v>
      </c>
      <c r="J122" s="16">
        <f t="shared" ref="J122" si="172">SUM(K122:P122)</f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f t="shared" ref="Q122" si="173">SUM(R122:S122)</f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f>SUM(W122:AD122)</f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f>SUM(AF122:AZ122)</f>
        <v>1208624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f>2948800+545144-2285320</f>
        <v>1208624</v>
      </c>
      <c r="BA122" s="16">
        <f>SUM(BB122+BF122+BI122+BK122+BM122)</f>
        <v>0</v>
      </c>
      <c r="BB122" s="16">
        <f>SUM(BC122:BE122)</f>
        <v>0</v>
      </c>
      <c r="BC122" s="16">
        <v>0</v>
      </c>
      <c r="BD122" s="16">
        <v>0</v>
      </c>
      <c r="BE122" s="16">
        <v>0</v>
      </c>
      <c r="BF122" s="16">
        <f t="shared" ref="BF122" si="174">SUM(BG122:BH122)</f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f t="shared" ref="BK122" si="175">SUM(BL122)</f>
        <v>0</v>
      </c>
      <c r="BL122" s="16">
        <v>0</v>
      </c>
      <c r="BM122" s="16">
        <f t="shared" ref="BM122" si="176">SUM(BN122:BX122)</f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f>SUM(BZ122+CQ122)</f>
        <v>0</v>
      </c>
      <c r="BZ122" s="16">
        <f>SUM(CA122+CD122+CJ122)</f>
        <v>0</v>
      </c>
      <c r="CA122" s="16">
        <f t="shared" ref="CA122" si="177">SUM(CB122:CC122)</f>
        <v>0</v>
      </c>
      <c r="CB122" s="16">
        <v>0</v>
      </c>
      <c r="CC122" s="16">
        <v>0</v>
      </c>
      <c r="CD122" s="16">
        <f>SUM(CE122:CH122)</f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f>SUM(CK122:CN122)</f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f t="shared" ref="CR122" si="178">SUM(CS122)</f>
        <v>0</v>
      </c>
      <c r="CS122" s="16">
        <f t="shared" ref="CS122" si="179">SUM(CT122:CU122)</f>
        <v>0</v>
      </c>
      <c r="CT122" s="16">
        <v>0</v>
      </c>
      <c r="CU122" s="17">
        <v>0</v>
      </c>
      <c r="CV122" s="38"/>
    </row>
    <row r="123" spans="1:100" ht="31.5" x14ac:dyDescent="0.25">
      <c r="A123" s="13" t="s">
        <v>57</v>
      </c>
      <c r="B123" s="14" t="s">
        <v>57</v>
      </c>
      <c r="C123" s="14" t="s">
        <v>1</v>
      </c>
      <c r="D123" s="30" t="s">
        <v>146</v>
      </c>
      <c r="E123" s="15">
        <f t="shared" ref="E123:AJ123" si="180">SUM(E124)</f>
        <v>1455276</v>
      </c>
      <c r="F123" s="16">
        <f t="shared" si="180"/>
        <v>1455276</v>
      </c>
      <c r="G123" s="16">
        <f t="shared" si="180"/>
        <v>1455276</v>
      </c>
      <c r="H123" s="16">
        <f t="shared" si="180"/>
        <v>0</v>
      </c>
      <c r="I123" s="16">
        <f t="shared" si="180"/>
        <v>0</v>
      </c>
      <c r="J123" s="16">
        <f t="shared" si="180"/>
        <v>0</v>
      </c>
      <c r="K123" s="16">
        <f t="shared" si="180"/>
        <v>0</v>
      </c>
      <c r="L123" s="16">
        <f t="shared" si="180"/>
        <v>0</v>
      </c>
      <c r="M123" s="16">
        <f t="shared" si="180"/>
        <v>0</v>
      </c>
      <c r="N123" s="16">
        <f t="shared" si="180"/>
        <v>0</v>
      </c>
      <c r="O123" s="16">
        <f t="shared" si="180"/>
        <v>0</v>
      </c>
      <c r="P123" s="16">
        <f t="shared" si="180"/>
        <v>0</v>
      </c>
      <c r="Q123" s="16">
        <f t="shared" si="180"/>
        <v>0</v>
      </c>
      <c r="R123" s="16">
        <f t="shared" si="180"/>
        <v>0</v>
      </c>
      <c r="S123" s="16">
        <f t="shared" si="180"/>
        <v>0</v>
      </c>
      <c r="T123" s="16">
        <f t="shared" si="180"/>
        <v>0</v>
      </c>
      <c r="U123" s="16">
        <f t="shared" si="180"/>
        <v>0</v>
      </c>
      <c r="V123" s="16">
        <f t="shared" si="180"/>
        <v>0</v>
      </c>
      <c r="W123" s="16">
        <f t="shared" si="180"/>
        <v>0</v>
      </c>
      <c r="X123" s="16">
        <f t="shared" si="180"/>
        <v>0</v>
      </c>
      <c r="Y123" s="16">
        <f t="shared" si="180"/>
        <v>0</v>
      </c>
      <c r="Z123" s="16">
        <f t="shared" si="180"/>
        <v>0</v>
      </c>
      <c r="AA123" s="16">
        <f t="shared" si="180"/>
        <v>0</v>
      </c>
      <c r="AB123" s="16">
        <f t="shared" si="180"/>
        <v>0</v>
      </c>
      <c r="AC123" s="16">
        <f t="shared" si="180"/>
        <v>0</v>
      </c>
      <c r="AD123" s="16">
        <f t="shared" si="180"/>
        <v>0</v>
      </c>
      <c r="AE123" s="16">
        <f t="shared" si="180"/>
        <v>1455276</v>
      </c>
      <c r="AF123" s="16">
        <f t="shared" si="180"/>
        <v>0</v>
      </c>
      <c r="AG123" s="16">
        <f t="shared" si="180"/>
        <v>0</v>
      </c>
      <c r="AH123" s="16">
        <f t="shared" si="180"/>
        <v>0</v>
      </c>
      <c r="AI123" s="16">
        <f t="shared" si="180"/>
        <v>0</v>
      </c>
      <c r="AJ123" s="16">
        <f t="shared" si="180"/>
        <v>0</v>
      </c>
      <c r="AK123" s="16">
        <f t="shared" ref="AK123:BR123" si="181">SUM(AK124)</f>
        <v>0</v>
      </c>
      <c r="AL123" s="16">
        <f t="shared" si="181"/>
        <v>0</v>
      </c>
      <c r="AM123" s="16">
        <f t="shared" si="181"/>
        <v>0</v>
      </c>
      <c r="AN123" s="16">
        <f t="shared" si="181"/>
        <v>0</v>
      </c>
      <c r="AO123" s="16">
        <f t="shared" si="181"/>
        <v>0</v>
      </c>
      <c r="AP123" s="16">
        <f t="shared" si="181"/>
        <v>0</v>
      </c>
      <c r="AQ123" s="16">
        <f t="shared" si="181"/>
        <v>0</v>
      </c>
      <c r="AR123" s="16">
        <f t="shared" si="181"/>
        <v>0</v>
      </c>
      <c r="AS123" s="16">
        <f t="shared" si="181"/>
        <v>0</v>
      </c>
      <c r="AT123" s="16">
        <f t="shared" si="181"/>
        <v>0</v>
      </c>
      <c r="AU123" s="16">
        <f t="shared" si="181"/>
        <v>0</v>
      </c>
      <c r="AV123" s="16">
        <f t="shared" si="181"/>
        <v>0</v>
      </c>
      <c r="AW123" s="16">
        <f t="shared" si="181"/>
        <v>0</v>
      </c>
      <c r="AX123" s="16">
        <f t="shared" si="181"/>
        <v>0</v>
      </c>
      <c r="AY123" s="16">
        <f t="shared" si="181"/>
        <v>0</v>
      </c>
      <c r="AZ123" s="16">
        <f t="shared" si="181"/>
        <v>1455276</v>
      </c>
      <c r="BA123" s="16">
        <f t="shared" si="181"/>
        <v>0</v>
      </c>
      <c r="BB123" s="16">
        <f t="shared" si="181"/>
        <v>0</v>
      </c>
      <c r="BC123" s="16">
        <f t="shared" si="181"/>
        <v>0</v>
      </c>
      <c r="BD123" s="16">
        <f t="shared" si="181"/>
        <v>0</v>
      </c>
      <c r="BE123" s="16">
        <f t="shared" si="181"/>
        <v>0</v>
      </c>
      <c r="BF123" s="16">
        <f t="shared" si="181"/>
        <v>0</v>
      </c>
      <c r="BG123" s="16">
        <f t="shared" si="181"/>
        <v>0</v>
      </c>
      <c r="BH123" s="16">
        <f t="shared" si="181"/>
        <v>0</v>
      </c>
      <c r="BI123" s="16">
        <f t="shared" si="181"/>
        <v>0</v>
      </c>
      <c r="BJ123" s="16">
        <f t="shared" si="181"/>
        <v>0</v>
      </c>
      <c r="BK123" s="16">
        <f t="shared" si="181"/>
        <v>0</v>
      </c>
      <c r="BL123" s="16">
        <f t="shared" si="181"/>
        <v>0</v>
      </c>
      <c r="BM123" s="16">
        <f t="shared" si="181"/>
        <v>0</v>
      </c>
      <c r="BN123" s="16">
        <f t="shared" si="181"/>
        <v>0</v>
      </c>
      <c r="BO123" s="16">
        <f t="shared" si="181"/>
        <v>0</v>
      </c>
      <c r="BP123" s="16">
        <f t="shared" si="181"/>
        <v>0</v>
      </c>
      <c r="BQ123" s="16">
        <f t="shared" si="181"/>
        <v>0</v>
      </c>
      <c r="BR123" s="16">
        <f t="shared" si="181"/>
        <v>0</v>
      </c>
      <c r="BS123" s="16">
        <f t="shared" ref="BS123:CU123" si="182">SUM(BS124)</f>
        <v>0</v>
      </c>
      <c r="BT123" s="16">
        <f t="shared" si="182"/>
        <v>0</v>
      </c>
      <c r="BU123" s="16">
        <f t="shared" si="182"/>
        <v>0</v>
      </c>
      <c r="BV123" s="16">
        <f t="shared" si="182"/>
        <v>0</v>
      </c>
      <c r="BW123" s="16">
        <f t="shared" si="182"/>
        <v>0</v>
      </c>
      <c r="BX123" s="16">
        <f t="shared" si="182"/>
        <v>0</v>
      </c>
      <c r="BY123" s="16">
        <f t="shared" si="182"/>
        <v>0</v>
      </c>
      <c r="BZ123" s="16">
        <f t="shared" si="182"/>
        <v>0</v>
      </c>
      <c r="CA123" s="16">
        <f t="shared" si="182"/>
        <v>0</v>
      </c>
      <c r="CB123" s="16">
        <f t="shared" si="182"/>
        <v>0</v>
      </c>
      <c r="CC123" s="16">
        <f t="shared" si="182"/>
        <v>0</v>
      </c>
      <c r="CD123" s="16">
        <f t="shared" si="182"/>
        <v>0</v>
      </c>
      <c r="CE123" s="16">
        <f t="shared" si="182"/>
        <v>0</v>
      </c>
      <c r="CF123" s="16">
        <f t="shared" si="182"/>
        <v>0</v>
      </c>
      <c r="CG123" s="16">
        <f t="shared" si="182"/>
        <v>0</v>
      </c>
      <c r="CH123" s="16">
        <f t="shared" si="182"/>
        <v>0</v>
      </c>
      <c r="CI123" s="16">
        <f t="shared" si="182"/>
        <v>0</v>
      </c>
      <c r="CJ123" s="16">
        <f t="shared" si="182"/>
        <v>0</v>
      </c>
      <c r="CK123" s="16">
        <f t="shared" si="182"/>
        <v>0</v>
      </c>
      <c r="CL123" s="16">
        <f t="shared" si="182"/>
        <v>0</v>
      </c>
      <c r="CM123" s="16">
        <f t="shared" si="182"/>
        <v>0</v>
      </c>
      <c r="CN123" s="16">
        <f t="shared" si="182"/>
        <v>0</v>
      </c>
      <c r="CO123" s="16">
        <f t="shared" si="182"/>
        <v>0</v>
      </c>
      <c r="CP123" s="16">
        <f t="shared" si="182"/>
        <v>0</v>
      </c>
      <c r="CQ123" s="16">
        <f t="shared" si="182"/>
        <v>0</v>
      </c>
      <c r="CR123" s="16">
        <f t="shared" si="182"/>
        <v>0</v>
      </c>
      <c r="CS123" s="16">
        <f t="shared" si="182"/>
        <v>0</v>
      </c>
      <c r="CT123" s="16">
        <f t="shared" si="182"/>
        <v>0</v>
      </c>
      <c r="CU123" s="17">
        <f t="shared" si="182"/>
        <v>0</v>
      </c>
      <c r="CV123" s="38"/>
    </row>
    <row r="124" spans="1:100" ht="15.75" x14ac:dyDescent="0.25">
      <c r="A124" s="13" t="s">
        <v>1</v>
      </c>
      <c r="B124" s="14" t="s">
        <v>1</v>
      </c>
      <c r="C124" s="14" t="s">
        <v>36</v>
      </c>
      <c r="D124" s="30" t="s">
        <v>147</v>
      </c>
      <c r="E124" s="15">
        <f>SUM(F124+BY124+CR124)</f>
        <v>1455276</v>
      </c>
      <c r="F124" s="16">
        <f>SUM(G124+BA124)</f>
        <v>1455276</v>
      </c>
      <c r="G124" s="16">
        <f>SUM(H124+I124+J124+Q124+T124+U124+V124+AE124)</f>
        <v>1455276</v>
      </c>
      <c r="H124" s="16">
        <v>0</v>
      </c>
      <c r="I124" s="16">
        <v>0</v>
      </c>
      <c r="J124" s="16">
        <f t="shared" si="103"/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f t="shared" si="104"/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f>SUM(W124:AD124)</f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f>SUM(AF124:AZ124)</f>
        <v>1455276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1455276</v>
      </c>
      <c r="BA124" s="16">
        <f>SUM(BB124+BF124+BI124+BK124+BM124)</f>
        <v>0</v>
      </c>
      <c r="BB124" s="16">
        <f>SUM(BC124:BE124)</f>
        <v>0</v>
      </c>
      <c r="BC124" s="16">
        <v>0</v>
      </c>
      <c r="BD124" s="16">
        <v>0</v>
      </c>
      <c r="BE124" s="16">
        <v>0</v>
      </c>
      <c r="BF124" s="16">
        <f t="shared" si="105"/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f t="shared" si="106"/>
        <v>0</v>
      </c>
      <c r="BL124" s="16">
        <v>0</v>
      </c>
      <c r="BM124" s="16">
        <f t="shared" si="107"/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f>SUM(BZ124+CQ124)</f>
        <v>0</v>
      </c>
      <c r="BZ124" s="16">
        <f>SUM(CA124+CD124+CJ124)</f>
        <v>0</v>
      </c>
      <c r="CA124" s="16">
        <f t="shared" si="108"/>
        <v>0</v>
      </c>
      <c r="CB124" s="16">
        <v>0</v>
      </c>
      <c r="CC124" s="16">
        <v>0</v>
      </c>
      <c r="CD124" s="16">
        <f>SUM(CE124:CH124)</f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f>SUM(CK124:CN124)</f>
        <v>0</v>
      </c>
      <c r="CK124" s="16"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f t="shared" si="109"/>
        <v>0</v>
      </c>
      <c r="CS124" s="16">
        <f t="shared" si="110"/>
        <v>0</v>
      </c>
      <c r="CT124" s="16">
        <v>0</v>
      </c>
      <c r="CU124" s="17">
        <v>0</v>
      </c>
      <c r="CV124" s="38"/>
    </row>
    <row r="125" spans="1:100" ht="15.75" x14ac:dyDescent="0.25">
      <c r="A125" s="18" t="s">
        <v>148</v>
      </c>
      <c r="B125" s="19" t="s">
        <v>1</v>
      </c>
      <c r="C125" s="19" t="s">
        <v>1</v>
      </c>
      <c r="D125" s="31" t="s">
        <v>149</v>
      </c>
      <c r="E125" s="20">
        <f>SUM(E126+E130+E134+E138+E140+E142)</f>
        <v>309926807</v>
      </c>
      <c r="F125" s="21">
        <f t="shared" ref="F125:BS125" si="183">SUM(F126+F130+F134+F138+F140+F142)</f>
        <v>301459769</v>
      </c>
      <c r="G125" s="21">
        <f t="shared" si="183"/>
        <v>257900999</v>
      </c>
      <c r="H125" s="21">
        <f t="shared" si="183"/>
        <v>179752977</v>
      </c>
      <c r="I125" s="21">
        <f t="shared" si="183"/>
        <v>41953862</v>
      </c>
      <c r="J125" s="21">
        <f t="shared" si="183"/>
        <v>21128844</v>
      </c>
      <c r="K125" s="21">
        <f t="shared" si="183"/>
        <v>235445</v>
      </c>
      <c r="L125" s="21">
        <f t="shared" si="183"/>
        <v>2405094</v>
      </c>
      <c r="M125" s="21">
        <f t="shared" si="183"/>
        <v>15168734</v>
      </c>
      <c r="N125" s="21">
        <f t="shared" si="183"/>
        <v>617832</v>
      </c>
      <c r="O125" s="21">
        <f t="shared" si="183"/>
        <v>2171300</v>
      </c>
      <c r="P125" s="21">
        <f t="shared" si="183"/>
        <v>530439</v>
      </c>
      <c r="Q125" s="21">
        <f t="shared" si="183"/>
        <v>142198</v>
      </c>
      <c r="R125" s="21">
        <f t="shared" si="183"/>
        <v>142198</v>
      </c>
      <c r="S125" s="21">
        <f t="shared" si="183"/>
        <v>0</v>
      </c>
      <c r="T125" s="21">
        <f t="shared" si="183"/>
        <v>0</v>
      </c>
      <c r="U125" s="21">
        <f t="shared" si="183"/>
        <v>978026</v>
      </c>
      <c r="V125" s="21">
        <f t="shared" si="183"/>
        <v>5779228</v>
      </c>
      <c r="W125" s="21">
        <f t="shared" si="183"/>
        <v>1314640</v>
      </c>
      <c r="X125" s="21">
        <f t="shared" si="183"/>
        <v>2783473</v>
      </c>
      <c r="Y125" s="21">
        <f t="shared" si="183"/>
        <v>825699</v>
      </c>
      <c r="Z125" s="21">
        <f t="shared" si="183"/>
        <v>444435</v>
      </c>
      <c r="AA125" s="21">
        <f t="shared" si="183"/>
        <v>300488</v>
      </c>
      <c r="AB125" s="21">
        <f t="shared" si="183"/>
        <v>74697</v>
      </c>
      <c r="AC125" s="21">
        <f t="shared" si="183"/>
        <v>0</v>
      </c>
      <c r="AD125" s="21">
        <f t="shared" ref="AD125" si="184">SUM(AD126+AD130+AD134+AD138+AD140+AD142)</f>
        <v>35796</v>
      </c>
      <c r="AE125" s="21">
        <f t="shared" si="183"/>
        <v>8165864</v>
      </c>
      <c r="AF125" s="21">
        <f t="shared" si="183"/>
        <v>0</v>
      </c>
      <c r="AG125" s="21">
        <f t="shared" si="183"/>
        <v>64132</v>
      </c>
      <c r="AH125" s="21">
        <f t="shared" si="183"/>
        <v>1493714</v>
      </c>
      <c r="AI125" s="21">
        <f t="shared" si="183"/>
        <v>1131115</v>
      </c>
      <c r="AJ125" s="21">
        <f t="shared" si="183"/>
        <v>1151124</v>
      </c>
      <c r="AK125" s="21">
        <f t="shared" si="183"/>
        <v>0</v>
      </c>
      <c r="AL125" s="21">
        <f t="shared" si="183"/>
        <v>1390010</v>
      </c>
      <c r="AM125" s="21">
        <f t="shared" si="183"/>
        <v>608892</v>
      </c>
      <c r="AN125" s="21">
        <f t="shared" si="183"/>
        <v>0</v>
      </c>
      <c r="AO125" s="21">
        <f t="shared" si="183"/>
        <v>76110</v>
      </c>
      <c r="AP125" s="21">
        <f>SUM(AP126+AP130+AP134+AP138+AP140+AP142)</f>
        <v>0</v>
      </c>
      <c r="AQ125" s="21">
        <f t="shared" si="183"/>
        <v>0</v>
      </c>
      <c r="AR125" s="21">
        <f t="shared" si="183"/>
        <v>15367</v>
      </c>
      <c r="AS125" s="21">
        <f t="shared" si="183"/>
        <v>123652</v>
      </c>
      <c r="AT125" s="21">
        <f t="shared" si="183"/>
        <v>0</v>
      </c>
      <c r="AU125" s="21">
        <f t="shared" si="183"/>
        <v>0</v>
      </c>
      <c r="AV125" s="21">
        <f t="shared" si="183"/>
        <v>0</v>
      </c>
      <c r="AW125" s="21">
        <f t="shared" si="183"/>
        <v>0</v>
      </c>
      <c r="AX125" s="21">
        <f t="shared" si="183"/>
        <v>0</v>
      </c>
      <c r="AY125" s="21">
        <f t="shared" si="183"/>
        <v>0</v>
      </c>
      <c r="AZ125" s="21">
        <f t="shared" si="183"/>
        <v>2111748</v>
      </c>
      <c r="BA125" s="21">
        <f t="shared" si="183"/>
        <v>43558770</v>
      </c>
      <c r="BB125" s="21">
        <f t="shared" si="183"/>
        <v>0</v>
      </c>
      <c r="BC125" s="21">
        <f t="shared" si="183"/>
        <v>0</v>
      </c>
      <c r="BD125" s="21">
        <f t="shared" si="183"/>
        <v>0</v>
      </c>
      <c r="BE125" s="21">
        <f t="shared" si="183"/>
        <v>0</v>
      </c>
      <c r="BF125" s="21">
        <f t="shared" si="183"/>
        <v>0</v>
      </c>
      <c r="BG125" s="21">
        <f t="shared" si="183"/>
        <v>0</v>
      </c>
      <c r="BH125" s="21">
        <f t="shared" si="183"/>
        <v>0</v>
      </c>
      <c r="BI125" s="21">
        <f t="shared" si="183"/>
        <v>0</v>
      </c>
      <c r="BJ125" s="21">
        <f t="shared" si="183"/>
        <v>0</v>
      </c>
      <c r="BK125" s="21">
        <f t="shared" si="183"/>
        <v>0</v>
      </c>
      <c r="BL125" s="21">
        <f t="shared" si="183"/>
        <v>0</v>
      </c>
      <c r="BM125" s="21">
        <f t="shared" si="183"/>
        <v>43558770</v>
      </c>
      <c r="BN125" s="21">
        <f t="shared" si="183"/>
        <v>0</v>
      </c>
      <c r="BO125" s="21">
        <f t="shared" si="183"/>
        <v>0</v>
      </c>
      <c r="BP125" s="21">
        <f t="shared" si="183"/>
        <v>16019068</v>
      </c>
      <c r="BQ125" s="21">
        <f t="shared" si="183"/>
        <v>0</v>
      </c>
      <c r="BR125" s="21">
        <f t="shared" si="183"/>
        <v>0</v>
      </c>
      <c r="BS125" s="21">
        <f t="shared" si="183"/>
        <v>407888</v>
      </c>
      <c r="BT125" s="21">
        <f t="shared" ref="BT125:CU125" si="185">SUM(BT126+BT130+BT134+BT138+BT140+BT142)</f>
        <v>0</v>
      </c>
      <c r="BU125" s="21">
        <f t="shared" si="185"/>
        <v>0</v>
      </c>
      <c r="BV125" s="21">
        <f t="shared" si="185"/>
        <v>0</v>
      </c>
      <c r="BW125" s="21">
        <f t="shared" si="185"/>
        <v>15883817</v>
      </c>
      <c r="BX125" s="21">
        <f t="shared" si="185"/>
        <v>11247997</v>
      </c>
      <c r="BY125" s="21">
        <f t="shared" si="185"/>
        <v>8467038</v>
      </c>
      <c r="BZ125" s="21">
        <f t="shared" si="185"/>
        <v>8467038</v>
      </c>
      <c r="CA125" s="21">
        <f t="shared" si="185"/>
        <v>8467038</v>
      </c>
      <c r="CB125" s="21">
        <f t="shared" si="185"/>
        <v>0</v>
      </c>
      <c r="CC125" s="21">
        <f t="shared" si="185"/>
        <v>8467038</v>
      </c>
      <c r="CD125" s="21">
        <f t="shared" si="185"/>
        <v>0</v>
      </c>
      <c r="CE125" s="21">
        <f t="shared" si="185"/>
        <v>0</v>
      </c>
      <c r="CF125" s="21">
        <f t="shared" si="185"/>
        <v>0</v>
      </c>
      <c r="CG125" s="21">
        <f t="shared" si="185"/>
        <v>0</v>
      </c>
      <c r="CH125" s="21">
        <f t="shared" si="185"/>
        <v>0</v>
      </c>
      <c r="CI125" s="21">
        <f t="shared" ref="CI125" si="186">SUM(CI126+CI130+CI134+CI138+CI140+CI142)</f>
        <v>0</v>
      </c>
      <c r="CJ125" s="21">
        <f t="shared" si="185"/>
        <v>0</v>
      </c>
      <c r="CK125" s="21">
        <f t="shared" si="185"/>
        <v>0</v>
      </c>
      <c r="CL125" s="21">
        <f t="shared" si="185"/>
        <v>0</v>
      </c>
      <c r="CM125" s="21">
        <f t="shared" si="185"/>
        <v>0</v>
      </c>
      <c r="CN125" s="21">
        <f t="shared" si="185"/>
        <v>0</v>
      </c>
      <c r="CO125" s="21">
        <f t="shared" si="185"/>
        <v>0</v>
      </c>
      <c r="CP125" s="21">
        <f t="shared" si="185"/>
        <v>0</v>
      </c>
      <c r="CQ125" s="21">
        <f t="shared" si="185"/>
        <v>0</v>
      </c>
      <c r="CR125" s="21">
        <f t="shared" si="185"/>
        <v>0</v>
      </c>
      <c r="CS125" s="21">
        <f t="shared" si="185"/>
        <v>0</v>
      </c>
      <c r="CT125" s="21">
        <f t="shared" si="185"/>
        <v>0</v>
      </c>
      <c r="CU125" s="22">
        <f t="shared" si="185"/>
        <v>0</v>
      </c>
      <c r="CV125" s="38"/>
    </row>
    <row r="126" spans="1:100" ht="15.75" x14ac:dyDescent="0.25">
      <c r="A126" s="13" t="s">
        <v>111</v>
      </c>
      <c r="B126" s="14" t="s">
        <v>15</v>
      </c>
      <c r="C126" s="14" t="s">
        <v>1</v>
      </c>
      <c r="D126" s="30" t="s">
        <v>150</v>
      </c>
      <c r="E126" s="15">
        <f>SUM(E127:E129)</f>
        <v>59715487</v>
      </c>
      <c r="F126" s="16">
        <f t="shared" ref="F126:BS126" si="187">SUM(F127:F129)</f>
        <v>59147227</v>
      </c>
      <c r="G126" s="16">
        <f t="shared" si="187"/>
        <v>50858058</v>
      </c>
      <c r="H126" s="16">
        <f t="shared" si="187"/>
        <v>29601720</v>
      </c>
      <c r="I126" s="16">
        <f t="shared" si="187"/>
        <v>6871989</v>
      </c>
      <c r="J126" s="16">
        <f t="shared" si="187"/>
        <v>11263409</v>
      </c>
      <c r="K126" s="16">
        <f t="shared" si="187"/>
        <v>130229</v>
      </c>
      <c r="L126" s="16">
        <f t="shared" si="187"/>
        <v>2093821</v>
      </c>
      <c r="M126" s="16">
        <f t="shared" si="187"/>
        <v>8163570</v>
      </c>
      <c r="N126" s="16">
        <f t="shared" si="187"/>
        <v>300995</v>
      </c>
      <c r="O126" s="16">
        <f t="shared" si="187"/>
        <v>512456</v>
      </c>
      <c r="P126" s="16">
        <f t="shared" si="187"/>
        <v>62338</v>
      </c>
      <c r="Q126" s="16">
        <f t="shared" si="187"/>
        <v>0</v>
      </c>
      <c r="R126" s="16">
        <f t="shared" si="187"/>
        <v>0</v>
      </c>
      <c r="S126" s="16">
        <f t="shared" si="187"/>
        <v>0</v>
      </c>
      <c r="T126" s="16">
        <f t="shared" si="187"/>
        <v>0</v>
      </c>
      <c r="U126" s="16">
        <f t="shared" si="187"/>
        <v>97120</v>
      </c>
      <c r="V126" s="16">
        <f t="shared" si="187"/>
        <v>1233926</v>
      </c>
      <c r="W126" s="16">
        <f t="shared" si="187"/>
        <v>94554</v>
      </c>
      <c r="X126" s="16">
        <f t="shared" si="187"/>
        <v>582986</v>
      </c>
      <c r="Y126" s="16">
        <f t="shared" si="187"/>
        <v>269548</v>
      </c>
      <c r="Z126" s="16">
        <f t="shared" si="187"/>
        <v>198947</v>
      </c>
      <c r="AA126" s="16">
        <f t="shared" si="187"/>
        <v>54324</v>
      </c>
      <c r="AB126" s="16">
        <f t="shared" si="187"/>
        <v>0</v>
      </c>
      <c r="AC126" s="16">
        <f t="shared" si="187"/>
        <v>0</v>
      </c>
      <c r="AD126" s="16">
        <f t="shared" ref="AD126" si="188">SUM(AD127:AD129)</f>
        <v>33567</v>
      </c>
      <c r="AE126" s="16">
        <f t="shared" si="187"/>
        <v>1789894</v>
      </c>
      <c r="AF126" s="16">
        <f t="shared" si="187"/>
        <v>0</v>
      </c>
      <c r="AG126" s="16">
        <f t="shared" si="187"/>
        <v>730</v>
      </c>
      <c r="AH126" s="16">
        <f t="shared" si="187"/>
        <v>370290</v>
      </c>
      <c r="AI126" s="16">
        <f t="shared" si="187"/>
        <v>126250</v>
      </c>
      <c r="AJ126" s="16">
        <f t="shared" si="187"/>
        <v>874077</v>
      </c>
      <c r="AK126" s="16">
        <f t="shared" si="187"/>
        <v>0</v>
      </c>
      <c r="AL126" s="16">
        <f t="shared" si="187"/>
        <v>324639</v>
      </c>
      <c r="AM126" s="16">
        <f t="shared" si="187"/>
        <v>10061</v>
      </c>
      <c r="AN126" s="16">
        <f t="shared" si="187"/>
        <v>0</v>
      </c>
      <c r="AO126" s="16">
        <f t="shared" si="187"/>
        <v>43868</v>
      </c>
      <c r="AP126" s="16">
        <f>SUM(AP127:AP129)</f>
        <v>0</v>
      </c>
      <c r="AQ126" s="16">
        <f t="shared" si="187"/>
        <v>0</v>
      </c>
      <c r="AR126" s="16">
        <f t="shared" si="187"/>
        <v>0</v>
      </c>
      <c r="AS126" s="16">
        <f t="shared" si="187"/>
        <v>0</v>
      </c>
      <c r="AT126" s="16">
        <f t="shared" si="187"/>
        <v>0</v>
      </c>
      <c r="AU126" s="16">
        <f t="shared" si="187"/>
        <v>0</v>
      </c>
      <c r="AV126" s="16">
        <f t="shared" si="187"/>
        <v>0</v>
      </c>
      <c r="AW126" s="16">
        <f t="shared" si="187"/>
        <v>0</v>
      </c>
      <c r="AX126" s="16">
        <f t="shared" si="187"/>
        <v>0</v>
      </c>
      <c r="AY126" s="16">
        <f t="shared" si="187"/>
        <v>0</v>
      </c>
      <c r="AZ126" s="16">
        <f t="shared" si="187"/>
        <v>39979</v>
      </c>
      <c r="BA126" s="16">
        <f t="shared" si="187"/>
        <v>8289169</v>
      </c>
      <c r="BB126" s="16">
        <f t="shared" si="187"/>
        <v>0</v>
      </c>
      <c r="BC126" s="16">
        <f t="shared" si="187"/>
        <v>0</v>
      </c>
      <c r="BD126" s="16">
        <f t="shared" si="187"/>
        <v>0</v>
      </c>
      <c r="BE126" s="16">
        <f t="shared" si="187"/>
        <v>0</v>
      </c>
      <c r="BF126" s="16">
        <f t="shared" si="187"/>
        <v>0</v>
      </c>
      <c r="BG126" s="16">
        <f t="shared" si="187"/>
        <v>0</v>
      </c>
      <c r="BH126" s="16">
        <f t="shared" si="187"/>
        <v>0</v>
      </c>
      <c r="BI126" s="16">
        <f t="shared" si="187"/>
        <v>0</v>
      </c>
      <c r="BJ126" s="16">
        <f t="shared" si="187"/>
        <v>0</v>
      </c>
      <c r="BK126" s="16">
        <f t="shared" si="187"/>
        <v>0</v>
      </c>
      <c r="BL126" s="16">
        <f t="shared" si="187"/>
        <v>0</v>
      </c>
      <c r="BM126" s="16">
        <f t="shared" si="187"/>
        <v>8289169</v>
      </c>
      <c r="BN126" s="16">
        <f t="shared" si="187"/>
        <v>0</v>
      </c>
      <c r="BO126" s="16">
        <f t="shared" si="187"/>
        <v>0</v>
      </c>
      <c r="BP126" s="16">
        <f t="shared" si="187"/>
        <v>0</v>
      </c>
      <c r="BQ126" s="16">
        <f t="shared" si="187"/>
        <v>0</v>
      </c>
      <c r="BR126" s="16">
        <f t="shared" si="187"/>
        <v>0</v>
      </c>
      <c r="BS126" s="16">
        <f t="shared" si="187"/>
        <v>374363</v>
      </c>
      <c r="BT126" s="16">
        <f t="shared" ref="BT126:CU126" si="189">SUM(BT127:BT129)</f>
        <v>0</v>
      </c>
      <c r="BU126" s="16">
        <f t="shared" si="189"/>
        <v>0</v>
      </c>
      <c r="BV126" s="16">
        <f t="shared" si="189"/>
        <v>0</v>
      </c>
      <c r="BW126" s="16">
        <f t="shared" si="189"/>
        <v>0</v>
      </c>
      <c r="BX126" s="16">
        <f t="shared" si="189"/>
        <v>7914806</v>
      </c>
      <c r="BY126" s="16">
        <f t="shared" si="189"/>
        <v>568260</v>
      </c>
      <c r="BZ126" s="16">
        <f t="shared" si="189"/>
        <v>568260</v>
      </c>
      <c r="CA126" s="16">
        <f t="shared" si="189"/>
        <v>568260</v>
      </c>
      <c r="CB126" s="16">
        <f t="shared" si="189"/>
        <v>0</v>
      </c>
      <c r="CC126" s="16">
        <f t="shared" si="189"/>
        <v>568260</v>
      </c>
      <c r="CD126" s="16">
        <f t="shared" si="189"/>
        <v>0</v>
      </c>
      <c r="CE126" s="16">
        <f t="shared" si="189"/>
        <v>0</v>
      </c>
      <c r="CF126" s="16">
        <f t="shared" si="189"/>
        <v>0</v>
      </c>
      <c r="CG126" s="16">
        <f t="shared" si="189"/>
        <v>0</v>
      </c>
      <c r="CH126" s="16">
        <f t="shared" si="189"/>
        <v>0</v>
      </c>
      <c r="CI126" s="16">
        <f t="shared" ref="CI126" si="190">SUM(CI127:CI129)</f>
        <v>0</v>
      </c>
      <c r="CJ126" s="16">
        <f t="shared" si="189"/>
        <v>0</v>
      </c>
      <c r="CK126" s="16">
        <f t="shared" si="189"/>
        <v>0</v>
      </c>
      <c r="CL126" s="16">
        <f t="shared" si="189"/>
        <v>0</v>
      </c>
      <c r="CM126" s="16">
        <f t="shared" si="189"/>
        <v>0</v>
      </c>
      <c r="CN126" s="16">
        <f t="shared" si="189"/>
        <v>0</v>
      </c>
      <c r="CO126" s="16">
        <f t="shared" si="189"/>
        <v>0</v>
      </c>
      <c r="CP126" s="16">
        <f t="shared" si="189"/>
        <v>0</v>
      </c>
      <c r="CQ126" s="16">
        <f t="shared" si="189"/>
        <v>0</v>
      </c>
      <c r="CR126" s="16">
        <f t="shared" si="189"/>
        <v>0</v>
      </c>
      <c r="CS126" s="16">
        <f t="shared" si="189"/>
        <v>0</v>
      </c>
      <c r="CT126" s="16">
        <f t="shared" si="189"/>
        <v>0</v>
      </c>
      <c r="CU126" s="17">
        <f t="shared" si="189"/>
        <v>0</v>
      </c>
      <c r="CV126" s="38"/>
    </row>
    <row r="127" spans="1:100" ht="15.75" x14ac:dyDescent="0.25">
      <c r="A127" s="13" t="s">
        <v>1</v>
      </c>
      <c r="B127" s="14" t="s">
        <v>1</v>
      </c>
      <c r="C127" s="14" t="s">
        <v>19</v>
      </c>
      <c r="D127" s="30" t="s">
        <v>151</v>
      </c>
      <c r="E127" s="15">
        <f>SUM(F127+BY127+CR127)</f>
        <v>19117790</v>
      </c>
      <c r="F127" s="16">
        <f>SUM(G127+BA127)</f>
        <v>18989845</v>
      </c>
      <c r="G127" s="16">
        <f>SUM(H127+I127+J127+Q127+T127+U127+V127+AE127)</f>
        <v>14732069</v>
      </c>
      <c r="H127" s="16">
        <v>7559762</v>
      </c>
      <c r="I127" s="16">
        <v>1771936</v>
      </c>
      <c r="J127" s="16">
        <f t="shared" si="103"/>
        <v>4716629</v>
      </c>
      <c r="K127" s="16">
        <v>18876</v>
      </c>
      <c r="L127" s="16">
        <v>695564</v>
      </c>
      <c r="M127" s="16">
        <v>3371956</v>
      </c>
      <c r="N127" s="16">
        <v>300995</v>
      </c>
      <c r="O127" s="16">
        <v>317378</v>
      </c>
      <c r="P127" s="16">
        <v>11860</v>
      </c>
      <c r="Q127" s="16">
        <f t="shared" si="104"/>
        <v>0</v>
      </c>
      <c r="R127" s="16">
        <v>0</v>
      </c>
      <c r="S127" s="16">
        <v>0</v>
      </c>
      <c r="T127" s="16">
        <v>0</v>
      </c>
      <c r="U127" s="16">
        <v>29258</v>
      </c>
      <c r="V127" s="16">
        <f>SUM(W127:AD127)</f>
        <v>406811</v>
      </c>
      <c r="W127" s="16">
        <v>6214</v>
      </c>
      <c r="X127" s="16">
        <v>240826</v>
      </c>
      <c r="Y127" s="16">
        <v>119400</v>
      </c>
      <c r="Z127" s="16">
        <v>11103</v>
      </c>
      <c r="AA127" s="16">
        <v>14160</v>
      </c>
      <c r="AB127" s="16">
        <v>0</v>
      </c>
      <c r="AC127" s="16">
        <v>0</v>
      </c>
      <c r="AD127" s="16">
        <v>15108</v>
      </c>
      <c r="AE127" s="16">
        <f>SUM(AF127:AZ127)</f>
        <v>247673</v>
      </c>
      <c r="AF127" s="16">
        <v>0</v>
      </c>
      <c r="AG127" s="16">
        <v>0</v>
      </c>
      <c r="AH127" s="16">
        <v>141460</v>
      </c>
      <c r="AI127" s="16">
        <v>5776</v>
      </c>
      <c r="AJ127" s="16">
        <v>11856</v>
      </c>
      <c r="AK127" s="16">
        <v>0</v>
      </c>
      <c r="AL127" s="16">
        <v>75598</v>
      </c>
      <c r="AM127" s="16">
        <v>5071</v>
      </c>
      <c r="AN127" s="16">
        <v>0</v>
      </c>
      <c r="AO127" s="16">
        <v>1976</v>
      </c>
      <c r="AP127" s="16"/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/>
      <c r="AZ127" s="16">
        <v>5936</v>
      </c>
      <c r="BA127" s="16">
        <f>SUM(BB127+BF127+BI127+BK127+BM127)</f>
        <v>4257776</v>
      </c>
      <c r="BB127" s="16">
        <f>SUM(BC127:BE127)</f>
        <v>0</v>
      </c>
      <c r="BC127" s="16">
        <v>0</v>
      </c>
      <c r="BD127" s="16">
        <v>0</v>
      </c>
      <c r="BE127" s="16">
        <v>0</v>
      </c>
      <c r="BF127" s="16">
        <f t="shared" si="105"/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f t="shared" si="106"/>
        <v>0</v>
      </c>
      <c r="BL127" s="16">
        <v>0</v>
      </c>
      <c r="BM127" s="16">
        <f t="shared" si="107"/>
        <v>4257776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206738</v>
      </c>
      <c r="BT127" s="16">
        <v>0</v>
      </c>
      <c r="BU127" s="16">
        <v>0</v>
      </c>
      <c r="BV127" s="16">
        <v>0</v>
      </c>
      <c r="BW127" s="16">
        <v>0</v>
      </c>
      <c r="BX127" s="16">
        <v>4051038</v>
      </c>
      <c r="BY127" s="16">
        <f>SUM(BZ127+CQ127)</f>
        <v>127945</v>
      </c>
      <c r="BZ127" s="16">
        <f>SUM(CA127+CD127+CJ127)</f>
        <v>127945</v>
      </c>
      <c r="CA127" s="16">
        <f t="shared" si="108"/>
        <v>127945</v>
      </c>
      <c r="CB127" s="16">
        <v>0</v>
      </c>
      <c r="CC127" s="16">
        <v>127945</v>
      </c>
      <c r="CD127" s="16">
        <f>SUM(CE127:CH127)</f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f>SUM(CK127:CN127)</f>
        <v>0</v>
      </c>
      <c r="CK127" s="16">
        <v>0</v>
      </c>
      <c r="CL127" s="16">
        <v>0</v>
      </c>
      <c r="CM127" s="16">
        <v>0</v>
      </c>
      <c r="CN127" s="16">
        <v>0</v>
      </c>
      <c r="CO127" s="16"/>
      <c r="CP127" s="16"/>
      <c r="CQ127" s="16">
        <v>0</v>
      </c>
      <c r="CR127" s="16">
        <f t="shared" si="109"/>
        <v>0</v>
      </c>
      <c r="CS127" s="16">
        <f t="shared" si="110"/>
        <v>0</v>
      </c>
      <c r="CT127" s="16">
        <v>0</v>
      </c>
      <c r="CU127" s="17">
        <v>0</v>
      </c>
      <c r="CV127" s="38"/>
    </row>
    <row r="128" spans="1:100" ht="15.75" x14ac:dyDescent="0.25">
      <c r="A128" s="13" t="s">
        <v>1</v>
      </c>
      <c r="B128" s="14" t="s">
        <v>1</v>
      </c>
      <c r="C128" s="14" t="s">
        <v>19</v>
      </c>
      <c r="D128" s="30" t="s">
        <v>152</v>
      </c>
      <c r="E128" s="15">
        <f>SUM(F128+BY128+CR128)</f>
        <v>32127697</v>
      </c>
      <c r="F128" s="16">
        <f>SUM(G128+BA128)</f>
        <v>31809800</v>
      </c>
      <c r="G128" s="16">
        <f>SUM(H128+I128+J128+Q128+T128+U128+V128+AE128)</f>
        <v>27778407</v>
      </c>
      <c r="H128" s="16">
        <v>16025635</v>
      </c>
      <c r="I128" s="16">
        <v>3704351</v>
      </c>
      <c r="J128" s="16">
        <f t="shared" si="103"/>
        <v>6052716</v>
      </c>
      <c r="K128" s="16">
        <v>97293</v>
      </c>
      <c r="L128" s="16">
        <v>1384307</v>
      </c>
      <c r="M128" s="16">
        <v>4327109</v>
      </c>
      <c r="N128" s="16">
        <v>0</v>
      </c>
      <c r="O128" s="16">
        <v>195078</v>
      </c>
      <c r="P128" s="16">
        <v>48929</v>
      </c>
      <c r="Q128" s="16">
        <f t="shared" si="104"/>
        <v>0</v>
      </c>
      <c r="R128" s="16">
        <v>0</v>
      </c>
      <c r="S128" s="16">
        <v>0</v>
      </c>
      <c r="T128" s="16">
        <v>0</v>
      </c>
      <c r="U128" s="16">
        <v>33884</v>
      </c>
      <c r="V128" s="16">
        <f>SUM(W128:AD128)</f>
        <v>545891</v>
      </c>
      <c r="W128" s="16">
        <v>67769</v>
      </c>
      <c r="X128" s="16">
        <v>186939</v>
      </c>
      <c r="Y128" s="16">
        <v>89764</v>
      </c>
      <c r="Z128" s="16">
        <v>159098</v>
      </c>
      <c r="AA128" s="16">
        <v>23862</v>
      </c>
      <c r="AB128" s="16">
        <v>0</v>
      </c>
      <c r="AC128" s="16">
        <v>0</v>
      </c>
      <c r="AD128" s="16">
        <v>18459</v>
      </c>
      <c r="AE128" s="16">
        <f>SUM(AF128:AZ128)</f>
        <v>1415930</v>
      </c>
      <c r="AF128" s="16">
        <v>0</v>
      </c>
      <c r="AG128" s="16">
        <v>172</v>
      </c>
      <c r="AH128" s="16">
        <v>193351</v>
      </c>
      <c r="AI128" s="16">
        <v>102425</v>
      </c>
      <c r="AJ128" s="16">
        <v>851225</v>
      </c>
      <c r="AK128" s="16">
        <v>0</v>
      </c>
      <c r="AL128" s="16">
        <v>187832</v>
      </c>
      <c r="AM128" s="16">
        <v>4990</v>
      </c>
      <c r="AN128" s="16">
        <v>0</v>
      </c>
      <c r="AO128" s="16">
        <v>41892</v>
      </c>
      <c r="AP128" s="16"/>
      <c r="AQ128" s="16">
        <v>0</v>
      </c>
      <c r="AR128" s="16">
        <v>0</v>
      </c>
      <c r="AS128" s="16">
        <v>0</v>
      </c>
      <c r="AT128" s="16">
        <v>0</v>
      </c>
      <c r="AU128" s="16">
        <v>0</v>
      </c>
      <c r="AV128" s="16">
        <v>0</v>
      </c>
      <c r="AW128" s="16">
        <v>0</v>
      </c>
      <c r="AX128" s="16">
        <v>0</v>
      </c>
      <c r="AY128" s="16"/>
      <c r="AZ128" s="16">
        <v>34043</v>
      </c>
      <c r="BA128" s="16">
        <f>SUM(BB128+BF128+BI128+BK128+BM128)</f>
        <v>4031393</v>
      </c>
      <c r="BB128" s="16">
        <f>SUM(BC128:BE128)</f>
        <v>0</v>
      </c>
      <c r="BC128" s="16">
        <v>0</v>
      </c>
      <c r="BD128" s="16">
        <v>0</v>
      </c>
      <c r="BE128" s="16">
        <v>0</v>
      </c>
      <c r="BF128" s="16">
        <f t="shared" si="105"/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f t="shared" si="106"/>
        <v>0</v>
      </c>
      <c r="BL128" s="16">
        <v>0</v>
      </c>
      <c r="BM128" s="16">
        <f t="shared" si="107"/>
        <v>4031393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167625</v>
      </c>
      <c r="BT128" s="16">
        <v>0</v>
      </c>
      <c r="BU128" s="16">
        <v>0</v>
      </c>
      <c r="BV128" s="16">
        <v>0</v>
      </c>
      <c r="BW128" s="16">
        <v>0</v>
      </c>
      <c r="BX128" s="16">
        <v>3863768</v>
      </c>
      <c r="BY128" s="16">
        <f>SUM(BZ128+CQ128)</f>
        <v>317897</v>
      </c>
      <c r="BZ128" s="16">
        <f>SUM(CA128+CD128+CJ128)</f>
        <v>317897</v>
      </c>
      <c r="CA128" s="16">
        <f t="shared" si="108"/>
        <v>317897</v>
      </c>
      <c r="CB128" s="16">
        <v>0</v>
      </c>
      <c r="CC128" s="16">
        <v>317897</v>
      </c>
      <c r="CD128" s="16">
        <f>SUM(CE128:CH128)</f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f>SUM(CK128:CN128)</f>
        <v>0</v>
      </c>
      <c r="CK128" s="16">
        <v>0</v>
      </c>
      <c r="CL128" s="16">
        <v>0</v>
      </c>
      <c r="CM128" s="16">
        <v>0</v>
      </c>
      <c r="CN128" s="16">
        <v>0</v>
      </c>
      <c r="CO128" s="16"/>
      <c r="CP128" s="16"/>
      <c r="CQ128" s="16">
        <v>0</v>
      </c>
      <c r="CR128" s="16">
        <f t="shared" si="109"/>
        <v>0</v>
      </c>
      <c r="CS128" s="16">
        <f t="shared" si="110"/>
        <v>0</v>
      </c>
      <c r="CT128" s="16">
        <v>0</v>
      </c>
      <c r="CU128" s="17">
        <v>0</v>
      </c>
      <c r="CV128" s="38"/>
    </row>
    <row r="129" spans="1:100" ht="15.75" x14ac:dyDescent="0.25">
      <c r="A129" s="13" t="s">
        <v>1</v>
      </c>
      <c r="B129" s="14" t="s">
        <v>1</v>
      </c>
      <c r="C129" s="14" t="s">
        <v>23</v>
      </c>
      <c r="D129" s="30" t="s">
        <v>153</v>
      </c>
      <c r="E129" s="15">
        <f>SUM(F129+BY129+CR129)</f>
        <v>8470000</v>
      </c>
      <c r="F129" s="16">
        <f>SUM(G129+BA129)</f>
        <v>8347582</v>
      </c>
      <c r="G129" s="16">
        <f>SUM(H129+I129+J129+Q129+T129+U129+V129+AE129)</f>
        <v>8347582</v>
      </c>
      <c r="H129" s="16">
        <v>6016323</v>
      </c>
      <c r="I129" s="16">
        <v>1395702</v>
      </c>
      <c r="J129" s="16">
        <f t="shared" si="103"/>
        <v>494064</v>
      </c>
      <c r="K129" s="16">
        <v>14060</v>
      </c>
      <c r="L129" s="16">
        <v>13950</v>
      </c>
      <c r="M129" s="16">
        <v>464505</v>
      </c>
      <c r="N129" s="16">
        <v>0</v>
      </c>
      <c r="O129" s="16">
        <v>0</v>
      </c>
      <c r="P129" s="16">
        <v>1549</v>
      </c>
      <c r="Q129" s="16">
        <f t="shared" si="104"/>
        <v>0</v>
      </c>
      <c r="R129" s="16">
        <v>0</v>
      </c>
      <c r="S129" s="16">
        <v>0</v>
      </c>
      <c r="T129" s="16">
        <v>0</v>
      </c>
      <c r="U129" s="16">
        <v>33978</v>
      </c>
      <c r="V129" s="16">
        <f>SUM(W129:AD129)</f>
        <v>281224</v>
      </c>
      <c r="W129" s="16">
        <v>20571</v>
      </c>
      <c r="X129" s="16">
        <v>155221</v>
      </c>
      <c r="Y129" s="16">
        <v>60384</v>
      </c>
      <c r="Z129" s="16">
        <v>28746</v>
      </c>
      <c r="AA129" s="16">
        <v>16302</v>
      </c>
      <c r="AB129" s="16">
        <v>0</v>
      </c>
      <c r="AC129" s="16">
        <v>0</v>
      </c>
      <c r="AD129" s="16">
        <v>0</v>
      </c>
      <c r="AE129" s="16">
        <f>SUM(AF129:AZ129)</f>
        <v>126291</v>
      </c>
      <c r="AF129" s="16">
        <v>0</v>
      </c>
      <c r="AG129" s="16">
        <v>558</v>
      </c>
      <c r="AH129" s="16">
        <v>35479</v>
      </c>
      <c r="AI129" s="16">
        <v>18049</v>
      </c>
      <c r="AJ129" s="16">
        <v>10996</v>
      </c>
      <c r="AK129" s="16">
        <v>0</v>
      </c>
      <c r="AL129" s="16">
        <v>61209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f>SUM(BB129+BF129+BI129+BK129+BM129)</f>
        <v>0</v>
      </c>
      <c r="BB129" s="16">
        <f>SUM(BC129:BE129)</f>
        <v>0</v>
      </c>
      <c r="BC129" s="16">
        <v>0</v>
      </c>
      <c r="BD129" s="16">
        <v>0</v>
      </c>
      <c r="BE129" s="16">
        <v>0</v>
      </c>
      <c r="BF129" s="16">
        <f t="shared" si="105"/>
        <v>0</v>
      </c>
      <c r="BG129" s="16">
        <v>0</v>
      </c>
      <c r="BH129" s="16">
        <v>0</v>
      </c>
      <c r="BI129" s="16">
        <v>0</v>
      </c>
      <c r="BJ129" s="16">
        <v>0</v>
      </c>
      <c r="BK129" s="16">
        <f t="shared" si="106"/>
        <v>0</v>
      </c>
      <c r="BL129" s="16">
        <v>0</v>
      </c>
      <c r="BM129" s="16">
        <f t="shared" si="107"/>
        <v>0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0</v>
      </c>
      <c r="BW129" s="16">
        <v>0</v>
      </c>
      <c r="BX129" s="16">
        <v>0</v>
      </c>
      <c r="BY129" s="16">
        <f>SUM(BZ129+CQ129)</f>
        <v>122418</v>
      </c>
      <c r="BZ129" s="16">
        <f>SUM(CA129+CD129+CJ129)</f>
        <v>122418</v>
      </c>
      <c r="CA129" s="16">
        <f t="shared" si="108"/>
        <v>122418</v>
      </c>
      <c r="CB129" s="16">
        <v>0</v>
      </c>
      <c r="CC129" s="16">
        <v>122418</v>
      </c>
      <c r="CD129" s="16">
        <f>SUM(CE129:CH129)</f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J129" s="16">
        <f>SUM(CK129:CN129)</f>
        <v>0</v>
      </c>
      <c r="CK129" s="16">
        <v>0</v>
      </c>
      <c r="CL129" s="16">
        <v>0</v>
      </c>
      <c r="CM129" s="16">
        <v>0</v>
      </c>
      <c r="CN129" s="16">
        <v>0</v>
      </c>
      <c r="CO129" s="16">
        <v>0</v>
      </c>
      <c r="CP129" s="16">
        <v>0</v>
      </c>
      <c r="CQ129" s="16">
        <v>0</v>
      </c>
      <c r="CR129" s="16">
        <f t="shared" si="109"/>
        <v>0</v>
      </c>
      <c r="CS129" s="16">
        <f t="shared" si="110"/>
        <v>0</v>
      </c>
      <c r="CT129" s="16">
        <v>0</v>
      </c>
      <c r="CU129" s="17">
        <v>0</v>
      </c>
      <c r="CV129" s="38"/>
    </row>
    <row r="130" spans="1:100" ht="15.75" x14ac:dyDescent="0.25">
      <c r="A130" s="13" t="s">
        <v>111</v>
      </c>
      <c r="B130" s="14" t="s">
        <v>47</v>
      </c>
      <c r="C130" s="14" t="s">
        <v>1</v>
      </c>
      <c r="D130" s="30" t="s">
        <v>154</v>
      </c>
      <c r="E130" s="15">
        <f>SUM(E131:E133)</f>
        <v>119244578</v>
      </c>
      <c r="F130" s="16">
        <f t="shared" ref="F130:BS130" si="191">SUM(F131:F133)</f>
        <v>112172921</v>
      </c>
      <c r="G130" s="16">
        <f t="shared" si="191"/>
        <v>92642598</v>
      </c>
      <c r="H130" s="16">
        <f t="shared" si="191"/>
        <v>64629753</v>
      </c>
      <c r="I130" s="16">
        <f t="shared" si="191"/>
        <v>15063606</v>
      </c>
      <c r="J130" s="16">
        <f t="shared" si="191"/>
        <v>6895298</v>
      </c>
      <c r="K130" s="16">
        <f t="shared" si="191"/>
        <v>96314</v>
      </c>
      <c r="L130" s="16">
        <f t="shared" si="191"/>
        <v>50185</v>
      </c>
      <c r="M130" s="16">
        <f t="shared" si="191"/>
        <v>5300248</v>
      </c>
      <c r="N130" s="16">
        <f t="shared" si="191"/>
        <v>0</v>
      </c>
      <c r="O130" s="16">
        <f t="shared" si="191"/>
        <v>1088191</v>
      </c>
      <c r="P130" s="16">
        <f t="shared" si="191"/>
        <v>360360</v>
      </c>
      <c r="Q130" s="16">
        <f t="shared" si="191"/>
        <v>119846</v>
      </c>
      <c r="R130" s="16">
        <f t="shared" si="191"/>
        <v>119846</v>
      </c>
      <c r="S130" s="16">
        <f t="shared" si="191"/>
        <v>0</v>
      </c>
      <c r="T130" s="16">
        <f t="shared" si="191"/>
        <v>0</v>
      </c>
      <c r="U130" s="16">
        <f t="shared" si="191"/>
        <v>491948</v>
      </c>
      <c r="V130" s="16">
        <f t="shared" si="191"/>
        <v>2023297</v>
      </c>
      <c r="W130" s="16">
        <f t="shared" si="191"/>
        <v>43471</v>
      </c>
      <c r="X130" s="16">
        <f t="shared" si="191"/>
        <v>1476180</v>
      </c>
      <c r="Y130" s="16">
        <f t="shared" si="191"/>
        <v>289459</v>
      </c>
      <c r="Z130" s="16">
        <f t="shared" si="191"/>
        <v>110061</v>
      </c>
      <c r="AA130" s="16">
        <f t="shared" si="191"/>
        <v>104126</v>
      </c>
      <c r="AB130" s="16">
        <f t="shared" si="191"/>
        <v>0</v>
      </c>
      <c r="AC130" s="16">
        <f t="shared" si="191"/>
        <v>0</v>
      </c>
      <c r="AD130" s="16">
        <f t="shared" ref="AD130" si="192">SUM(AD131:AD133)</f>
        <v>0</v>
      </c>
      <c r="AE130" s="16">
        <f t="shared" si="191"/>
        <v>3418850</v>
      </c>
      <c r="AF130" s="16">
        <f t="shared" si="191"/>
        <v>0</v>
      </c>
      <c r="AG130" s="16">
        <f t="shared" si="191"/>
        <v>46374</v>
      </c>
      <c r="AH130" s="16">
        <f t="shared" si="191"/>
        <v>810392</v>
      </c>
      <c r="AI130" s="16">
        <f t="shared" si="191"/>
        <v>401563</v>
      </c>
      <c r="AJ130" s="16">
        <f t="shared" si="191"/>
        <v>144382</v>
      </c>
      <c r="AK130" s="16">
        <f t="shared" si="191"/>
        <v>0</v>
      </c>
      <c r="AL130" s="16">
        <f t="shared" si="191"/>
        <v>178029</v>
      </c>
      <c r="AM130" s="16">
        <f t="shared" si="191"/>
        <v>16716</v>
      </c>
      <c r="AN130" s="16">
        <f t="shared" si="191"/>
        <v>0</v>
      </c>
      <c r="AO130" s="16">
        <f t="shared" si="191"/>
        <v>14841</v>
      </c>
      <c r="AP130" s="16">
        <f>SUM(AP131:AP133)</f>
        <v>0</v>
      </c>
      <c r="AQ130" s="16">
        <f t="shared" si="191"/>
        <v>0</v>
      </c>
      <c r="AR130" s="16">
        <f t="shared" si="191"/>
        <v>15367</v>
      </c>
      <c r="AS130" s="16">
        <f t="shared" si="191"/>
        <v>83800</v>
      </c>
      <c r="AT130" s="16">
        <f t="shared" si="191"/>
        <v>0</v>
      </c>
      <c r="AU130" s="16">
        <f t="shared" si="191"/>
        <v>0</v>
      </c>
      <c r="AV130" s="16">
        <f t="shared" si="191"/>
        <v>0</v>
      </c>
      <c r="AW130" s="16">
        <f t="shared" si="191"/>
        <v>0</v>
      </c>
      <c r="AX130" s="16">
        <f t="shared" si="191"/>
        <v>0</v>
      </c>
      <c r="AY130" s="16">
        <f t="shared" si="191"/>
        <v>0</v>
      </c>
      <c r="AZ130" s="16">
        <f t="shared" si="191"/>
        <v>1707386</v>
      </c>
      <c r="BA130" s="16">
        <f t="shared" si="191"/>
        <v>19530323</v>
      </c>
      <c r="BB130" s="16">
        <f t="shared" si="191"/>
        <v>0</v>
      </c>
      <c r="BC130" s="16">
        <f t="shared" si="191"/>
        <v>0</v>
      </c>
      <c r="BD130" s="16">
        <f t="shared" si="191"/>
        <v>0</v>
      </c>
      <c r="BE130" s="16">
        <f t="shared" si="191"/>
        <v>0</v>
      </c>
      <c r="BF130" s="16">
        <f t="shared" si="191"/>
        <v>0</v>
      </c>
      <c r="BG130" s="16">
        <f t="shared" si="191"/>
        <v>0</v>
      </c>
      <c r="BH130" s="16">
        <f t="shared" si="191"/>
        <v>0</v>
      </c>
      <c r="BI130" s="16">
        <f t="shared" si="191"/>
        <v>0</v>
      </c>
      <c r="BJ130" s="16">
        <f t="shared" si="191"/>
        <v>0</v>
      </c>
      <c r="BK130" s="16">
        <f t="shared" si="191"/>
        <v>0</v>
      </c>
      <c r="BL130" s="16">
        <f t="shared" si="191"/>
        <v>0</v>
      </c>
      <c r="BM130" s="16">
        <f t="shared" si="191"/>
        <v>19530323</v>
      </c>
      <c r="BN130" s="16">
        <f t="shared" si="191"/>
        <v>0</v>
      </c>
      <c r="BO130" s="16">
        <f t="shared" si="191"/>
        <v>0</v>
      </c>
      <c r="BP130" s="16">
        <f t="shared" si="191"/>
        <v>7815125</v>
      </c>
      <c r="BQ130" s="16">
        <f t="shared" si="191"/>
        <v>0</v>
      </c>
      <c r="BR130" s="16">
        <f t="shared" si="191"/>
        <v>0</v>
      </c>
      <c r="BS130" s="16">
        <f t="shared" si="191"/>
        <v>0</v>
      </c>
      <c r="BT130" s="16">
        <f t="shared" ref="BT130:CU130" si="193">SUM(BT131:BT133)</f>
        <v>0</v>
      </c>
      <c r="BU130" s="16">
        <f t="shared" si="193"/>
        <v>0</v>
      </c>
      <c r="BV130" s="16">
        <f t="shared" si="193"/>
        <v>0</v>
      </c>
      <c r="BW130" s="16">
        <f t="shared" si="193"/>
        <v>11430670</v>
      </c>
      <c r="BX130" s="16">
        <f t="shared" si="193"/>
        <v>284528</v>
      </c>
      <c r="BY130" s="16">
        <f t="shared" si="193"/>
        <v>7071657</v>
      </c>
      <c r="BZ130" s="16">
        <f t="shared" si="193"/>
        <v>7071657</v>
      </c>
      <c r="CA130" s="16">
        <f t="shared" si="193"/>
        <v>7071657</v>
      </c>
      <c r="CB130" s="16">
        <f t="shared" si="193"/>
        <v>0</v>
      </c>
      <c r="CC130" s="16">
        <f t="shared" si="193"/>
        <v>7071657</v>
      </c>
      <c r="CD130" s="16">
        <f t="shared" si="193"/>
        <v>0</v>
      </c>
      <c r="CE130" s="16">
        <f t="shared" si="193"/>
        <v>0</v>
      </c>
      <c r="CF130" s="16">
        <f t="shared" si="193"/>
        <v>0</v>
      </c>
      <c r="CG130" s="16">
        <f t="shared" si="193"/>
        <v>0</v>
      </c>
      <c r="CH130" s="16">
        <f t="shared" si="193"/>
        <v>0</v>
      </c>
      <c r="CI130" s="16">
        <f t="shared" ref="CI130" si="194">SUM(CI131:CI133)</f>
        <v>0</v>
      </c>
      <c r="CJ130" s="16">
        <f t="shared" si="193"/>
        <v>0</v>
      </c>
      <c r="CK130" s="16">
        <f t="shared" si="193"/>
        <v>0</v>
      </c>
      <c r="CL130" s="16">
        <f t="shared" si="193"/>
        <v>0</v>
      </c>
      <c r="CM130" s="16">
        <f t="shared" si="193"/>
        <v>0</v>
      </c>
      <c r="CN130" s="16">
        <f t="shared" si="193"/>
        <v>0</v>
      </c>
      <c r="CO130" s="16">
        <f t="shared" si="193"/>
        <v>0</v>
      </c>
      <c r="CP130" s="16">
        <f t="shared" si="193"/>
        <v>0</v>
      </c>
      <c r="CQ130" s="16">
        <f t="shared" si="193"/>
        <v>0</v>
      </c>
      <c r="CR130" s="16">
        <f t="shared" si="193"/>
        <v>0</v>
      </c>
      <c r="CS130" s="16">
        <f t="shared" si="193"/>
        <v>0</v>
      </c>
      <c r="CT130" s="16">
        <f t="shared" si="193"/>
        <v>0</v>
      </c>
      <c r="CU130" s="17">
        <f t="shared" si="193"/>
        <v>0</v>
      </c>
      <c r="CV130" s="38"/>
    </row>
    <row r="131" spans="1:100" ht="31.5" x14ac:dyDescent="0.25">
      <c r="A131" s="13" t="s">
        <v>1</v>
      </c>
      <c r="B131" s="14" t="s">
        <v>1</v>
      </c>
      <c r="C131" s="14" t="s">
        <v>21</v>
      </c>
      <c r="D131" s="30" t="s">
        <v>155</v>
      </c>
      <c r="E131" s="15">
        <f>SUM(F131+BY131+CR131)</f>
        <v>14525355</v>
      </c>
      <c r="F131" s="16">
        <f>SUM(G131+BA131)</f>
        <v>14350201</v>
      </c>
      <c r="G131" s="16">
        <f>SUM(H131+I131+J131+Q131+T131+U131+V131+AE131)</f>
        <v>11687394</v>
      </c>
      <c r="H131" s="16">
        <v>8757688</v>
      </c>
      <c r="I131" s="16">
        <v>2026528</v>
      </c>
      <c r="J131" s="16">
        <f t="shared" si="103"/>
        <v>532552</v>
      </c>
      <c r="K131" s="16">
        <v>0</v>
      </c>
      <c r="L131" s="16">
        <v>13517</v>
      </c>
      <c r="M131" s="16">
        <v>445498</v>
      </c>
      <c r="N131" s="16">
        <v>0</v>
      </c>
      <c r="O131" s="16">
        <v>53042</v>
      </c>
      <c r="P131" s="16">
        <v>20495</v>
      </c>
      <c r="Q131" s="16">
        <f t="shared" si="104"/>
        <v>0</v>
      </c>
      <c r="R131" s="16">
        <v>0</v>
      </c>
      <c r="S131" s="16">
        <v>0</v>
      </c>
      <c r="T131" s="16">
        <v>0</v>
      </c>
      <c r="U131" s="16">
        <v>59256</v>
      </c>
      <c r="V131" s="16">
        <f>SUM(W131:AD131)</f>
        <v>77535</v>
      </c>
      <c r="W131" s="16">
        <v>0</v>
      </c>
      <c r="X131" s="16">
        <v>63488</v>
      </c>
      <c r="Y131" s="16">
        <v>4538</v>
      </c>
      <c r="Z131" s="16">
        <v>9509</v>
      </c>
      <c r="AA131" s="16">
        <v>0</v>
      </c>
      <c r="AB131" s="16">
        <v>0</v>
      </c>
      <c r="AC131" s="16">
        <v>0</v>
      </c>
      <c r="AD131" s="16">
        <v>0</v>
      </c>
      <c r="AE131" s="16">
        <f>SUM(AF131:AZ131)</f>
        <v>233835</v>
      </c>
      <c r="AF131" s="16">
        <v>0</v>
      </c>
      <c r="AG131" s="16">
        <v>0</v>
      </c>
      <c r="AH131" s="16">
        <v>68356</v>
      </c>
      <c r="AI131" s="16">
        <v>53629</v>
      </c>
      <c r="AJ131" s="16">
        <v>16162</v>
      </c>
      <c r="AK131" s="16">
        <v>0</v>
      </c>
      <c r="AL131" s="16">
        <v>87577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8111</v>
      </c>
      <c r="BA131" s="16">
        <f>SUM(BB131+BF131+BI131+BK131+BM131)</f>
        <v>2662807</v>
      </c>
      <c r="BB131" s="16">
        <f>SUM(BC131:BE131)</f>
        <v>0</v>
      </c>
      <c r="BC131" s="16">
        <v>0</v>
      </c>
      <c r="BD131" s="16">
        <v>0</v>
      </c>
      <c r="BE131" s="16">
        <v>0</v>
      </c>
      <c r="BF131" s="16">
        <f t="shared" si="105"/>
        <v>0</v>
      </c>
      <c r="BG131" s="16">
        <v>0</v>
      </c>
      <c r="BH131" s="16">
        <v>0</v>
      </c>
      <c r="BI131" s="16">
        <v>0</v>
      </c>
      <c r="BJ131" s="16">
        <v>0</v>
      </c>
      <c r="BK131" s="16">
        <f t="shared" si="106"/>
        <v>0</v>
      </c>
      <c r="BL131" s="16">
        <v>0</v>
      </c>
      <c r="BM131" s="16">
        <f t="shared" si="107"/>
        <v>2662807</v>
      </c>
      <c r="BN131" s="16">
        <v>0</v>
      </c>
      <c r="BO131" s="16">
        <v>0</v>
      </c>
      <c r="BP131" s="16">
        <v>1067941</v>
      </c>
      <c r="BQ131" s="16">
        <v>0</v>
      </c>
      <c r="BR131" s="16">
        <v>0</v>
      </c>
      <c r="BS131" s="16">
        <v>0</v>
      </c>
      <c r="BT131" s="16">
        <v>0</v>
      </c>
      <c r="BU131" s="16">
        <v>0</v>
      </c>
      <c r="BV131" s="16">
        <v>0</v>
      </c>
      <c r="BW131" s="16">
        <v>1348678</v>
      </c>
      <c r="BX131" s="16">
        <v>246188</v>
      </c>
      <c r="BY131" s="16">
        <f>SUM(BZ131+CQ131)</f>
        <v>175154</v>
      </c>
      <c r="BZ131" s="16">
        <f>SUM(CA131+CD131+CJ131)</f>
        <v>175154</v>
      </c>
      <c r="CA131" s="16">
        <f t="shared" si="108"/>
        <v>175154</v>
      </c>
      <c r="CB131" s="16">
        <v>0</v>
      </c>
      <c r="CC131" s="16">
        <v>175154</v>
      </c>
      <c r="CD131" s="16">
        <f>SUM(CE131:CH131)</f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f>SUM(CK131:CN131)</f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f t="shared" si="109"/>
        <v>0</v>
      </c>
      <c r="CS131" s="16">
        <f t="shared" si="110"/>
        <v>0</v>
      </c>
      <c r="CT131" s="16">
        <v>0</v>
      </c>
      <c r="CU131" s="17">
        <v>0</v>
      </c>
      <c r="CV131" s="38"/>
    </row>
    <row r="132" spans="1:100" ht="31.5" x14ac:dyDescent="0.25">
      <c r="A132" s="13" t="s">
        <v>1</v>
      </c>
      <c r="B132" s="14" t="s">
        <v>1</v>
      </c>
      <c r="C132" s="14" t="s">
        <v>23</v>
      </c>
      <c r="D132" s="30" t="s">
        <v>156</v>
      </c>
      <c r="E132" s="15">
        <f>SUM(F132+BY132+CR132)</f>
        <v>91792438</v>
      </c>
      <c r="F132" s="16">
        <f>SUM(G132+BA132)</f>
        <v>86395682</v>
      </c>
      <c r="G132" s="16">
        <f>SUM(H132+I132+J132+Q132+T132+U132+V132+AE132)</f>
        <v>69528166</v>
      </c>
      <c r="H132" s="16">
        <f>51734559-349824</f>
        <v>51384735</v>
      </c>
      <c r="I132" s="16">
        <f>12074628-82971</f>
        <v>11991657</v>
      </c>
      <c r="J132" s="16">
        <f t="shared" si="103"/>
        <v>2480928</v>
      </c>
      <c r="K132" s="16">
        <v>0</v>
      </c>
      <c r="L132" s="16">
        <v>33748</v>
      </c>
      <c r="M132" s="16">
        <f>861679+475000</f>
        <v>1336679</v>
      </c>
      <c r="N132" s="16">
        <v>0</v>
      </c>
      <c r="O132" s="16">
        <v>952894</v>
      </c>
      <c r="P132" s="16">
        <f>145607+12000</f>
        <v>157607</v>
      </c>
      <c r="Q132" s="16">
        <f t="shared" si="104"/>
        <v>83394</v>
      </c>
      <c r="R132" s="16">
        <v>83394</v>
      </c>
      <c r="S132" s="16">
        <v>0</v>
      </c>
      <c r="T132" s="16">
        <v>0</v>
      </c>
      <c r="U132" s="16">
        <v>409263</v>
      </c>
      <c r="V132" s="16">
        <f>SUM(W132:AD132)</f>
        <v>1810166</v>
      </c>
      <c r="W132" s="16">
        <v>7019</v>
      </c>
      <c r="X132" s="16">
        <v>1343604</v>
      </c>
      <c r="Y132" s="16">
        <v>279667</v>
      </c>
      <c r="Z132" s="16">
        <v>94530</v>
      </c>
      <c r="AA132" s="16">
        <v>85346</v>
      </c>
      <c r="AB132" s="16">
        <v>0</v>
      </c>
      <c r="AC132" s="16">
        <v>0</v>
      </c>
      <c r="AD132" s="16">
        <v>0</v>
      </c>
      <c r="AE132" s="16">
        <f>SUM(AF132:AZ132)</f>
        <v>1368023</v>
      </c>
      <c r="AF132" s="16">
        <v>0</v>
      </c>
      <c r="AG132" s="16">
        <v>9922</v>
      </c>
      <c r="AH132" s="16">
        <v>704562</v>
      </c>
      <c r="AI132" s="16">
        <f>311509+30000</f>
        <v>341509</v>
      </c>
      <c r="AJ132" s="16">
        <v>121080</v>
      </c>
      <c r="AK132" s="16">
        <v>0</v>
      </c>
      <c r="AL132" s="16">
        <f>520579-475000</f>
        <v>45579</v>
      </c>
      <c r="AM132" s="16">
        <v>13491</v>
      </c>
      <c r="AN132" s="16">
        <v>0</v>
      </c>
      <c r="AO132" s="16">
        <v>14841</v>
      </c>
      <c r="AP132" s="16"/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/>
      <c r="AZ132" s="16">
        <v>117039</v>
      </c>
      <c r="BA132" s="16">
        <f>SUM(BB132+BF132+BI132+BK132+BM132)</f>
        <v>16867516</v>
      </c>
      <c r="BB132" s="16">
        <f>SUM(BC132:BE132)</f>
        <v>0</v>
      </c>
      <c r="BC132" s="16">
        <v>0</v>
      </c>
      <c r="BD132" s="16">
        <v>0</v>
      </c>
      <c r="BE132" s="16">
        <v>0</v>
      </c>
      <c r="BF132" s="16">
        <f t="shared" si="105"/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f t="shared" si="106"/>
        <v>0</v>
      </c>
      <c r="BL132" s="16">
        <v>0</v>
      </c>
      <c r="BM132" s="16">
        <f t="shared" si="107"/>
        <v>16867516</v>
      </c>
      <c r="BN132" s="16">
        <v>0</v>
      </c>
      <c r="BO132" s="16">
        <v>0</v>
      </c>
      <c r="BP132" s="16">
        <v>6747184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10081992</v>
      </c>
      <c r="BX132" s="16">
        <v>38340</v>
      </c>
      <c r="BY132" s="16">
        <f>SUM(BZ132+CQ132)</f>
        <v>5396756</v>
      </c>
      <c r="BZ132" s="16">
        <f>SUM(CA132+CD132+CJ132)</f>
        <v>5396756</v>
      </c>
      <c r="CA132" s="16">
        <f t="shared" si="108"/>
        <v>5396756</v>
      </c>
      <c r="CB132" s="16">
        <v>0</v>
      </c>
      <c r="CC132" s="16">
        <f>1041159+4355597</f>
        <v>5396756</v>
      </c>
      <c r="CD132" s="16">
        <f>SUM(CE132:CH132)</f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f>SUM(CK132:CN132)</f>
        <v>0</v>
      </c>
      <c r="CK132" s="16">
        <v>0</v>
      </c>
      <c r="CL132" s="16">
        <v>0</v>
      </c>
      <c r="CM132" s="16">
        <v>0</v>
      </c>
      <c r="CN132" s="16">
        <v>0</v>
      </c>
      <c r="CO132" s="16"/>
      <c r="CP132" s="16"/>
      <c r="CQ132" s="16">
        <v>0</v>
      </c>
      <c r="CR132" s="16">
        <f t="shared" si="109"/>
        <v>0</v>
      </c>
      <c r="CS132" s="16">
        <f t="shared" si="110"/>
        <v>0</v>
      </c>
      <c r="CT132" s="16">
        <v>0</v>
      </c>
      <c r="CU132" s="17">
        <v>0</v>
      </c>
      <c r="CV132" s="38"/>
    </row>
    <row r="133" spans="1:100" ht="15.75" x14ac:dyDescent="0.25">
      <c r="A133" s="13" t="s">
        <v>1</v>
      </c>
      <c r="B133" s="14" t="s">
        <v>1</v>
      </c>
      <c r="C133" s="14" t="s">
        <v>31</v>
      </c>
      <c r="D133" s="30" t="s">
        <v>497</v>
      </c>
      <c r="E133" s="15">
        <f>SUM(F133+BY133+CR133)</f>
        <v>12926785</v>
      </c>
      <c r="F133" s="16">
        <f>SUM(G133+BA133)</f>
        <v>11427038</v>
      </c>
      <c r="G133" s="16">
        <f>SUM(H133+I133+J133+Q133+T133+U133+V133+AE133)</f>
        <v>11427038</v>
      </c>
      <c r="H133" s="16">
        <v>4487330</v>
      </c>
      <c r="I133" s="16">
        <v>1045421</v>
      </c>
      <c r="J133" s="16">
        <f t="shared" si="103"/>
        <v>3881818</v>
      </c>
      <c r="K133" s="16">
        <v>96314</v>
      </c>
      <c r="L133" s="16">
        <v>2920</v>
      </c>
      <c r="M133" s="16">
        <f>4928071-1410000</f>
        <v>3518071</v>
      </c>
      <c r="N133" s="16">
        <v>0</v>
      </c>
      <c r="O133" s="16">
        <v>82255</v>
      </c>
      <c r="P133" s="16">
        <v>182258</v>
      </c>
      <c r="Q133" s="16">
        <f t="shared" si="104"/>
        <v>36452</v>
      </c>
      <c r="R133" s="16">
        <v>36452</v>
      </c>
      <c r="S133" s="16">
        <v>0</v>
      </c>
      <c r="T133" s="16">
        <v>0</v>
      </c>
      <c r="U133" s="16">
        <v>23429</v>
      </c>
      <c r="V133" s="16">
        <f>SUM(W133:AD133)</f>
        <v>135596</v>
      </c>
      <c r="W133" s="16">
        <v>36452</v>
      </c>
      <c r="X133" s="16">
        <v>69088</v>
      </c>
      <c r="Y133" s="16">
        <v>5254</v>
      </c>
      <c r="Z133" s="16">
        <v>6022</v>
      </c>
      <c r="AA133" s="16">
        <v>18780</v>
      </c>
      <c r="AB133" s="16">
        <v>0</v>
      </c>
      <c r="AC133" s="16">
        <v>0</v>
      </c>
      <c r="AD133" s="16">
        <v>0</v>
      </c>
      <c r="AE133" s="16">
        <f>SUM(AF133:AZ133)</f>
        <v>1816992</v>
      </c>
      <c r="AF133" s="16">
        <v>0</v>
      </c>
      <c r="AG133" s="16">
        <v>36452</v>
      </c>
      <c r="AH133" s="16">
        <v>37474</v>
      </c>
      <c r="AI133" s="16">
        <v>6425</v>
      </c>
      <c r="AJ133" s="16">
        <v>7140</v>
      </c>
      <c r="AK133" s="16">
        <v>0</v>
      </c>
      <c r="AL133" s="16">
        <v>44873</v>
      </c>
      <c r="AM133" s="16">
        <v>3225</v>
      </c>
      <c r="AN133" s="16">
        <v>0</v>
      </c>
      <c r="AO133" s="16">
        <v>0</v>
      </c>
      <c r="AP133" s="16">
        <v>0</v>
      </c>
      <c r="AQ133" s="16">
        <v>0</v>
      </c>
      <c r="AR133" s="16">
        <v>15367</v>
      </c>
      <c r="AS133" s="16">
        <v>83800</v>
      </c>
      <c r="AT133" s="16">
        <v>0</v>
      </c>
      <c r="AU133" s="16">
        <v>0</v>
      </c>
      <c r="AV133" s="16">
        <v>0</v>
      </c>
      <c r="AW133" s="16">
        <v>0</v>
      </c>
      <c r="AX133" s="16">
        <v>0</v>
      </c>
      <c r="AY133" s="16">
        <v>0</v>
      </c>
      <c r="AZ133" s="16">
        <v>1582236</v>
      </c>
      <c r="BA133" s="16">
        <f>SUM(BB133+BF133+BI133+BK133+BM133)</f>
        <v>0</v>
      </c>
      <c r="BB133" s="16">
        <f>SUM(BC133:BE133)</f>
        <v>0</v>
      </c>
      <c r="BC133" s="16">
        <v>0</v>
      </c>
      <c r="BD133" s="16">
        <v>0</v>
      </c>
      <c r="BE133" s="16">
        <v>0</v>
      </c>
      <c r="BF133" s="16">
        <f t="shared" si="105"/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f t="shared" si="106"/>
        <v>0</v>
      </c>
      <c r="BL133" s="16">
        <v>0</v>
      </c>
      <c r="BM133" s="16">
        <f t="shared" si="107"/>
        <v>0</v>
      </c>
      <c r="BN133" s="16">
        <v>0</v>
      </c>
      <c r="BO133" s="16">
        <v>0</v>
      </c>
      <c r="BP133" s="16">
        <v>0</v>
      </c>
      <c r="BQ133" s="16">
        <v>0</v>
      </c>
      <c r="BR133" s="16">
        <v>0</v>
      </c>
      <c r="BS133" s="16">
        <v>0</v>
      </c>
      <c r="BT133" s="16">
        <v>0</v>
      </c>
      <c r="BU133" s="16">
        <v>0</v>
      </c>
      <c r="BV133" s="16">
        <v>0</v>
      </c>
      <c r="BW133" s="16">
        <v>0</v>
      </c>
      <c r="BX133" s="16">
        <v>0</v>
      </c>
      <c r="BY133" s="16">
        <f>SUM(BZ133+CQ133)</f>
        <v>1499747</v>
      </c>
      <c r="BZ133" s="16">
        <f>SUM(CA133+CD133+CJ133)</f>
        <v>1499747</v>
      </c>
      <c r="CA133" s="16">
        <f t="shared" si="108"/>
        <v>1499747</v>
      </c>
      <c r="CB133" s="16">
        <v>0</v>
      </c>
      <c r="CC133" s="16">
        <f>89747+1410000</f>
        <v>1499747</v>
      </c>
      <c r="CD133" s="16">
        <f>SUM(CE133:CH133)</f>
        <v>0</v>
      </c>
      <c r="CE133" s="16">
        <v>0</v>
      </c>
      <c r="CF133" s="16">
        <v>0</v>
      </c>
      <c r="CG133" s="16">
        <v>0</v>
      </c>
      <c r="CH133" s="16">
        <v>0</v>
      </c>
      <c r="CI133" s="16">
        <v>0</v>
      </c>
      <c r="CJ133" s="16">
        <f>SUM(CK133:CN133)</f>
        <v>0</v>
      </c>
      <c r="CK133" s="16">
        <v>0</v>
      </c>
      <c r="CL133" s="16">
        <v>0</v>
      </c>
      <c r="CM133" s="16">
        <v>0</v>
      </c>
      <c r="CN133" s="16">
        <v>0</v>
      </c>
      <c r="CO133" s="16">
        <v>0</v>
      </c>
      <c r="CP133" s="16">
        <v>0</v>
      </c>
      <c r="CQ133" s="16">
        <v>0</v>
      </c>
      <c r="CR133" s="16">
        <f t="shared" si="109"/>
        <v>0</v>
      </c>
      <c r="CS133" s="16">
        <f t="shared" si="110"/>
        <v>0</v>
      </c>
      <c r="CT133" s="16">
        <v>0</v>
      </c>
      <c r="CU133" s="17">
        <v>0</v>
      </c>
      <c r="CV133" s="38"/>
    </row>
    <row r="134" spans="1:100" ht="15.75" x14ac:dyDescent="0.25">
      <c r="A134" s="13" t="s">
        <v>111</v>
      </c>
      <c r="B134" s="14" t="s">
        <v>50</v>
      </c>
      <c r="C134" s="14" t="s">
        <v>1</v>
      </c>
      <c r="D134" s="30" t="s">
        <v>157</v>
      </c>
      <c r="E134" s="15">
        <f t="shared" ref="E134:AJ134" si="195">SUM(E135:E137)</f>
        <v>116794957</v>
      </c>
      <c r="F134" s="16">
        <f t="shared" si="195"/>
        <v>116096301</v>
      </c>
      <c r="G134" s="16">
        <f t="shared" si="195"/>
        <v>102736702</v>
      </c>
      <c r="H134" s="16">
        <f t="shared" si="195"/>
        <v>78527280</v>
      </c>
      <c r="I134" s="16">
        <f t="shared" si="195"/>
        <v>18412631</v>
      </c>
      <c r="J134" s="16">
        <f t="shared" si="195"/>
        <v>766770</v>
      </c>
      <c r="K134" s="16">
        <f t="shared" si="195"/>
        <v>0</v>
      </c>
      <c r="L134" s="16">
        <f t="shared" si="195"/>
        <v>25323</v>
      </c>
      <c r="M134" s="16">
        <f t="shared" si="195"/>
        <v>315672</v>
      </c>
      <c r="N134" s="16">
        <f t="shared" si="195"/>
        <v>0</v>
      </c>
      <c r="O134" s="16">
        <f t="shared" si="195"/>
        <v>376974</v>
      </c>
      <c r="P134" s="16">
        <f t="shared" si="195"/>
        <v>48801</v>
      </c>
      <c r="Q134" s="16">
        <f t="shared" si="195"/>
        <v>18453</v>
      </c>
      <c r="R134" s="16">
        <f t="shared" si="195"/>
        <v>18453</v>
      </c>
      <c r="S134" s="16">
        <f t="shared" si="195"/>
        <v>0</v>
      </c>
      <c r="T134" s="16">
        <f t="shared" si="195"/>
        <v>0</v>
      </c>
      <c r="U134" s="16">
        <f t="shared" si="195"/>
        <v>324739</v>
      </c>
      <c r="V134" s="16">
        <f t="shared" si="195"/>
        <v>2315093</v>
      </c>
      <c r="W134" s="16">
        <f t="shared" si="195"/>
        <v>1142511</v>
      </c>
      <c r="X134" s="16">
        <f t="shared" si="195"/>
        <v>640056</v>
      </c>
      <c r="Y134" s="16">
        <f t="shared" si="195"/>
        <v>220347</v>
      </c>
      <c r="Z134" s="16">
        <f t="shared" si="195"/>
        <v>100413</v>
      </c>
      <c r="AA134" s="16">
        <f t="shared" si="195"/>
        <v>136920</v>
      </c>
      <c r="AB134" s="16">
        <f t="shared" si="195"/>
        <v>74697</v>
      </c>
      <c r="AC134" s="16">
        <f t="shared" si="195"/>
        <v>0</v>
      </c>
      <c r="AD134" s="16">
        <f t="shared" ref="AD134" si="196">SUM(AD135:AD137)</f>
        <v>149</v>
      </c>
      <c r="AE134" s="16">
        <f t="shared" si="195"/>
        <v>2371736</v>
      </c>
      <c r="AF134" s="16">
        <f t="shared" si="195"/>
        <v>0</v>
      </c>
      <c r="AG134" s="16">
        <f t="shared" si="195"/>
        <v>14500</v>
      </c>
      <c r="AH134" s="16">
        <f t="shared" si="195"/>
        <v>259042</v>
      </c>
      <c r="AI134" s="16">
        <f t="shared" si="195"/>
        <v>601157</v>
      </c>
      <c r="AJ134" s="16">
        <f t="shared" si="195"/>
        <v>125728</v>
      </c>
      <c r="AK134" s="16">
        <f t="shared" ref="AK134:BR134" si="197">SUM(AK135:AK137)</f>
        <v>0</v>
      </c>
      <c r="AL134" s="16">
        <f t="shared" si="197"/>
        <v>817400</v>
      </c>
      <c r="AM134" s="16">
        <f t="shared" si="197"/>
        <v>473177</v>
      </c>
      <c r="AN134" s="16">
        <f t="shared" si="197"/>
        <v>0</v>
      </c>
      <c r="AO134" s="16">
        <f t="shared" si="197"/>
        <v>17292</v>
      </c>
      <c r="AP134" s="16">
        <f>SUM(AP135:AP137)</f>
        <v>0</v>
      </c>
      <c r="AQ134" s="16">
        <f t="shared" si="197"/>
        <v>0</v>
      </c>
      <c r="AR134" s="16">
        <f t="shared" si="197"/>
        <v>0</v>
      </c>
      <c r="AS134" s="16">
        <f t="shared" si="197"/>
        <v>39852</v>
      </c>
      <c r="AT134" s="16">
        <f t="shared" si="197"/>
        <v>0</v>
      </c>
      <c r="AU134" s="16">
        <f t="shared" si="197"/>
        <v>0</v>
      </c>
      <c r="AV134" s="16">
        <f t="shared" si="197"/>
        <v>0</v>
      </c>
      <c r="AW134" s="16">
        <f t="shared" si="197"/>
        <v>0</v>
      </c>
      <c r="AX134" s="16">
        <f t="shared" si="197"/>
        <v>0</v>
      </c>
      <c r="AY134" s="16">
        <f t="shared" si="197"/>
        <v>0</v>
      </c>
      <c r="AZ134" s="16">
        <f t="shared" si="197"/>
        <v>23588</v>
      </c>
      <c r="BA134" s="16">
        <f t="shared" si="197"/>
        <v>13359599</v>
      </c>
      <c r="BB134" s="16">
        <f t="shared" si="197"/>
        <v>0</v>
      </c>
      <c r="BC134" s="16">
        <f t="shared" si="197"/>
        <v>0</v>
      </c>
      <c r="BD134" s="16">
        <f t="shared" si="197"/>
        <v>0</v>
      </c>
      <c r="BE134" s="16">
        <f t="shared" si="197"/>
        <v>0</v>
      </c>
      <c r="BF134" s="16">
        <f t="shared" si="197"/>
        <v>0</v>
      </c>
      <c r="BG134" s="16">
        <f t="shared" si="197"/>
        <v>0</v>
      </c>
      <c r="BH134" s="16">
        <f t="shared" si="197"/>
        <v>0</v>
      </c>
      <c r="BI134" s="16">
        <f t="shared" si="197"/>
        <v>0</v>
      </c>
      <c r="BJ134" s="16">
        <f t="shared" si="197"/>
        <v>0</v>
      </c>
      <c r="BK134" s="16">
        <f t="shared" si="197"/>
        <v>0</v>
      </c>
      <c r="BL134" s="16">
        <f t="shared" si="197"/>
        <v>0</v>
      </c>
      <c r="BM134" s="16">
        <f t="shared" si="197"/>
        <v>13359599</v>
      </c>
      <c r="BN134" s="16">
        <f t="shared" si="197"/>
        <v>0</v>
      </c>
      <c r="BO134" s="16">
        <f t="shared" si="197"/>
        <v>0</v>
      </c>
      <c r="BP134" s="16">
        <f t="shared" si="197"/>
        <v>8153503</v>
      </c>
      <c r="BQ134" s="16">
        <f t="shared" si="197"/>
        <v>0</v>
      </c>
      <c r="BR134" s="16">
        <f t="shared" si="197"/>
        <v>0</v>
      </c>
      <c r="BS134" s="16">
        <f t="shared" ref="BS134:CU134" si="198">SUM(BS135:BS137)</f>
        <v>0</v>
      </c>
      <c r="BT134" s="16">
        <f t="shared" si="198"/>
        <v>0</v>
      </c>
      <c r="BU134" s="16">
        <f t="shared" si="198"/>
        <v>0</v>
      </c>
      <c r="BV134" s="16">
        <f t="shared" si="198"/>
        <v>0</v>
      </c>
      <c r="BW134" s="16">
        <f t="shared" si="198"/>
        <v>4453147</v>
      </c>
      <c r="BX134" s="16">
        <f t="shared" si="198"/>
        <v>752949</v>
      </c>
      <c r="BY134" s="16">
        <f t="shared" si="198"/>
        <v>698656</v>
      </c>
      <c r="BZ134" s="16">
        <f t="shared" si="198"/>
        <v>698656</v>
      </c>
      <c r="CA134" s="16">
        <f t="shared" si="198"/>
        <v>698656</v>
      </c>
      <c r="CB134" s="16">
        <f t="shared" si="198"/>
        <v>0</v>
      </c>
      <c r="CC134" s="16">
        <f t="shared" si="198"/>
        <v>698656</v>
      </c>
      <c r="CD134" s="16">
        <f t="shared" si="198"/>
        <v>0</v>
      </c>
      <c r="CE134" s="16">
        <f t="shared" si="198"/>
        <v>0</v>
      </c>
      <c r="CF134" s="16">
        <f t="shared" si="198"/>
        <v>0</v>
      </c>
      <c r="CG134" s="16">
        <f t="shared" si="198"/>
        <v>0</v>
      </c>
      <c r="CH134" s="16">
        <f t="shared" si="198"/>
        <v>0</v>
      </c>
      <c r="CI134" s="16">
        <f t="shared" ref="CI134" si="199">SUM(CI135:CI137)</f>
        <v>0</v>
      </c>
      <c r="CJ134" s="16">
        <f t="shared" si="198"/>
        <v>0</v>
      </c>
      <c r="CK134" s="16">
        <f t="shared" si="198"/>
        <v>0</v>
      </c>
      <c r="CL134" s="16">
        <f t="shared" si="198"/>
        <v>0</v>
      </c>
      <c r="CM134" s="16">
        <f t="shared" si="198"/>
        <v>0</v>
      </c>
      <c r="CN134" s="16">
        <f t="shared" si="198"/>
        <v>0</v>
      </c>
      <c r="CO134" s="16">
        <f t="shared" si="198"/>
        <v>0</v>
      </c>
      <c r="CP134" s="16">
        <f t="shared" si="198"/>
        <v>0</v>
      </c>
      <c r="CQ134" s="16">
        <f t="shared" si="198"/>
        <v>0</v>
      </c>
      <c r="CR134" s="16">
        <f t="shared" si="198"/>
        <v>0</v>
      </c>
      <c r="CS134" s="16">
        <f t="shared" si="198"/>
        <v>0</v>
      </c>
      <c r="CT134" s="16">
        <f t="shared" si="198"/>
        <v>0</v>
      </c>
      <c r="CU134" s="17">
        <f t="shared" si="198"/>
        <v>0</v>
      </c>
      <c r="CV134" s="38"/>
    </row>
    <row r="135" spans="1:100" ht="15.75" x14ac:dyDescent="0.25">
      <c r="A135" s="13" t="s">
        <v>1</v>
      </c>
      <c r="B135" s="14" t="s">
        <v>1</v>
      </c>
      <c r="C135" s="14" t="s">
        <v>23</v>
      </c>
      <c r="D135" s="30" t="s">
        <v>158</v>
      </c>
      <c r="E135" s="15">
        <f>SUM(F135+BY135+CR135)</f>
        <v>187986</v>
      </c>
      <c r="F135" s="16">
        <f>SUM(G135+BA135)</f>
        <v>187986</v>
      </c>
      <c r="G135" s="16">
        <f>SUM(H135+I135+J135+Q135+T135+U135+V135+AE135)</f>
        <v>0</v>
      </c>
      <c r="H135" s="16">
        <v>0</v>
      </c>
      <c r="I135" s="16">
        <v>0</v>
      </c>
      <c r="J135" s="16">
        <f t="shared" si="103"/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f t="shared" si="104"/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f>SUM(W135:AD135)</f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f>SUM(AF135:AZ135)</f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f>SUM(BB135+BF135+BI135+BK135+BM135)</f>
        <v>187986</v>
      </c>
      <c r="BB135" s="16">
        <f>SUM(BC135:BE135)</f>
        <v>0</v>
      </c>
      <c r="BC135" s="16">
        <v>0</v>
      </c>
      <c r="BD135" s="16">
        <v>0</v>
      </c>
      <c r="BE135" s="16">
        <v>0</v>
      </c>
      <c r="BF135" s="16">
        <f t="shared" si="105"/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f t="shared" si="106"/>
        <v>0</v>
      </c>
      <c r="BL135" s="16">
        <v>0</v>
      </c>
      <c r="BM135" s="16">
        <f t="shared" si="107"/>
        <v>187986</v>
      </c>
      <c r="BN135" s="16">
        <v>0</v>
      </c>
      <c r="BO135" s="16">
        <v>0</v>
      </c>
      <c r="BP135" s="16">
        <v>187986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f>SUM(BZ135+CQ135)</f>
        <v>0</v>
      </c>
      <c r="BZ135" s="16">
        <f>SUM(CA135+CD135+CJ135)</f>
        <v>0</v>
      </c>
      <c r="CA135" s="16">
        <f t="shared" si="108"/>
        <v>0</v>
      </c>
      <c r="CB135" s="16">
        <v>0</v>
      </c>
      <c r="CC135" s="16">
        <v>0</v>
      </c>
      <c r="CD135" s="16">
        <f>SUM(CE135:CH135)</f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J135" s="16">
        <f>SUM(CK135:CN135)</f>
        <v>0</v>
      </c>
      <c r="CK135" s="16">
        <v>0</v>
      </c>
      <c r="CL135" s="16">
        <v>0</v>
      </c>
      <c r="CM135" s="16">
        <v>0</v>
      </c>
      <c r="CN135" s="16">
        <v>0</v>
      </c>
      <c r="CO135" s="16">
        <v>0</v>
      </c>
      <c r="CP135" s="16">
        <v>0</v>
      </c>
      <c r="CQ135" s="16">
        <v>0</v>
      </c>
      <c r="CR135" s="16">
        <f t="shared" si="109"/>
        <v>0</v>
      </c>
      <c r="CS135" s="16">
        <f t="shared" si="110"/>
        <v>0</v>
      </c>
      <c r="CT135" s="16">
        <v>0</v>
      </c>
      <c r="CU135" s="17">
        <v>0</v>
      </c>
      <c r="CV135" s="38"/>
    </row>
    <row r="136" spans="1:100" ht="15.75" x14ac:dyDescent="0.25">
      <c r="A136" s="13" t="s">
        <v>1</v>
      </c>
      <c r="B136" s="14" t="s">
        <v>1</v>
      </c>
      <c r="C136" s="14" t="s">
        <v>122</v>
      </c>
      <c r="D136" s="30" t="s">
        <v>159</v>
      </c>
      <c r="E136" s="15">
        <f>SUM(F136+BY136+CR136)</f>
        <v>102809728</v>
      </c>
      <c r="F136" s="16">
        <f>SUM(G136+BA136)</f>
        <v>102404064</v>
      </c>
      <c r="G136" s="16">
        <f>SUM(H136+I136+J136+Q136+T136+U136+V136+AE136)</f>
        <v>90147251</v>
      </c>
      <c r="H136" s="16">
        <f>69377949-581106</f>
        <v>68796843</v>
      </c>
      <c r="I136" s="16">
        <f>16177313-97680</f>
        <v>16079633</v>
      </c>
      <c r="J136" s="16">
        <f t="shared" si="103"/>
        <v>641825</v>
      </c>
      <c r="K136" s="16">
        <v>0</v>
      </c>
      <c r="L136" s="16">
        <v>22736</v>
      </c>
      <c r="M136" s="16">
        <f>318932-26052</f>
        <v>292880</v>
      </c>
      <c r="N136" s="16">
        <v>0</v>
      </c>
      <c r="O136" s="16">
        <v>306528</v>
      </c>
      <c r="P136" s="16">
        <v>19681</v>
      </c>
      <c r="Q136" s="16">
        <f t="shared" si="104"/>
        <v>18453</v>
      </c>
      <c r="R136" s="16">
        <f>20086-1633</f>
        <v>18453</v>
      </c>
      <c r="S136" s="16">
        <v>0</v>
      </c>
      <c r="T136" s="16">
        <v>0</v>
      </c>
      <c r="U136" s="16">
        <v>285497</v>
      </c>
      <c r="V136" s="16">
        <f>SUM(W136:AD136)</f>
        <v>2209799</v>
      </c>
      <c r="W136" s="16">
        <v>1138547</v>
      </c>
      <c r="X136" s="16">
        <v>566845</v>
      </c>
      <c r="Y136" s="16">
        <v>204352</v>
      </c>
      <c r="Z136" s="16">
        <v>95529</v>
      </c>
      <c r="AA136" s="16">
        <v>129680</v>
      </c>
      <c r="AB136" s="16">
        <v>74697</v>
      </c>
      <c r="AC136" s="16">
        <v>0</v>
      </c>
      <c r="AD136" s="16">
        <v>149</v>
      </c>
      <c r="AE136" s="16">
        <f>SUM(AF136:AZ136)</f>
        <v>2115201</v>
      </c>
      <c r="AF136" s="16">
        <v>0</v>
      </c>
      <c r="AG136" s="16">
        <v>0</v>
      </c>
      <c r="AH136" s="16">
        <v>204325</v>
      </c>
      <c r="AI136" s="16">
        <v>573358</v>
      </c>
      <c r="AJ136" s="16">
        <v>115817</v>
      </c>
      <c r="AK136" s="16">
        <v>0</v>
      </c>
      <c r="AL136" s="16">
        <v>727952</v>
      </c>
      <c r="AM136" s="16">
        <v>468977</v>
      </c>
      <c r="AN136" s="16">
        <v>0</v>
      </c>
      <c r="AO136" s="16">
        <v>17292</v>
      </c>
      <c r="AP136" s="16"/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/>
      <c r="AZ136" s="16">
        <v>7480</v>
      </c>
      <c r="BA136" s="16">
        <f>SUM(BB136+BF136+BI136+BK136+BM136)</f>
        <v>12256813</v>
      </c>
      <c r="BB136" s="16">
        <f>SUM(BC136:BE136)</f>
        <v>0</v>
      </c>
      <c r="BC136" s="16">
        <v>0</v>
      </c>
      <c r="BD136" s="16">
        <v>0</v>
      </c>
      <c r="BE136" s="16">
        <v>0</v>
      </c>
      <c r="BF136" s="16">
        <f t="shared" si="105"/>
        <v>0</v>
      </c>
      <c r="BG136" s="16">
        <v>0</v>
      </c>
      <c r="BH136" s="16">
        <v>0</v>
      </c>
      <c r="BI136" s="16">
        <v>0</v>
      </c>
      <c r="BJ136" s="16">
        <v>0</v>
      </c>
      <c r="BK136" s="16">
        <f t="shared" si="106"/>
        <v>0</v>
      </c>
      <c r="BL136" s="16">
        <v>0</v>
      </c>
      <c r="BM136" s="16">
        <f t="shared" si="107"/>
        <v>12256813</v>
      </c>
      <c r="BN136" s="16">
        <v>0</v>
      </c>
      <c r="BO136" s="16">
        <v>0</v>
      </c>
      <c r="BP136" s="16">
        <f>7680014-363194</f>
        <v>7316820</v>
      </c>
      <c r="BQ136" s="16">
        <v>0</v>
      </c>
      <c r="BR136" s="16">
        <v>0</v>
      </c>
      <c r="BS136" s="16">
        <v>0</v>
      </c>
      <c r="BT136" s="16">
        <v>0</v>
      </c>
      <c r="BU136" s="16">
        <v>0</v>
      </c>
      <c r="BV136" s="16">
        <v>0</v>
      </c>
      <c r="BW136" s="16">
        <v>4187044</v>
      </c>
      <c r="BX136" s="16">
        <v>752949</v>
      </c>
      <c r="BY136" s="16">
        <f>SUM(BZ136+CQ136)</f>
        <v>405664</v>
      </c>
      <c r="BZ136" s="16">
        <f>SUM(CA136+CD136+CJ136)</f>
        <v>405664</v>
      </c>
      <c r="CA136" s="16">
        <f t="shared" si="108"/>
        <v>405664</v>
      </c>
      <c r="CB136" s="16">
        <v>0</v>
      </c>
      <c r="CC136" s="16">
        <v>405664</v>
      </c>
      <c r="CD136" s="16">
        <f>SUM(CE136:CH136)</f>
        <v>0</v>
      </c>
      <c r="CE136" s="16">
        <v>0</v>
      </c>
      <c r="CF136" s="16">
        <v>0</v>
      </c>
      <c r="CG136" s="16">
        <v>0</v>
      </c>
      <c r="CH136" s="16">
        <v>0</v>
      </c>
      <c r="CI136" s="16">
        <v>0</v>
      </c>
      <c r="CJ136" s="16">
        <f>SUM(CK136:CN136)</f>
        <v>0</v>
      </c>
      <c r="CK136" s="16">
        <v>0</v>
      </c>
      <c r="CL136" s="16">
        <v>0</v>
      </c>
      <c r="CM136" s="16">
        <v>0</v>
      </c>
      <c r="CN136" s="16">
        <v>0</v>
      </c>
      <c r="CO136" s="16"/>
      <c r="CP136" s="16"/>
      <c r="CQ136" s="16">
        <v>0</v>
      </c>
      <c r="CR136" s="16">
        <f t="shared" si="109"/>
        <v>0</v>
      </c>
      <c r="CS136" s="16">
        <f t="shared" si="110"/>
        <v>0</v>
      </c>
      <c r="CT136" s="16">
        <v>0</v>
      </c>
      <c r="CU136" s="17">
        <v>0</v>
      </c>
      <c r="CV136" s="38"/>
    </row>
    <row r="137" spans="1:100" ht="15.75" x14ac:dyDescent="0.25">
      <c r="A137" s="13" t="s">
        <v>1</v>
      </c>
      <c r="B137" s="14" t="s">
        <v>1</v>
      </c>
      <c r="C137" s="14" t="s">
        <v>33</v>
      </c>
      <c r="D137" s="30" t="s">
        <v>160</v>
      </c>
      <c r="E137" s="15">
        <f>SUM(F137+BY137+CR137)</f>
        <v>13797243</v>
      </c>
      <c r="F137" s="16">
        <f>SUM(G137+BA137)</f>
        <v>13504251</v>
      </c>
      <c r="G137" s="16">
        <f>SUM(H137+I137+J137+Q137+T137+U137+V137+AE137)</f>
        <v>12589451</v>
      </c>
      <c r="H137" s="16">
        <f>10079084-20028-328619</f>
        <v>9730437</v>
      </c>
      <c r="I137" s="16">
        <f>2375325-5007-37320</f>
        <v>2332998</v>
      </c>
      <c r="J137" s="16">
        <f t="shared" si="103"/>
        <v>124945</v>
      </c>
      <c r="K137" s="16">
        <v>0</v>
      </c>
      <c r="L137" s="16">
        <v>2587</v>
      </c>
      <c r="M137" s="16">
        <f>0+22792</f>
        <v>22792</v>
      </c>
      <c r="N137" s="16">
        <v>0</v>
      </c>
      <c r="O137" s="16">
        <f>72022-1576</f>
        <v>70446</v>
      </c>
      <c r="P137" s="16">
        <f>32000-2880</f>
        <v>29120</v>
      </c>
      <c r="Q137" s="16">
        <f t="shared" si="104"/>
        <v>0</v>
      </c>
      <c r="R137" s="16">
        <v>0</v>
      </c>
      <c r="S137" s="16">
        <v>0</v>
      </c>
      <c r="T137" s="16">
        <v>0</v>
      </c>
      <c r="U137" s="16">
        <v>39242</v>
      </c>
      <c r="V137" s="16">
        <f>SUM(W137:AD137)</f>
        <v>105294</v>
      </c>
      <c r="W137" s="16">
        <v>3964</v>
      </c>
      <c r="X137" s="16">
        <f>73512-301</f>
        <v>73211</v>
      </c>
      <c r="Y137" s="16">
        <v>15995</v>
      </c>
      <c r="Z137" s="16">
        <v>4884</v>
      </c>
      <c r="AA137" s="16">
        <v>7240</v>
      </c>
      <c r="AB137" s="16">
        <v>0</v>
      </c>
      <c r="AC137" s="16">
        <v>0</v>
      </c>
      <c r="AD137" s="16">
        <v>0</v>
      </c>
      <c r="AE137" s="16">
        <f>SUM(AF137:AZ137)</f>
        <v>256535</v>
      </c>
      <c r="AF137" s="16">
        <v>0</v>
      </c>
      <c r="AG137" s="16">
        <v>14500</v>
      </c>
      <c r="AH137" s="16">
        <v>54717</v>
      </c>
      <c r="AI137" s="16">
        <v>27799</v>
      </c>
      <c r="AJ137" s="16">
        <v>9911</v>
      </c>
      <c r="AK137" s="16">
        <v>0</v>
      </c>
      <c r="AL137" s="16">
        <f>112240-22792</f>
        <v>89448</v>
      </c>
      <c r="AM137" s="16">
        <v>4200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f>39852</f>
        <v>39852</v>
      </c>
      <c r="AT137" s="16">
        <f>0</f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16108</v>
      </c>
      <c r="BA137" s="16">
        <f>SUM(BB137+BF137+BI137+BK137+BM137)</f>
        <v>914800</v>
      </c>
      <c r="BB137" s="16">
        <f>SUM(BC137:BE137)</f>
        <v>0</v>
      </c>
      <c r="BC137" s="16">
        <v>0</v>
      </c>
      <c r="BD137" s="16">
        <v>0</v>
      </c>
      <c r="BE137" s="16">
        <v>0</v>
      </c>
      <c r="BF137" s="16">
        <f t="shared" si="105"/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f t="shared" si="106"/>
        <v>0</v>
      </c>
      <c r="BL137" s="16">
        <v>0</v>
      </c>
      <c r="BM137" s="16">
        <f t="shared" si="107"/>
        <v>914800</v>
      </c>
      <c r="BN137" s="16">
        <v>0</v>
      </c>
      <c r="BO137" s="16">
        <v>0</v>
      </c>
      <c r="BP137" s="16">
        <v>648697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266103</v>
      </c>
      <c r="BX137" s="16">
        <v>0</v>
      </c>
      <c r="BY137" s="16">
        <f>SUM(BZ137+CQ137)</f>
        <v>292992</v>
      </c>
      <c r="BZ137" s="16">
        <f>SUM(CA137+CD137+CJ137)</f>
        <v>292992</v>
      </c>
      <c r="CA137" s="16">
        <f t="shared" si="108"/>
        <v>292992</v>
      </c>
      <c r="CB137" s="16">
        <v>0</v>
      </c>
      <c r="CC137" s="16">
        <f>224481+68511</f>
        <v>292992</v>
      </c>
      <c r="CD137" s="16">
        <f>SUM(CE137:CH137)</f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f>SUM(CK137:CN137)</f>
        <v>0</v>
      </c>
      <c r="CK137" s="16"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>
        <v>0</v>
      </c>
      <c r="CR137" s="16">
        <f t="shared" si="109"/>
        <v>0</v>
      </c>
      <c r="CS137" s="16">
        <f t="shared" si="110"/>
        <v>0</v>
      </c>
      <c r="CT137" s="16">
        <v>0</v>
      </c>
      <c r="CU137" s="17">
        <v>0</v>
      </c>
      <c r="CV137" s="38"/>
    </row>
    <row r="138" spans="1:100" ht="31.5" x14ac:dyDescent="0.25">
      <c r="A138" s="13" t="s">
        <v>111</v>
      </c>
      <c r="B138" s="14" t="s">
        <v>100</v>
      </c>
      <c r="C138" s="14" t="s">
        <v>1</v>
      </c>
      <c r="D138" s="30" t="s">
        <v>161</v>
      </c>
      <c r="E138" s="15">
        <f>SUM(E139)</f>
        <v>3471060</v>
      </c>
      <c r="F138" s="16">
        <f t="shared" ref="F138:BS138" si="200">SUM(F139)</f>
        <v>3417083</v>
      </c>
      <c r="G138" s="16">
        <f t="shared" si="200"/>
        <v>3417083</v>
      </c>
      <c r="H138" s="16">
        <f t="shared" si="200"/>
        <v>2698873</v>
      </c>
      <c r="I138" s="16">
        <f t="shared" si="200"/>
        <v>603681</v>
      </c>
      <c r="J138" s="16">
        <f t="shared" si="200"/>
        <v>17933</v>
      </c>
      <c r="K138" s="16">
        <f t="shared" si="200"/>
        <v>0</v>
      </c>
      <c r="L138" s="16">
        <f t="shared" si="200"/>
        <v>0</v>
      </c>
      <c r="M138" s="16">
        <f t="shared" si="200"/>
        <v>0</v>
      </c>
      <c r="N138" s="16">
        <f t="shared" si="200"/>
        <v>0</v>
      </c>
      <c r="O138" s="16">
        <f t="shared" si="200"/>
        <v>13684</v>
      </c>
      <c r="P138" s="16">
        <f t="shared" si="200"/>
        <v>4249</v>
      </c>
      <c r="Q138" s="16">
        <f t="shared" si="200"/>
        <v>400</v>
      </c>
      <c r="R138" s="16">
        <f t="shared" si="200"/>
        <v>400</v>
      </c>
      <c r="S138" s="16">
        <f t="shared" si="200"/>
        <v>0</v>
      </c>
      <c r="T138" s="16">
        <f t="shared" si="200"/>
        <v>0</v>
      </c>
      <c r="U138" s="16">
        <f t="shared" si="200"/>
        <v>28743</v>
      </c>
      <c r="V138" s="16">
        <f t="shared" si="200"/>
        <v>28443</v>
      </c>
      <c r="W138" s="16">
        <f t="shared" si="200"/>
        <v>0</v>
      </c>
      <c r="X138" s="16">
        <f t="shared" si="200"/>
        <v>20941</v>
      </c>
      <c r="Y138" s="16">
        <f t="shared" si="200"/>
        <v>3685</v>
      </c>
      <c r="Z138" s="16">
        <f t="shared" si="200"/>
        <v>2312</v>
      </c>
      <c r="AA138" s="16">
        <f t="shared" si="200"/>
        <v>1505</v>
      </c>
      <c r="AB138" s="16">
        <f t="shared" si="200"/>
        <v>0</v>
      </c>
      <c r="AC138" s="16">
        <f t="shared" si="200"/>
        <v>0</v>
      </c>
      <c r="AD138" s="16">
        <f t="shared" si="200"/>
        <v>0</v>
      </c>
      <c r="AE138" s="16">
        <f t="shared" si="200"/>
        <v>39010</v>
      </c>
      <c r="AF138" s="16">
        <f t="shared" si="200"/>
        <v>0</v>
      </c>
      <c r="AG138" s="16">
        <f t="shared" si="200"/>
        <v>0</v>
      </c>
      <c r="AH138" s="16">
        <f t="shared" si="200"/>
        <v>10430</v>
      </c>
      <c r="AI138" s="16">
        <f t="shared" si="200"/>
        <v>0</v>
      </c>
      <c r="AJ138" s="16">
        <f t="shared" si="200"/>
        <v>1591</v>
      </c>
      <c r="AK138" s="16">
        <f t="shared" si="200"/>
        <v>0</v>
      </c>
      <c r="AL138" s="16">
        <f t="shared" si="200"/>
        <v>26989</v>
      </c>
      <c r="AM138" s="16">
        <f t="shared" si="200"/>
        <v>0</v>
      </c>
      <c r="AN138" s="16">
        <f t="shared" si="200"/>
        <v>0</v>
      </c>
      <c r="AO138" s="16">
        <f t="shared" si="200"/>
        <v>0</v>
      </c>
      <c r="AP138" s="16">
        <f t="shared" si="200"/>
        <v>0</v>
      </c>
      <c r="AQ138" s="16">
        <f t="shared" si="200"/>
        <v>0</v>
      </c>
      <c r="AR138" s="16">
        <f t="shared" si="200"/>
        <v>0</v>
      </c>
      <c r="AS138" s="16">
        <f t="shared" si="200"/>
        <v>0</v>
      </c>
      <c r="AT138" s="16">
        <f t="shared" si="200"/>
        <v>0</v>
      </c>
      <c r="AU138" s="16">
        <f t="shared" si="200"/>
        <v>0</v>
      </c>
      <c r="AV138" s="16">
        <f t="shared" si="200"/>
        <v>0</v>
      </c>
      <c r="AW138" s="16">
        <f t="shared" si="200"/>
        <v>0</v>
      </c>
      <c r="AX138" s="16">
        <f t="shared" si="200"/>
        <v>0</v>
      </c>
      <c r="AY138" s="16">
        <f t="shared" si="200"/>
        <v>0</v>
      </c>
      <c r="AZ138" s="16">
        <f t="shared" si="200"/>
        <v>0</v>
      </c>
      <c r="BA138" s="16">
        <f t="shared" si="200"/>
        <v>0</v>
      </c>
      <c r="BB138" s="16">
        <f t="shared" si="200"/>
        <v>0</v>
      </c>
      <c r="BC138" s="16">
        <f t="shared" si="200"/>
        <v>0</v>
      </c>
      <c r="BD138" s="16">
        <f t="shared" si="200"/>
        <v>0</v>
      </c>
      <c r="BE138" s="16">
        <f t="shared" si="200"/>
        <v>0</v>
      </c>
      <c r="BF138" s="16">
        <f t="shared" si="200"/>
        <v>0</v>
      </c>
      <c r="BG138" s="16">
        <f t="shared" si="200"/>
        <v>0</v>
      </c>
      <c r="BH138" s="16">
        <f t="shared" si="200"/>
        <v>0</v>
      </c>
      <c r="BI138" s="16">
        <f t="shared" si="200"/>
        <v>0</v>
      </c>
      <c r="BJ138" s="16">
        <f t="shared" si="200"/>
        <v>0</v>
      </c>
      <c r="BK138" s="16">
        <f t="shared" si="200"/>
        <v>0</v>
      </c>
      <c r="BL138" s="16">
        <f t="shared" si="200"/>
        <v>0</v>
      </c>
      <c r="BM138" s="16">
        <f t="shared" si="200"/>
        <v>0</v>
      </c>
      <c r="BN138" s="16">
        <f t="shared" si="200"/>
        <v>0</v>
      </c>
      <c r="BO138" s="16">
        <f t="shared" si="200"/>
        <v>0</v>
      </c>
      <c r="BP138" s="16">
        <f t="shared" si="200"/>
        <v>0</v>
      </c>
      <c r="BQ138" s="16">
        <f t="shared" si="200"/>
        <v>0</v>
      </c>
      <c r="BR138" s="16">
        <f t="shared" si="200"/>
        <v>0</v>
      </c>
      <c r="BS138" s="16">
        <f t="shared" si="200"/>
        <v>0</v>
      </c>
      <c r="BT138" s="16">
        <f t="shared" ref="BT138:CU138" si="201">SUM(BT139)</f>
        <v>0</v>
      </c>
      <c r="BU138" s="16">
        <f t="shared" si="201"/>
        <v>0</v>
      </c>
      <c r="BV138" s="16">
        <f t="shared" si="201"/>
        <v>0</v>
      </c>
      <c r="BW138" s="16">
        <f t="shared" si="201"/>
        <v>0</v>
      </c>
      <c r="BX138" s="16">
        <f t="shared" si="201"/>
        <v>0</v>
      </c>
      <c r="BY138" s="16">
        <f t="shared" si="201"/>
        <v>53977</v>
      </c>
      <c r="BZ138" s="16">
        <f t="shared" si="201"/>
        <v>53977</v>
      </c>
      <c r="CA138" s="16">
        <f t="shared" si="201"/>
        <v>53977</v>
      </c>
      <c r="CB138" s="16">
        <f t="shared" si="201"/>
        <v>0</v>
      </c>
      <c r="CC138" s="16">
        <f t="shared" si="201"/>
        <v>53977</v>
      </c>
      <c r="CD138" s="16">
        <f t="shared" si="201"/>
        <v>0</v>
      </c>
      <c r="CE138" s="16">
        <f t="shared" si="201"/>
        <v>0</v>
      </c>
      <c r="CF138" s="16">
        <f t="shared" si="201"/>
        <v>0</v>
      </c>
      <c r="CG138" s="16">
        <f t="shared" si="201"/>
        <v>0</v>
      </c>
      <c r="CH138" s="16">
        <f t="shared" si="201"/>
        <v>0</v>
      </c>
      <c r="CI138" s="16">
        <f t="shared" si="201"/>
        <v>0</v>
      </c>
      <c r="CJ138" s="16">
        <f t="shared" si="201"/>
        <v>0</v>
      </c>
      <c r="CK138" s="16">
        <f t="shared" si="201"/>
        <v>0</v>
      </c>
      <c r="CL138" s="16">
        <f t="shared" si="201"/>
        <v>0</v>
      </c>
      <c r="CM138" s="16">
        <f t="shared" si="201"/>
        <v>0</v>
      </c>
      <c r="CN138" s="16">
        <f t="shared" si="201"/>
        <v>0</v>
      </c>
      <c r="CO138" s="16">
        <f t="shared" si="201"/>
        <v>0</v>
      </c>
      <c r="CP138" s="16">
        <f t="shared" si="201"/>
        <v>0</v>
      </c>
      <c r="CQ138" s="16">
        <f t="shared" si="201"/>
        <v>0</v>
      </c>
      <c r="CR138" s="16">
        <f t="shared" si="201"/>
        <v>0</v>
      </c>
      <c r="CS138" s="16">
        <f t="shared" si="201"/>
        <v>0</v>
      </c>
      <c r="CT138" s="16">
        <f t="shared" si="201"/>
        <v>0</v>
      </c>
      <c r="CU138" s="17">
        <f t="shared" si="201"/>
        <v>0</v>
      </c>
      <c r="CV138" s="38"/>
    </row>
    <row r="139" spans="1:100" ht="31.5" x14ac:dyDescent="0.25">
      <c r="A139" s="13" t="s">
        <v>1</v>
      </c>
      <c r="B139" s="14" t="s">
        <v>1</v>
      </c>
      <c r="C139" s="14" t="s">
        <v>23</v>
      </c>
      <c r="D139" s="30" t="s">
        <v>162</v>
      </c>
      <c r="E139" s="15">
        <f>SUM(F139+BY139+CR139)</f>
        <v>3471060</v>
      </c>
      <c r="F139" s="16">
        <f>SUM(G139+BA139)</f>
        <v>3417083</v>
      </c>
      <c r="G139" s="16">
        <f>SUM(H139+I139+J139+Q139+T139+U139+V139+AE139)</f>
        <v>3417083</v>
      </c>
      <c r="H139" s="16">
        <v>2698873</v>
      </c>
      <c r="I139" s="16">
        <v>603681</v>
      </c>
      <c r="J139" s="16">
        <f t="shared" si="103"/>
        <v>17933</v>
      </c>
      <c r="K139" s="16">
        <v>0</v>
      </c>
      <c r="L139" s="16">
        <v>0</v>
      </c>
      <c r="M139" s="16">
        <v>0</v>
      </c>
      <c r="N139" s="16">
        <v>0</v>
      </c>
      <c r="O139" s="16">
        <v>13684</v>
      </c>
      <c r="P139" s="16">
        <v>4249</v>
      </c>
      <c r="Q139" s="16">
        <f t="shared" si="104"/>
        <v>400</v>
      </c>
      <c r="R139" s="16">
        <v>400</v>
      </c>
      <c r="S139" s="16">
        <v>0</v>
      </c>
      <c r="T139" s="16">
        <v>0</v>
      </c>
      <c r="U139" s="16">
        <v>28743</v>
      </c>
      <c r="V139" s="16">
        <f>SUM(W139:AD139)</f>
        <v>28443</v>
      </c>
      <c r="W139" s="16">
        <v>0</v>
      </c>
      <c r="X139" s="16">
        <v>20941</v>
      </c>
      <c r="Y139" s="16">
        <v>3685</v>
      </c>
      <c r="Z139" s="16">
        <v>2312</v>
      </c>
      <c r="AA139" s="16">
        <v>1505</v>
      </c>
      <c r="AB139" s="16">
        <v>0</v>
      </c>
      <c r="AC139" s="16">
        <v>0</v>
      </c>
      <c r="AD139" s="16">
        <v>0</v>
      </c>
      <c r="AE139" s="16">
        <f>SUM(AF139:AZ139)</f>
        <v>39010</v>
      </c>
      <c r="AF139" s="16">
        <v>0</v>
      </c>
      <c r="AG139" s="16">
        <v>0</v>
      </c>
      <c r="AH139" s="16">
        <v>10430</v>
      </c>
      <c r="AI139" s="16">
        <v>0</v>
      </c>
      <c r="AJ139" s="16">
        <v>1591</v>
      </c>
      <c r="AK139" s="16">
        <v>0</v>
      </c>
      <c r="AL139" s="16">
        <v>26989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f>SUM(BB139+BF139+BI139+BK139+BM139)</f>
        <v>0</v>
      </c>
      <c r="BB139" s="16">
        <f>SUM(BC139:BE139)</f>
        <v>0</v>
      </c>
      <c r="BC139" s="16">
        <v>0</v>
      </c>
      <c r="BD139" s="16">
        <v>0</v>
      </c>
      <c r="BE139" s="16">
        <v>0</v>
      </c>
      <c r="BF139" s="16">
        <f t="shared" si="105"/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f t="shared" si="106"/>
        <v>0</v>
      </c>
      <c r="BL139" s="16">
        <v>0</v>
      </c>
      <c r="BM139" s="16">
        <f t="shared" si="107"/>
        <v>0</v>
      </c>
      <c r="BN139" s="16">
        <v>0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f>SUM(BZ139+CQ139)</f>
        <v>53977</v>
      </c>
      <c r="BZ139" s="16">
        <f>SUM(CA139+CD139+CJ139)</f>
        <v>53977</v>
      </c>
      <c r="CA139" s="16">
        <f t="shared" si="108"/>
        <v>53977</v>
      </c>
      <c r="CB139" s="16">
        <v>0</v>
      </c>
      <c r="CC139" s="16">
        <v>53977</v>
      </c>
      <c r="CD139" s="16">
        <f>SUM(CE139:CH139)</f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f>SUM(CK139:CN139)</f>
        <v>0</v>
      </c>
      <c r="CK139" s="16"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f t="shared" si="109"/>
        <v>0</v>
      </c>
      <c r="CS139" s="16">
        <f t="shared" si="110"/>
        <v>0</v>
      </c>
      <c r="CT139" s="16">
        <v>0</v>
      </c>
      <c r="CU139" s="17">
        <v>0</v>
      </c>
      <c r="CV139" s="38"/>
    </row>
    <row r="140" spans="1:100" ht="15.75" x14ac:dyDescent="0.25">
      <c r="A140" s="13" t="s">
        <v>111</v>
      </c>
      <c r="B140" s="14" t="s">
        <v>54</v>
      </c>
      <c r="C140" s="14" t="s">
        <v>1</v>
      </c>
      <c r="D140" s="30" t="s">
        <v>163</v>
      </c>
      <c r="E140" s="15">
        <f t="shared" ref="E140:AJ140" si="202">SUM(E141)</f>
        <v>9438502</v>
      </c>
      <c r="F140" s="16">
        <f t="shared" si="202"/>
        <v>9375663</v>
      </c>
      <c r="G140" s="16">
        <f t="shared" si="202"/>
        <v>7046424</v>
      </c>
      <c r="H140" s="16">
        <f t="shared" si="202"/>
        <v>3712903</v>
      </c>
      <c r="I140" s="16">
        <f t="shared" si="202"/>
        <v>868652</v>
      </c>
      <c r="J140" s="16">
        <f t="shared" si="202"/>
        <v>2174086</v>
      </c>
      <c r="K140" s="16">
        <f t="shared" si="202"/>
        <v>8902</v>
      </c>
      <c r="L140" s="16">
        <f t="shared" si="202"/>
        <v>235765</v>
      </c>
      <c r="M140" s="16">
        <f t="shared" si="202"/>
        <v>1389244</v>
      </c>
      <c r="N140" s="16">
        <f t="shared" si="202"/>
        <v>316837</v>
      </c>
      <c r="O140" s="16">
        <f t="shared" si="202"/>
        <v>179995</v>
      </c>
      <c r="P140" s="16">
        <f t="shared" si="202"/>
        <v>43343</v>
      </c>
      <c r="Q140" s="16">
        <f t="shared" si="202"/>
        <v>0</v>
      </c>
      <c r="R140" s="16">
        <f t="shared" si="202"/>
        <v>0</v>
      </c>
      <c r="S140" s="16">
        <f t="shared" si="202"/>
        <v>0</v>
      </c>
      <c r="T140" s="16">
        <f t="shared" si="202"/>
        <v>0</v>
      </c>
      <c r="U140" s="16">
        <f t="shared" si="202"/>
        <v>22086</v>
      </c>
      <c r="V140" s="16">
        <f t="shared" si="202"/>
        <v>178469</v>
      </c>
      <c r="W140" s="16">
        <f t="shared" si="202"/>
        <v>34104</v>
      </c>
      <c r="X140" s="16">
        <f t="shared" si="202"/>
        <v>63310</v>
      </c>
      <c r="Y140" s="16">
        <f t="shared" si="202"/>
        <v>42660</v>
      </c>
      <c r="Z140" s="16">
        <f t="shared" si="202"/>
        <v>32702</v>
      </c>
      <c r="AA140" s="16">
        <f t="shared" si="202"/>
        <v>3613</v>
      </c>
      <c r="AB140" s="16">
        <f t="shared" si="202"/>
        <v>0</v>
      </c>
      <c r="AC140" s="16">
        <f t="shared" si="202"/>
        <v>0</v>
      </c>
      <c r="AD140" s="16">
        <f t="shared" si="202"/>
        <v>2080</v>
      </c>
      <c r="AE140" s="16">
        <f t="shared" si="202"/>
        <v>90228</v>
      </c>
      <c r="AF140" s="16">
        <f t="shared" si="202"/>
        <v>0</v>
      </c>
      <c r="AG140" s="16">
        <f t="shared" si="202"/>
        <v>660</v>
      </c>
      <c r="AH140" s="16">
        <f t="shared" si="202"/>
        <v>43560</v>
      </c>
      <c r="AI140" s="16">
        <f t="shared" si="202"/>
        <v>2145</v>
      </c>
      <c r="AJ140" s="16">
        <f t="shared" si="202"/>
        <v>3755</v>
      </c>
      <c r="AK140" s="16">
        <f t="shared" ref="AK140:BR140" si="203">SUM(AK141)</f>
        <v>0</v>
      </c>
      <c r="AL140" s="16">
        <f t="shared" si="203"/>
        <v>37129</v>
      </c>
      <c r="AM140" s="16">
        <f t="shared" si="203"/>
        <v>0</v>
      </c>
      <c r="AN140" s="16">
        <f t="shared" si="203"/>
        <v>0</v>
      </c>
      <c r="AO140" s="16">
        <f t="shared" si="203"/>
        <v>109</v>
      </c>
      <c r="AP140" s="16">
        <f t="shared" si="203"/>
        <v>0</v>
      </c>
      <c r="AQ140" s="16">
        <f t="shared" si="203"/>
        <v>0</v>
      </c>
      <c r="AR140" s="16">
        <f t="shared" si="203"/>
        <v>0</v>
      </c>
      <c r="AS140" s="16">
        <f t="shared" si="203"/>
        <v>0</v>
      </c>
      <c r="AT140" s="16">
        <f t="shared" si="203"/>
        <v>0</v>
      </c>
      <c r="AU140" s="16">
        <f t="shared" si="203"/>
        <v>0</v>
      </c>
      <c r="AV140" s="16">
        <f t="shared" si="203"/>
        <v>0</v>
      </c>
      <c r="AW140" s="16">
        <f t="shared" si="203"/>
        <v>0</v>
      </c>
      <c r="AX140" s="16">
        <f t="shared" si="203"/>
        <v>0</v>
      </c>
      <c r="AY140" s="16">
        <f t="shared" si="203"/>
        <v>0</v>
      </c>
      <c r="AZ140" s="16">
        <f t="shared" si="203"/>
        <v>2870</v>
      </c>
      <c r="BA140" s="16">
        <f t="shared" si="203"/>
        <v>2329239</v>
      </c>
      <c r="BB140" s="16">
        <f t="shared" si="203"/>
        <v>0</v>
      </c>
      <c r="BC140" s="16">
        <f t="shared" si="203"/>
        <v>0</v>
      </c>
      <c r="BD140" s="16">
        <f t="shared" si="203"/>
        <v>0</v>
      </c>
      <c r="BE140" s="16">
        <f t="shared" si="203"/>
        <v>0</v>
      </c>
      <c r="BF140" s="16">
        <f t="shared" si="203"/>
        <v>0</v>
      </c>
      <c r="BG140" s="16">
        <f t="shared" si="203"/>
        <v>0</v>
      </c>
      <c r="BH140" s="16">
        <f t="shared" si="203"/>
        <v>0</v>
      </c>
      <c r="BI140" s="16">
        <f t="shared" si="203"/>
        <v>0</v>
      </c>
      <c r="BJ140" s="16">
        <f t="shared" si="203"/>
        <v>0</v>
      </c>
      <c r="BK140" s="16">
        <f t="shared" si="203"/>
        <v>0</v>
      </c>
      <c r="BL140" s="16">
        <f t="shared" si="203"/>
        <v>0</v>
      </c>
      <c r="BM140" s="16">
        <f t="shared" si="203"/>
        <v>2329239</v>
      </c>
      <c r="BN140" s="16">
        <f t="shared" si="203"/>
        <v>0</v>
      </c>
      <c r="BO140" s="16">
        <f t="shared" si="203"/>
        <v>0</v>
      </c>
      <c r="BP140" s="16">
        <f t="shared" si="203"/>
        <v>0</v>
      </c>
      <c r="BQ140" s="16">
        <f t="shared" si="203"/>
        <v>0</v>
      </c>
      <c r="BR140" s="16">
        <f t="shared" si="203"/>
        <v>0</v>
      </c>
      <c r="BS140" s="16">
        <f t="shared" ref="BS140:CU140" si="204">SUM(BS141)</f>
        <v>33525</v>
      </c>
      <c r="BT140" s="16">
        <f t="shared" si="204"/>
        <v>0</v>
      </c>
      <c r="BU140" s="16">
        <f t="shared" si="204"/>
        <v>0</v>
      </c>
      <c r="BV140" s="16">
        <f t="shared" si="204"/>
        <v>0</v>
      </c>
      <c r="BW140" s="16">
        <f t="shared" si="204"/>
        <v>0</v>
      </c>
      <c r="BX140" s="16">
        <f t="shared" si="204"/>
        <v>2295714</v>
      </c>
      <c r="BY140" s="16">
        <f t="shared" si="204"/>
        <v>62839</v>
      </c>
      <c r="BZ140" s="16">
        <f t="shared" si="204"/>
        <v>62839</v>
      </c>
      <c r="CA140" s="16">
        <f t="shared" si="204"/>
        <v>62839</v>
      </c>
      <c r="CB140" s="16">
        <f t="shared" si="204"/>
        <v>0</v>
      </c>
      <c r="CC140" s="16">
        <f t="shared" si="204"/>
        <v>62839</v>
      </c>
      <c r="CD140" s="16">
        <f t="shared" si="204"/>
        <v>0</v>
      </c>
      <c r="CE140" s="16">
        <f t="shared" si="204"/>
        <v>0</v>
      </c>
      <c r="CF140" s="16">
        <f t="shared" si="204"/>
        <v>0</v>
      </c>
      <c r="CG140" s="16">
        <f t="shared" si="204"/>
        <v>0</v>
      </c>
      <c r="CH140" s="16">
        <f t="shared" si="204"/>
        <v>0</v>
      </c>
      <c r="CI140" s="16">
        <f t="shared" si="204"/>
        <v>0</v>
      </c>
      <c r="CJ140" s="16">
        <f t="shared" si="204"/>
        <v>0</v>
      </c>
      <c r="CK140" s="16">
        <f t="shared" si="204"/>
        <v>0</v>
      </c>
      <c r="CL140" s="16">
        <f t="shared" si="204"/>
        <v>0</v>
      </c>
      <c r="CM140" s="16">
        <f t="shared" si="204"/>
        <v>0</v>
      </c>
      <c r="CN140" s="16">
        <f t="shared" si="204"/>
        <v>0</v>
      </c>
      <c r="CO140" s="16">
        <f t="shared" si="204"/>
        <v>0</v>
      </c>
      <c r="CP140" s="16">
        <f t="shared" si="204"/>
        <v>0</v>
      </c>
      <c r="CQ140" s="16">
        <f t="shared" si="204"/>
        <v>0</v>
      </c>
      <c r="CR140" s="16">
        <f t="shared" si="204"/>
        <v>0</v>
      </c>
      <c r="CS140" s="16">
        <f t="shared" si="204"/>
        <v>0</v>
      </c>
      <c r="CT140" s="16">
        <f t="shared" si="204"/>
        <v>0</v>
      </c>
      <c r="CU140" s="17">
        <f t="shared" si="204"/>
        <v>0</v>
      </c>
      <c r="CV140" s="38"/>
    </row>
    <row r="141" spans="1:100" ht="15.75" x14ac:dyDescent="0.25">
      <c r="A141" s="13" t="s">
        <v>1</v>
      </c>
      <c r="B141" s="14" t="s">
        <v>1</v>
      </c>
      <c r="C141" s="14" t="s">
        <v>19</v>
      </c>
      <c r="D141" s="30" t="s">
        <v>164</v>
      </c>
      <c r="E141" s="15">
        <f>SUM(F141+BY141+CR141)</f>
        <v>9438502</v>
      </c>
      <c r="F141" s="16">
        <f>SUM(G141+BA141)</f>
        <v>9375663</v>
      </c>
      <c r="G141" s="16">
        <f>SUM(H141+I141+J141+Q141+T141+U141+V141+AE141)</f>
        <v>7046424</v>
      </c>
      <c r="H141" s="16">
        <v>3712903</v>
      </c>
      <c r="I141" s="16">
        <v>868652</v>
      </c>
      <c r="J141" s="16">
        <f t="shared" si="103"/>
        <v>2174086</v>
      </c>
      <c r="K141" s="16">
        <v>8902</v>
      </c>
      <c r="L141" s="16">
        <v>235765</v>
      </c>
      <c r="M141" s="16">
        <v>1389244</v>
      </c>
      <c r="N141" s="16">
        <v>316837</v>
      </c>
      <c r="O141" s="16">
        <v>179995</v>
      </c>
      <c r="P141" s="16">
        <v>43343</v>
      </c>
      <c r="Q141" s="16">
        <f t="shared" si="104"/>
        <v>0</v>
      </c>
      <c r="R141" s="16">
        <v>0</v>
      </c>
      <c r="S141" s="16">
        <v>0</v>
      </c>
      <c r="T141" s="16">
        <v>0</v>
      </c>
      <c r="U141" s="16">
        <v>22086</v>
      </c>
      <c r="V141" s="16">
        <f>SUM(W141:AD141)</f>
        <v>178469</v>
      </c>
      <c r="W141" s="16">
        <v>34104</v>
      </c>
      <c r="X141" s="16">
        <v>63310</v>
      </c>
      <c r="Y141" s="16">
        <v>42660</v>
      </c>
      <c r="Z141" s="16">
        <v>32702</v>
      </c>
      <c r="AA141" s="16">
        <v>3613</v>
      </c>
      <c r="AB141" s="16">
        <v>0</v>
      </c>
      <c r="AC141" s="16">
        <v>0</v>
      </c>
      <c r="AD141" s="16">
        <v>2080</v>
      </c>
      <c r="AE141" s="16">
        <f>SUM(AF141:AZ141)</f>
        <v>90228</v>
      </c>
      <c r="AF141" s="16">
        <v>0</v>
      </c>
      <c r="AG141" s="16">
        <v>660</v>
      </c>
      <c r="AH141" s="16">
        <v>43560</v>
      </c>
      <c r="AI141" s="16">
        <v>2145</v>
      </c>
      <c r="AJ141" s="16">
        <v>3755</v>
      </c>
      <c r="AK141" s="16">
        <v>0</v>
      </c>
      <c r="AL141" s="16">
        <v>37129</v>
      </c>
      <c r="AM141" s="16">
        <v>0</v>
      </c>
      <c r="AN141" s="16">
        <v>0</v>
      </c>
      <c r="AO141" s="16">
        <v>109</v>
      </c>
      <c r="AP141" s="16"/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/>
      <c r="AZ141" s="16">
        <v>2870</v>
      </c>
      <c r="BA141" s="16">
        <f>SUM(BB141+BF141+BI141+BK141+BM141)</f>
        <v>2329239</v>
      </c>
      <c r="BB141" s="16">
        <f>SUM(BC141:BE141)</f>
        <v>0</v>
      </c>
      <c r="BC141" s="16">
        <v>0</v>
      </c>
      <c r="BD141" s="16">
        <v>0</v>
      </c>
      <c r="BE141" s="16">
        <v>0</v>
      </c>
      <c r="BF141" s="16">
        <f t="shared" si="105"/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f t="shared" si="106"/>
        <v>0</v>
      </c>
      <c r="BL141" s="16">
        <v>0</v>
      </c>
      <c r="BM141" s="16">
        <f t="shared" si="107"/>
        <v>2329239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33525</v>
      </c>
      <c r="BT141" s="16">
        <v>0</v>
      </c>
      <c r="BU141" s="16">
        <v>0</v>
      </c>
      <c r="BV141" s="16">
        <v>0</v>
      </c>
      <c r="BW141" s="16">
        <v>0</v>
      </c>
      <c r="BX141" s="16">
        <v>2295714</v>
      </c>
      <c r="BY141" s="16">
        <f>SUM(BZ141+CQ141)</f>
        <v>62839</v>
      </c>
      <c r="BZ141" s="16">
        <f>SUM(CA141+CD141+CJ141)</f>
        <v>62839</v>
      </c>
      <c r="CA141" s="16">
        <f t="shared" si="108"/>
        <v>62839</v>
      </c>
      <c r="CB141" s="16">
        <v>0</v>
      </c>
      <c r="CC141" s="16">
        <v>62839</v>
      </c>
      <c r="CD141" s="16">
        <f>SUM(CE141:CH141)</f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f>SUM(CK141:CN141)</f>
        <v>0</v>
      </c>
      <c r="CK141" s="16">
        <v>0</v>
      </c>
      <c r="CL141" s="16">
        <v>0</v>
      </c>
      <c r="CM141" s="16">
        <v>0</v>
      </c>
      <c r="CN141" s="16">
        <v>0</v>
      </c>
      <c r="CO141" s="16"/>
      <c r="CP141" s="16"/>
      <c r="CQ141" s="16">
        <v>0</v>
      </c>
      <c r="CR141" s="16">
        <f t="shared" si="109"/>
        <v>0</v>
      </c>
      <c r="CS141" s="16">
        <f t="shared" si="110"/>
        <v>0</v>
      </c>
      <c r="CT141" s="16">
        <v>0</v>
      </c>
      <c r="CU141" s="17">
        <v>0</v>
      </c>
      <c r="CV141" s="38"/>
    </row>
    <row r="142" spans="1:100" ht="31.5" x14ac:dyDescent="0.25">
      <c r="A142" s="13" t="s">
        <v>111</v>
      </c>
      <c r="B142" s="14" t="s">
        <v>107</v>
      </c>
      <c r="C142" s="14" t="s">
        <v>1</v>
      </c>
      <c r="D142" s="30" t="s">
        <v>165</v>
      </c>
      <c r="E142" s="15">
        <f t="shared" ref="E142:AJ142" si="205">SUM(E143:E145)</f>
        <v>1262223</v>
      </c>
      <c r="F142" s="16">
        <f t="shared" si="205"/>
        <v>1250574</v>
      </c>
      <c r="G142" s="16">
        <f t="shared" si="205"/>
        <v>1200134</v>
      </c>
      <c r="H142" s="16">
        <f t="shared" si="205"/>
        <v>582448</v>
      </c>
      <c r="I142" s="16">
        <f t="shared" si="205"/>
        <v>133303</v>
      </c>
      <c r="J142" s="16">
        <f t="shared" si="205"/>
        <v>11348</v>
      </c>
      <c r="K142" s="16">
        <f t="shared" si="205"/>
        <v>0</v>
      </c>
      <c r="L142" s="16">
        <f t="shared" si="205"/>
        <v>0</v>
      </c>
      <c r="M142" s="16">
        <f t="shared" si="205"/>
        <v>0</v>
      </c>
      <c r="N142" s="16">
        <f t="shared" si="205"/>
        <v>0</v>
      </c>
      <c r="O142" s="16">
        <f t="shared" si="205"/>
        <v>0</v>
      </c>
      <c r="P142" s="16">
        <f t="shared" si="205"/>
        <v>11348</v>
      </c>
      <c r="Q142" s="16">
        <f t="shared" si="205"/>
        <v>3499</v>
      </c>
      <c r="R142" s="16">
        <f t="shared" si="205"/>
        <v>3499</v>
      </c>
      <c r="S142" s="16">
        <f t="shared" si="205"/>
        <v>0</v>
      </c>
      <c r="T142" s="16">
        <f t="shared" si="205"/>
        <v>0</v>
      </c>
      <c r="U142" s="16">
        <f t="shared" si="205"/>
        <v>13390</v>
      </c>
      <c r="V142" s="16">
        <f t="shared" si="205"/>
        <v>0</v>
      </c>
      <c r="W142" s="16">
        <f t="shared" si="205"/>
        <v>0</v>
      </c>
      <c r="X142" s="16">
        <f t="shared" si="205"/>
        <v>0</v>
      </c>
      <c r="Y142" s="16">
        <f t="shared" si="205"/>
        <v>0</v>
      </c>
      <c r="Z142" s="16">
        <f t="shared" si="205"/>
        <v>0</v>
      </c>
      <c r="AA142" s="16">
        <f t="shared" si="205"/>
        <v>0</v>
      </c>
      <c r="AB142" s="16">
        <f t="shared" si="205"/>
        <v>0</v>
      </c>
      <c r="AC142" s="16">
        <f t="shared" si="205"/>
        <v>0</v>
      </c>
      <c r="AD142" s="16">
        <f t="shared" ref="AD142" si="206">SUM(AD143:AD145)</f>
        <v>0</v>
      </c>
      <c r="AE142" s="16">
        <f t="shared" si="205"/>
        <v>456146</v>
      </c>
      <c r="AF142" s="16">
        <f t="shared" si="205"/>
        <v>0</v>
      </c>
      <c r="AG142" s="16">
        <f t="shared" si="205"/>
        <v>1868</v>
      </c>
      <c r="AH142" s="16">
        <f t="shared" si="205"/>
        <v>0</v>
      </c>
      <c r="AI142" s="16">
        <f t="shared" si="205"/>
        <v>0</v>
      </c>
      <c r="AJ142" s="16">
        <f t="shared" si="205"/>
        <v>1591</v>
      </c>
      <c r="AK142" s="16">
        <f t="shared" ref="AK142:BP142" si="207">SUM(AK143:AK145)</f>
        <v>0</v>
      </c>
      <c r="AL142" s="16">
        <f t="shared" si="207"/>
        <v>5824</v>
      </c>
      <c r="AM142" s="16">
        <f t="shared" si="207"/>
        <v>108938</v>
      </c>
      <c r="AN142" s="16">
        <f t="shared" si="207"/>
        <v>0</v>
      </c>
      <c r="AO142" s="16">
        <f t="shared" si="207"/>
        <v>0</v>
      </c>
      <c r="AP142" s="16">
        <f t="shared" si="207"/>
        <v>0</v>
      </c>
      <c r="AQ142" s="16">
        <f t="shared" si="207"/>
        <v>0</v>
      </c>
      <c r="AR142" s="16">
        <f t="shared" si="207"/>
        <v>0</v>
      </c>
      <c r="AS142" s="16">
        <f t="shared" si="207"/>
        <v>0</v>
      </c>
      <c r="AT142" s="16">
        <f t="shared" si="207"/>
        <v>0</v>
      </c>
      <c r="AU142" s="16">
        <f t="shared" si="207"/>
        <v>0</v>
      </c>
      <c r="AV142" s="16">
        <f t="shared" si="207"/>
        <v>0</v>
      </c>
      <c r="AW142" s="16">
        <f t="shared" si="207"/>
        <v>0</v>
      </c>
      <c r="AX142" s="16">
        <f t="shared" si="207"/>
        <v>0</v>
      </c>
      <c r="AY142" s="16">
        <f t="shared" si="207"/>
        <v>0</v>
      </c>
      <c r="AZ142" s="16">
        <f t="shared" si="207"/>
        <v>337925</v>
      </c>
      <c r="BA142" s="16">
        <f t="shared" si="207"/>
        <v>50440</v>
      </c>
      <c r="BB142" s="16">
        <f t="shared" si="207"/>
        <v>0</v>
      </c>
      <c r="BC142" s="16">
        <f t="shared" si="207"/>
        <v>0</v>
      </c>
      <c r="BD142" s="16">
        <f t="shared" si="207"/>
        <v>0</v>
      </c>
      <c r="BE142" s="16">
        <f t="shared" si="207"/>
        <v>0</v>
      </c>
      <c r="BF142" s="16">
        <f t="shared" si="207"/>
        <v>0</v>
      </c>
      <c r="BG142" s="16">
        <f t="shared" si="207"/>
        <v>0</v>
      </c>
      <c r="BH142" s="16">
        <f t="shared" si="207"/>
        <v>0</v>
      </c>
      <c r="BI142" s="16">
        <f t="shared" si="207"/>
        <v>0</v>
      </c>
      <c r="BJ142" s="16">
        <f t="shared" si="207"/>
        <v>0</v>
      </c>
      <c r="BK142" s="16">
        <f t="shared" si="207"/>
        <v>0</v>
      </c>
      <c r="BL142" s="16">
        <f t="shared" si="207"/>
        <v>0</v>
      </c>
      <c r="BM142" s="16">
        <f t="shared" si="207"/>
        <v>50440</v>
      </c>
      <c r="BN142" s="16">
        <f t="shared" si="207"/>
        <v>0</v>
      </c>
      <c r="BO142" s="16">
        <f t="shared" si="207"/>
        <v>0</v>
      </c>
      <c r="BP142" s="16">
        <f t="shared" si="207"/>
        <v>50440</v>
      </c>
      <c r="BQ142" s="16">
        <f t="shared" ref="BQ142:CU142" si="208">SUM(BQ143:BQ145)</f>
        <v>0</v>
      </c>
      <c r="BR142" s="16">
        <f t="shared" si="208"/>
        <v>0</v>
      </c>
      <c r="BS142" s="16">
        <f t="shared" si="208"/>
        <v>0</v>
      </c>
      <c r="BT142" s="16">
        <f t="shared" si="208"/>
        <v>0</v>
      </c>
      <c r="BU142" s="16">
        <f t="shared" si="208"/>
        <v>0</v>
      </c>
      <c r="BV142" s="16">
        <f t="shared" si="208"/>
        <v>0</v>
      </c>
      <c r="BW142" s="16">
        <f t="shared" si="208"/>
        <v>0</v>
      </c>
      <c r="BX142" s="16">
        <f t="shared" si="208"/>
        <v>0</v>
      </c>
      <c r="BY142" s="16">
        <f t="shared" si="208"/>
        <v>11649</v>
      </c>
      <c r="BZ142" s="16">
        <f t="shared" si="208"/>
        <v>11649</v>
      </c>
      <c r="CA142" s="16">
        <f t="shared" si="208"/>
        <v>11649</v>
      </c>
      <c r="CB142" s="16">
        <f t="shared" si="208"/>
        <v>0</v>
      </c>
      <c r="CC142" s="16">
        <f t="shared" si="208"/>
        <v>11649</v>
      </c>
      <c r="CD142" s="16">
        <f t="shared" si="208"/>
        <v>0</v>
      </c>
      <c r="CE142" s="16">
        <f t="shared" si="208"/>
        <v>0</v>
      </c>
      <c r="CF142" s="16">
        <f t="shared" si="208"/>
        <v>0</v>
      </c>
      <c r="CG142" s="16">
        <f t="shared" si="208"/>
        <v>0</v>
      </c>
      <c r="CH142" s="16">
        <f t="shared" si="208"/>
        <v>0</v>
      </c>
      <c r="CI142" s="16">
        <f t="shared" ref="CI142" si="209">SUM(CI143:CI145)</f>
        <v>0</v>
      </c>
      <c r="CJ142" s="16">
        <f t="shared" si="208"/>
        <v>0</v>
      </c>
      <c r="CK142" s="16">
        <f t="shared" si="208"/>
        <v>0</v>
      </c>
      <c r="CL142" s="16">
        <f t="shared" si="208"/>
        <v>0</v>
      </c>
      <c r="CM142" s="16">
        <f t="shared" si="208"/>
        <v>0</v>
      </c>
      <c r="CN142" s="16">
        <f t="shared" si="208"/>
        <v>0</v>
      </c>
      <c r="CO142" s="16">
        <f t="shared" si="208"/>
        <v>0</v>
      </c>
      <c r="CP142" s="16">
        <f t="shared" si="208"/>
        <v>0</v>
      </c>
      <c r="CQ142" s="16">
        <f t="shared" si="208"/>
        <v>0</v>
      </c>
      <c r="CR142" s="16">
        <f t="shared" si="208"/>
        <v>0</v>
      </c>
      <c r="CS142" s="16">
        <f t="shared" si="208"/>
        <v>0</v>
      </c>
      <c r="CT142" s="16">
        <f t="shared" si="208"/>
        <v>0</v>
      </c>
      <c r="CU142" s="17">
        <f t="shared" si="208"/>
        <v>0</v>
      </c>
      <c r="CV142" s="38"/>
    </row>
    <row r="143" spans="1:100" ht="31.5" x14ac:dyDescent="0.25">
      <c r="A143" s="13" t="s">
        <v>1</v>
      </c>
      <c r="B143" s="14" t="s">
        <v>1</v>
      </c>
      <c r="C143" s="14" t="s">
        <v>19</v>
      </c>
      <c r="D143" s="30" t="s">
        <v>166</v>
      </c>
      <c r="E143" s="15">
        <f>SUM(F143+BY143+CR143)</f>
        <v>97570</v>
      </c>
      <c r="F143" s="16">
        <f>SUM(G143+BA143)</f>
        <v>97570</v>
      </c>
      <c r="G143" s="16">
        <f>SUM(H143+I143+J143+Q143+T143+U143+V143+AE143)</f>
        <v>97570</v>
      </c>
      <c r="H143" s="16">
        <v>0</v>
      </c>
      <c r="I143" s="16">
        <v>0</v>
      </c>
      <c r="J143" s="16">
        <f t="shared" si="103"/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6">
        <v>0</v>
      </c>
      <c r="Q143" s="16">
        <f t="shared" si="104"/>
        <v>0</v>
      </c>
      <c r="R143" s="16">
        <v>0</v>
      </c>
      <c r="S143" s="16">
        <v>0</v>
      </c>
      <c r="T143" s="16">
        <v>0</v>
      </c>
      <c r="U143" s="16">
        <v>0</v>
      </c>
      <c r="V143" s="16">
        <f>SUM(W143:AD143)</f>
        <v>0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f>SUM(AF143:AZ143)</f>
        <v>97570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14500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83070</v>
      </c>
      <c r="BA143" s="16">
        <f>SUM(BB143+BF143+BI143+BK143+BM143)</f>
        <v>0</v>
      </c>
      <c r="BB143" s="16">
        <f>SUM(BC143:BE143)</f>
        <v>0</v>
      </c>
      <c r="BC143" s="16">
        <v>0</v>
      </c>
      <c r="BD143" s="16">
        <v>0</v>
      </c>
      <c r="BE143" s="16">
        <v>0</v>
      </c>
      <c r="BF143" s="16">
        <f t="shared" si="105"/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f t="shared" si="106"/>
        <v>0</v>
      </c>
      <c r="BL143" s="16">
        <v>0</v>
      </c>
      <c r="BM143" s="16">
        <f t="shared" si="107"/>
        <v>0</v>
      </c>
      <c r="BN143" s="16">
        <v>0</v>
      </c>
      <c r="BO143" s="16">
        <v>0</v>
      </c>
      <c r="BP143" s="16">
        <v>0</v>
      </c>
      <c r="BQ143" s="16">
        <v>0</v>
      </c>
      <c r="BR143" s="16">
        <v>0</v>
      </c>
      <c r="BS143" s="16">
        <v>0</v>
      </c>
      <c r="BT143" s="16">
        <v>0</v>
      </c>
      <c r="BU143" s="16">
        <v>0</v>
      </c>
      <c r="BV143" s="16">
        <v>0</v>
      </c>
      <c r="BW143" s="16">
        <v>0</v>
      </c>
      <c r="BX143" s="16">
        <v>0</v>
      </c>
      <c r="BY143" s="16">
        <f>SUM(BZ143+CQ143)</f>
        <v>0</v>
      </c>
      <c r="BZ143" s="16">
        <f>SUM(CA143+CD143+CJ143)</f>
        <v>0</v>
      </c>
      <c r="CA143" s="16">
        <f t="shared" si="108"/>
        <v>0</v>
      </c>
      <c r="CB143" s="16">
        <v>0</v>
      </c>
      <c r="CC143" s="16">
        <v>0</v>
      </c>
      <c r="CD143" s="16">
        <f>SUM(CE143:CH143)</f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f>SUM(CK143:CN143)</f>
        <v>0</v>
      </c>
      <c r="CK143" s="16"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f t="shared" si="109"/>
        <v>0</v>
      </c>
      <c r="CS143" s="16">
        <f t="shared" si="110"/>
        <v>0</v>
      </c>
      <c r="CT143" s="16">
        <v>0</v>
      </c>
      <c r="CU143" s="17">
        <v>0</v>
      </c>
      <c r="CV143" s="38"/>
    </row>
    <row r="144" spans="1:100" ht="15.75" x14ac:dyDescent="0.25">
      <c r="A144" s="13" t="s">
        <v>1</v>
      </c>
      <c r="B144" s="14" t="s">
        <v>1</v>
      </c>
      <c r="C144" s="14" t="s">
        <v>23</v>
      </c>
      <c r="D144" s="30" t="s">
        <v>168</v>
      </c>
      <c r="E144" s="15">
        <f>SUM(F144+BY144+CR144)</f>
        <v>764920</v>
      </c>
      <c r="F144" s="16">
        <f>SUM(G144+BA144)</f>
        <v>753271</v>
      </c>
      <c r="G144" s="16">
        <f>SUM(H144+I144+J144+Q144+T144+U144+V144+AE144)</f>
        <v>753271</v>
      </c>
      <c r="H144" s="16">
        <v>582448</v>
      </c>
      <c r="I144" s="16">
        <v>133303</v>
      </c>
      <c r="J144" s="16">
        <f>SUM(K144:P144)</f>
        <v>11348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11348</v>
      </c>
      <c r="Q144" s="16">
        <f>SUM(R144:S144)</f>
        <v>3499</v>
      </c>
      <c r="R144" s="16">
        <v>3499</v>
      </c>
      <c r="S144" s="16">
        <v>0</v>
      </c>
      <c r="T144" s="16">
        <v>0</v>
      </c>
      <c r="U144" s="16">
        <v>13390</v>
      </c>
      <c r="V144" s="16">
        <f>SUM(W144:AD144)</f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f>SUM(AF144:AZ144)</f>
        <v>9283</v>
      </c>
      <c r="AF144" s="16">
        <v>0</v>
      </c>
      <c r="AG144" s="16">
        <v>1868</v>
      </c>
      <c r="AH144" s="16">
        <v>0</v>
      </c>
      <c r="AI144" s="16">
        <v>0</v>
      </c>
      <c r="AJ144" s="16">
        <v>1591</v>
      </c>
      <c r="AK144" s="16">
        <v>0</v>
      </c>
      <c r="AL144" s="16">
        <v>5824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f>SUM(BB144+BF144+BI144+BK144+BM144)</f>
        <v>0</v>
      </c>
      <c r="BB144" s="16">
        <f>SUM(BC144:BE144)</f>
        <v>0</v>
      </c>
      <c r="BC144" s="16">
        <v>0</v>
      </c>
      <c r="BD144" s="16">
        <v>0</v>
      </c>
      <c r="BE144" s="16">
        <v>0</v>
      </c>
      <c r="BF144" s="16">
        <f>SUM(BG144:BH144)</f>
        <v>0</v>
      </c>
      <c r="BG144" s="16">
        <v>0</v>
      </c>
      <c r="BH144" s="16">
        <v>0</v>
      </c>
      <c r="BI144" s="16">
        <v>0</v>
      </c>
      <c r="BJ144" s="16">
        <v>0</v>
      </c>
      <c r="BK144" s="16">
        <f>SUM(BL144)</f>
        <v>0</v>
      </c>
      <c r="BL144" s="16">
        <v>0</v>
      </c>
      <c r="BM144" s="16">
        <f>SUM(BN144:BX144)</f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f>SUM(BZ144+CQ144)</f>
        <v>11649</v>
      </c>
      <c r="BZ144" s="16">
        <f>SUM(CA144+CD144+CJ144)</f>
        <v>11649</v>
      </c>
      <c r="CA144" s="16">
        <f>SUM(CB144:CC144)</f>
        <v>11649</v>
      </c>
      <c r="CB144" s="16">
        <v>0</v>
      </c>
      <c r="CC144" s="16">
        <v>11649</v>
      </c>
      <c r="CD144" s="16">
        <f>SUM(CE144:CH144)</f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f>SUM(CK144:CN144)</f>
        <v>0</v>
      </c>
      <c r="CK144" s="16"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f>SUM(CS144)</f>
        <v>0</v>
      </c>
      <c r="CS144" s="16">
        <f>SUM(CT144:CU144)</f>
        <v>0</v>
      </c>
      <c r="CT144" s="16">
        <v>0</v>
      </c>
      <c r="CU144" s="17">
        <v>0</v>
      </c>
      <c r="CV144" s="38"/>
    </row>
    <row r="145" spans="1:100" ht="15.75" x14ac:dyDescent="0.25">
      <c r="A145" s="13" t="s">
        <v>1</v>
      </c>
      <c r="B145" s="14" t="s">
        <v>1</v>
      </c>
      <c r="C145" s="14" t="s">
        <v>23</v>
      </c>
      <c r="D145" s="30" t="s">
        <v>167</v>
      </c>
      <c r="E145" s="15">
        <f>SUM(F145+BY145+CR145)</f>
        <v>399733</v>
      </c>
      <c r="F145" s="16">
        <f>SUM(G145+BA145)</f>
        <v>399733</v>
      </c>
      <c r="G145" s="16">
        <f>SUM(H145+I145+J145+Q145+T145+U145+V145+AE145)</f>
        <v>349293</v>
      </c>
      <c r="H145" s="16">
        <v>0</v>
      </c>
      <c r="I145" s="16">
        <v>0</v>
      </c>
      <c r="J145" s="16">
        <f t="shared" si="103"/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f t="shared" si="104"/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f>SUM(W145:AD145)</f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f>SUM(AF145:AZ145)</f>
        <v>349293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94438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254855</v>
      </c>
      <c r="BA145" s="16">
        <f>SUM(BB145+BF145+BI145+BK145+BM145)</f>
        <v>50440</v>
      </c>
      <c r="BB145" s="16">
        <f>SUM(BC145:BE145)</f>
        <v>0</v>
      </c>
      <c r="BC145" s="16">
        <v>0</v>
      </c>
      <c r="BD145" s="16">
        <v>0</v>
      </c>
      <c r="BE145" s="16">
        <v>0</v>
      </c>
      <c r="BF145" s="16">
        <f t="shared" si="105"/>
        <v>0</v>
      </c>
      <c r="BG145" s="16">
        <v>0</v>
      </c>
      <c r="BH145" s="16">
        <v>0</v>
      </c>
      <c r="BI145" s="16">
        <v>0</v>
      </c>
      <c r="BJ145" s="16">
        <v>0</v>
      </c>
      <c r="BK145" s="16">
        <f t="shared" si="106"/>
        <v>0</v>
      </c>
      <c r="BL145" s="16">
        <v>0</v>
      </c>
      <c r="BM145" s="16">
        <f t="shared" si="107"/>
        <v>50440</v>
      </c>
      <c r="BN145" s="16">
        <v>0</v>
      </c>
      <c r="BO145" s="16">
        <v>0</v>
      </c>
      <c r="BP145" s="16">
        <v>50440</v>
      </c>
      <c r="BQ145" s="16">
        <v>0</v>
      </c>
      <c r="BR145" s="16">
        <v>0</v>
      </c>
      <c r="BS145" s="16">
        <v>0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f>SUM(BZ145+CQ145)</f>
        <v>0</v>
      </c>
      <c r="BZ145" s="16">
        <f>SUM(CA145+CD145+CJ145)</f>
        <v>0</v>
      </c>
      <c r="CA145" s="16">
        <f t="shared" si="108"/>
        <v>0</v>
      </c>
      <c r="CB145" s="16">
        <v>0</v>
      </c>
      <c r="CC145" s="16">
        <v>0</v>
      </c>
      <c r="CD145" s="16">
        <f>SUM(CE145:CH145)</f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f>SUM(CK145:CN145)</f>
        <v>0</v>
      </c>
      <c r="CK145" s="16"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f t="shared" si="109"/>
        <v>0</v>
      </c>
      <c r="CS145" s="16">
        <f t="shared" si="110"/>
        <v>0</v>
      </c>
      <c r="CT145" s="16">
        <v>0</v>
      </c>
      <c r="CU145" s="17">
        <v>0</v>
      </c>
      <c r="CV145" s="38"/>
    </row>
    <row r="146" spans="1:100" ht="31.5" x14ac:dyDescent="0.25">
      <c r="A146" s="18" t="s">
        <v>169</v>
      </c>
      <c r="B146" s="19" t="s">
        <v>1</v>
      </c>
      <c r="C146" s="19" t="s">
        <v>1</v>
      </c>
      <c r="D146" s="31" t="s">
        <v>170</v>
      </c>
      <c r="E146" s="20">
        <f>SUM(E147+E151+E154)</f>
        <v>23357432</v>
      </c>
      <c r="F146" s="21">
        <f t="shared" ref="F146:BS146" si="210">SUM(F147+F151+F154)</f>
        <v>23094931</v>
      </c>
      <c r="G146" s="21">
        <f t="shared" si="210"/>
        <v>22582771</v>
      </c>
      <c r="H146" s="21">
        <f t="shared" si="210"/>
        <v>14906008</v>
      </c>
      <c r="I146" s="21">
        <f t="shared" si="210"/>
        <v>3487289</v>
      </c>
      <c r="J146" s="21">
        <f t="shared" si="210"/>
        <v>226027</v>
      </c>
      <c r="K146" s="21">
        <f t="shared" si="210"/>
        <v>1401</v>
      </c>
      <c r="L146" s="21">
        <f t="shared" si="210"/>
        <v>8000</v>
      </c>
      <c r="M146" s="21">
        <f t="shared" si="210"/>
        <v>0</v>
      </c>
      <c r="N146" s="21">
        <f t="shared" si="210"/>
        <v>0</v>
      </c>
      <c r="O146" s="21">
        <f t="shared" si="210"/>
        <v>195264</v>
      </c>
      <c r="P146" s="21">
        <f t="shared" si="210"/>
        <v>21362</v>
      </c>
      <c r="Q146" s="21">
        <f t="shared" si="210"/>
        <v>1081</v>
      </c>
      <c r="R146" s="21">
        <f t="shared" si="210"/>
        <v>1081</v>
      </c>
      <c r="S146" s="21">
        <f t="shared" si="210"/>
        <v>0</v>
      </c>
      <c r="T146" s="21">
        <f t="shared" si="210"/>
        <v>0</v>
      </c>
      <c r="U146" s="21">
        <f t="shared" si="210"/>
        <v>99698</v>
      </c>
      <c r="V146" s="21">
        <f t="shared" si="210"/>
        <v>204466</v>
      </c>
      <c r="W146" s="21">
        <f t="shared" si="210"/>
        <v>9800</v>
      </c>
      <c r="X146" s="21">
        <f t="shared" si="210"/>
        <v>135632</v>
      </c>
      <c r="Y146" s="21">
        <f t="shared" si="210"/>
        <v>41855</v>
      </c>
      <c r="Z146" s="21">
        <f t="shared" si="210"/>
        <v>8943</v>
      </c>
      <c r="AA146" s="21">
        <f t="shared" si="210"/>
        <v>6522</v>
      </c>
      <c r="AB146" s="21">
        <f t="shared" si="210"/>
        <v>0</v>
      </c>
      <c r="AC146" s="21">
        <f t="shared" si="210"/>
        <v>0</v>
      </c>
      <c r="AD146" s="21">
        <f t="shared" ref="AD146" si="211">SUM(AD147+AD151+AD154)</f>
        <v>1714</v>
      </c>
      <c r="AE146" s="21">
        <f t="shared" si="210"/>
        <v>3658202</v>
      </c>
      <c r="AF146" s="21">
        <f t="shared" si="210"/>
        <v>0</v>
      </c>
      <c r="AG146" s="21">
        <f t="shared" si="210"/>
        <v>0</v>
      </c>
      <c r="AH146" s="21">
        <f t="shared" si="210"/>
        <v>54080</v>
      </c>
      <c r="AI146" s="21">
        <f t="shared" si="210"/>
        <v>0</v>
      </c>
      <c r="AJ146" s="21">
        <f t="shared" si="210"/>
        <v>9546</v>
      </c>
      <c r="AK146" s="21">
        <f t="shared" si="210"/>
        <v>0</v>
      </c>
      <c r="AL146" s="21">
        <f t="shared" si="210"/>
        <v>119834</v>
      </c>
      <c r="AM146" s="21">
        <f t="shared" si="210"/>
        <v>0</v>
      </c>
      <c r="AN146" s="21">
        <f t="shared" si="210"/>
        <v>0</v>
      </c>
      <c r="AO146" s="21">
        <f t="shared" si="210"/>
        <v>0</v>
      </c>
      <c r="AP146" s="21">
        <f>SUM(AP147+AP151+AP154)</f>
        <v>0</v>
      </c>
      <c r="AQ146" s="21">
        <f t="shared" si="210"/>
        <v>0</v>
      </c>
      <c r="AR146" s="21">
        <f t="shared" si="210"/>
        <v>42219</v>
      </c>
      <c r="AS146" s="21">
        <f t="shared" si="210"/>
        <v>17000</v>
      </c>
      <c r="AT146" s="21">
        <f t="shared" si="210"/>
        <v>0</v>
      </c>
      <c r="AU146" s="21">
        <f t="shared" si="210"/>
        <v>0</v>
      </c>
      <c r="AV146" s="21">
        <f t="shared" si="210"/>
        <v>0</v>
      </c>
      <c r="AW146" s="21">
        <f t="shared" si="210"/>
        <v>0</v>
      </c>
      <c r="AX146" s="21">
        <f t="shared" si="210"/>
        <v>0</v>
      </c>
      <c r="AY146" s="21">
        <f t="shared" si="210"/>
        <v>0</v>
      </c>
      <c r="AZ146" s="21">
        <f t="shared" si="210"/>
        <v>3415523</v>
      </c>
      <c r="BA146" s="21">
        <f t="shared" si="210"/>
        <v>512160</v>
      </c>
      <c r="BB146" s="21">
        <f t="shared" si="210"/>
        <v>0</v>
      </c>
      <c r="BC146" s="21">
        <f t="shared" si="210"/>
        <v>0</v>
      </c>
      <c r="BD146" s="21">
        <f t="shared" si="210"/>
        <v>0</v>
      </c>
      <c r="BE146" s="21">
        <f t="shared" si="210"/>
        <v>0</v>
      </c>
      <c r="BF146" s="21">
        <f t="shared" si="210"/>
        <v>0</v>
      </c>
      <c r="BG146" s="21">
        <f t="shared" si="210"/>
        <v>0</v>
      </c>
      <c r="BH146" s="21">
        <f t="shared" si="210"/>
        <v>0</v>
      </c>
      <c r="BI146" s="21">
        <f t="shared" si="210"/>
        <v>0</v>
      </c>
      <c r="BJ146" s="21">
        <f t="shared" si="210"/>
        <v>0</v>
      </c>
      <c r="BK146" s="21">
        <f t="shared" si="210"/>
        <v>0</v>
      </c>
      <c r="BL146" s="21">
        <f t="shared" si="210"/>
        <v>0</v>
      </c>
      <c r="BM146" s="21">
        <f t="shared" si="210"/>
        <v>512160</v>
      </c>
      <c r="BN146" s="21">
        <f t="shared" si="210"/>
        <v>0</v>
      </c>
      <c r="BO146" s="21">
        <f t="shared" si="210"/>
        <v>0</v>
      </c>
      <c r="BP146" s="21">
        <f t="shared" si="210"/>
        <v>512160</v>
      </c>
      <c r="BQ146" s="21">
        <f t="shared" si="210"/>
        <v>0</v>
      </c>
      <c r="BR146" s="21">
        <f t="shared" si="210"/>
        <v>0</v>
      </c>
      <c r="BS146" s="21">
        <f t="shared" si="210"/>
        <v>0</v>
      </c>
      <c r="BT146" s="21">
        <f t="shared" ref="BT146:CU146" si="212">SUM(BT147+BT151+BT154)</f>
        <v>0</v>
      </c>
      <c r="BU146" s="21">
        <f t="shared" si="212"/>
        <v>0</v>
      </c>
      <c r="BV146" s="21">
        <f t="shared" si="212"/>
        <v>0</v>
      </c>
      <c r="BW146" s="21">
        <f t="shared" si="212"/>
        <v>0</v>
      </c>
      <c r="BX146" s="21">
        <f t="shared" si="212"/>
        <v>0</v>
      </c>
      <c r="BY146" s="21">
        <f t="shared" si="212"/>
        <v>262501</v>
      </c>
      <c r="BZ146" s="21">
        <f t="shared" si="212"/>
        <v>262501</v>
      </c>
      <c r="CA146" s="21">
        <f t="shared" si="212"/>
        <v>262501</v>
      </c>
      <c r="CB146" s="21">
        <f t="shared" si="212"/>
        <v>0</v>
      </c>
      <c r="CC146" s="21">
        <f t="shared" si="212"/>
        <v>262501</v>
      </c>
      <c r="CD146" s="21">
        <f t="shared" si="212"/>
        <v>0</v>
      </c>
      <c r="CE146" s="21">
        <f t="shared" si="212"/>
        <v>0</v>
      </c>
      <c r="CF146" s="21">
        <f t="shared" si="212"/>
        <v>0</v>
      </c>
      <c r="CG146" s="21">
        <f t="shared" si="212"/>
        <v>0</v>
      </c>
      <c r="CH146" s="21">
        <f t="shared" si="212"/>
        <v>0</v>
      </c>
      <c r="CI146" s="21">
        <f t="shared" ref="CI146" si="213">SUM(CI147+CI151+CI154)</f>
        <v>0</v>
      </c>
      <c r="CJ146" s="21">
        <f t="shared" si="212"/>
        <v>0</v>
      </c>
      <c r="CK146" s="21">
        <f t="shared" si="212"/>
        <v>0</v>
      </c>
      <c r="CL146" s="21">
        <f t="shared" si="212"/>
        <v>0</v>
      </c>
      <c r="CM146" s="21">
        <f t="shared" si="212"/>
        <v>0</v>
      </c>
      <c r="CN146" s="21">
        <f t="shared" si="212"/>
        <v>0</v>
      </c>
      <c r="CO146" s="21">
        <f t="shared" si="212"/>
        <v>0</v>
      </c>
      <c r="CP146" s="21">
        <f t="shared" si="212"/>
        <v>0</v>
      </c>
      <c r="CQ146" s="21">
        <f t="shared" si="212"/>
        <v>0</v>
      </c>
      <c r="CR146" s="21">
        <f t="shared" si="212"/>
        <v>0</v>
      </c>
      <c r="CS146" s="21">
        <f t="shared" si="212"/>
        <v>0</v>
      </c>
      <c r="CT146" s="21">
        <f t="shared" si="212"/>
        <v>0</v>
      </c>
      <c r="CU146" s="22">
        <f t="shared" si="212"/>
        <v>0</v>
      </c>
      <c r="CV146" s="38"/>
    </row>
    <row r="147" spans="1:100" ht="31.5" x14ac:dyDescent="0.25">
      <c r="A147" s="13" t="s">
        <v>171</v>
      </c>
      <c r="B147" s="14" t="s">
        <v>7</v>
      </c>
      <c r="C147" s="14" t="s">
        <v>1</v>
      </c>
      <c r="D147" s="30" t="s">
        <v>172</v>
      </c>
      <c r="E147" s="15">
        <f>SUM(E148:E150)</f>
        <v>13548506</v>
      </c>
      <c r="F147" s="16">
        <f t="shared" ref="F147:BS147" si="214">SUM(F148:F150)</f>
        <v>13374033</v>
      </c>
      <c r="G147" s="16">
        <f t="shared" si="214"/>
        <v>13374033</v>
      </c>
      <c r="H147" s="16">
        <f t="shared" si="214"/>
        <v>10352411</v>
      </c>
      <c r="I147" s="16">
        <f t="shared" si="214"/>
        <v>2422237</v>
      </c>
      <c r="J147" s="16">
        <f t="shared" si="214"/>
        <v>131005</v>
      </c>
      <c r="K147" s="16">
        <f t="shared" si="214"/>
        <v>0</v>
      </c>
      <c r="L147" s="16">
        <f t="shared" si="214"/>
        <v>0</v>
      </c>
      <c r="M147" s="16">
        <f t="shared" si="214"/>
        <v>0</v>
      </c>
      <c r="N147" s="16">
        <f t="shared" si="214"/>
        <v>0</v>
      </c>
      <c r="O147" s="16">
        <f t="shared" si="214"/>
        <v>119656</v>
      </c>
      <c r="P147" s="16">
        <f t="shared" si="214"/>
        <v>11349</v>
      </c>
      <c r="Q147" s="16">
        <f t="shared" si="214"/>
        <v>1081</v>
      </c>
      <c r="R147" s="16">
        <f t="shared" si="214"/>
        <v>1081</v>
      </c>
      <c r="S147" s="16">
        <f t="shared" si="214"/>
        <v>0</v>
      </c>
      <c r="T147" s="16">
        <f t="shared" si="214"/>
        <v>0</v>
      </c>
      <c r="U147" s="16">
        <f t="shared" si="214"/>
        <v>43857</v>
      </c>
      <c r="V147" s="16">
        <f t="shared" si="214"/>
        <v>135815</v>
      </c>
      <c r="W147" s="16">
        <f t="shared" si="214"/>
        <v>9800</v>
      </c>
      <c r="X147" s="16">
        <f t="shared" si="214"/>
        <v>73512</v>
      </c>
      <c r="Y147" s="16">
        <f t="shared" si="214"/>
        <v>36328</v>
      </c>
      <c r="Z147" s="16">
        <f t="shared" si="214"/>
        <v>7939</v>
      </c>
      <c r="AA147" s="16">
        <f t="shared" si="214"/>
        <v>6522</v>
      </c>
      <c r="AB147" s="16">
        <f t="shared" si="214"/>
        <v>0</v>
      </c>
      <c r="AC147" s="16">
        <f t="shared" si="214"/>
        <v>0</v>
      </c>
      <c r="AD147" s="16">
        <f t="shared" ref="AD147" si="215">SUM(AD148:AD150)</f>
        <v>1714</v>
      </c>
      <c r="AE147" s="16">
        <f t="shared" si="214"/>
        <v>287627</v>
      </c>
      <c r="AF147" s="16">
        <f t="shared" si="214"/>
        <v>0</v>
      </c>
      <c r="AG147" s="16">
        <f t="shared" si="214"/>
        <v>0</v>
      </c>
      <c r="AH147" s="16">
        <f t="shared" si="214"/>
        <v>41407</v>
      </c>
      <c r="AI147" s="16">
        <f t="shared" si="214"/>
        <v>0</v>
      </c>
      <c r="AJ147" s="16">
        <f t="shared" si="214"/>
        <v>3182</v>
      </c>
      <c r="AK147" s="16">
        <f t="shared" si="214"/>
        <v>0</v>
      </c>
      <c r="AL147" s="16">
        <f t="shared" si="214"/>
        <v>75819</v>
      </c>
      <c r="AM147" s="16">
        <f t="shared" si="214"/>
        <v>0</v>
      </c>
      <c r="AN147" s="16">
        <f t="shared" si="214"/>
        <v>0</v>
      </c>
      <c r="AO147" s="16">
        <f t="shared" si="214"/>
        <v>0</v>
      </c>
      <c r="AP147" s="16">
        <f>SUM(AP148:AP150)</f>
        <v>0</v>
      </c>
      <c r="AQ147" s="16">
        <f t="shared" si="214"/>
        <v>0</v>
      </c>
      <c r="AR147" s="16">
        <f t="shared" si="214"/>
        <v>42219</v>
      </c>
      <c r="AS147" s="16">
        <f t="shared" si="214"/>
        <v>0</v>
      </c>
      <c r="AT147" s="16">
        <f t="shared" si="214"/>
        <v>0</v>
      </c>
      <c r="AU147" s="16">
        <f t="shared" si="214"/>
        <v>0</v>
      </c>
      <c r="AV147" s="16">
        <f t="shared" si="214"/>
        <v>0</v>
      </c>
      <c r="AW147" s="16">
        <f t="shared" si="214"/>
        <v>0</v>
      </c>
      <c r="AX147" s="16">
        <f t="shared" si="214"/>
        <v>0</v>
      </c>
      <c r="AY147" s="16">
        <f t="shared" si="214"/>
        <v>0</v>
      </c>
      <c r="AZ147" s="16">
        <f t="shared" si="214"/>
        <v>125000</v>
      </c>
      <c r="BA147" s="16">
        <f t="shared" si="214"/>
        <v>0</v>
      </c>
      <c r="BB147" s="16">
        <f t="shared" si="214"/>
        <v>0</v>
      </c>
      <c r="BC147" s="16">
        <f t="shared" si="214"/>
        <v>0</v>
      </c>
      <c r="BD147" s="16">
        <f t="shared" si="214"/>
        <v>0</v>
      </c>
      <c r="BE147" s="16">
        <f t="shared" si="214"/>
        <v>0</v>
      </c>
      <c r="BF147" s="16">
        <f t="shared" si="214"/>
        <v>0</v>
      </c>
      <c r="BG147" s="16">
        <f t="shared" si="214"/>
        <v>0</v>
      </c>
      <c r="BH147" s="16">
        <f t="shared" si="214"/>
        <v>0</v>
      </c>
      <c r="BI147" s="16">
        <f t="shared" si="214"/>
        <v>0</v>
      </c>
      <c r="BJ147" s="16">
        <f t="shared" si="214"/>
        <v>0</v>
      </c>
      <c r="BK147" s="16">
        <f t="shared" si="214"/>
        <v>0</v>
      </c>
      <c r="BL147" s="16">
        <f t="shared" si="214"/>
        <v>0</v>
      </c>
      <c r="BM147" s="16">
        <f t="shared" si="214"/>
        <v>0</v>
      </c>
      <c r="BN147" s="16">
        <f t="shared" si="214"/>
        <v>0</v>
      </c>
      <c r="BO147" s="16">
        <f t="shared" si="214"/>
        <v>0</v>
      </c>
      <c r="BP147" s="16">
        <f t="shared" si="214"/>
        <v>0</v>
      </c>
      <c r="BQ147" s="16">
        <f t="shared" si="214"/>
        <v>0</v>
      </c>
      <c r="BR147" s="16">
        <f t="shared" si="214"/>
        <v>0</v>
      </c>
      <c r="BS147" s="16">
        <f t="shared" si="214"/>
        <v>0</v>
      </c>
      <c r="BT147" s="16">
        <f t="shared" ref="BT147:CU147" si="216">SUM(BT148:BT150)</f>
        <v>0</v>
      </c>
      <c r="BU147" s="16">
        <f t="shared" si="216"/>
        <v>0</v>
      </c>
      <c r="BV147" s="16">
        <f t="shared" si="216"/>
        <v>0</v>
      </c>
      <c r="BW147" s="16">
        <f t="shared" si="216"/>
        <v>0</v>
      </c>
      <c r="BX147" s="16">
        <f t="shared" si="216"/>
        <v>0</v>
      </c>
      <c r="BY147" s="16">
        <f t="shared" si="216"/>
        <v>174473</v>
      </c>
      <c r="BZ147" s="16">
        <f t="shared" si="216"/>
        <v>174473</v>
      </c>
      <c r="CA147" s="16">
        <f t="shared" si="216"/>
        <v>174473</v>
      </c>
      <c r="CB147" s="16">
        <f t="shared" si="216"/>
        <v>0</v>
      </c>
      <c r="CC147" s="16">
        <f t="shared" si="216"/>
        <v>174473</v>
      </c>
      <c r="CD147" s="16">
        <f t="shared" si="216"/>
        <v>0</v>
      </c>
      <c r="CE147" s="16">
        <f t="shared" si="216"/>
        <v>0</v>
      </c>
      <c r="CF147" s="16">
        <f t="shared" si="216"/>
        <v>0</v>
      </c>
      <c r="CG147" s="16">
        <f t="shared" si="216"/>
        <v>0</v>
      </c>
      <c r="CH147" s="16">
        <f t="shared" si="216"/>
        <v>0</v>
      </c>
      <c r="CI147" s="16">
        <f t="shared" ref="CI147" si="217">SUM(CI148:CI150)</f>
        <v>0</v>
      </c>
      <c r="CJ147" s="16">
        <f t="shared" si="216"/>
        <v>0</v>
      </c>
      <c r="CK147" s="16">
        <f t="shared" si="216"/>
        <v>0</v>
      </c>
      <c r="CL147" s="16">
        <f t="shared" si="216"/>
        <v>0</v>
      </c>
      <c r="CM147" s="16">
        <f t="shared" si="216"/>
        <v>0</v>
      </c>
      <c r="CN147" s="16">
        <f t="shared" si="216"/>
        <v>0</v>
      </c>
      <c r="CO147" s="16">
        <f t="shared" si="216"/>
        <v>0</v>
      </c>
      <c r="CP147" s="16">
        <f t="shared" si="216"/>
        <v>0</v>
      </c>
      <c r="CQ147" s="16">
        <f t="shared" si="216"/>
        <v>0</v>
      </c>
      <c r="CR147" s="16">
        <f t="shared" si="216"/>
        <v>0</v>
      </c>
      <c r="CS147" s="16">
        <f t="shared" si="216"/>
        <v>0</v>
      </c>
      <c r="CT147" s="16">
        <f t="shared" si="216"/>
        <v>0</v>
      </c>
      <c r="CU147" s="17">
        <f t="shared" si="216"/>
        <v>0</v>
      </c>
      <c r="CV147" s="38"/>
    </row>
    <row r="148" spans="1:100" ht="31.5" x14ac:dyDescent="0.25">
      <c r="A148" s="13" t="s">
        <v>1</v>
      </c>
      <c r="B148" s="14" t="s">
        <v>1</v>
      </c>
      <c r="C148" s="14" t="s">
        <v>33</v>
      </c>
      <c r="D148" s="30" t="s">
        <v>173</v>
      </c>
      <c r="E148" s="15">
        <f>SUM(F148+BY148+CR148)</f>
        <v>8180219</v>
      </c>
      <c r="F148" s="16">
        <f>SUM(G148+BA148)</f>
        <v>8043650</v>
      </c>
      <c r="G148" s="16">
        <f>SUM(H148+I148+J148+Q148+T148+U148+V148+AE148)</f>
        <v>8043650</v>
      </c>
      <c r="H148" s="16">
        <v>6218149</v>
      </c>
      <c r="I148" s="16">
        <v>1431221</v>
      </c>
      <c r="J148" s="16">
        <f t="shared" si="103"/>
        <v>130054</v>
      </c>
      <c r="K148" s="16">
        <v>0</v>
      </c>
      <c r="L148" s="16">
        <v>0</v>
      </c>
      <c r="M148" s="16">
        <v>0</v>
      </c>
      <c r="N148" s="16">
        <v>0</v>
      </c>
      <c r="O148" s="16">
        <v>119656</v>
      </c>
      <c r="P148" s="16">
        <f>8959+1439</f>
        <v>10398</v>
      </c>
      <c r="Q148" s="16">
        <f t="shared" si="104"/>
        <v>1081</v>
      </c>
      <c r="R148" s="16">
        <v>1081</v>
      </c>
      <c r="S148" s="16">
        <v>0</v>
      </c>
      <c r="T148" s="16">
        <v>0</v>
      </c>
      <c r="U148" s="16">
        <v>30909</v>
      </c>
      <c r="V148" s="16">
        <f>SUM(W148:AD148)</f>
        <v>125666</v>
      </c>
      <c r="W148" s="16">
        <v>9800</v>
      </c>
      <c r="X148" s="16">
        <f>73112+400</f>
        <v>73512</v>
      </c>
      <c r="Y148" s="16">
        <v>28758</v>
      </c>
      <c r="Z148" s="16">
        <v>7074</v>
      </c>
      <c r="AA148" s="16">
        <v>6522</v>
      </c>
      <c r="AB148" s="16">
        <v>0</v>
      </c>
      <c r="AC148" s="16">
        <v>0</v>
      </c>
      <c r="AD148" s="16">
        <v>0</v>
      </c>
      <c r="AE148" s="16">
        <f>SUM(AF148:AZ148)</f>
        <v>106570</v>
      </c>
      <c r="AF148" s="16">
        <v>0</v>
      </c>
      <c r="AG148" s="16">
        <v>0</v>
      </c>
      <c r="AH148" s="16">
        <v>36694</v>
      </c>
      <c r="AI148" s="16">
        <v>0</v>
      </c>
      <c r="AJ148" s="16">
        <v>1591</v>
      </c>
      <c r="AK148" s="16">
        <v>0</v>
      </c>
      <c r="AL148" s="16">
        <v>68285</v>
      </c>
      <c r="AM148" s="16">
        <v>0</v>
      </c>
      <c r="AN148" s="16">
        <v>0</v>
      </c>
      <c r="AO148" s="16">
        <v>0</v>
      </c>
      <c r="AP148" s="16">
        <v>0</v>
      </c>
      <c r="AQ148" s="16">
        <v>0</v>
      </c>
      <c r="AR148" s="16">
        <v>0</v>
      </c>
      <c r="AS148" s="16">
        <v>0</v>
      </c>
      <c r="AT148" s="16">
        <v>0</v>
      </c>
      <c r="AU148" s="16">
        <v>0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f>SUM(BB148+BF148+BI148+BK148+BM148)</f>
        <v>0</v>
      </c>
      <c r="BB148" s="16">
        <f>SUM(BC148:BE148)</f>
        <v>0</v>
      </c>
      <c r="BC148" s="16">
        <v>0</v>
      </c>
      <c r="BD148" s="16">
        <v>0</v>
      </c>
      <c r="BE148" s="16">
        <v>0</v>
      </c>
      <c r="BF148" s="16">
        <f t="shared" si="105"/>
        <v>0</v>
      </c>
      <c r="BG148" s="16">
        <v>0</v>
      </c>
      <c r="BH148" s="16">
        <v>0</v>
      </c>
      <c r="BI148" s="16">
        <v>0</v>
      </c>
      <c r="BJ148" s="16">
        <v>0</v>
      </c>
      <c r="BK148" s="16">
        <f t="shared" si="106"/>
        <v>0</v>
      </c>
      <c r="BL148" s="16">
        <v>0</v>
      </c>
      <c r="BM148" s="16">
        <f t="shared" si="107"/>
        <v>0</v>
      </c>
      <c r="BN148" s="16">
        <v>0</v>
      </c>
      <c r="BO148" s="16">
        <v>0</v>
      </c>
      <c r="BP148" s="16">
        <v>0</v>
      </c>
      <c r="BQ148" s="16">
        <v>0</v>
      </c>
      <c r="BR148" s="16">
        <v>0</v>
      </c>
      <c r="BS148" s="16">
        <v>0</v>
      </c>
      <c r="BT148" s="16">
        <v>0</v>
      </c>
      <c r="BU148" s="16">
        <v>0</v>
      </c>
      <c r="BV148" s="16">
        <v>0</v>
      </c>
      <c r="BW148" s="16">
        <v>0</v>
      </c>
      <c r="BX148" s="16">
        <v>0</v>
      </c>
      <c r="BY148" s="16">
        <f>SUM(BZ148+CQ148)</f>
        <v>136569</v>
      </c>
      <c r="BZ148" s="16">
        <f>SUM(CA148+CD148+CJ148)</f>
        <v>136569</v>
      </c>
      <c r="CA148" s="16">
        <f t="shared" si="108"/>
        <v>136569</v>
      </c>
      <c r="CB148" s="16">
        <v>0</v>
      </c>
      <c r="CC148" s="16">
        <v>136569</v>
      </c>
      <c r="CD148" s="16">
        <f>SUM(CE148:CH148)</f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f>SUM(CK148:CN148)</f>
        <v>0</v>
      </c>
      <c r="CK148" s="16"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f t="shared" si="109"/>
        <v>0</v>
      </c>
      <c r="CS148" s="16">
        <f t="shared" si="110"/>
        <v>0</v>
      </c>
      <c r="CT148" s="16">
        <v>0</v>
      </c>
      <c r="CU148" s="17">
        <v>0</v>
      </c>
      <c r="CV148" s="38"/>
    </row>
    <row r="149" spans="1:100" ht="15.75" x14ac:dyDescent="0.25">
      <c r="A149" s="13" t="s">
        <v>1</v>
      </c>
      <c r="B149" s="14" t="s">
        <v>1</v>
      </c>
      <c r="C149" s="14" t="s">
        <v>33</v>
      </c>
      <c r="D149" s="30" t="s">
        <v>174</v>
      </c>
      <c r="E149" s="15">
        <f>SUM(F149+BY149+CR149)</f>
        <v>1140831</v>
      </c>
      <c r="F149" s="16">
        <f>SUM(G149+BA149)</f>
        <v>1102927</v>
      </c>
      <c r="G149" s="16">
        <f>SUM(H149+I149+J149+Q149+T149+U149+V149+AE149)</f>
        <v>1102927</v>
      </c>
      <c r="H149" s="16">
        <v>728521</v>
      </c>
      <c r="I149" s="16">
        <v>169301</v>
      </c>
      <c r="J149" s="16">
        <f t="shared" si="103"/>
        <v>951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f>0+951</f>
        <v>951</v>
      </c>
      <c r="Q149" s="16">
        <f t="shared" si="104"/>
        <v>0</v>
      </c>
      <c r="R149" s="16">
        <v>0</v>
      </c>
      <c r="S149" s="16">
        <v>0</v>
      </c>
      <c r="T149" s="16">
        <v>0</v>
      </c>
      <c r="U149" s="16">
        <v>12948</v>
      </c>
      <c r="V149" s="16">
        <f>SUM(W149:AD149)</f>
        <v>10149</v>
      </c>
      <c r="W149" s="16">
        <v>0</v>
      </c>
      <c r="X149" s="16">
        <v>0</v>
      </c>
      <c r="Y149" s="16">
        <v>7570</v>
      </c>
      <c r="Z149" s="16">
        <v>865</v>
      </c>
      <c r="AA149" s="16">
        <v>0</v>
      </c>
      <c r="AB149" s="16">
        <v>0</v>
      </c>
      <c r="AC149" s="16">
        <v>0</v>
      </c>
      <c r="AD149" s="16">
        <v>1714</v>
      </c>
      <c r="AE149" s="16">
        <f>SUM(AF149:AZ149)</f>
        <v>181057</v>
      </c>
      <c r="AF149" s="16">
        <v>0</v>
      </c>
      <c r="AG149" s="16">
        <v>0</v>
      </c>
      <c r="AH149" s="16">
        <v>4713</v>
      </c>
      <c r="AI149" s="16">
        <v>0</v>
      </c>
      <c r="AJ149" s="16">
        <v>1591</v>
      </c>
      <c r="AK149" s="16">
        <v>0</v>
      </c>
      <c r="AL149" s="16">
        <v>7534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42219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125000</v>
      </c>
      <c r="BA149" s="16">
        <f>SUM(BB149+BF149+BI149+BK149+BM149)</f>
        <v>0</v>
      </c>
      <c r="BB149" s="16">
        <f>SUM(BC149:BE149)</f>
        <v>0</v>
      </c>
      <c r="BC149" s="16">
        <v>0</v>
      </c>
      <c r="BD149" s="16">
        <v>0</v>
      </c>
      <c r="BE149" s="16">
        <v>0</v>
      </c>
      <c r="BF149" s="16">
        <f t="shared" si="105"/>
        <v>0</v>
      </c>
      <c r="BG149" s="16">
        <v>0</v>
      </c>
      <c r="BH149" s="16">
        <v>0</v>
      </c>
      <c r="BI149" s="16">
        <v>0</v>
      </c>
      <c r="BJ149" s="16">
        <v>0</v>
      </c>
      <c r="BK149" s="16">
        <f t="shared" si="106"/>
        <v>0</v>
      </c>
      <c r="BL149" s="16">
        <v>0</v>
      </c>
      <c r="BM149" s="16">
        <f t="shared" si="107"/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f>SUM(BZ149+CQ149)</f>
        <v>37904</v>
      </c>
      <c r="BZ149" s="16">
        <f>SUM(CA149+CD149+CJ149)</f>
        <v>37904</v>
      </c>
      <c r="CA149" s="16">
        <f t="shared" si="108"/>
        <v>37904</v>
      </c>
      <c r="CB149" s="16">
        <v>0</v>
      </c>
      <c r="CC149" s="16">
        <f>15067+22837</f>
        <v>37904</v>
      </c>
      <c r="CD149" s="16">
        <f>SUM(CE149:CH149)</f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f>SUM(CK149:CN149)</f>
        <v>0</v>
      </c>
      <c r="CK149" s="16"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f t="shared" si="109"/>
        <v>0</v>
      </c>
      <c r="CS149" s="16">
        <f t="shared" si="110"/>
        <v>0</v>
      </c>
      <c r="CT149" s="16">
        <v>0</v>
      </c>
      <c r="CU149" s="17">
        <v>0</v>
      </c>
      <c r="CV149" s="38"/>
    </row>
    <row r="150" spans="1:100" ht="31.5" x14ac:dyDescent="0.25">
      <c r="A150" s="13" t="s">
        <v>1</v>
      </c>
      <c r="B150" s="14" t="s">
        <v>1</v>
      </c>
      <c r="C150" s="14" t="s">
        <v>33</v>
      </c>
      <c r="D150" s="30" t="s">
        <v>510</v>
      </c>
      <c r="E150" s="15">
        <f>SUM(F150+BY150+CR150)</f>
        <v>4227456</v>
      </c>
      <c r="F150" s="16">
        <f>SUM(G150+BA150)</f>
        <v>4227456</v>
      </c>
      <c r="G150" s="16">
        <f>SUM(H150+I150+J150+Q150+T150+U150+V150+AE150)</f>
        <v>4227456</v>
      </c>
      <c r="H150" s="16">
        <v>3405741</v>
      </c>
      <c r="I150" s="16">
        <v>821715</v>
      </c>
      <c r="J150" s="16">
        <f t="shared" si="103"/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f t="shared" si="104"/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f>SUM(W150:AD150)</f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f>SUM(AF150:AZ150)</f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f>SUM(BB150+BF150+BI150+BK150+BM150)</f>
        <v>0</v>
      </c>
      <c r="BB150" s="16">
        <f>SUM(BC150:BE150)</f>
        <v>0</v>
      </c>
      <c r="BC150" s="16">
        <v>0</v>
      </c>
      <c r="BD150" s="16">
        <v>0</v>
      </c>
      <c r="BE150" s="16">
        <v>0</v>
      </c>
      <c r="BF150" s="16">
        <f t="shared" si="105"/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f t="shared" si="106"/>
        <v>0</v>
      </c>
      <c r="BL150" s="16">
        <v>0</v>
      </c>
      <c r="BM150" s="16">
        <f t="shared" si="107"/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f>SUM(BZ150+CQ150)</f>
        <v>0</v>
      </c>
      <c r="BZ150" s="16">
        <f>SUM(CA150+CD150+CJ150)</f>
        <v>0</v>
      </c>
      <c r="CA150" s="16">
        <f t="shared" si="108"/>
        <v>0</v>
      </c>
      <c r="CB150" s="16">
        <v>0</v>
      </c>
      <c r="CC150" s="16">
        <v>0</v>
      </c>
      <c r="CD150" s="16">
        <f>SUM(CE150:CH150)</f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f>SUM(CK150:CN150)</f>
        <v>0</v>
      </c>
      <c r="CK150" s="16"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f t="shared" si="109"/>
        <v>0</v>
      </c>
      <c r="CS150" s="16">
        <f t="shared" si="110"/>
        <v>0</v>
      </c>
      <c r="CT150" s="16">
        <v>0</v>
      </c>
      <c r="CU150" s="17">
        <v>0</v>
      </c>
      <c r="CV150" s="38"/>
    </row>
    <row r="151" spans="1:100" ht="15.75" x14ac:dyDescent="0.25">
      <c r="A151" s="13" t="s">
        <v>171</v>
      </c>
      <c r="B151" s="14" t="s">
        <v>15</v>
      </c>
      <c r="C151" s="14" t="s">
        <v>1</v>
      </c>
      <c r="D151" s="30" t="s">
        <v>175</v>
      </c>
      <c r="E151" s="15">
        <f>SUM(E152:E153)</f>
        <v>1211691</v>
      </c>
      <c r="F151" s="16">
        <f t="shared" ref="F151:BS151" si="218">SUM(F152:F153)</f>
        <v>1211691</v>
      </c>
      <c r="G151" s="16">
        <f t="shared" si="218"/>
        <v>1211691</v>
      </c>
      <c r="H151" s="16">
        <f t="shared" si="218"/>
        <v>0</v>
      </c>
      <c r="I151" s="16">
        <f t="shared" si="218"/>
        <v>0</v>
      </c>
      <c r="J151" s="16">
        <f t="shared" si="218"/>
        <v>0</v>
      </c>
      <c r="K151" s="16">
        <f t="shared" si="218"/>
        <v>0</v>
      </c>
      <c r="L151" s="16">
        <f t="shared" si="218"/>
        <v>0</v>
      </c>
      <c r="M151" s="16">
        <f t="shared" si="218"/>
        <v>0</v>
      </c>
      <c r="N151" s="16">
        <f t="shared" si="218"/>
        <v>0</v>
      </c>
      <c r="O151" s="16">
        <f t="shared" si="218"/>
        <v>0</v>
      </c>
      <c r="P151" s="16">
        <f t="shared" si="218"/>
        <v>0</v>
      </c>
      <c r="Q151" s="16">
        <f t="shared" si="218"/>
        <v>0</v>
      </c>
      <c r="R151" s="16">
        <f t="shared" si="218"/>
        <v>0</v>
      </c>
      <c r="S151" s="16">
        <f t="shared" si="218"/>
        <v>0</v>
      </c>
      <c r="T151" s="16">
        <f t="shared" si="218"/>
        <v>0</v>
      </c>
      <c r="U151" s="16">
        <f t="shared" si="218"/>
        <v>0</v>
      </c>
      <c r="V151" s="16">
        <f t="shared" si="218"/>
        <v>0</v>
      </c>
      <c r="W151" s="16">
        <f t="shared" si="218"/>
        <v>0</v>
      </c>
      <c r="X151" s="16">
        <f t="shared" si="218"/>
        <v>0</v>
      </c>
      <c r="Y151" s="16">
        <f t="shared" si="218"/>
        <v>0</v>
      </c>
      <c r="Z151" s="16">
        <f t="shared" si="218"/>
        <v>0</v>
      </c>
      <c r="AA151" s="16">
        <f t="shared" si="218"/>
        <v>0</v>
      </c>
      <c r="AB151" s="16">
        <f t="shared" si="218"/>
        <v>0</v>
      </c>
      <c r="AC151" s="16">
        <f t="shared" si="218"/>
        <v>0</v>
      </c>
      <c r="AD151" s="16">
        <f t="shared" ref="AD151" si="219">SUM(AD152:AD153)</f>
        <v>0</v>
      </c>
      <c r="AE151" s="16">
        <f t="shared" si="218"/>
        <v>1211691</v>
      </c>
      <c r="AF151" s="16">
        <f t="shared" si="218"/>
        <v>0</v>
      </c>
      <c r="AG151" s="16">
        <f t="shared" si="218"/>
        <v>0</v>
      </c>
      <c r="AH151" s="16">
        <f t="shared" si="218"/>
        <v>0</v>
      </c>
      <c r="AI151" s="16">
        <f t="shared" si="218"/>
        <v>0</v>
      </c>
      <c r="AJ151" s="16">
        <f t="shared" si="218"/>
        <v>0</v>
      </c>
      <c r="AK151" s="16">
        <f t="shared" si="218"/>
        <v>0</v>
      </c>
      <c r="AL151" s="16">
        <f t="shared" si="218"/>
        <v>0</v>
      </c>
      <c r="AM151" s="16">
        <f t="shared" si="218"/>
        <v>0</v>
      </c>
      <c r="AN151" s="16">
        <f t="shared" si="218"/>
        <v>0</v>
      </c>
      <c r="AO151" s="16">
        <f t="shared" si="218"/>
        <v>0</v>
      </c>
      <c r="AP151" s="16">
        <f>SUM(AP152:AP153)</f>
        <v>0</v>
      </c>
      <c r="AQ151" s="16">
        <f t="shared" si="218"/>
        <v>0</v>
      </c>
      <c r="AR151" s="16">
        <f t="shared" si="218"/>
        <v>0</v>
      </c>
      <c r="AS151" s="16">
        <f t="shared" si="218"/>
        <v>0</v>
      </c>
      <c r="AT151" s="16">
        <f t="shared" si="218"/>
        <v>0</v>
      </c>
      <c r="AU151" s="16">
        <f t="shared" si="218"/>
        <v>0</v>
      </c>
      <c r="AV151" s="16">
        <f t="shared" si="218"/>
        <v>0</v>
      </c>
      <c r="AW151" s="16">
        <f t="shared" si="218"/>
        <v>0</v>
      </c>
      <c r="AX151" s="16">
        <f t="shared" si="218"/>
        <v>0</v>
      </c>
      <c r="AY151" s="16">
        <f t="shared" si="218"/>
        <v>0</v>
      </c>
      <c r="AZ151" s="16">
        <f t="shared" si="218"/>
        <v>1211691</v>
      </c>
      <c r="BA151" s="16">
        <f t="shared" si="218"/>
        <v>0</v>
      </c>
      <c r="BB151" s="16">
        <f t="shared" si="218"/>
        <v>0</v>
      </c>
      <c r="BC151" s="16">
        <f t="shared" si="218"/>
        <v>0</v>
      </c>
      <c r="BD151" s="16">
        <f t="shared" si="218"/>
        <v>0</v>
      </c>
      <c r="BE151" s="16">
        <f t="shared" si="218"/>
        <v>0</v>
      </c>
      <c r="BF151" s="16">
        <f t="shared" si="218"/>
        <v>0</v>
      </c>
      <c r="BG151" s="16">
        <f t="shared" si="218"/>
        <v>0</v>
      </c>
      <c r="BH151" s="16">
        <f t="shared" si="218"/>
        <v>0</v>
      </c>
      <c r="BI151" s="16">
        <f t="shared" si="218"/>
        <v>0</v>
      </c>
      <c r="BJ151" s="16">
        <f t="shared" si="218"/>
        <v>0</v>
      </c>
      <c r="BK151" s="16">
        <f t="shared" si="218"/>
        <v>0</v>
      </c>
      <c r="BL151" s="16">
        <f t="shared" si="218"/>
        <v>0</v>
      </c>
      <c r="BM151" s="16">
        <f t="shared" si="218"/>
        <v>0</v>
      </c>
      <c r="BN151" s="16">
        <f t="shared" si="218"/>
        <v>0</v>
      </c>
      <c r="BO151" s="16">
        <f t="shared" si="218"/>
        <v>0</v>
      </c>
      <c r="BP151" s="16">
        <f t="shared" si="218"/>
        <v>0</v>
      </c>
      <c r="BQ151" s="16">
        <f t="shared" si="218"/>
        <v>0</v>
      </c>
      <c r="BR151" s="16">
        <f t="shared" si="218"/>
        <v>0</v>
      </c>
      <c r="BS151" s="16">
        <f t="shared" si="218"/>
        <v>0</v>
      </c>
      <c r="BT151" s="16">
        <f t="shared" ref="BT151:CU151" si="220">SUM(BT152:BT153)</f>
        <v>0</v>
      </c>
      <c r="BU151" s="16">
        <f t="shared" si="220"/>
        <v>0</v>
      </c>
      <c r="BV151" s="16">
        <f t="shared" si="220"/>
        <v>0</v>
      </c>
      <c r="BW151" s="16">
        <f t="shared" si="220"/>
        <v>0</v>
      </c>
      <c r="BX151" s="16">
        <f t="shared" si="220"/>
        <v>0</v>
      </c>
      <c r="BY151" s="16">
        <f t="shared" si="220"/>
        <v>0</v>
      </c>
      <c r="BZ151" s="16">
        <f t="shared" si="220"/>
        <v>0</v>
      </c>
      <c r="CA151" s="16">
        <f t="shared" si="220"/>
        <v>0</v>
      </c>
      <c r="CB151" s="16">
        <f t="shared" si="220"/>
        <v>0</v>
      </c>
      <c r="CC151" s="16">
        <f t="shared" si="220"/>
        <v>0</v>
      </c>
      <c r="CD151" s="16">
        <f t="shared" si="220"/>
        <v>0</v>
      </c>
      <c r="CE151" s="16">
        <f t="shared" si="220"/>
        <v>0</v>
      </c>
      <c r="CF151" s="16">
        <f t="shared" si="220"/>
        <v>0</v>
      </c>
      <c r="CG151" s="16">
        <f t="shared" si="220"/>
        <v>0</v>
      </c>
      <c r="CH151" s="16">
        <f t="shared" si="220"/>
        <v>0</v>
      </c>
      <c r="CI151" s="16">
        <f t="shared" ref="CI151" si="221">SUM(CI152:CI153)</f>
        <v>0</v>
      </c>
      <c r="CJ151" s="16">
        <f t="shared" si="220"/>
        <v>0</v>
      </c>
      <c r="CK151" s="16">
        <f t="shared" si="220"/>
        <v>0</v>
      </c>
      <c r="CL151" s="16">
        <f t="shared" si="220"/>
        <v>0</v>
      </c>
      <c r="CM151" s="16">
        <f t="shared" si="220"/>
        <v>0</v>
      </c>
      <c r="CN151" s="16">
        <f t="shared" si="220"/>
        <v>0</v>
      </c>
      <c r="CO151" s="16">
        <f t="shared" si="220"/>
        <v>0</v>
      </c>
      <c r="CP151" s="16">
        <f t="shared" si="220"/>
        <v>0</v>
      </c>
      <c r="CQ151" s="16">
        <f t="shared" si="220"/>
        <v>0</v>
      </c>
      <c r="CR151" s="16">
        <f t="shared" si="220"/>
        <v>0</v>
      </c>
      <c r="CS151" s="16">
        <f t="shared" si="220"/>
        <v>0</v>
      </c>
      <c r="CT151" s="16">
        <f t="shared" si="220"/>
        <v>0</v>
      </c>
      <c r="CU151" s="17">
        <f t="shared" si="220"/>
        <v>0</v>
      </c>
      <c r="CV151" s="38"/>
    </row>
    <row r="152" spans="1:100" ht="15.75" x14ac:dyDescent="0.25">
      <c r="A152" s="13" t="s">
        <v>1</v>
      </c>
      <c r="B152" s="14" t="s">
        <v>1</v>
      </c>
      <c r="C152" s="14" t="s">
        <v>23</v>
      </c>
      <c r="D152" s="30" t="s">
        <v>176</v>
      </c>
      <c r="E152" s="15">
        <f>SUM(F152+BY152+CR152)</f>
        <v>445538</v>
      </c>
      <c r="F152" s="16">
        <f>SUM(G152+BA152)</f>
        <v>445538</v>
      </c>
      <c r="G152" s="16">
        <f>SUM(H152+I152+J152+Q152+T152+U152+V152+AE152)</f>
        <v>445538</v>
      </c>
      <c r="H152" s="16">
        <v>0</v>
      </c>
      <c r="I152" s="16">
        <v>0</v>
      </c>
      <c r="J152" s="16">
        <f t="shared" ref="J152:J218" si="222">SUM(K152:P152)</f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f t="shared" ref="Q152:Q218" si="223">SUM(R152:S152)</f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f>SUM(W152:AD152)</f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f>SUM(AF152:AZ152)</f>
        <v>445538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f>691924-140317-106069</f>
        <v>445538</v>
      </c>
      <c r="BA152" s="16">
        <f>SUM(BB152+BF152+BI152+BK152+BM152)</f>
        <v>0</v>
      </c>
      <c r="BB152" s="16">
        <f>SUM(BC152:BE152)</f>
        <v>0</v>
      </c>
      <c r="BC152" s="16">
        <v>0</v>
      </c>
      <c r="BD152" s="16">
        <v>0</v>
      </c>
      <c r="BE152" s="16">
        <v>0</v>
      </c>
      <c r="BF152" s="16">
        <f t="shared" ref="BF152:BF218" si="224">SUM(BG152:BH152)</f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f t="shared" ref="BK152:BK218" si="225">SUM(BL152)</f>
        <v>0</v>
      </c>
      <c r="BL152" s="16">
        <v>0</v>
      </c>
      <c r="BM152" s="16">
        <f t="shared" ref="BM152:BM218" si="226">SUM(BN152:BX152)</f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f>SUM(BZ152+CQ152)</f>
        <v>0</v>
      </c>
      <c r="BZ152" s="16">
        <f>SUM(CA152+CD152+CJ152)</f>
        <v>0</v>
      </c>
      <c r="CA152" s="16">
        <f t="shared" ref="CA152:CA218" si="227">SUM(CB152:CC152)</f>
        <v>0</v>
      </c>
      <c r="CB152" s="16">
        <v>0</v>
      </c>
      <c r="CC152" s="16">
        <v>0</v>
      </c>
      <c r="CD152" s="16">
        <f>SUM(CE152:CH152)</f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f>SUM(CK152:CN152)</f>
        <v>0</v>
      </c>
      <c r="CK152" s="16">
        <v>0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f t="shared" ref="CR152:CR218" si="228">SUM(CS152)</f>
        <v>0</v>
      </c>
      <c r="CS152" s="16">
        <f t="shared" ref="CS152:CS218" si="229">SUM(CT152:CU152)</f>
        <v>0</v>
      </c>
      <c r="CT152" s="16">
        <v>0</v>
      </c>
      <c r="CU152" s="17">
        <v>0</v>
      </c>
      <c r="CV152" s="38"/>
    </row>
    <row r="153" spans="1:100" ht="15.75" x14ac:dyDescent="0.25">
      <c r="A153" s="13" t="s">
        <v>1</v>
      </c>
      <c r="B153" s="14" t="s">
        <v>1</v>
      </c>
      <c r="C153" s="14" t="s">
        <v>31</v>
      </c>
      <c r="D153" s="30" t="s">
        <v>177</v>
      </c>
      <c r="E153" s="15">
        <f>SUM(F153+BY153+CR153)</f>
        <v>766153</v>
      </c>
      <c r="F153" s="16">
        <f>SUM(G153+BA153)</f>
        <v>766153</v>
      </c>
      <c r="G153" s="16">
        <f>SUM(H153+I153+J153+Q153+T153+U153+V153+AE153)</f>
        <v>766153</v>
      </c>
      <c r="H153" s="16">
        <v>0</v>
      </c>
      <c r="I153" s="16">
        <v>0</v>
      </c>
      <c r="J153" s="16">
        <f t="shared" si="222"/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f t="shared" si="223"/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f>SUM(W153:AD153)</f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f>SUM(AF153:AZ153)</f>
        <v>766153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f>216153+550000</f>
        <v>766153</v>
      </c>
      <c r="BA153" s="16">
        <f>SUM(BB153+BF153+BI153+BK153+BM153)</f>
        <v>0</v>
      </c>
      <c r="BB153" s="16">
        <f>SUM(BC153:BE153)</f>
        <v>0</v>
      </c>
      <c r="BC153" s="16">
        <v>0</v>
      </c>
      <c r="BD153" s="16">
        <v>0</v>
      </c>
      <c r="BE153" s="16">
        <v>0</v>
      </c>
      <c r="BF153" s="16">
        <f t="shared" si="224"/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f t="shared" si="225"/>
        <v>0</v>
      </c>
      <c r="BL153" s="16">
        <v>0</v>
      </c>
      <c r="BM153" s="16">
        <f t="shared" si="226"/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f>SUM(BZ153+CQ153)</f>
        <v>0</v>
      </c>
      <c r="BZ153" s="16">
        <f>SUM(CA153+CD153+CJ153)</f>
        <v>0</v>
      </c>
      <c r="CA153" s="16">
        <f t="shared" si="227"/>
        <v>0</v>
      </c>
      <c r="CB153" s="16">
        <v>0</v>
      </c>
      <c r="CC153" s="16">
        <v>0</v>
      </c>
      <c r="CD153" s="16">
        <f>SUM(CE153:CH153)</f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f>SUM(CK153:CN153)</f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f t="shared" si="228"/>
        <v>0</v>
      </c>
      <c r="CS153" s="16">
        <f t="shared" si="229"/>
        <v>0</v>
      </c>
      <c r="CT153" s="16">
        <v>0</v>
      </c>
      <c r="CU153" s="17">
        <v>0</v>
      </c>
      <c r="CV153" s="38"/>
    </row>
    <row r="154" spans="1:100" ht="31.5" x14ac:dyDescent="0.25">
      <c r="A154" s="13" t="s">
        <v>171</v>
      </c>
      <c r="B154" s="14" t="s">
        <v>47</v>
      </c>
      <c r="C154" s="14" t="s">
        <v>1</v>
      </c>
      <c r="D154" s="30" t="s">
        <v>178</v>
      </c>
      <c r="E154" s="15">
        <f t="shared" ref="E154:AJ154" si="230">SUM(E155:E160)</f>
        <v>8597235</v>
      </c>
      <c r="F154" s="16">
        <f t="shared" si="230"/>
        <v>8509207</v>
      </c>
      <c r="G154" s="16">
        <f t="shared" si="230"/>
        <v>7997047</v>
      </c>
      <c r="H154" s="16">
        <f t="shared" si="230"/>
        <v>4553597</v>
      </c>
      <c r="I154" s="16">
        <f t="shared" si="230"/>
        <v>1065052</v>
      </c>
      <c r="J154" s="16">
        <f t="shared" si="230"/>
        <v>95022</v>
      </c>
      <c r="K154" s="16">
        <f t="shared" si="230"/>
        <v>1401</v>
      </c>
      <c r="L154" s="16">
        <f t="shared" si="230"/>
        <v>8000</v>
      </c>
      <c r="M154" s="16">
        <f t="shared" si="230"/>
        <v>0</v>
      </c>
      <c r="N154" s="16">
        <f t="shared" si="230"/>
        <v>0</v>
      </c>
      <c r="O154" s="16">
        <f t="shared" si="230"/>
        <v>75608</v>
      </c>
      <c r="P154" s="16">
        <f t="shared" si="230"/>
        <v>10013</v>
      </c>
      <c r="Q154" s="16">
        <f t="shared" si="230"/>
        <v>0</v>
      </c>
      <c r="R154" s="16">
        <f t="shared" si="230"/>
        <v>0</v>
      </c>
      <c r="S154" s="16">
        <f t="shared" si="230"/>
        <v>0</v>
      </c>
      <c r="T154" s="16">
        <f t="shared" si="230"/>
        <v>0</v>
      </c>
      <c r="U154" s="16">
        <f t="shared" si="230"/>
        <v>55841</v>
      </c>
      <c r="V154" s="16">
        <f t="shared" si="230"/>
        <v>68651</v>
      </c>
      <c r="W154" s="16">
        <f t="shared" si="230"/>
        <v>0</v>
      </c>
      <c r="X154" s="16">
        <f t="shared" si="230"/>
        <v>62120</v>
      </c>
      <c r="Y154" s="16">
        <f t="shared" si="230"/>
        <v>5527</v>
      </c>
      <c r="Z154" s="16">
        <f t="shared" si="230"/>
        <v>1004</v>
      </c>
      <c r="AA154" s="16">
        <f t="shared" si="230"/>
        <v>0</v>
      </c>
      <c r="AB154" s="16">
        <f t="shared" si="230"/>
        <v>0</v>
      </c>
      <c r="AC154" s="16">
        <f t="shared" si="230"/>
        <v>0</v>
      </c>
      <c r="AD154" s="16">
        <f t="shared" si="230"/>
        <v>0</v>
      </c>
      <c r="AE154" s="16">
        <f t="shared" si="230"/>
        <v>2158884</v>
      </c>
      <c r="AF154" s="16">
        <f t="shared" si="230"/>
        <v>0</v>
      </c>
      <c r="AG154" s="16">
        <f t="shared" si="230"/>
        <v>0</v>
      </c>
      <c r="AH154" s="16">
        <f t="shared" si="230"/>
        <v>12673</v>
      </c>
      <c r="AI154" s="16">
        <f t="shared" si="230"/>
        <v>0</v>
      </c>
      <c r="AJ154" s="16">
        <f t="shared" si="230"/>
        <v>6364</v>
      </c>
      <c r="AK154" s="16">
        <f t="shared" ref="AK154:BP154" si="231">SUM(AK155:AK160)</f>
        <v>0</v>
      </c>
      <c r="AL154" s="16">
        <f t="shared" si="231"/>
        <v>44015</v>
      </c>
      <c r="AM154" s="16">
        <f t="shared" si="231"/>
        <v>0</v>
      </c>
      <c r="AN154" s="16">
        <f t="shared" si="231"/>
        <v>0</v>
      </c>
      <c r="AO154" s="16">
        <f t="shared" si="231"/>
        <v>0</v>
      </c>
      <c r="AP154" s="16">
        <f t="shared" si="231"/>
        <v>0</v>
      </c>
      <c r="AQ154" s="16">
        <f t="shared" si="231"/>
        <v>0</v>
      </c>
      <c r="AR154" s="16">
        <f t="shared" si="231"/>
        <v>0</v>
      </c>
      <c r="AS154" s="16">
        <f t="shared" si="231"/>
        <v>17000</v>
      </c>
      <c r="AT154" s="16">
        <f t="shared" si="231"/>
        <v>0</v>
      </c>
      <c r="AU154" s="16">
        <f t="shared" si="231"/>
        <v>0</v>
      </c>
      <c r="AV154" s="16">
        <f t="shared" si="231"/>
        <v>0</v>
      </c>
      <c r="AW154" s="16">
        <f t="shared" si="231"/>
        <v>0</v>
      </c>
      <c r="AX154" s="16">
        <f t="shared" si="231"/>
        <v>0</v>
      </c>
      <c r="AY154" s="16">
        <f t="shared" si="231"/>
        <v>0</v>
      </c>
      <c r="AZ154" s="16">
        <f t="shared" si="231"/>
        <v>2078832</v>
      </c>
      <c r="BA154" s="16">
        <f t="shared" si="231"/>
        <v>512160</v>
      </c>
      <c r="BB154" s="16">
        <f t="shared" si="231"/>
        <v>0</v>
      </c>
      <c r="BC154" s="16">
        <f t="shared" si="231"/>
        <v>0</v>
      </c>
      <c r="BD154" s="16">
        <f t="shared" si="231"/>
        <v>0</v>
      </c>
      <c r="BE154" s="16">
        <f t="shared" si="231"/>
        <v>0</v>
      </c>
      <c r="BF154" s="16">
        <f t="shared" si="231"/>
        <v>0</v>
      </c>
      <c r="BG154" s="16">
        <f t="shared" si="231"/>
        <v>0</v>
      </c>
      <c r="BH154" s="16">
        <f t="shared" si="231"/>
        <v>0</v>
      </c>
      <c r="BI154" s="16">
        <f t="shared" si="231"/>
        <v>0</v>
      </c>
      <c r="BJ154" s="16">
        <f t="shared" si="231"/>
        <v>0</v>
      </c>
      <c r="BK154" s="16">
        <f t="shared" si="231"/>
        <v>0</v>
      </c>
      <c r="BL154" s="16">
        <f t="shared" si="231"/>
        <v>0</v>
      </c>
      <c r="BM154" s="16">
        <f t="shared" si="231"/>
        <v>512160</v>
      </c>
      <c r="BN154" s="16">
        <f t="shared" si="231"/>
        <v>0</v>
      </c>
      <c r="BO154" s="16">
        <f t="shared" si="231"/>
        <v>0</v>
      </c>
      <c r="BP154" s="16">
        <f t="shared" si="231"/>
        <v>512160</v>
      </c>
      <c r="BQ154" s="16">
        <f t="shared" ref="BQ154:CT154" si="232">SUM(BQ155:BQ160)</f>
        <v>0</v>
      </c>
      <c r="BR154" s="16">
        <f t="shared" si="232"/>
        <v>0</v>
      </c>
      <c r="BS154" s="16">
        <f t="shared" si="232"/>
        <v>0</v>
      </c>
      <c r="BT154" s="16">
        <f t="shared" si="232"/>
        <v>0</v>
      </c>
      <c r="BU154" s="16">
        <f t="shared" si="232"/>
        <v>0</v>
      </c>
      <c r="BV154" s="16">
        <f t="shared" si="232"/>
        <v>0</v>
      </c>
      <c r="BW154" s="16">
        <f t="shared" si="232"/>
        <v>0</v>
      </c>
      <c r="BX154" s="16">
        <f t="shared" si="232"/>
        <v>0</v>
      </c>
      <c r="BY154" s="16">
        <f t="shared" si="232"/>
        <v>88028</v>
      </c>
      <c r="BZ154" s="16">
        <f t="shared" si="232"/>
        <v>88028</v>
      </c>
      <c r="CA154" s="16">
        <f t="shared" si="232"/>
        <v>88028</v>
      </c>
      <c r="CB154" s="16">
        <f t="shared" si="232"/>
        <v>0</v>
      </c>
      <c r="CC154" s="16">
        <f t="shared" si="232"/>
        <v>88028</v>
      </c>
      <c r="CD154" s="16">
        <f t="shared" si="232"/>
        <v>0</v>
      </c>
      <c r="CE154" s="16">
        <f t="shared" si="232"/>
        <v>0</v>
      </c>
      <c r="CF154" s="16">
        <f t="shared" si="232"/>
        <v>0</v>
      </c>
      <c r="CG154" s="16">
        <f t="shared" si="232"/>
        <v>0</v>
      </c>
      <c r="CH154" s="16">
        <f t="shared" si="232"/>
        <v>0</v>
      </c>
      <c r="CI154" s="16">
        <f t="shared" si="232"/>
        <v>0</v>
      </c>
      <c r="CJ154" s="16">
        <f t="shared" si="232"/>
        <v>0</v>
      </c>
      <c r="CK154" s="16">
        <f t="shared" si="232"/>
        <v>0</v>
      </c>
      <c r="CL154" s="16">
        <f t="shared" si="232"/>
        <v>0</v>
      </c>
      <c r="CM154" s="16">
        <f t="shared" si="232"/>
        <v>0</v>
      </c>
      <c r="CN154" s="16">
        <f t="shared" si="232"/>
        <v>0</v>
      </c>
      <c r="CO154" s="16">
        <f t="shared" si="232"/>
        <v>0</v>
      </c>
      <c r="CP154" s="16">
        <f t="shared" si="232"/>
        <v>0</v>
      </c>
      <c r="CQ154" s="16">
        <f t="shared" si="232"/>
        <v>0</v>
      </c>
      <c r="CR154" s="16">
        <f t="shared" si="232"/>
        <v>0</v>
      </c>
      <c r="CS154" s="16">
        <f t="shared" si="232"/>
        <v>0</v>
      </c>
      <c r="CT154" s="16">
        <f t="shared" si="232"/>
        <v>0</v>
      </c>
      <c r="CU154" s="17">
        <f t="shared" ref="CU154" si="233">SUM(CU155:CU160)</f>
        <v>0</v>
      </c>
      <c r="CV154" s="38"/>
    </row>
    <row r="155" spans="1:100" ht="15.75" x14ac:dyDescent="0.25">
      <c r="A155" s="13" t="s">
        <v>1</v>
      </c>
      <c r="B155" s="14" t="s">
        <v>1</v>
      </c>
      <c r="C155" s="14" t="s">
        <v>19</v>
      </c>
      <c r="D155" s="30" t="s">
        <v>179</v>
      </c>
      <c r="E155" s="15">
        <f t="shared" ref="E155:E160" si="234">SUM(F155+BY155+CR155)</f>
        <v>1974150</v>
      </c>
      <c r="F155" s="16">
        <f t="shared" ref="F155:F160" si="235">SUM(G155+BA155)</f>
        <v>1955441</v>
      </c>
      <c r="G155" s="16">
        <f t="shared" ref="G155:G160" si="236">SUM(H155+I155+J155+Q155+T155+U155+V155+AE155)</f>
        <v>1443281</v>
      </c>
      <c r="H155" s="16">
        <f>745358+294841</f>
        <v>1040199</v>
      </c>
      <c r="I155" s="16">
        <f>152377+97495</f>
        <v>249872</v>
      </c>
      <c r="J155" s="16">
        <f t="shared" si="222"/>
        <v>64151</v>
      </c>
      <c r="K155" s="16">
        <v>0</v>
      </c>
      <c r="L155" s="16">
        <v>8000</v>
      </c>
      <c r="M155" s="16">
        <v>0</v>
      </c>
      <c r="N155" s="16">
        <v>0</v>
      </c>
      <c r="O155" s="16">
        <f>52892-541</f>
        <v>52351</v>
      </c>
      <c r="P155" s="16">
        <v>3800</v>
      </c>
      <c r="Q155" s="16">
        <f t="shared" si="223"/>
        <v>0</v>
      </c>
      <c r="R155" s="16">
        <v>0</v>
      </c>
      <c r="S155" s="16">
        <v>0</v>
      </c>
      <c r="T155" s="16">
        <v>0</v>
      </c>
      <c r="U155" s="16">
        <v>15691</v>
      </c>
      <c r="V155" s="16">
        <f t="shared" ref="V155:V160" si="237">SUM(W155:AD155)</f>
        <v>42278</v>
      </c>
      <c r="W155" s="16">
        <v>0</v>
      </c>
      <c r="X155" s="16">
        <f>0+41098</f>
        <v>41098</v>
      </c>
      <c r="Y155" s="16">
        <v>977</v>
      </c>
      <c r="Z155" s="16">
        <v>203</v>
      </c>
      <c r="AA155" s="16">
        <v>0</v>
      </c>
      <c r="AB155" s="16">
        <v>0</v>
      </c>
      <c r="AC155" s="16">
        <v>0</v>
      </c>
      <c r="AD155" s="16">
        <v>0</v>
      </c>
      <c r="AE155" s="16">
        <f t="shared" ref="AE155:AE160" si="238">SUM(AF155:AZ155)</f>
        <v>31090</v>
      </c>
      <c r="AF155" s="16">
        <v>0</v>
      </c>
      <c r="AG155" s="16">
        <v>0</v>
      </c>
      <c r="AH155" s="16">
        <v>3144</v>
      </c>
      <c r="AI155" s="16">
        <v>0</v>
      </c>
      <c r="AJ155" s="16">
        <v>1591</v>
      </c>
      <c r="AK155" s="16">
        <v>0</v>
      </c>
      <c r="AL155" s="16">
        <v>9355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17000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f t="shared" ref="BA155:BA160" si="239">SUM(BB155+BF155+BI155+BK155+BM155)</f>
        <v>512160</v>
      </c>
      <c r="BB155" s="16">
        <f t="shared" ref="BB155:BB160" si="240">SUM(BC155:BE155)</f>
        <v>0</v>
      </c>
      <c r="BC155" s="16">
        <v>0</v>
      </c>
      <c r="BD155" s="16">
        <v>0</v>
      </c>
      <c r="BE155" s="16">
        <v>0</v>
      </c>
      <c r="BF155" s="16">
        <f t="shared" si="224"/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f t="shared" si="225"/>
        <v>0</v>
      </c>
      <c r="BL155" s="16">
        <v>0</v>
      </c>
      <c r="BM155" s="16">
        <f t="shared" si="226"/>
        <v>512160</v>
      </c>
      <c r="BN155" s="16">
        <v>0</v>
      </c>
      <c r="BO155" s="16">
        <v>0</v>
      </c>
      <c r="BP155" s="16">
        <v>512160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f t="shared" ref="BY155:BY160" si="241">SUM(BZ155+CQ155)</f>
        <v>18709</v>
      </c>
      <c r="BZ155" s="16">
        <f t="shared" ref="BZ155:BZ160" si="242">SUM(CA155+CD155+CJ155)</f>
        <v>18709</v>
      </c>
      <c r="CA155" s="16">
        <f t="shared" si="227"/>
        <v>18709</v>
      </c>
      <c r="CB155" s="16">
        <v>0</v>
      </c>
      <c r="CC155" s="16">
        <v>18709</v>
      </c>
      <c r="CD155" s="16">
        <f t="shared" ref="CD155:CD160" si="243">SUM(CE155:CH155)</f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f t="shared" ref="CJ155:CJ160" si="244">SUM(CK155:CN155)</f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f t="shared" si="228"/>
        <v>0</v>
      </c>
      <c r="CS155" s="16">
        <f t="shared" si="229"/>
        <v>0</v>
      </c>
      <c r="CT155" s="16">
        <v>0</v>
      </c>
      <c r="CU155" s="17">
        <v>0</v>
      </c>
      <c r="CV155" s="38"/>
    </row>
    <row r="156" spans="1:100" ht="15.75" x14ac:dyDescent="0.25">
      <c r="A156" s="13" t="s">
        <v>1</v>
      </c>
      <c r="B156" s="14" t="s">
        <v>1</v>
      </c>
      <c r="C156" s="14" t="s">
        <v>31</v>
      </c>
      <c r="D156" s="30" t="s">
        <v>182</v>
      </c>
      <c r="E156" s="15">
        <f t="shared" si="234"/>
        <v>1385443</v>
      </c>
      <c r="F156" s="16">
        <f t="shared" si="235"/>
        <v>1363845</v>
      </c>
      <c r="G156" s="16">
        <f t="shared" si="236"/>
        <v>1363845</v>
      </c>
      <c r="H156" s="16">
        <v>1024106</v>
      </c>
      <c r="I156" s="16">
        <v>239432</v>
      </c>
      <c r="J156" s="16">
        <f>SUM(K156:P156)</f>
        <v>23257</v>
      </c>
      <c r="K156" s="16">
        <v>0</v>
      </c>
      <c r="L156" s="16">
        <v>0</v>
      </c>
      <c r="M156" s="16">
        <v>0</v>
      </c>
      <c r="N156" s="16">
        <v>0</v>
      </c>
      <c r="O156" s="16">
        <v>23257</v>
      </c>
      <c r="P156" s="16">
        <v>0</v>
      </c>
      <c r="Q156" s="16">
        <f>SUM(R156:S156)</f>
        <v>0</v>
      </c>
      <c r="R156" s="16">
        <v>0</v>
      </c>
      <c r="S156" s="16">
        <v>0</v>
      </c>
      <c r="T156" s="16">
        <v>0</v>
      </c>
      <c r="U156" s="16">
        <v>28758</v>
      </c>
      <c r="V156" s="16">
        <f t="shared" si="237"/>
        <v>26373</v>
      </c>
      <c r="W156" s="16">
        <v>0</v>
      </c>
      <c r="X156" s="16">
        <v>21022</v>
      </c>
      <c r="Y156" s="16">
        <v>4550</v>
      </c>
      <c r="Z156" s="16">
        <v>801</v>
      </c>
      <c r="AA156" s="16">
        <v>0</v>
      </c>
      <c r="AB156" s="16">
        <v>0</v>
      </c>
      <c r="AC156" s="16">
        <v>0</v>
      </c>
      <c r="AD156" s="16">
        <v>0</v>
      </c>
      <c r="AE156" s="16">
        <f t="shared" si="238"/>
        <v>21919</v>
      </c>
      <c r="AF156" s="16">
        <v>0</v>
      </c>
      <c r="AG156" s="16">
        <v>0</v>
      </c>
      <c r="AH156" s="16">
        <v>9529</v>
      </c>
      <c r="AI156" s="16">
        <v>0</v>
      </c>
      <c r="AJ156" s="16">
        <v>1591</v>
      </c>
      <c r="AK156" s="16">
        <v>0</v>
      </c>
      <c r="AL156" s="16">
        <v>10799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f t="shared" si="239"/>
        <v>0</v>
      </c>
      <c r="BB156" s="16">
        <f t="shared" si="240"/>
        <v>0</v>
      </c>
      <c r="BC156" s="16">
        <v>0</v>
      </c>
      <c r="BD156" s="16">
        <v>0</v>
      </c>
      <c r="BE156" s="16">
        <v>0</v>
      </c>
      <c r="BF156" s="16">
        <f>SUM(BG156:BH156)</f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f>SUM(BL156)</f>
        <v>0</v>
      </c>
      <c r="BL156" s="16">
        <v>0</v>
      </c>
      <c r="BM156" s="16">
        <f>SUM(BN156:BX156)</f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f t="shared" si="241"/>
        <v>21598</v>
      </c>
      <c r="BZ156" s="16">
        <f t="shared" si="242"/>
        <v>21598</v>
      </c>
      <c r="CA156" s="16">
        <f>SUM(CB156:CC156)</f>
        <v>21598</v>
      </c>
      <c r="CB156" s="16">
        <v>0</v>
      </c>
      <c r="CC156" s="16">
        <v>21598</v>
      </c>
      <c r="CD156" s="16">
        <f t="shared" si="243"/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f t="shared" si="244"/>
        <v>0</v>
      </c>
      <c r="CK156" s="16"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f>SUM(CS156)</f>
        <v>0</v>
      </c>
      <c r="CS156" s="16">
        <f>SUM(CT156:CU156)</f>
        <v>0</v>
      </c>
      <c r="CT156" s="16">
        <v>0</v>
      </c>
      <c r="CU156" s="17">
        <v>0</v>
      </c>
      <c r="CV156" s="38"/>
    </row>
    <row r="157" spans="1:100" ht="15.75" x14ac:dyDescent="0.25">
      <c r="A157" s="13" t="s">
        <v>1</v>
      </c>
      <c r="B157" s="14" t="s">
        <v>1</v>
      </c>
      <c r="C157" s="14" t="s">
        <v>31</v>
      </c>
      <c r="D157" s="30" t="s">
        <v>181</v>
      </c>
      <c r="E157" s="15">
        <f t="shared" si="234"/>
        <v>2443406</v>
      </c>
      <c r="F157" s="16">
        <f t="shared" si="235"/>
        <v>2406296</v>
      </c>
      <c r="G157" s="16">
        <f t="shared" si="236"/>
        <v>2406296</v>
      </c>
      <c r="H157" s="16">
        <v>1855501</v>
      </c>
      <c r="I157" s="16">
        <v>429375</v>
      </c>
      <c r="J157" s="16">
        <f t="shared" si="222"/>
        <v>7614</v>
      </c>
      <c r="K157" s="16">
        <f>0+1401</f>
        <v>1401</v>
      </c>
      <c r="L157" s="16">
        <v>0</v>
      </c>
      <c r="M157" s="16">
        <v>0</v>
      </c>
      <c r="N157" s="16">
        <v>0</v>
      </c>
      <c r="O157" s="16">
        <v>0</v>
      </c>
      <c r="P157" s="16">
        <f>1042+5171</f>
        <v>6213</v>
      </c>
      <c r="Q157" s="16">
        <f t="shared" si="223"/>
        <v>0</v>
      </c>
      <c r="R157" s="16">
        <v>0</v>
      </c>
      <c r="S157" s="16">
        <v>0</v>
      </c>
      <c r="T157" s="16">
        <v>0</v>
      </c>
      <c r="U157" s="16">
        <v>5765</v>
      </c>
      <c r="V157" s="16">
        <f t="shared" si="237"/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f t="shared" si="238"/>
        <v>108041</v>
      </c>
      <c r="AF157" s="16">
        <v>0</v>
      </c>
      <c r="AG157" s="16">
        <v>0</v>
      </c>
      <c r="AH157" s="16">
        <v>0</v>
      </c>
      <c r="AI157" s="16">
        <v>0</v>
      </c>
      <c r="AJ157" s="16">
        <v>1591</v>
      </c>
      <c r="AK157" s="16">
        <v>0</v>
      </c>
      <c r="AL157" s="16">
        <v>18555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f>94467-6572</f>
        <v>87895</v>
      </c>
      <c r="BA157" s="16">
        <f t="shared" si="239"/>
        <v>0</v>
      </c>
      <c r="BB157" s="16">
        <f t="shared" si="240"/>
        <v>0</v>
      </c>
      <c r="BC157" s="16">
        <v>0</v>
      </c>
      <c r="BD157" s="16">
        <v>0</v>
      </c>
      <c r="BE157" s="16">
        <v>0</v>
      </c>
      <c r="BF157" s="16">
        <f t="shared" si="224"/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f t="shared" si="225"/>
        <v>0</v>
      </c>
      <c r="BL157" s="16">
        <v>0</v>
      </c>
      <c r="BM157" s="16">
        <f t="shared" si="226"/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f t="shared" si="241"/>
        <v>37110</v>
      </c>
      <c r="BZ157" s="16">
        <f t="shared" si="242"/>
        <v>37110</v>
      </c>
      <c r="CA157" s="16">
        <f t="shared" si="227"/>
        <v>37110</v>
      </c>
      <c r="CB157" s="16">
        <v>0</v>
      </c>
      <c r="CC157" s="16">
        <v>37110</v>
      </c>
      <c r="CD157" s="16">
        <f t="shared" si="243"/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f t="shared" si="244"/>
        <v>0</v>
      </c>
      <c r="CK157" s="16"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f t="shared" si="228"/>
        <v>0</v>
      </c>
      <c r="CS157" s="16">
        <f t="shared" si="229"/>
        <v>0</v>
      </c>
      <c r="CT157" s="16">
        <v>0</v>
      </c>
      <c r="CU157" s="17">
        <v>0</v>
      </c>
      <c r="CV157" s="38"/>
    </row>
    <row r="158" spans="1:100" ht="15.75" x14ac:dyDescent="0.25">
      <c r="A158" s="13" t="s">
        <v>1</v>
      </c>
      <c r="B158" s="14" t="s">
        <v>1</v>
      </c>
      <c r="C158" s="14" t="s">
        <v>31</v>
      </c>
      <c r="D158" s="30" t="s">
        <v>180</v>
      </c>
      <c r="E158" s="15">
        <f t="shared" si="234"/>
        <v>674255</v>
      </c>
      <c r="F158" s="16">
        <f t="shared" si="235"/>
        <v>663644</v>
      </c>
      <c r="G158" s="16">
        <f t="shared" si="236"/>
        <v>663644</v>
      </c>
      <c r="H158" s="16">
        <v>530556</v>
      </c>
      <c r="I158" s="16">
        <v>120564</v>
      </c>
      <c r="J158" s="16">
        <f>SUM(K158:P158)</f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f>SUM(R158:S158)</f>
        <v>0</v>
      </c>
      <c r="R158" s="16">
        <v>0</v>
      </c>
      <c r="S158" s="16">
        <v>0</v>
      </c>
      <c r="T158" s="16">
        <v>0</v>
      </c>
      <c r="U158" s="16">
        <v>5627</v>
      </c>
      <c r="V158" s="16">
        <f t="shared" si="237"/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f t="shared" si="238"/>
        <v>6897</v>
      </c>
      <c r="AF158" s="16">
        <v>0</v>
      </c>
      <c r="AG158" s="16">
        <v>0</v>
      </c>
      <c r="AH158" s="16">
        <v>0</v>
      </c>
      <c r="AI158" s="16">
        <v>0</v>
      </c>
      <c r="AJ158" s="16">
        <v>1591</v>
      </c>
      <c r="AK158" s="16">
        <v>0</v>
      </c>
      <c r="AL158" s="16">
        <v>5306</v>
      </c>
      <c r="AM158" s="16">
        <v>0</v>
      </c>
      <c r="AN158" s="16">
        <v>0</v>
      </c>
      <c r="AO158" s="16">
        <v>0</v>
      </c>
      <c r="AP158" s="16">
        <v>0</v>
      </c>
      <c r="AQ158" s="16">
        <v>0</v>
      </c>
      <c r="AR158" s="16">
        <v>0</v>
      </c>
      <c r="AS158" s="16">
        <v>0</v>
      </c>
      <c r="AT158" s="16">
        <v>0</v>
      </c>
      <c r="AU158" s="16">
        <v>0</v>
      </c>
      <c r="AV158" s="16">
        <v>0</v>
      </c>
      <c r="AW158" s="16">
        <v>0</v>
      </c>
      <c r="AX158" s="16">
        <v>0</v>
      </c>
      <c r="AY158" s="16">
        <v>0</v>
      </c>
      <c r="AZ158" s="16">
        <v>0</v>
      </c>
      <c r="BA158" s="16">
        <f t="shared" si="239"/>
        <v>0</v>
      </c>
      <c r="BB158" s="16">
        <f t="shared" si="240"/>
        <v>0</v>
      </c>
      <c r="BC158" s="16">
        <v>0</v>
      </c>
      <c r="BD158" s="16">
        <v>0</v>
      </c>
      <c r="BE158" s="16">
        <v>0</v>
      </c>
      <c r="BF158" s="16">
        <f>SUM(BG158:BH158)</f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f>SUM(BL158)</f>
        <v>0</v>
      </c>
      <c r="BL158" s="16">
        <v>0</v>
      </c>
      <c r="BM158" s="16">
        <f>SUM(BN158:BX158)</f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f t="shared" si="241"/>
        <v>10611</v>
      </c>
      <c r="BZ158" s="16">
        <f t="shared" si="242"/>
        <v>10611</v>
      </c>
      <c r="CA158" s="16">
        <f>SUM(CB158:CC158)</f>
        <v>10611</v>
      </c>
      <c r="CB158" s="16">
        <v>0</v>
      </c>
      <c r="CC158" s="16">
        <v>10611</v>
      </c>
      <c r="CD158" s="16">
        <f t="shared" si="243"/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f t="shared" si="244"/>
        <v>0</v>
      </c>
      <c r="CK158" s="16"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f>SUM(CS158)</f>
        <v>0</v>
      </c>
      <c r="CS158" s="16">
        <f>SUM(CT158:CU158)</f>
        <v>0</v>
      </c>
      <c r="CT158" s="16">
        <v>0</v>
      </c>
      <c r="CU158" s="17">
        <v>0</v>
      </c>
      <c r="CV158" s="38"/>
    </row>
    <row r="159" spans="1:100" ht="31.5" x14ac:dyDescent="0.25">
      <c r="A159" s="13" t="s">
        <v>1</v>
      </c>
      <c r="B159" s="14" t="s">
        <v>1</v>
      </c>
      <c r="C159" s="14" t="s">
        <v>33</v>
      </c>
      <c r="D159" s="30" t="s">
        <v>546</v>
      </c>
      <c r="E159" s="15">
        <f t="shared" si="234"/>
        <v>129044</v>
      </c>
      <c r="F159" s="16">
        <f>SUM(G159+BA159)</f>
        <v>129044</v>
      </c>
      <c r="G159" s="16">
        <f>SUM(H159+I159+J159+Q159+T159+U159+V159+AE159)</f>
        <v>129044</v>
      </c>
      <c r="H159" s="16">
        <f>0+103235</f>
        <v>103235</v>
      </c>
      <c r="I159" s="16">
        <f>0+25809</f>
        <v>25809</v>
      </c>
      <c r="J159" s="16">
        <f>SUM(K159:P159)</f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f>SUM(R159:S159)</f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f>SUM(W159:AD159)</f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f>SUM(AF159:AZ159)</f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/>
      <c r="BA159" s="16">
        <f>SUM(BB159+BF159+BI159+BK159+BM159)</f>
        <v>0</v>
      </c>
      <c r="BB159" s="16">
        <f>SUM(BC159:BE159)</f>
        <v>0</v>
      </c>
      <c r="BC159" s="16">
        <v>0</v>
      </c>
      <c r="BD159" s="16">
        <v>0</v>
      </c>
      <c r="BE159" s="16">
        <v>0</v>
      </c>
      <c r="BF159" s="16">
        <f>SUM(BG159:BH159)</f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f>SUM(BL159)</f>
        <v>0</v>
      </c>
      <c r="BL159" s="16">
        <v>0</v>
      </c>
      <c r="BM159" s="16">
        <f>SUM(BN159:BX159)</f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f t="shared" si="241"/>
        <v>0</v>
      </c>
      <c r="BZ159" s="16">
        <f t="shared" si="242"/>
        <v>0</v>
      </c>
      <c r="CA159" s="16">
        <f>SUM(CB159:CC159)</f>
        <v>0</v>
      </c>
      <c r="CB159" s="16">
        <v>0</v>
      </c>
      <c r="CC159" s="16">
        <v>0</v>
      </c>
      <c r="CD159" s="16">
        <f t="shared" si="243"/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f t="shared" si="244"/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f>SUM(CS159)</f>
        <v>0</v>
      </c>
      <c r="CS159" s="16">
        <f>SUM(CT159:CU159)</f>
        <v>0</v>
      </c>
      <c r="CT159" s="16">
        <v>0</v>
      </c>
      <c r="CU159" s="17">
        <v>0</v>
      </c>
      <c r="CV159" s="38"/>
    </row>
    <row r="160" spans="1:100" ht="31.5" x14ac:dyDescent="0.25">
      <c r="A160" s="13" t="s">
        <v>1</v>
      </c>
      <c r="B160" s="14" t="s">
        <v>1</v>
      </c>
      <c r="C160" s="14" t="s">
        <v>33</v>
      </c>
      <c r="D160" s="30" t="s">
        <v>183</v>
      </c>
      <c r="E160" s="15">
        <f t="shared" si="234"/>
        <v>1990937</v>
      </c>
      <c r="F160" s="16">
        <f t="shared" si="235"/>
        <v>1990937</v>
      </c>
      <c r="G160" s="16">
        <f t="shared" si="236"/>
        <v>1990937</v>
      </c>
      <c r="H160" s="16">
        <v>0</v>
      </c>
      <c r="I160" s="16">
        <v>0</v>
      </c>
      <c r="J160" s="16">
        <f t="shared" ref="J160" si="245">SUM(K160:P160)</f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f t="shared" ref="Q160" si="246">SUM(R160:S160)</f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f t="shared" si="237"/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f t="shared" si="238"/>
        <v>1990937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f>2092121-101184</f>
        <v>1990937</v>
      </c>
      <c r="BA160" s="16">
        <f t="shared" si="239"/>
        <v>0</v>
      </c>
      <c r="BB160" s="16">
        <f t="shared" si="240"/>
        <v>0</v>
      </c>
      <c r="BC160" s="16">
        <v>0</v>
      </c>
      <c r="BD160" s="16">
        <v>0</v>
      </c>
      <c r="BE160" s="16">
        <v>0</v>
      </c>
      <c r="BF160" s="16">
        <f t="shared" ref="BF160" si="247">SUM(BG160:BH160)</f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f t="shared" ref="BK160" si="248">SUM(BL160)</f>
        <v>0</v>
      </c>
      <c r="BL160" s="16">
        <v>0</v>
      </c>
      <c r="BM160" s="16">
        <f t="shared" ref="BM160" si="249">SUM(BN160:BX160)</f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f t="shared" si="241"/>
        <v>0</v>
      </c>
      <c r="BZ160" s="16">
        <f t="shared" si="242"/>
        <v>0</v>
      </c>
      <c r="CA160" s="16">
        <f t="shared" ref="CA160" si="250">SUM(CB160:CC160)</f>
        <v>0</v>
      </c>
      <c r="CB160" s="16">
        <v>0</v>
      </c>
      <c r="CC160" s="16">
        <v>0</v>
      </c>
      <c r="CD160" s="16">
        <f t="shared" si="243"/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f t="shared" si="244"/>
        <v>0</v>
      </c>
      <c r="CK160" s="16"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f t="shared" ref="CR160" si="251">SUM(CS160)</f>
        <v>0</v>
      </c>
      <c r="CS160" s="16">
        <f t="shared" ref="CS160" si="252">SUM(CT160:CU160)</f>
        <v>0</v>
      </c>
      <c r="CT160" s="16">
        <v>0</v>
      </c>
      <c r="CU160" s="17">
        <v>0</v>
      </c>
      <c r="CV160" s="38"/>
    </row>
    <row r="161" spans="1:100" ht="15.75" x14ac:dyDescent="0.25">
      <c r="A161" s="18" t="s">
        <v>184</v>
      </c>
      <c r="B161" s="19" t="s">
        <v>1</v>
      </c>
      <c r="C161" s="19" t="s">
        <v>1</v>
      </c>
      <c r="D161" s="31" t="s">
        <v>185</v>
      </c>
      <c r="E161" s="20">
        <f>SUM(E162+E165)</f>
        <v>44380361</v>
      </c>
      <c r="F161" s="21">
        <f t="shared" ref="F161:BS161" si="253">SUM(F162+F165)</f>
        <v>43963042</v>
      </c>
      <c r="G161" s="21">
        <f t="shared" si="253"/>
        <v>43963042</v>
      </c>
      <c r="H161" s="21">
        <f t="shared" si="253"/>
        <v>26681771</v>
      </c>
      <c r="I161" s="21">
        <f t="shared" si="253"/>
        <v>6384604</v>
      </c>
      <c r="J161" s="21">
        <f t="shared" si="253"/>
        <v>428827</v>
      </c>
      <c r="K161" s="21">
        <f t="shared" si="253"/>
        <v>0</v>
      </c>
      <c r="L161" s="21">
        <f t="shared" si="253"/>
        <v>0</v>
      </c>
      <c r="M161" s="21">
        <f t="shared" si="253"/>
        <v>0</v>
      </c>
      <c r="N161" s="21">
        <f t="shared" si="253"/>
        <v>0</v>
      </c>
      <c r="O161" s="21">
        <f t="shared" si="253"/>
        <v>406540</v>
      </c>
      <c r="P161" s="21">
        <f t="shared" si="253"/>
        <v>22287</v>
      </c>
      <c r="Q161" s="21">
        <f t="shared" si="253"/>
        <v>96891</v>
      </c>
      <c r="R161" s="21">
        <f t="shared" si="253"/>
        <v>6292</v>
      </c>
      <c r="S161" s="21">
        <f t="shared" si="253"/>
        <v>90599</v>
      </c>
      <c r="T161" s="21">
        <f t="shared" si="253"/>
        <v>0</v>
      </c>
      <c r="U161" s="21">
        <f t="shared" si="253"/>
        <v>196638</v>
      </c>
      <c r="V161" s="21">
        <f t="shared" si="253"/>
        <v>72385</v>
      </c>
      <c r="W161" s="21">
        <f t="shared" si="253"/>
        <v>0</v>
      </c>
      <c r="X161" s="21">
        <f t="shared" si="253"/>
        <v>0</v>
      </c>
      <c r="Y161" s="21">
        <f t="shared" si="253"/>
        <v>31981</v>
      </c>
      <c r="Z161" s="21">
        <f t="shared" si="253"/>
        <v>0</v>
      </c>
      <c r="AA161" s="21">
        <f t="shared" si="253"/>
        <v>0</v>
      </c>
      <c r="AB161" s="21">
        <f t="shared" si="253"/>
        <v>40404</v>
      </c>
      <c r="AC161" s="21">
        <f t="shared" si="253"/>
        <v>0</v>
      </c>
      <c r="AD161" s="21">
        <f t="shared" ref="AD161" si="254">SUM(AD162+AD165)</f>
        <v>0</v>
      </c>
      <c r="AE161" s="21">
        <f t="shared" si="253"/>
        <v>10101926</v>
      </c>
      <c r="AF161" s="21">
        <f t="shared" si="253"/>
        <v>0</v>
      </c>
      <c r="AG161" s="21">
        <f t="shared" si="253"/>
        <v>0</v>
      </c>
      <c r="AH161" s="21">
        <f t="shared" si="253"/>
        <v>6630</v>
      </c>
      <c r="AI161" s="21">
        <f t="shared" si="253"/>
        <v>0</v>
      </c>
      <c r="AJ161" s="21">
        <f t="shared" si="253"/>
        <v>0</v>
      </c>
      <c r="AK161" s="21">
        <f t="shared" si="253"/>
        <v>0</v>
      </c>
      <c r="AL161" s="21">
        <f t="shared" si="253"/>
        <v>235535</v>
      </c>
      <c r="AM161" s="21">
        <f t="shared" si="253"/>
        <v>1739000</v>
      </c>
      <c r="AN161" s="21">
        <f t="shared" si="253"/>
        <v>0</v>
      </c>
      <c r="AO161" s="21">
        <f t="shared" si="253"/>
        <v>0</v>
      </c>
      <c r="AP161" s="21">
        <f>SUM(AP162+AP165)</f>
        <v>0</v>
      </c>
      <c r="AQ161" s="21">
        <f t="shared" si="253"/>
        <v>0</v>
      </c>
      <c r="AR161" s="21">
        <f t="shared" si="253"/>
        <v>30733</v>
      </c>
      <c r="AS161" s="21">
        <f t="shared" si="253"/>
        <v>0</v>
      </c>
      <c r="AT161" s="21">
        <f t="shared" si="253"/>
        <v>0</v>
      </c>
      <c r="AU161" s="21">
        <f t="shared" si="253"/>
        <v>0</v>
      </c>
      <c r="AV161" s="21">
        <f t="shared" si="253"/>
        <v>0</v>
      </c>
      <c r="AW161" s="21">
        <f t="shared" si="253"/>
        <v>0</v>
      </c>
      <c r="AX161" s="21">
        <f t="shared" si="253"/>
        <v>0</v>
      </c>
      <c r="AY161" s="21">
        <f t="shared" si="253"/>
        <v>0</v>
      </c>
      <c r="AZ161" s="21">
        <f t="shared" si="253"/>
        <v>8090028</v>
      </c>
      <c r="BA161" s="21">
        <f t="shared" si="253"/>
        <v>0</v>
      </c>
      <c r="BB161" s="21">
        <f t="shared" si="253"/>
        <v>0</v>
      </c>
      <c r="BC161" s="21">
        <f t="shared" si="253"/>
        <v>0</v>
      </c>
      <c r="BD161" s="21">
        <f t="shared" si="253"/>
        <v>0</v>
      </c>
      <c r="BE161" s="21">
        <f t="shared" si="253"/>
        <v>0</v>
      </c>
      <c r="BF161" s="21">
        <f t="shared" si="253"/>
        <v>0</v>
      </c>
      <c r="BG161" s="21">
        <f t="shared" si="253"/>
        <v>0</v>
      </c>
      <c r="BH161" s="21">
        <f t="shared" si="253"/>
        <v>0</v>
      </c>
      <c r="BI161" s="21">
        <f t="shared" si="253"/>
        <v>0</v>
      </c>
      <c r="BJ161" s="21">
        <f t="shared" si="253"/>
        <v>0</v>
      </c>
      <c r="BK161" s="21">
        <f t="shared" si="253"/>
        <v>0</v>
      </c>
      <c r="BL161" s="21">
        <f t="shared" si="253"/>
        <v>0</v>
      </c>
      <c r="BM161" s="21">
        <f t="shared" si="253"/>
        <v>0</v>
      </c>
      <c r="BN161" s="21">
        <f t="shared" si="253"/>
        <v>0</v>
      </c>
      <c r="BO161" s="21">
        <f t="shared" si="253"/>
        <v>0</v>
      </c>
      <c r="BP161" s="21">
        <f t="shared" si="253"/>
        <v>0</v>
      </c>
      <c r="BQ161" s="21">
        <f t="shared" si="253"/>
        <v>0</v>
      </c>
      <c r="BR161" s="21">
        <f t="shared" si="253"/>
        <v>0</v>
      </c>
      <c r="BS161" s="21">
        <f t="shared" si="253"/>
        <v>0</v>
      </c>
      <c r="BT161" s="21">
        <f t="shared" ref="BT161:CU161" si="255">SUM(BT162+BT165)</f>
        <v>0</v>
      </c>
      <c r="BU161" s="21">
        <f t="shared" si="255"/>
        <v>0</v>
      </c>
      <c r="BV161" s="21">
        <f t="shared" si="255"/>
        <v>0</v>
      </c>
      <c r="BW161" s="21">
        <f t="shared" si="255"/>
        <v>0</v>
      </c>
      <c r="BX161" s="21">
        <f t="shared" si="255"/>
        <v>0</v>
      </c>
      <c r="BY161" s="21">
        <f t="shared" si="255"/>
        <v>417319</v>
      </c>
      <c r="BZ161" s="21">
        <f t="shared" si="255"/>
        <v>417319</v>
      </c>
      <c r="CA161" s="21">
        <f t="shared" si="255"/>
        <v>417319</v>
      </c>
      <c r="CB161" s="21">
        <f t="shared" si="255"/>
        <v>0</v>
      </c>
      <c r="CC161" s="21">
        <f t="shared" si="255"/>
        <v>417319</v>
      </c>
      <c r="CD161" s="21">
        <f t="shared" si="255"/>
        <v>0</v>
      </c>
      <c r="CE161" s="21">
        <f t="shared" si="255"/>
        <v>0</v>
      </c>
      <c r="CF161" s="21">
        <f t="shared" si="255"/>
        <v>0</v>
      </c>
      <c r="CG161" s="21">
        <f t="shared" si="255"/>
        <v>0</v>
      </c>
      <c r="CH161" s="21">
        <f t="shared" si="255"/>
        <v>0</v>
      </c>
      <c r="CI161" s="21">
        <f t="shared" ref="CI161" si="256">SUM(CI162+CI165)</f>
        <v>0</v>
      </c>
      <c r="CJ161" s="21">
        <f t="shared" si="255"/>
        <v>0</v>
      </c>
      <c r="CK161" s="21">
        <f t="shared" si="255"/>
        <v>0</v>
      </c>
      <c r="CL161" s="21">
        <f t="shared" si="255"/>
        <v>0</v>
      </c>
      <c r="CM161" s="21">
        <f t="shared" si="255"/>
        <v>0</v>
      </c>
      <c r="CN161" s="21">
        <f t="shared" si="255"/>
        <v>0</v>
      </c>
      <c r="CO161" s="21">
        <f t="shared" si="255"/>
        <v>0</v>
      </c>
      <c r="CP161" s="21">
        <f t="shared" si="255"/>
        <v>0</v>
      </c>
      <c r="CQ161" s="21">
        <f t="shared" si="255"/>
        <v>0</v>
      </c>
      <c r="CR161" s="21">
        <f t="shared" si="255"/>
        <v>0</v>
      </c>
      <c r="CS161" s="21">
        <f t="shared" si="255"/>
        <v>0</v>
      </c>
      <c r="CT161" s="21">
        <f t="shared" si="255"/>
        <v>0</v>
      </c>
      <c r="CU161" s="22">
        <f t="shared" si="255"/>
        <v>0</v>
      </c>
      <c r="CV161" s="38"/>
    </row>
    <row r="162" spans="1:100" ht="15.75" x14ac:dyDescent="0.25">
      <c r="A162" s="13" t="s">
        <v>186</v>
      </c>
      <c r="B162" s="14" t="s">
        <v>3</v>
      </c>
      <c r="C162" s="14" t="s">
        <v>1</v>
      </c>
      <c r="D162" s="30" t="s">
        <v>187</v>
      </c>
      <c r="E162" s="15">
        <f>SUM(E163:E164)</f>
        <v>35332148</v>
      </c>
      <c r="F162" s="16">
        <f t="shared" ref="F162:BS162" si="257">SUM(F163:F164)</f>
        <v>34955753</v>
      </c>
      <c r="G162" s="16">
        <f t="shared" si="257"/>
        <v>34955753</v>
      </c>
      <c r="H162" s="16">
        <f t="shared" si="257"/>
        <v>20930566</v>
      </c>
      <c r="I162" s="16">
        <f t="shared" si="257"/>
        <v>5025610</v>
      </c>
      <c r="J162" s="16">
        <f t="shared" si="257"/>
        <v>371147</v>
      </c>
      <c r="K162" s="16">
        <f t="shared" si="257"/>
        <v>0</v>
      </c>
      <c r="L162" s="16">
        <f t="shared" si="257"/>
        <v>0</v>
      </c>
      <c r="M162" s="16">
        <f t="shared" si="257"/>
        <v>0</v>
      </c>
      <c r="N162" s="16">
        <f t="shared" si="257"/>
        <v>0</v>
      </c>
      <c r="O162" s="16">
        <f t="shared" si="257"/>
        <v>356078</v>
      </c>
      <c r="P162" s="16">
        <f t="shared" si="257"/>
        <v>15069</v>
      </c>
      <c r="Q162" s="16">
        <f t="shared" si="257"/>
        <v>90599</v>
      </c>
      <c r="R162" s="16">
        <f t="shared" si="257"/>
        <v>0</v>
      </c>
      <c r="S162" s="16">
        <f t="shared" si="257"/>
        <v>90599</v>
      </c>
      <c r="T162" s="16">
        <f t="shared" si="257"/>
        <v>0</v>
      </c>
      <c r="U162" s="16">
        <f t="shared" si="257"/>
        <v>149857</v>
      </c>
      <c r="V162" s="16">
        <f t="shared" si="257"/>
        <v>72385</v>
      </c>
      <c r="W162" s="16">
        <f t="shared" si="257"/>
        <v>0</v>
      </c>
      <c r="X162" s="16">
        <f t="shared" si="257"/>
        <v>0</v>
      </c>
      <c r="Y162" s="16">
        <f t="shared" si="257"/>
        <v>31981</v>
      </c>
      <c r="Z162" s="16">
        <f t="shared" si="257"/>
        <v>0</v>
      </c>
      <c r="AA162" s="16">
        <f t="shared" si="257"/>
        <v>0</v>
      </c>
      <c r="AB162" s="16">
        <f t="shared" si="257"/>
        <v>40404</v>
      </c>
      <c r="AC162" s="16">
        <f t="shared" si="257"/>
        <v>0</v>
      </c>
      <c r="AD162" s="16">
        <f t="shared" ref="AD162" si="258">SUM(AD163:AD164)</f>
        <v>0</v>
      </c>
      <c r="AE162" s="16">
        <f t="shared" si="257"/>
        <v>8315589</v>
      </c>
      <c r="AF162" s="16">
        <f t="shared" si="257"/>
        <v>0</v>
      </c>
      <c r="AG162" s="16">
        <f t="shared" si="257"/>
        <v>0</v>
      </c>
      <c r="AH162" s="16">
        <f t="shared" si="257"/>
        <v>6630</v>
      </c>
      <c r="AI162" s="16">
        <f t="shared" si="257"/>
        <v>0</v>
      </c>
      <c r="AJ162" s="16">
        <f t="shared" si="257"/>
        <v>0</v>
      </c>
      <c r="AK162" s="16">
        <f t="shared" si="257"/>
        <v>0</v>
      </c>
      <c r="AL162" s="16">
        <f t="shared" si="257"/>
        <v>188198</v>
      </c>
      <c r="AM162" s="16">
        <f t="shared" si="257"/>
        <v>0</v>
      </c>
      <c r="AN162" s="16">
        <f t="shared" si="257"/>
        <v>0</v>
      </c>
      <c r="AO162" s="16">
        <f t="shared" si="257"/>
        <v>0</v>
      </c>
      <c r="AP162" s="16">
        <f>SUM(AP163:AP164)</f>
        <v>0</v>
      </c>
      <c r="AQ162" s="16">
        <f t="shared" si="257"/>
        <v>0</v>
      </c>
      <c r="AR162" s="16">
        <f t="shared" si="257"/>
        <v>30733</v>
      </c>
      <c r="AS162" s="16">
        <f t="shared" si="257"/>
        <v>0</v>
      </c>
      <c r="AT162" s="16">
        <f t="shared" si="257"/>
        <v>0</v>
      </c>
      <c r="AU162" s="16">
        <f t="shared" si="257"/>
        <v>0</v>
      </c>
      <c r="AV162" s="16">
        <f t="shared" si="257"/>
        <v>0</v>
      </c>
      <c r="AW162" s="16">
        <f t="shared" si="257"/>
        <v>0</v>
      </c>
      <c r="AX162" s="16">
        <f t="shared" si="257"/>
        <v>0</v>
      </c>
      <c r="AY162" s="16">
        <f t="shared" si="257"/>
        <v>0</v>
      </c>
      <c r="AZ162" s="16">
        <f t="shared" si="257"/>
        <v>8090028</v>
      </c>
      <c r="BA162" s="16">
        <f t="shared" si="257"/>
        <v>0</v>
      </c>
      <c r="BB162" s="16">
        <f t="shared" si="257"/>
        <v>0</v>
      </c>
      <c r="BC162" s="16">
        <f t="shared" si="257"/>
        <v>0</v>
      </c>
      <c r="BD162" s="16">
        <f t="shared" si="257"/>
        <v>0</v>
      </c>
      <c r="BE162" s="16">
        <f t="shared" si="257"/>
        <v>0</v>
      </c>
      <c r="BF162" s="16">
        <f t="shared" si="257"/>
        <v>0</v>
      </c>
      <c r="BG162" s="16">
        <f t="shared" si="257"/>
        <v>0</v>
      </c>
      <c r="BH162" s="16">
        <f t="shared" si="257"/>
        <v>0</v>
      </c>
      <c r="BI162" s="16">
        <f t="shared" si="257"/>
        <v>0</v>
      </c>
      <c r="BJ162" s="16">
        <f t="shared" si="257"/>
        <v>0</v>
      </c>
      <c r="BK162" s="16">
        <f t="shared" si="257"/>
        <v>0</v>
      </c>
      <c r="BL162" s="16">
        <f t="shared" si="257"/>
        <v>0</v>
      </c>
      <c r="BM162" s="16">
        <f t="shared" si="257"/>
        <v>0</v>
      </c>
      <c r="BN162" s="16">
        <f t="shared" si="257"/>
        <v>0</v>
      </c>
      <c r="BO162" s="16">
        <f t="shared" si="257"/>
        <v>0</v>
      </c>
      <c r="BP162" s="16">
        <f t="shared" si="257"/>
        <v>0</v>
      </c>
      <c r="BQ162" s="16">
        <f t="shared" si="257"/>
        <v>0</v>
      </c>
      <c r="BR162" s="16">
        <f t="shared" si="257"/>
        <v>0</v>
      </c>
      <c r="BS162" s="16">
        <f t="shared" si="257"/>
        <v>0</v>
      </c>
      <c r="BT162" s="16">
        <f t="shared" ref="BT162:CU162" si="259">SUM(BT163:BT164)</f>
        <v>0</v>
      </c>
      <c r="BU162" s="16">
        <f t="shared" si="259"/>
        <v>0</v>
      </c>
      <c r="BV162" s="16">
        <f t="shared" si="259"/>
        <v>0</v>
      </c>
      <c r="BW162" s="16">
        <f t="shared" si="259"/>
        <v>0</v>
      </c>
      <c r="BX162" s="16">
        <f t="shared" si="259"/>
        <v>0</v>
      </c>
      <c r="BY162" s="16">
        <f t="shared" si="259"/>
        <v>376395</v>
      </c>
      <c r="BZ162" s="16">
        <f t="shared" si="259"/>
        <v>376395</v>
      </c>
      <c r="CA162" s="16">
        <f t="shared" si="259"/>
        <v>376395</v>
      </c>
      <c r="CB162" s="16">
        <f t="shared" si="259"/>
        <v>0</v>
      </c>
      <c r="CC162" s="16">
        <f t="shared" si="259"/>
        <v>376395</v>
      </c>
      <c r="CD162" s="16">
        <f t="shared" si="259"/>
        <v>0</v>
      </c>
      <c r="CE162" s="16">
        <f t="shared" si="259"/>
        <v>0</v>
      </c>
      <c r="CF162" s="16">
        <f t="shared" si="259"/>
        <v>0</v>
      </c>
      <c r="CG162" s="16">
        <f t="shared" si="259"/>
        <v>0</v>
      </c>
      <c r="CH162" s="16">
        <f t="shared" si="259"/>
        <v>0</v>
      </c>
      <c r="CI162" s="16">
        <f t="shared" ref="CI162" si="260">SUM(CI163:CI164)</f>
        <v>0</v>
      </c>
      <c r="CJ162" s="16">
        <f t="shared" si="259"/>
        <v>0</v>
      </c>
      <c r="CK162" s="16">
        <f t="shared" si="259"/>
        <v>0</v>
      </c>
      <c r="CL162" s="16">
        <f t="shared" si="259"/>
        <v>0</v>
      </c>
      <c r="CM162" s="16">
        <f t="shared" si="259"/>
        <v>0</v>
      </c>
      <c r="CN162" s="16">
        <f t="shared" si="259"/>
        <v>0</v>
      </c>
      <c r="CO162" s="16">
        <f t="shared" si="259"/>
        <v>0</v>
      </c>
      <c r="CP162" s="16">
        <f t="shared" si="259"/>
        <v>0</v>
      </c>
      <c r="CQ162" s="16">
        <f t="shared" si="259"/>
        <v>0</v>
      </c>
      <c r="CR162" s="16">
        <f t="shared" si="259"/>
        <v>0</v>
      </c>
      <c r="CS162" s="16">
        <f t="shared" si="259"/>
        <v>0</v>
      </c>
      <c r="CT162" s="16">
        <f t="shared" si="259"/>
        <v>0</v>
      </c>
      <c r="CU162" s="17">
        <f t="shared" si="259"/>
        <v>0</v>
      </c>
      <c r="CV162" s="38"/>
    </row>
    <row r="163" spans="1:100" ht="15.75" x14ac:dyDescent="0.25">
      <c r="A163" s="13" t="s">
        <v>1</v>
      </c>
      <c r="B163" s="14" t="s">
        <v>1</v>
      </c>
      <c r="C163" s="14" t="s">
        <v>34</v>
      </c>
      <c r="D163" s="30" t="s">
        <v>188</v>
      </c>
      <c r="E163" s="15">
        <f>SUM(F163+BY163+CR163)</f>
        <v>27249649</v>
      </c>
      <c r="F163" s="16">
        <f>SUM(G163+BA163)</f>
        <v>26873254</v>
      </c>
      <c r="G163" s="16">
        <f>SUM(H163+I163+J163+Q163+T163+U163+V163+AE163)</f>
        <v>26873254</v>
      </c>
      <c r="H163" s="16">
        <v>20930566</v>
      </c>
      <c r="I163" s="16">
        <v>5025610</v>
      </c>
      <c r="J163" s="16">
        <f t="shared" si="222"/>
        <v>371147</v>
      </c>
      <c r="K163" s="16">
        <v>0</v>
      </c>
      <c r="L163" s="16">
        <v>0</v>
      </c>
      <c r="M163" s="16">
        <v>0</v>
      </c>
      <c r="N163" s="16">
        <v>0</v>
      </c>
      <c r="O163" s="16">
        <v>356078</v>
      </c>
      <c r="P163" s="16">
        <v>15069</v>
      </c>
      <c r="Q163" s="16">
        <f t="shared" si="223"/>
        <v>90599</v>
      </c>
      <c r="R163" s="16">
        <v>0</v>
      </c>
      <c r="S163" s="16">
        <v>90599</v>
      </c>
      <c r="T163" s="16">
        <v>0</v>
      </c>
      <c r="U163" s="16">
        <v>149857</v>
      </c>
      <c r="V163" s="16">
        <f>SUM(W163:AD163)</f>
        <v>72385</v>
      </c>
      <c r="W163" s="16">
        <v>0</v>
      </c>
      <c r="X163" s="16">
        <v>0</v>
      </c>
      <c r="Y163" s="16">
        <v>31981</v>
      </c>
      <c r="Z163" s="16">
        <v>0</v>
      </c>
      <c r="AA163" s="16">
        <v>0</v>
      </c>
      <c r="AB163" s="16">
        <v>40404</v>
      </c>
      <c r="AC163" s="16">
        <v>0</v>
      </c>
      <c r="AD163" s="16">
        <v>0</v>
      </c>
      <c r="AE163" s="16">
        <f>SUM(AF163:AZ163)</f>
        <v>233090</v>
      </c>
      <c r="AF163" s="16">
        <v>0</v>
      </c>
      <c r="AG163" s="16">
        <v>0</v>
      </c>
      <c r="AH163" s="16">
        <v>6630</v>
      </c>
      <c r="AI163" s="16">
        <v>0</v>
      </c>
      <c r="AJ163" s="16">
        <v>0</v>
      </c>
      <c r="AK163" s="16">
        <v>0</v>
      </c>
      <c r="AL163" s="16">
        <v>188198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30733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7529</v>
      </c>
      <c r="BA163" s="16">
        <f>SUM(BB163+BF163+BI163+BK163+BM163)</f>
        <v>0</v>
      </c>
      <c r="BB163" s="16">
        <f>SUM(BC163:BE163)</f>
        <v>0</v>
      </c>
      <c r="BC163" s="16">
        <v>0</v>
      </c>
      <c r="BD163" s="16">
        <v>0</v>
      </c>
      <c r="BE163" s="16">
        <v>0</v>
      </c>
      <c r="BF163" s="16">
        <f t="shared" si="224"/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f t="shared" si="225"/>
        <v>0</v>
      </c>
      <c r="BL163" s="16">
        <v>0</v>
      </c>
      <c r="BM163" s="16">
        <f t="shared" si="226"/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f>SUM(BZ163+CQ163)</f>
        <v>376395</v>
      </c>
      <c r="BZ163" s="16">
        <f>SUM(CA163+CD163+CJ163)</f>
        <v>376395</v>
      </c>
      <c r="CA163" s="16">
        <f t="shared" si="227"/>
        <v>376395</v>
      </c>
      <c r="CB163" s="16">
        <v>0</v>
      </c>
      <c r="CC163" s="16">
        <v>376395</v>
      </c>
      <c r="CD163" s="16">
        <f>SUM(CE163:CH163)</f>
        <v>0</v>
      </c>
      <c r="CE163" s="16">
        <v>0</v>
      </c>
      <c r="CF163" s="16">
        <v>0</v>
      </c>
      <c r="CG163" s="16">
        <v>0</v>
      </c>
      <c r="CH163" s="16">
        <v>0</v>
      </c>
      <c r="CI163" s="16">
        <v>0</v>
      </c>
      <c r="CJ163" s="16">
        <f>SUM(CK163:CN163)</f>
        <v>0</v>
      </c>
      <c r="CK163" s="16">
        <v>0</v>
      </c>
      <c r="CL163" s="16">
        <v>0</v>
      </c>
      <c r="CM163" s="16">
        <v>0</v>
      </c>
      <c r="CN163" s="16">
        <v>0</v>
      </c>
      <c r="CO163" s="16">
        <v>0</v>
      </c>
      <c r="CP163" s="16">
        <v>0</v>
      </c>
      <c r="CQ163" s="16">
        <v>0</v>
      </c>
      <c r="CR163" s="16">
        <f t="shared" si="228"/>
        <v>0</v>
      </c>
      <c r="CS163" s="16">
        <f t="shared" si="229"/>
        <v>0</v>
      </c>
      <c r="CT163" s="16">
        <v>0</v>
      </c>
      <c r="CU163" s="17">
        <v>0</v>
      </c>
      <c r="CV163" s="38"/>
    </row>
    <row r="164" spans="1:100" ht="15.75" x14ac:dyDescent="0.25">
      <c r="A164" s="13" t="s">
        <v>1</v>
      </c>
      <c r="B164" s="14" t="s">
        <v>1</v>
      </c>
      <c r="C164" s="14" t="s">
        <v>36</v>
      </c>
      <c r="D164" s="30" t="s">
        <v>189</v>
      </c>
      <c r="E164" s="15">
        <f>SUM(F164+BY164+CR164)</f>
        <v>8082499</v>
      </c>
      <c r="F164" s="16">
        <f>SUM(G164+BA164)</f>
        <v>8082499</v>
      </c>
      <c r="G164" s="16">
        <f>SUM(H164+I164+J164+Q164+T164+U164+V164+AE164)</f>
        <v>8082499</v>
      </c>
      <c r="H164" s="16">
        <v>0</v>
      </c>
      <c r="I164" s="16">
        <v>0</v>
      </c>
      <c r="J164" s="16">
        <f t="shared" si="222"/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f t="shared" si="223"/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f>SUM(W164:AD164)</f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f>SUM(AF164:AZ164)</f>
        <v>8082499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f>8000000+82499</f>
        <v>8082499</v>
      </c>
      <c r="BA164" s="16">
        <f>SUM(BB164+BF164+BI164+BK164+BM164)</f>
        <v>0</v>
      </c>
      <c r="BB164" s="16">
        <f>SUM(BC164:BE164)</f>
        <v>0</v>
      </c>
      <c r="BC164" s="16">
        <v>0</v>
      </c>
      <c r="BD164" s="16">
        <v>0</v>
      </c>
      <c r="BE164" s="16">
        <v>0</v>
      </c>
      <c r="BF164" s="16">
        <f t="shared" si="224"/>
        <v>0</v>
      </c>
      <c r="BG164" s="16">
        <v>0</v>
      </c>
      <c r="BH164" s="16">
        <v>0</v>
      </c>
      <c r="BI164" s="16">
        <v>0</v>
      </c>
      <c r="BJ164" s="16">
        <v>0</v>
      </c>
      <c r="BK164" s="16">
        <f t="shared" si="225"/>
        <v>0</v>
      </c>
      <c r="BL164" s="16">
        <v>0</v>
      </c>
      <c r="BM164" s="16">
        <f t="shared" si="226"/>
        <v>0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f>SUM(BZ164+CQ164)</f>
        <v>0</v>
      </c>
      <c r="BZ164" s="16">
        <f>SUM(CA164+CD164+CJ164)</f>
        <v>0</v>
      </c>
      <c r="CA164" s="16">
        <f t="shared" si="227"/>
        <v>0</v>
      </c>
      <c r="CB164" s="16">
        <v>0</v>
      </c>
      <c r="CC164" s="16">
        <v>0</v>
      </c>
      <c r="CD164" s="16">
        <f>SUM(CE164:CH164)</f>
        <v>0</v>
      </c>
      <c r="CE164" s="16">
        <v>0</v>
      </c>
      <c r="CF164" s="16">
        <v>0</v>
      </c>
      <c r="CG164" s="16">
        <v>0</v>
      </c>
      <c r="CH164" s="16">
        <v>0</v>
      </c>
      <c r="CI164" s="16">
        <v>0</v>
      </c>
      <c r="CJ164" s="16">
        <f>SUM(CK164:CN164)</f>
        <v>0</v>
      </c>
      <c r="CK164" s="16">
        <v>0</v>
      </c>
      <c r="CL164" s="16">
        <v>0</v>
      </c>
      <c r="CM164" s="16">
        <v>0</v>
      </c>
      <c r="CN164" s="16">
        <v>0</v>
      </c>
      <c r="CO164" s="16">
        <v>0</v>
      </c>
      <c r="CP164" s="16">
        <v>0</v>
      </c>
      <c r="CQ164" s="16">
        <v>0</v>
      </c>
      <c r="CR164" s="16">
        <f t="shared" si="228"/>
        <v>0</v>
      </c>
      <c r="CS164" s="16">
        <f t="shared" si="229"/>
        <v>0</v>
      </c>
      <c r="CT164" s="16">
        <v>0</v>
      </c>
      <c r="CU164" s="17">
        <v>0</v>
      </c>
      <c r="CV164" s="38"/>
    </row>
    <row r="165" spans="1:100" ht="15.75" x14ac:dyDescent="0.25">
      <c r="A165" s="13" t="s">
        <v>186</v>
      </c>
      <c r="B165" s="14" t="s">
        <v>7</v>
      </c>
      <c r="C165" s="14" t="s">
        <v>1</v>
      </c>
      <c r="D165" s="30" t="s">
        <v>190</v>
      </c>
      <c r="E165" s="15">
        <f t="shared" ref="E165:AJ165" si="261">SUM(E166:E167)</f>
        <v>9048213</v>
      </c>
      <c r="F165" s="16">
        <f t="shared" si="261"/>
        <v>9007289</v>
      </c>
      <c r="G165" s="16">
        <f t="shared" si="261"/>
        <v>9007289</v>
      </c>
      <c r="H165" s="16">
        <f t="shared" si="261"/>
        <v>5751205</v>
      </c>
      <c r="I165" s="16">
        <f t="shared" si="261"/>
        <v>1358994</v>
      </c>
      <c r="J165" s="16">
        <f t="shared" si="261"/>
        <v>57680</v>
      </c>
      <c r="K165" s="16">
        <f t="shared" si="261"/>
        <v>0</v>
      </c>
      <c r="L165" s="16">
        <f t="shared" si="261"/>
        <v>0</v>
      </c>
      <c r="M165" s="16">
        <f t="shared" si="261"/>
        <v>0</v>
      </c>
      <c r="N165" s="16">
        <f t="shared" si="261"/>
        <v>0</v>
      </c>
      <c r="O165" s="16">
        <f t="shared" si="261"/>
        <v>50462</v>
      </c>
      <c r="P165" s="16">
        <f t="shared" si="261"/>
        <v>7218</v>
      </c>
      <c r="Q165" s="16">
        <f t="shared" si="261"/>
        <v>6292</v>
      </c>
      <c r="R165" s="16">
        <f t="shared" si="261"/>
        <v>6292</v>
      </c>
      <c r="S165" s="16">
        <f t="shared" si="261"/>
        <v>0</v>
      </c>
      <c r="T165" s="16">
        <f t="shared" si="261"/>
        <v>0</v>
      </c>
      <c r="U165" s="16">
        <f t="shared" si="261"/>
        <v>46781</v>
      </c>
      <c r="V165" s="16">
        <f t="shared" si="261"/>
        <v>0</v>
      </c>
      <c r="W165" s="16">
        <f t="shared" si="261"/>
        <v>0</v>
      </c>
      <c r="X165" s="16">
        <f t="shared" si="261"/>
        <v>0</v>
      </c>
      <c r="Y165" s="16">
        <f t="shared" si="261"/>
        <v>0</v>
      </c>
      <c r="Z165" s="16">
        <f t="shared" si="261"/>
        <v>0</v>
      </c>
      <c r="AA165" s="16">
        <f t="shared" si="261"/>
        <v>0</v>
      </c>
      <c r="AB165" s="16">
        <f t="shared" si="261"/>
        <v>0</v>
      </c>
      <c r="AC165" s="16">
        <f t="shared" si="261"/>
        <v>0</v>
      </c>
      <c r="AD165" s="16">
        <f t="shared" ref="AD165" si="262">SUM(AD166:AD167)</f>
        <v>0</v>
      </c>
      <c r="AE165" s="16">
        <f t="shared" si="261"/>
        <v>1786337</v>
      </c>
      <c r="AF165" s="16">
        <f t="shared" si="261"/>
        <v>0</v>
      </c>
      <c r="AG165" s="16">
        <f t="shared" si="261"/>
        <v>0</v>
      </c>
      <c r="AH165" s="16">
        <f t="shared" si="261"/>
        <v>0</v>
      </c>
      <c r="AI165" s="16">
        <f t="shared" si="261"/>
        <v>0</v>
      </c>
      <c r="AJ165" s="16">
        <f t="shared" si="261"/>
        <v>0</v>
      </c>
      <c r="AK165" s="16">
        <f t="shared" ref="AK165:BR165" si="263">SUM(AK166:AK167)</f>
        <v>0</v>
      </c>
      <c r="AL165" s="16">
        <f t="shared" si="263"/>
        <v>47337</v>
      </c>
      <c r="AM165" s="16">
        <f t="shared" si="263"/>
        <v>1739000</v>
      </c>
      <c r="AN165" s="16">
        <f t="shared" si="263"/>
        <v>0</v>
      </c>
      <c r="AO165" s="16">
        <f t="shared" si="263"/>
        <v>0</v>
      </c>
      <c r="AP165" s="16">
        <f>SUM(AP166:AP167)</f>
        <v>0</v>
      </c>
      <c r="AQ165" s="16">
        <f t="shared" si="263"/>
        <v>0</v>
      </c>
      <c r="AR165" s="16">
        <f t="shared" si="263"/>
        <v>0</v>
      </c>
      <c r="AS165" s="16">
        <f t="shared" si="263"/>
        <v>0</v>
      </c>
      <c r="AT165" s="16">
        <f t="shared" si="263"/>
        <v>0</v>
      </c>
      <c r="AU165" s="16">
        <f t="shared" si="263"/>
        <v>0</v>
      </c>
      <c r="AV165" s="16">
        <f t="shared" si="263"/>
        <v>0</v>
      </c>
      <c r="AW165" s="16">
        <f t="shared" si="263"/>
        <v>0</v>
      </c>
      <c r="AX165" s="16">
        <f t="shared" si="263"/>
        <v>0</v>
      </c>
      <c r="AY165" s="16">
        <f t="shared" si="263"/>
        <v>0</v>
      </c>
      <c r="AZ165" s="16">
        <f t="shared" si="263"/>
        <v>0</v>
      </c>
      <c r="BA165" s="16">
        <f t="shared" si="263"/>
        <v>0</v>
      </c>
      <c r="BB165" s="16">
        <f t="shared" si="263"/>
        <v>0</v>
      </c>
      <c r="BC165" s="16">
        <f t="shared" si="263"/>
        <v>0</v>
      </c>
      <c r="BD165" s="16">
        <f t="shared" si="263"/>
        <v>0</v>
      </c>
      <c r="BE165" s="16">
        <f t="shared" si="263"/>
        <v>0</v>
      </c>
      <c r="BF165" s="16">
        <f t="shared" si="263"/>
        <v>0</v>
      </c>
      <c r="BG165" s="16">
        <f t="shared" si="263"/>
        <v>0</v>
      </c>
      <c r="BH165" s="16">
        <f t="shared" si="263"/>
        <v>0</v>
      </c>
      <c r="BI165" s="16">
        <f t="shared" si="263"/>
        <v>0</v>
      </c>
      <c r="BJ165" s="16">
        <f t="shared" si="263"/>
        <v>0</v>
      </c>
      <c r="BK165" s="16">
        <f t="shared" si="263"/>
        <v>0</v>
      </c>
      <c r="BL165" s="16">
        <f t="shared" si="263"/>
        <v>0</v>
      </c>
      <c r="BM165" s="16">
        <f t="shared" si="263"/>
        <v>0</v>
      </c>
      <c r="BN165" s="16">
        <f t="shared" si="263"/>
        <v>0</v>
      </c>
      <c r="BO165" s="16">
        <f t="shared" si="263"/>
        <v>0</v>
      </c>
      <c r="BP165" s="16">
        <f t="shared" si="263"/>
        <v>0</v>
      </c>
      <c r="BQ165" s="16">
        <f t="shared" si="263"/>
        <v>0</v>
      </c>
      <c r="BR165" s="16">
        <f t="shared" si="263"/>
        <v>0</v>
      </c>
      <c r="BS165" s="16">
        <f t="shared" ref="BS165:CU165" si="264">SUM(BS166:BS167)</f>
        <v>0</v>
      </c>
      <c r="BT165" s="16">
        <f t="shared" si="264"/>
        <v>0</v>
      </c>
      <c r="BU165" s="16">
        <f t="shared" si="264"/>
        <v>0</v>
      </c>
      <c r="BV165" s="16">
        <f t="shared" si="264"/>
        <v>0</v>
      </c>
      <c r="BW165" s="16">
        <f t="shared" si="264"/>
        <v>0</v>
      </c>
      <c r="BX165" s="16">
        <f t="shared" si="264"/>
        <v>0</v>
      </c>
      <c r="BY165" s="16">
        <f t="shared" si="264"/>
        <v>40924</v>
      </c>
      <c r="BZ165" s="16">
        <f t="shared" si="264"/>
        <v>40924</v>
      </c>
      <c r="CA165" s="16">
        <f t="shared" si="264"/>
        <v>40924</v>
      </c>
      <c r="CB165" s="16">
        <f t="shared" si="264"/>
        <v>0</v>
      </c>
      <c r="CC165" s="16">
        <f t="shared" si="264"/>
        <v>40924</v>
      </c>
      <c r="CD165" s="16">
        <f t="shared" si="264"/>
        <v>0</v>
      </c>
      <c r="CE165" s="16">
        <f t="shared" si="264"/>
        <v>0</v>
      </c>
      <c r="CF165" s="16">
        <f t="shared" si="264"/>
        <v>0</v>
      </c>
      <c r="CG165" s="16">
        <f t="shared" si="264"/>
        <v>0</v>
      </c>
      <c r="CH165" s="16">
        <f t="shared" si="264"/>
        <v>0</v>
      </c>
      <c r="CI165" s="16">
        <f t="shared" ref="CI165" si="265">SUM(CI166:CI167)</f>
        <v>0</v>
      </c>
      <c r="CJ165" s="16">
        <f t="shared" si="264"/>
        <v>0</v>
      </c>
      <c r="CK165" s="16">
        <f t="shared" si="264"/>
        <v>0</v>
      </c>
      <c r="CL165" s="16">
        <f t="shared" si="264"/>
        <v>0</v>
      </c>
      <c r="CM165" s="16">
        <f t="shared" si="264"/>
        <v>0</v>
      </c>
      <c r="CN165" s="16">
        <f t="shared" si="264"/>
        <v>0</v>
      </c>
      <c r="CO165" s="16">
        <f t="shared" si="264"/>
        <v>0</v>
      </c>
      <c r="CP165" s="16">
        <f t="shared" si="264"/>
        <v>0</v>
      </c>
      <c r="CQ165" s="16">
        <f t="shared" si="264"/>
        <v>0</v>
      </c>
      <c r="CR165" s="16">
        <f t="shared" si="264"/>
        <v>0</v>
      </c>
      <c r="CS165" s="16">
        <f t="shared" si="264"/>
        <v>0</v>
      </c>
      <c r="CT165" s="16">
        <f t="shared" si="264"/>
        <v>0</v>
      </c>
      <c r="CU165" s="17">
        <f t="shared" si="264"/>
        <v>0</v>
      </c>
      <c r="CV165" s="38"/>
    </row>
    <row r="166" spans="1:100" ht="15.75" x14ac:dyDescent="0.25">
      <c r="A166" s="13" t="s">
        <v>1</v>
      </c>
      <c r="B166" s="14" t="s">
        <v>1</v>
      </c>
      <c r="C166" s="14" t="s">
        <v>17</v>
      </c>
      <c r="D166" s="30" t="s">
        <v>191</v>
      </c>
      <c r="E166" s="15">
        <f>SUM(F166+BY166+CR166)</f>
        <v>234692</v>
      </c>
      <c r="F166" s="16">
        <f>SUM(G166+BA166)</f>
        <v>234692</v>
      </c>
      <c r="G166" s="16">
        <f>SUM(H166+I166+J166+Q166+T166+U166+V166+AE166)</f>
        <v>234692</v>
      </c>
      <c r="H166" s="16">
        <f>149367+40230</f>
        <v>189597</v>
      </c>
      <c r="I166" s="16">
        <f>35037+10058</f>
        <v>45095</v>
      </c>
      <c r="J166" s="16">
        <f t="shared" si="222"/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f t="shared" si="223"/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f>SUM(W166:AD166)</f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f>SUM(AF166:AZ166)</f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f>SUM(BB166+BF166+BI166+BK166+BM166)</f>
        <v>0</v>
      </c>
      <c r="BB166" s="16">
        <f>SUM(BC166:BE166)</f>
        <v>0</v>
      </c>
      <c r="BC166" s="16">
        <v>0</v>
      </c>
      <c r="BD166" s="16">
        <v>0</v>
      </c>
      <c r="BE166" s="16">
        <v>0</v>
      </c>
      <c r="BF166" s="16">
        <f t="shared" si="224"/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f t="shared" si="225"/>
        <v>0</v>
      </c>
      <c r="BL166" s="16">
        <v>0</v>
      </c>
      <c r="BM166" s="16">
        <f t="shared" si="226"/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f>SUM(BZ166+CQ166)</f>
        <v>0</v>
      </c>
      <c r="BZ166" s="16">
        <f>SUM(CA166+CD166+CJ166)</f>
        <v>0</v>
      </c>
      <c r="CA166" s="16">
        <f t="shared" si="227"/>
        <v>0</v>
      </c>
      <c r="CB166" s="16">
        <v>0</v>
      </c>
      <c r="CC166" s="16">
        <v>0</v>
      </c>
      <c r="CD166" s="16">
        <f>SUM(CE166:CH166)</f>
        <v>0</v>
      </c>
      <c r="CE166" s="16">
        <v>0</v>
      </c>
      <c r="CF166" s="16">
        <v>0</v>
      </c>
      <c r="CG166" s="16">
        <v>0</v>
      </c>
      <c r="CH166" s="16">
        <v>0</v>
      </c>
      <c r="CI166" s="16">
        <v>0</v>
      </c>
      <c r="CJ166" s="16">
        <f>SUM(CK166:CN166)</f>
        <v>0</v>
      </c>
      <c r="CK166" s="16">
        <v>0</v>
      </c>
      <c r="CL166" s="16">
        <v>0</v>
      </c>
      <c r="CM166" s="16">
        <v>0</v>
      </c>
      <c r="CN166" s="16">
        <v>0</v>
      </c>
      <c r="CO166" s="16">
        <v>0</v>
      </c>
      <c r="CP166" s="16">
        <v>0</v>
      </c>
      <c r="CQ166" s="16">
        <v>0</v>
      </c>
      <c r="CR166" s="16">
        <f t="shared" si="228"/>
        <v>0</v>
      </c>
      <c r="CS166" s="16">
        <f t="shared" si="229"/>
        <v>0</v>
      </c>
      <c r="CT166" s="16">
        <v>0</v>
      </c>
      <c r="CU166" s="17">
        <v>0</v>
      </c>
      <c r="CV166" s="38"/>
    </row>
    <row r="167" spans="1:100" ht="15.75" x14ac:dyDescent="0.25">
      <c r="A167" s="13" t="s">
        <v>1</v>
      </c>
      <c r="B167" s="14" t="s">
        <v>1</v>
      </c>
      <c r="C167" s="14" t="s">
        <v>34</v>
      </c>
      <c r="D167" s="30" t="s">
        <v>192</v>
      </c>
      <c r="E167" s="15">
        <f>SUM(F167+BY167+CR167)</f>
        <v>8813521</v>
      </c>
      <c r="F167" s="16">
        <f>SUM(G167+BA167)</f>
        <v>8772597</v>
      </c>
      <c r="G167" s="16">
        <f>SUM(H167+I167+J167+Q167+T167+U167+V167+AE167)</f>
        <v>8772597</v>
      </c>
      <c r="H167" s="16">
        <v>5561608</v>
      </c>
      <c r="I167" s="16">
        <v>1313899</v>
      </c>
      <c r="J167" s="16">
        <f t="shared" si="222"/>
        <v>57680</v>
      </c>
      <c r="K167" s="16">
        <v>0</v>
      </c>
      <c r="L167" s="16">
        <v>0</v>
      </c>
      <c r="M167" s="16">
        <v>0</v>
      </c>
      <c r="N167" s="16">
        <v>0</v>
      </c>
      <c r="O167" s="16">
        <v>50462</v>
      </c>
      <c r="P167" s="16">
        <v>7218</v>
      </c>
      <c r="Q167" s="16">
        <f t="shared" si="223"/>
        <v>6292</v>
      </c>
      <c r="R167" s="16">
        <v>6292</v>
      </c>
      <c r="S167" s="16">
        <v>0</v>
      </c>
      <c r="T167" s="16">
        <v>0</v>
      </c>
      <c r="U167" s="16">
        <v>46781</v>
      </c>
      <c r="V167" s="16">
        <f>SUM(W167:AD167)</f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f>SUM(AF167:AZ167)</f>
        <v>1786337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47337</v>
      </c>
      <c r="AM167" s="16">
        <v>1739000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f>SUM(BB167+BF167+BI167+BK167+BM167)</f>
        <v>0</v>
      </c>
      <c r="BB167" s="16">
        <f>SUM(BC167:BE167)</f>
        <v>0</v>
      </c>
      <c r="BC167" s="16">
        <v>0</v>
      </c>
      <c r="BD167" s="16">
        <v>0</v>
      </c>
      <c r="BE167" s="16">
        <v>0</v>
      </c>
      <c r="BF167" s="16">
        <f t="shared" si="224"/>
        <v>0</v>
      </c>
      <c r="BG167" s="16">
        <v>0</v>
      </c>
      <c r="BH167" s="16">
        <v>0</v>
      </c>
      <c r="BI167" s="16">
        <v>0</v>
      </c>
      <c r="BJ167" s="16">
        <v>0</v>
      </c>
      <c r="BK167" s="16">
        <f t="shared" si="225"/>
        <v>0</v>
      </c>
      <c r="BL167" s="16">
        <v>0</v>
      </c>
      <c r="BM167" s="16">
        <f t="shared" si="226"/>
        <v>0</v>
      </c>
      <c r="BN167" s="16">
        <v>0</v>
      </c>
      <c r="BO167" s="16">
        <v>0</v>
      </c>
      <c r="BP167" s="16">
        <v>0</v>
      </c>
      <c r="BQ167" s="16">
        <v>0</v>
      </c>
      <c r="BR167" s="16">
        <v>0</v>
      </c>
      <c r="BS167" s="16">
        <v>0</v>
      </c>
      <c r="BT167" s="16">
        <v>0</v>
      </c>
      <c r="BU167" s="16">
        <v>0</v>
      </c>
      <c r="BV167" s="16">
        <v>0</v>
      </c>
      <c r="BW167" s="16">
        <v>0</v>
      </c>
      <c r="BX167" s="16">
        <v>0</v>
      </c>
      <c r="BY167" s="16">
        <f>SUM(BZ167+CQ167)</f>
        <v>40924</v>
      </c>
      <c r="BZ167" s="16">
        <f>SUM(CA167+CD167+CJ167)</f>
        <v>40924</v>
      </c>
      <c r="CA167" s="16">
        <f t="shared" si="227"/>
        <v>40924</v>
      </c>
      <c r="CB167" s="16">
        <v>0</v>
      </c>
      <c r="CC167" s="16">
        <v>40924</v>
      </c>
      <c r="CD167" s="16">
        <f>SUM(CE167:CH167)</f>
        <v>0</v>
      </c>
      <c r="CE167" s="16">
        <v>0</v>
      </c>
      <c r="CF167" s="16">
        <v>0</v>
      </c>
      <c r="CG167" s="16">
        <v>0</v>
      </c>
      <c r="CH167" s="16">
        <v>0</v>
      </c>
      <c r="CI167" s="16">
        <v>0</v>
      </c>
      <c r="CJ167" s="16">
        <f>SUM(CK167:CN167)</f>
        <v>0</v>
      </c>
      <c r="CK167" s="16">
        <v>0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>
        <v>0</v>
      </c>
      <c r="CR167" s="16">
        <f t="shared" si="228"/>
        <v>0</v>
      </c>
      <c r="CS167" s="16">
        <f t="shared" si="229"/>
        <v>0</v>
      </c>
      <c r="CT167" s="16">
        <v>0</v>
      </c>
      <c r="CU167" s="17">
        <v>0</v>
      </c>
      <c r="CV167" s="38"/>
    </row>
    <row r="168" spans="1:100" ht="15.75" x14ac:dyDescent="0.25">
      <c r="A168" s="18" t="s">
        <v>193</v>
      </c>
      <c r="B168" s="19" t="s">
        <v>1</v>
      </c>
      <c r="C168" s="19" t="s">
        <v>1</v>
      </c>
      <c r="D168" s="31" t="s">
        <v>194</v>
      </c>
      <c r="E168" s="20">
        <f>SUM(E169+E171+E174+E177+E179)</f>
        <v>750049115</v>
      </c>
      <c r="F168" s="21">
        <f t="shared" ref="F168:BS168" si="266">SUM(F169+F171+F174+F177+F179)</f>
        <v>745753031</v>
      </c>
      <c r="G168" s="21">
        <f t="shared" si="266"/>
        <v>745444357</v>
      </c>
      <c r="H168" s="21">
        <f t="shared" si="266"/>
        <v>439567646</v>
      </c>
      <c r="I168" s="21">
        <f t="shared" si="266"/>
        <v>100972492</v>
      </c>
      <c r="J168" s="21">
        <f t="shared" si="266"/>
        <v>153290986</v>
      </c>
      <c r="K168" s="21">
        <f t="shared" si="266"/>
        <v>123842542</v>
      </c>
      <c r="L168" s="21">
        <f t="shared" si="266"/>
        <v>2162961</v>
      </c>
      <c r="M168" s="21">
        <f t="shared" si="266"/>
        <v>25040891</v>
      </c>
      <c r="N168" s="21">
        <f t="shared" si="266"/>
        <v>206301</v>
      </c>
      <c r="O168" s="21">
        <f t="shared" si="266"/>
        <v>1164340</v>
      </c>
      <c r="P168" s="21">
        <f t="shared" si="266"/>
        <v>873951</v>
      </c>
      <c r="Q168" s="21">
        <f t="shared" si="266"/>
        <v>5925</v>
      </c>
      <c r="R168" s="21">
        <f t="shared" si="266"/>
        <v>0</v>
      </c>
      <c r="S168" s="21">
        <f t="shared" si="266"/>
        <v>5925</v>
      </c>
      <c r="T168" s="21">
        <f t="shared" si="266"/>
        <v>0</v>
      </c>
      <c r="U168" s="21">
        <f t="shared" si="266"/>
        <v>2188296</v>
      </c>
      <c r="V168" s="21">
        <f t="shared" si="266"/>
        <v>15587795</v>
      </c>
      <c r="W168" s="21">
        <f t="shared" si="266"/>
        <v>5860568</v>
      </c>
      <c r="X168" s="21">
        <f t="shared" si="266"/>
        <v>4616634</v>
      </c>
      <c r="Y168" s="21">
        <f t="shared" si="266"/>
        <v>2521819</v>
      </c>
      <c r="Z168" s="21">
        <f t="shared" si="266"/>
        <v>1814235</v>
      </c>
      <c r="AA168" s="21">
        <f t="shared" si="266"/>
        <v>681163</v>
      </c>
      <c r="AB168" s="21">
        <f t="shared" si="266"/>
        <v>971</v>
      </c>
      <c r="AC168" s="21">
        <f t="shared" si="266"/>
        <v>0</v>
      </c>
      <c r="AD168" s="21">
        <f t="shared" ref="AD168" si="267">SUM(AD169+AD171+AD174+AD177+AD179)</f>
        <v>92405</v>
      </c>
      <c r="AE168" s="21">
        <f t="shared" si="266"/>
        <v>33831217</v>
      </c>
      <c r="AF168" s="21">
        <f t="shared" si="266"/>
        <v>0</v>
      </c>
      <c r="AG168" s="21">
        <f t="shared" si="266"/>
        <v>14970</v>
      </c>
      <c r="AH168" s="21">
        <f t="shared" si="266"/>
        <v>4725104</v>
      </c>
      <c r="AI168" s="21">
        <f t="shared" si="266"/>
        <v>0</v>
      </c>
      <c r="AJ168" s="21">
        <f t="shared" si="266"/>
        <v>216391</v>
      </c>
      <c r="AK168" s="21">
        <f t="shared" si="266"/>
        <v>0</v>
      </c>
      <c r="AL168" s="21">
        <f t="shared" si="266"/>
        <v>1034254</v>
      </c>
      <c r="AM168" s="21">
        <f t="shared" si="266"/>
        <v>337538</v>
      </c>
      <c r="AN168" s="21">
        <f t="shared" si="266"/>
        <v>0</v>
      </c>
      <c r="AO168" s="21">
        <f t="shared" si="266"/>
        <v>3751</v>
      </c>
      <c r="AP168" s="21">
        <f>SUM(AP169+AP171+AP174+AP177+AP179)</f>
        <v>0</v>
      </c>
      <c r="AQ168" s="21">
        <f t="shared" si="266"/>
        <v>0</v>
      </c>
      <c r="AR168" s="21">
        <f t="shared" si="266"/>
        <v>480254</v>
      </c>
      <c r="AS168" s="21">
        <f t="shared" si="266"/>
        <v>54400</v>
      </c>
      <c r="AT168" s="21">
        <f t="shared" si="266"/>
        <v>0</v>
      </c>
      <c r="AU168" s="21">
        <f t="shared" si="266"/>
        <v>2764383</v>
      </c>
      <c r="AV168" s="21">
        <f t="shared" si="266"/>
        <v>1697320</v>
      </c>
      <c r="AW168" s="21">
        <f t="shared" si="266"/>
        <v>0</v>
      </c>
      <c r="AX168" s="21">
        <f t="shared" si="266"/>
        <v>0</v>
      </c>
      <c r="AY168" s="21">
        <f t="shared" si="266"/>
        <v>0</v>
      </c>
      <c r="AZ168" s="21">
        <f t="shared" si="266"/>
        <v>22502852</v>
      </c>
      <c r="BA168" s="21">
        <f t="shared" si="266"/>
        <v>308674</v>
      </c>
      <c r="BB168" s="21">
        <f t="shared" si="266"/>
        <v>0</v>
      </c>
      <c r="BC168" s="21">
        <f t="shared" si="266"/>
        <v>0</v>
      </c>
      <c r="BD168" s="21">
        <f t="shared" si="266"/>
        <v>0</v>
      </c>
      <c r="BE168" s="21">
        <f t="shared" si="266"/>
        <v>0</v>
      </c>
      <c r="BF168" s="21">
        <f t="shared" si="266"/>
        <v>0</v>
      </c>
      <c r="BG168" s="21">
        <f t="shared" si="266"/>
        <v>0</v>
      </c>
      <c r="BH168" s="21">
        <f t="shared" si="266"/>
        <v>0</v>
      </c>
      <c r="BI168" s="21">
        <f t="shared" si="266"/>
        <v>0</v>
      </c>
      <c r="BJ168" s="21">
        <f t="shared" si="266"/>
        <v>0</v>
      </c>
      <c r="BK168" s="21">
        <f t="shared" si="266"/>
        <v>0</v>
      </c>
      <c r="BL168" s="21">
        <f t="shared" si="266"/>
        <v>0</v>
      </c>
      <c r="BM168" s="21">
        <f t="shared" si="266"/>
        <v>308674</v>
      </c>
      <c r="BN168" s="21">
        <f t="shared" si="266"/>
        <v>0</v>
      </c>
      <c r="BO168" s="21">
        <f t="shared" si="266"/>
        <v>0</v>
      </c>
      <c r="BP168" s="21">
        <f t="shared" si="266"/>
        <v>0</v>
      </c>
      <c r="BQ168" s="21">
        <f t="shared" si="266"/>
        <v>0</v>
      </c>
      <c r="BR168" s="21">
        <f t="shared" si="266"/>
        <v>0</v>
      </c>
      <c r="BS168" s="21">
        <f t="shared" si="266"/>
        <v>0</v>
      </c>
      <c r="BT168" s="21">
        <f t="shared" ref="BT168:CU168" si="268">SUM(BT169+BT171+BT174+BT177+BT179)</f>
        <v>0</v>
      </c>
      <c r="BU168" s="21">
        <f t="shared" si="268"/>
        <v>0</v>
      </c>
      <c r="BV168" s="21">
        <f t="shared" si="268"/>
        <v>0</v>
      </c>
      <c r="BW168" s="21">
        <f t="shared" si="268"/>
        <v>0</v>
      </c>
      <c r="BX168" s="21">
        <f t="shared" si="268"/>
        <v>308674</v>
      </c>
      <c r="BY168" s="21">
        <f t="shared" si="268"/>
        <v>4296084</v>
      </c>
      <c r="BZ168" s="21">
        <f t="shared" si="268"/>
        <v>4296084</v>
      </c>
      <c r="CA168" s="21">
        <f t="shared" si="268"/>
        <v>4296084</v>
      </c>
      <c r="CB168" s="21">
        <f t="shared" si="268"/>
        <v>0</v>
      </c>
      <c r="CC168" s="21">
        <f t="shared" si="268"/>
        <v>4296084</v>
      </c>
      <c r="CD168" s="21">
        <f t="shared" si="268"/>
        <v>0</v>
      </c>
      <c r="CE168" s="21">
        <f t="shared" si="268"/>
        <v>0</v>
      </c>
      <c r="CF168" s="21">
        <f t="shared" si="268"/>
        <v>0</v>
      </c>
      <c r="CG168" s="21">
        <f t="shared" si="268"/>
        <v>0</v>
      </c>
      <c r="CH168" s="21">
        <f t="shared" si="268"/>
        <v>0</v>
      </c>
      <c r="CI168" s="21">
        <f t="shared" ref="CI168" si="269">SUM(CI169+CI171+CI174+CI177+CI179)</f>
        <v>0</v>
      </c>
      <c r="CJ168" s="21">
        <f t="shared" si="268"/>
        <v>0</v>
      </c>
      <c r="CK168" s="21">
        <f t="shared" si="268"/>
        <v>0</v>
      </c>
      <c r="CL168" s="21">
        <f t="shared" si="268"/>
        <v>0</v>
      </c>
      <c r="CM168" s="21">
        <f t="shared" si="268"/>
        <v>0</v>
      </c>
      <c r="CN168" s="21">
        <f t="shared" si="268"/>
        <v>0</v>
      </c>
      <c r="CO168" s="21">
        <f t="shared" si="268"/>
        <v>0</v>
      </c>
      <c r="CP168" s="21">
        <f t="shared" si="268"/>
        <v>0</v>
      </c>
      <c r="CQ168" s="21">
        <f t="shared" si="268"/>
        <v>0</v>
      </c>
      <c r="CR168" s="21">
        <f t="shared" si="268"/>
        <v>0</v>
      </c>
      <c r="CS168" s="21">
        <f t="shared" si="268"/>
        <v>0</v>
      </c>
      <c r="CT168" s="21">
        <f t="shared" si="268"/>
        <v>0</v>
      </c>
      <c r="CU168" s="22">
        <f t="shared" si="268"/>
        <v>0</v>
      </c>
      <c r="CV168" s="38"/>
    </row>
    <row r="169" spans="1:100" ht="15.75" x14ac:dyDescent="0.25">
      <c r="A169" s="13" t="s">
        <v>195</v>
      </c>
      <c r="B169" s="14" t="s">
        <v>3</v>
      </c>
      <c r="C169" s="14" t="s">
        <v>1</v>
      </c>
      <c r="D169" s="30" t="s">
        <v>196</v>
      </c>
      <c r="E169" s="15">
        <f>SUM(E170)</f>
        <v>536735424</v>
      </c>
      <c r="F169" s="16">
        <f t="shared" ref="F169:BS169" si="270">SUM(F170)</f>
        <v>534183695</v>
      </c>
      <c r="G169" s="16">
        <f t="shared" si="270"/>
        <v>534080184</v>
      </c>
      <c r="H169" s="16">
        <f t="shared" si="270"/>
        <v>321378715</v>
      </c>
      <c r="I169" s="16">
        <f t="shared" si="270"/>
        <v>73207414</v>
      </c>
      <c r="J169" s="16">
        <f t="shared" si="270"/>
        <v>102106239</v>
      </c>
      <c r="K169" s="16">
        <f t="shared" si="270"/>
        <v>74503819</v>
      </c>
      <c r="L169" s="16">
        <f t="shared" si="270"/>
        <v>1815693</v>
      </c>
      <c r="M169" s="16">
        <f t="shared" si="270"/>
        <v>24493701</v>
      </c>
      <c r="N169" s="16">
        <f t="shared" si="270"/>
        <v>206301</v>
      </c>
      <c r="O169" s="16">
        <f t="shared" si="270"/>
        <v>426013</v>
      </c>
      <c r="P169" s="16">
        <f t="shared" si="270"/>
        <v>660712</v>
      </c>
      <c r="Q169" s="16">
        <f t="shared" si="270"/>
        <v>4632</v>
      </c>
      <c r="R169" s="16">
        <f t="shared" si="270"/>
        <v>0</v>
      </c>
      <c r="S169" s="16">
        <f t="shared" si="270"/>
        <v>4632</v>
      </c>
      <c r="T169" s="16">
        <f t="shared" si="270"/>
        <v>0</v>
      </c>
      <c r="U169" s="16">
        <f t="shared" si="270"/>
        <v>1446468</v>
      </c>
      <c r="V169" s="16">
        <f t="shared" si="270"/>
        <v>10818987</v>
      </c>
      <c r="W169" s="16">
        <f t="shared" si="270"/>
        <v>2478836</v>
      </c>
      <c r="X169" s="16">
        <f t="shared" si="270"/>
        <v>3821060</v>
      </c>
      <c r="Y169" s="16">
        <f t="shared" si="270"/>
        <v>2271418</v>
      </c>
      <c r="Z169" s="16">
        <f t="shared" si="270"/>
        <v>1646895</v>
      </c>
      <c r="AA169" s="16">
        <f t="shared" si="270"/>
        <v>544486</v>
      </c>
      <c r="AB169" s="16">
        <f t="shared" si="270"/>
        <v>0</v>
      </c>
      <c r="AC169" s="16">
        <f t="shared" si="270"/>
        <v>0</v>
      </c>
      <c r="AD169" s="16">
        <f t="shared" si="270"/>
        <v>56292</v>
      </c>
      <c r="AE169" s="16">
        <f t="shared" si="270"/>
        <v>25117729</v>
      </c>
      <c r="AF169" s="16">
        <f t="shared" si="270"/>
        <v>0</v>
      </c>
      <c r="AG169" s="16">
        <f t="shared" si="270"/>
        <v>13513</v>
      </c>
      <c r="AH169" s="16">
        <f t="shared" si="270"/>
        <v>3977178</v>
      </c>
      <c r="AI169" s="16">
        <f t="shared" si="270"/>
        <v>0</v>
      </c>
      <c r="AJ169" s="16">
        <f t="shared" si="270"/>
        <v>151155</v>
      </c>
      <c r="AK169" s="16">
        <f t="shared" si="270"/>
        <v>0</v>
      </c>
      <c r="AL169" s="16">
        <f t="shared" si="270"/>
        <v>739522</v>
      </c>
      <c r="AM169" s="16">
        <f t="shared" si="270"/>
        <v>270000</v>
      </c>
      <c r="AN169" s="16">
        <f t="shared" si="270"/>
        <v>0</v>
      </c>
      <c r="AO169" s="16">
        <f t="shared" si="270"/>
        <v>3535</v>
      </c>
      <c r="AP169" s="16">
        <f t="shared" si="270"/>
        <v>0</v>
      </c>
      <c r="AQ169" s="16">
        <f t="shared" si="270"/>
        <v>0</v>
      </c>
      <c r="AR169" s="16">
        <f t="shared" si="270"/>
        <v>426662</v>
      </c>
      <c r="AS169" s="16">
        <f t="shared" si="270"/>
        <v>0</v>
      </c>
      <c r="AT169" s="16">
        <f t="shared" si="270"/>
        <v>0</v>
      </c>
      <c r="AU169" s="16">
        <f t="shared" si="270"/>
        <v>1512218</v>
      </c>
      <c r="AV169" s="16">
        <f t="shared" si="270"/>
        <v>0</v>
      </c>
      <c r="AW169" s="16">
        <f t="shared" si="270"/>
        <v>0</v>
      </c>
      <c r="AX169" s="16">
        <f t="shared" si="270"/>
        <v>0</v>
      </c>
      <c r="AY169" s="16">
        <f t="shared" si="270"/>
        <v>0</v>
      </c>
      <c r="AZ169" s="16">
        <f t="shared" si="270"/>
        <v>18023946</v>
      </c>
      <c r="BA169" s="16">
        <f t="shared" si="270"/>
        <v>103511</v>
      </c>
      <c r="BB169" s="16">
        <f t="shared" si="270"/>
        <v>0</v>
      </c>
      <c r="BC169" s="16">
        <f t="shared" si="270"/>
        <v>0</v>
      </c>
      <c r="BD169" s="16">
        <f t="shared" si="270"/>
        <v>0</v>
      </c>
      <c r="BE169" s="16">
        <f t="shared" si="270"/>
        <v>0</v>
      </c>
      <c r="BF169" s="16">
        <f t="shared" si="270"/>
        <v>0</v>
      </c>
      <c r="BG169" s="16">
        <f t="shared" si="270"/>
        <v>0</v>
      </c>
      <c r="BH169" s="16">
        <f t="shared" si="270"/>
        <v>0</v>
      </c>
      <c r="BI169" s="16">
        <f t="shared" si="270"/>
        <v>0</v>
      </c>
      <c r="BJ169" s="16">
        <f t="shared" si="270"/>
        <v>0</v>
      </c>
      <c r="BK169" s="16">
        <f t="shared" si="270"/>
        <v>0</v>
      </c>
      <c r="BL169" s="16">
        <f t="shared" si="270"/>
        <v>0</v>
      </c>
      <c r="BM169" s="16">
        <f t="shared" si="270"/>
        <v>103511</v>
      </c>
      <c r="BN169" s="16">
        <f t="shared" si="270"/>
        <v>0</v>
      </c>
      <c r="BO169" s="16">
        <f t="shared" si="270"/>
        <v>0</v>
      </c>
      <c r="BP169" s="16">
        <f t="shared" si="270"/>
        <v>0</v>
      </c>
      <c r="BQ169" s="16">
        <f t="shared" si="270"/>
        <v>0</v>
      </c>
      <c r="BR169" s="16">
        <f t="shared" si="270"/>
        <v>0</v>
      </c>
      <c r="BS169" s="16">
        <f t="shared" si="270"/>
        <v>0</v>
      </c>
      <c r="BT169" s="16">
        <f t="shared" ref="BT169:CU169" si="271">SUM(BT170)</f>
        <v>0</v>
      </c>
      <c r="BU169" s="16">
        <f t="shared" si="271"/>
        <v>0</v>
      </c>
      <c r="BV169" s="16">
        <f t="shared" si="271"/>
        <v>0</v>
      </c>
      <c r="BW169" s="16">
        <f t="shared" si="271"/>
        <v>0</v>
      </c>
      <c r="BX169" s="16">
        <f t="shared" si="271"/>
        <v>103511</v>
      </c>
      <c r="BY169" s="16">
        <f t="shared" si="271"/>
        <v>2551729</v>
      </c>
      <c r="BZ169" s="16">
        <f t="shared" si="271"/>
        <v>2551729</v>
      </c>
      <c r="CA169" s="16">
        <f t="shared" si="271"/>
        <v>2551729</v>
      </c>
      <c r="CB169" s="16">
        <f t="shared" si="271"/>
        <v>0</v>
      </c>
      <c r="CC169" s="16">
        <f t="shared" si="271"/>
        <v>2551729</v>
      </c>
      <c r="CD169" s="16">
        <f t="shared" si="271"/>
        <v>0</v>
      </c>
      <c r="CE169" s="16">
        <f t="shared" si="271"/>
        <v>0</v>
      </c>
      <c r="CF169" s="16">
        <f t="shared" si="271"/>
        <v>0</v>
      </c>
      <c r="CG169" s="16">
        <f t="shared" si="271"/>
        <v>0</v>
      </c>
      <c r="CH169" s="16">
        <f t="shared" si="271"/>
        <v>0</v>
      </c>
      <c r="CI169" s="16">
        <f t="shared" si="271"/>
        <v>0</v>
      </c>
      <c r="CJ169" s="16">
        <f t="shared" si="271"/>
        <v>0</v>
      </c>
      <c r="CK169" s="16">
        <f t="shared" si="271"/>
        <v>0</v>
      </c>
      <c r="CL169" s="16">
        <f t="shared" si="271"/>
        <v>0</v>
      </c>
      <c r="CM169" s="16">
        <f t="shared" si="271"/>
        <v>0</v>
      </c>
      <c r="CN169" s="16">
        <f t="shared" si="271"/>
        <v>0</v>
      </c>
      <c r="CO169" s="16">
        <f t="shared" si="271"/>
        <v>0</v>
      </c>
      <c r="CP169" s="16">
        <f t="shared" si="271"/>
        <v>0</v>
      </c>
      <c r="CQ169" s="16">
        <f t="shared" si="271"/>
        <v>0</v>
      </c>
      <c r="CR169" s="16">
        <f t="shared" si="271"/>
        <v>0</v>
      </c>
      <c r="CS169" s="16">
        <f t="shared" si="271"/>
        <v>0</v>
      </c>
      <c r="CT169" s="16">
        <f t="shared" si="271"/>
        <v>0</v>
      </c>
      <c r="CU169" s="17">
        <f t="shared" si="271"/>
        <v>0</v>
      </c>
      <c r="CV169" s="38"/>
    </row>
    <row r="170" spans="1:100" ht="15.75" x14ac:dyDescent="0.25">
      <c r="A170" s="13" t="s">
        <v>1</v>
      </c>
      <c r="B170" s="14" t="s">
        <v>1</v>
      </c>
      <c r="C170" s="14" t="s">
        <v>21</v>
      </c>
      <c r="D170" s="30" t="s">
        <v>196</v>
      </c>
      <c r="E170" s="15">
        <f>SUM(F170+BY170+CR170)</f>
        <v>536735424</v>
      </c>
      <c r="F170" s="16">
        <f>SUM(G170+BA170)</f>
        <v>534183695</v>
      </c>
      <c r="G170" s="16">
        <f>SUM(H170+I170+J170+Q170+T170+U170+V170+AE170)</f>
        <v>534080184</v>
      </c>
      <c r="H170" s="16">
        <f>273424676+30736971+17217068</f>
        <v>321378715</v>
      </c>
      <c r="I170" s="16">
        <f>63371979+5701698+4133737</f>
        <v>73207414</v>
      </c>
      <c r="J170" s="16">
        <f t="shared" si="222"/>
        <v>102106239</v>
      </c>
      <c r="K170" s="16">
        <f>64183720+3931282+1890932+4497885</f>
        <v>74503819</v>
      </c>
      <c r="L170" s="16">
        <f>1228893+586800</f>
        <v>1815693</v>
      </c>
      <c r="M170" s="16">
        <f>16854983+5638718+2000000</f>
        <v>24493701</v>
      </c>
      <c r="N170" s="16">
        <v>206301</v>
      </c>
      <c r="O170" s="16">
        <v>426013</v>
      </c>
      <c r="P170" s="16">
        <f>588495+59631+12586</f>
        <v>660712</v>
      </c>
      <c r="Q170" s="16">
        <f t="shared" si="223"/>
        <v>4632</v>
      </c>
      <c r="R170" s="16">
        <v>0</v>
      </c>
      <c r="S170" s="16">
        <v>4632</v>
      </c>
      <c r="T170" s="16">
        <v>0</v>
      </c>
      <c r="U170" s="16">
        <v>1446468</v>
      </c>
      <c r="V170" s="16">
        <f>SUM(W170:AD170)</f>
        <v>10818987</v>
      </c>
      <c r="W170" s="16">
        <f>2407880+70956</f>
        <v>2478836</v>
      </c>
      <c r="X170" s="16">
        <v>3821060</v>
      </c>
      <c r="Y170" s="16">
        <v>2271418</v>
      </c>
      <c r="Z170" s="16">
        <v>1646895</v>
      </c>
      <c r="AA170" s="16">
        <v>544486</v>
      </c>
      <c r="AB170" s="16">
        <v>0</v>
      </c>
      <c r="AC170" s="16">
        <v>0</v>
      </c>
      <c r="AD170" s="16">
        <v>56292</v>
      </c>
      <c r="AE170" s="16">
        <f>SUM(AF170:AZ170)</f>
        <v>25117729</v>
      </c>
      <c r="AF170" s="16">
        <v>0</v>
      </c>
      <c r="AG170" s="16">
        <v>13513</v>
      </c>
      <c r="AH170" s="16">
        <f>3579491+397687</f>
        <v>3977178</v>
      </c>
      <c r="AI170" s="16">
        <v>0</v>
      </c>
      <c r="AJ170" s="16">
        <v>151155</v>
      </c>
      <c r="AK170" s="16">
        <v>0</v>
      </c>
      <c r="AL170" s="16">
        <v>739522</v>
      </c>
      <c r="AM170" s="16">
        <v>270000</v>
      </c>
      <c r="AN170" s="16">
        <v>0</v>
      </c>
      <c r="AO170" s="16">
        <v>3535</v>
      </c>
      <c r="AP170" s="16"/>
      <c r="AQ170" s="16">
        <v>0</v>
      </c>
      <c r="AR170" s="16">
        <v>426662</v>
      </c>
      <c r="AS170" s="16">
        <v>0</v>
      </c>
      <c r="AT170" s="16">
        <v>0</v>
      </c>
      <c r="AU170" s="16">
        <f>3307338-1795120</f>
        <v>1512218</v>
      </c>
      <c r="AV170" s="16">
        <v>0</v>
      </c>
      <c r="AW170" s="16">
        <v>0</v>
      </c>
      <c r="AX170" s="16">
        <v>0</v>
      </c>
      <c r="AY170" s="16"/>
      <c r="AZ170" s="16">
        <f>12228826+5795120</f>
        <v>18023946</v>
      </c>
      <c r="BA170" s="16">
        <f>SUM(BB170+BF170+BI170+BK170+BM170)</f>
        <v>103511</v>
      </c>
      <c r="BB170" s="16">
        <f>SUM(BC170:BE170)</f>
        <v>0</v>
      </c>
      <c r="BC170" s="16">
        <v>0</v>
      </c>
      <c r="BD170" s="16">
        <v>0</v>
      </c>
      <c r="BE170" s="16">
        <v>0</v>
      </c>
      <c r="BF170" s="16">
        <f t="shared" si="224"/>
        <v>0</v>
      </c>
      <c r="BG170" s="16">
        <v>0</v>
      </c>
      <c r="BH170" s="16">
        <v>0</v>
      </c>
      <c r="BI170" s="16">
        <v>0</v>
      </c>
      <c r="BJ170" s="16">
        <v>0</v>
      </c>
      <c r="BK170" s="16">
        <f t="shared" si="225"/>
        <v>0</v>
      </c>
      <c r="BL170" s="16">
        <v>0</v>
      </c>
      <c r="BM170" s="16">
        <f t="shared" si="226"/>
        <v>103511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103511</v>
      </c>
      <c r="BY170" s="16">
        <f>SUM(BZ170+CQ170)</f>
        <v>2551729</v>
      </c>
      <c r="BZ170" s="16">
        <f>SUM(CA170+CD170+CJ170)</f>
        <v>2551729</v>
      </c>
      <c r="CA170" s="16">
        <f t="shared" si="227"/>
        <v>2551729</v>
      </c>
      <c r="CB170" s="16">
        <v>0</v>
      </c>
      <c r="CC170" s="16">
        <f>1249542+1063273+119482+119432</f>
        <v>2551729</v>
      </c>
      <c r="CD170" s="16">
        <f>SUM(CE170:CH170)</f>
        <v>0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f>SUM(CK170:CN170)</f>
        <v>0</v>
      </c>
      <c r="CK170" s="16">
        <v>0</v>
      </c>
      <c r="CL170" s="16">
        <v>0</v>
      </c>
      <c r="CM170" s="16">
        <v>0</v>
      </c>
      <c r="CN170" s="16">
        <v>0</v>
      </c>
      <c r="CO170" s="16"/>
      <c r="CP170" s="16"/>
      <c r="CQ170" s="16">
        <v>0</v>
      </c>
      <c r="CR170" s="16">
        <f t="shared" si="228"/>
        <v>0</v>
      </c>
      <c r="CS170" s="16">
        <f t="shared" si="229"/>
        <v>0</v>
      </c>
      <c r="CT170" s="16">
        <v>0</v>
      </c>
      <c r="CU170" s="17">
        <v>0</v>
      </c>
      <c r="CV170" s="38"/>
    </row>
    <row r="171" spans="1:100" ht="31.5" x14ac:dyDescent="0.25">
      <c r="A171" s="13" t="s">
        <v>195</v>
      </c>
      <c r="B171" s="14" t="s">
        <v>7</v>
      </c>
      <c r="C171" s="14" t="s">
        <v>1</v>
      </c>
      <c r="D171" s="30" t="s">
        <v>197</v>
      </c>
      <c r="E171" s="15">
        <f>SUM(E172:E173)</f>
        <v>140230486</v>
      </c>
      <c r="F171" s="16">
        <f t="shared" ref="F171:BS171" si="272">SUM(F172:F173)</f>
        <v>138574655</v>
      </c>
      <c r="G171" s="16">
        <f t="shared" si="272"/>
        <v>138571155</v>
      </c>
      <c r="H171" s="16">
        <f t="shared" si="272"/>
        <v>96156071</v>
      </c>
      <c r="I171" s="16">
        <f t="shared" si="272"/>
        <v>22658709</v>
      </c>
      <c r="J171" s="16">
        <f t="shared" si="272"/>
        <v>8228493</v>
      </c>
      <c r="K171" s="16">
        <f t="shared" si="272"/>
        <v>7629151</v>
      </c>
      <c r="L171" s="16">
        <f t="shared" si="272"/>
        <v>132942</v>
      </c>
      <c r="M171" s="16">
        <f t="shared" si="272"/>
        <v>0</v>
      </c>
      <c r="N171" s="16">
        <f t="shared" si="272"/>
        <v>0</v>
      </c>
      <c r="O171" s="16">
        <f t="shared" si="272"/>
        <v>340287</v>
      </c>
      <c r="P171" s="16">
        <f t="shared" si="272"/>
        <v>126113</v>
      </c>
      <c r="Q171" s="16">
        <f t="shared" si="272"/>
        <v>271</v>
      </c>
      <c r="R171" s="16">
        <f t="shared" si="272"/>
        <v>0</v>
      </c>
      <c r="S171" s="16">
        <f t="shared" si="272"/>
        <v>271</v>
      </c>
      <c r="T171" s="16">
        <f t="shared" si="272"/>
        <v>0</v>
      </c>
      <c r="U171" s="16">
        <f t="shared" si="272"/>
        <v>512591</v>
      </c>
      <c r="V171" s="16">
        <f t="shared" si="272"/>
        <v>4416032</v>
      </c>
      <c r="W171" s="16">
        <f t="shared" si="272"/>
        <v>3362112</v>
      </c>
      <c r="X171" s="16">
        <f t="shared" si="272"/>
        <v>594029</v>
      </c>
      <c r="Y171" s="16">
        <f t="shared" si="272"/>
        <v>200455</v>
      </c>
      <c r="Z171" s="16">
        <f t="shared" si="272"/>
        <v>128128</v>
      </c>
      <c r="AA171" s="16">
        <f t="shared" si="272"/>
        <v>108889</v>
      </c>
      <c r="AB171" s="16">
        <f t="shared" si="272"/>
        <v>971</v>
      </c>
      <c r="AC171" s="16">
        <f t="shared" si="272"/>
        <v>0</v>
      </c>
      <c r="AD171" s="16">
        <f t="shared" ref="AD171" si="273">SUM(AD172:AD173)</f>
        <v>21448</v>
      </c>
      <c r="AE171" s="16">
        <f t="shared" si="272"/>
        <v>6598988</v>
      </c>
      <c r="AF171" s="16">
        <f t="shared" si="272"/>
        <v>0</v>
      </c>
      <c r="AG171" s="16">
        <f t="shared" si="272"/>
        <v>832</v>
      </c>
      <c r="AH171" s="16">
        <f t="shared" si="272"/>
        <v>623721</v>
      </c>
      <c r="AI171" s="16">
        <f t="shared" si="272"/>
        <v>0</v>
      </c>
      <c r="AJ171" s="16">
        <f t="shared" si="272"/>
        <v>44551</v>
      </c>
      <c r="AK171" s="16">
        <f t="shared" si="272"/>
        <v>0</v>
      </c>
      <c r="AL171" s="16">
        <f t="shared" si="272"/>
        <v>212776</v>
      </c>
      <c r="AM171" s="16">
        <f t="shared" si="272"/>
        <v>28538</v>
      </c>
      <c r="AN171" s="16">
        <f t="shared" si="272"/>
        <v>0</v>
      </c>
      <c r="AO171" s="16">
        <f t="shared" si="272"/>
        <v>216</v>
      </c>
      <c r="AP171" s="16">
        <f>SUM(AP172:AP173)</f>
        <v>0</v>
      </c>
      <c r="AQ171" s="16">
        <f t="shared" si="272"/>
        <v>0</v>
      </c>
      <c r="AR171" s="16">
        <f t="shared" si="272"/>
        <v>53592</v>
      </c>
      <c r="AS171" s="16">
        <f t="shared" si="272"/>
        <v>40000</v>
      </c>
      <c r="AT171" s="16">
        <f t="shared" si="272"/>
        <v>0</v>
      </c>
      <c r="AU171" s="16">
        <f t="shared" si="272"/>
        <v>1148381</v>
      </c>
      <c r="AV171" s="16">
        <f t="shared" si="272"/>
        <v>0</v>
      </c>
      <c r="AW171" s="16">
        <f t="shared" si="272"/>
        <v>0</v>
      </c>
      <c r="AX171" s="16">
        <f t="shared" si="272"/>
        <v>0</v>
      </c>
      <c r="AY171" s="16">
        <f t="shared" si="272"/>
        <v>0</v>
      </c>
      <c r="AZ171" s="16">
        <f t="shared" si="272"/>
        <v>4446381</v>
      </c>
      <c r="BA171" s="16">
        <f t="shared" si="272"/>
        <v>3500</v>
      </c>
      <c r="BB171" s="16">
        <f t="shared" si="272"/>
        <v>0</v>
      </c>
      <c r="BC171" s="16">
        <f t="shared" si="272"/>
        <v>0</v>
      </c>
      <c r="BD171" s="16">
        <f t="shared" si="272"/>
        <v>0</v>
      </c>
      <c r="BE171" s="16">
        <f t="shared" si="272"/>
        <v>0</v>
      </c>
      <c r="BF171" s="16">
        <f t="shared" si="272"/>
        <v>0</v>
      </c>
      <c r="BG171" s="16">
        <f t="shared" si="272"/>
        <v>0</v>
      </c>
      <c r="BH171" s="16">
        <f t="shared" si="272"/>
        <v>0</v>
      </c>
      <c r="BI171" s="16">
        <f t="shared" si="272"/>
        <v>0</v>
      </c>
      <c r="BJ171" s="16">
        <f t="shared" si="272"/>
        <v>0</v>
      </c>
      <c r="BK171" s="16">
        <f t="shared" si="272"/>
        <v>0</v>
      </c>
      <c r="BL171" s="16">
        <f t="shared" si="272"/>
        <v>0</v>
      </c>
      <c r="BM171" s="16">
        <f t="shared" si="272"/>
        <v>3500</v>
      </c>
      <c r="BN171" s="16">
        <f t="shared" si="272"/>
        <v>0</v>
      </c>
      <c r="BO171" s="16">
        <f t="shared" si="272"/>
        <v>0</v>
      </c>
      <c r="BP171" s="16">
        <f t="shared" si="272"/>
        <v>0</v>
      </c>
      <c r="BQ171" s="16">
        <f t="shared" si="272"/>
        <v>0</v>
      </c>
      <c r="BR171" s="16">
        <f t="shared" si="272"/>
        <v>0</v>
      </c>
      <c r="BS171" s="16">
        <f t="shared" si="272"/>
        <v>0</v>
      </c>
      <c r="BT171" s="16">
        <f t="shared" ref="BT171:CU171" si="274">SUM(BT172:BT173)</f>
        <v>0</v>
      </c>
      <c r="BU171" s="16">
        <f t="shared" si="274"/>
        <v>0</v>
      </c>
      <c r="BV171" s="16">
        <f t="shared" si="274"/>
        <v>0</v>
      </c>
      <c r="BW171" s="16">
        <f t="shared" si="274"/>
        <v>0</v>
      </c>
      <c r="BX171" s="16">
        <f t="shared" si="274"/>
        <v>3500</v>
      </c>
      <c r="BY171" s="16">
        <f t="shared" si="274"/>
        <v>1655831</v>
      </c>
      <c r="BZ171" s="16">
        <f t="shared" si="274"/>
        <v>1655831</v>
      </c>
      <c r="CA171" s="16">
        <f t="shared" si="274"/>
        <v>1655831</v>
      </c>
      <c r="CB171" s="16">
        <f t="shared" si="274"/>
        <v>0</v>
      </c>
      <c r="CC171" s="16">
        <f t="shared" si="274"/>
        <v>1655831</v>
      </c>
      <c r="CD171" s="16">
        <f t="shared" si="274"/>
        <v>0</v>
      </c>
      <c r="CE171" s="16">
        <f t="shared" si="274"/>
        <v>0</v>
      </c>
      <c r="CF171" s="16">
        <f t="shared" si="274"/>
        <v>0</v>
      </c>
      <c r="CG171" s="16">
        <f t="shared" si="274"/>
        <v>0</v>
      </c>
      <c r="CH171" s="16">
        <f t="shared" si="274"/>
        <v>0</v>
      </c>
      <c r="CI171" s="16">
        <f t="shared" ref="CI171" si="275">SUM(CI172:CI173)</f>
        <v>0</v>
      </c>
      <c r="CJ171" s="16">
        <f t="shared" si="274"/>
        <v>0</v>
      </c>
      <c r="CK171" s="16">
        <f t="shared" si="274"/>
        <v>0</v>
      </c>
      <c r="CL171" s="16">
        <f t="shared" si="274"/>
        <v>0</v>
      </c>
      <c r="CM171" s="16">
        <f t="shared" si="274"/>
        <v>0</v>
      </c>
      <c r="CN171" s="16">
        <f t="shared" si="274"/>
        <v>0</v>
      </c>
      <c r="CO171" s="16">
        <f t="shared" si="274"/>
        <v>0</v>
      </c>
      <c r="CP171" s="16">
        <f t="shared" si="274"/>
        <v>0</v>
      </c>
      <c r="CQ171" s="16">
        <f t="shared" si="274"/>
        <v>0</v>
      </c>
      <c r="CR171" s="16">
        <f t="shared" si="274"/>
        <v>0</v>
      </c>
      <c r="CS171" s="16">
        <f t="shared" si="274"/>
        <v>0</v>
      </c>
      <c r="CT171" s="16">
        <f t="shared" si="274"/>
        <v>0</v>
      </c>
      <c r="CU171" s="17">
        <f t="shared" si="274"/>
        <v>0</v>
      </c>
      <c r="CV171" s="38"/>
    </row>
    <row r="172" spans="1:100" ht="15.75" x14ac:dyDescent="0.25">
      <c r="A172" s="13" t="s">
        <v>1</v>
      </c>
      <c r="B172" s="14" t="s">
        <v>1</v>
      </c>
      <c r="C172" s="14" t="s">
        <v>21</v>
      </c>
      <c r="D172" s="30" t="s">
        <v>198</v>
      </c>
      <c r="E172" s="15">
        <f>SUM(F172+BY172+CR172)</f>
        <v>104856583</v>
      </c>
      <c r="F172" s="16">
        <f>SUM(G172+BA172)</f>
        <v>104039446</v>
      </c>
      <c r="G172" s="16">
        <f>SUM(H172+I172+J172+Q172+T172+U172+V172+AE172)</f>
        <v>104039446</v>
      </c>
      <c r="H172" s="16">
        <f>66915844+2068835+541812</f>
        <v>69526491</v>
      </c>
      <c r="I172" s="16">
        <f>16351069+175500+137810</f>
        <v>16664379</v>
      </c>
      <c r="J172" s="16">
        <f t="shared" si="222"/>
        <v>6718132</v>
      </c>
      <c r="K172" s="16">
        <f>4417724+1740564</f>
        <v>6158288</v>
      </c>
      <c r="L172" s="16">
        <v>117377</v>
      </c>
      <c r="M172" s="16">
        <v>0</v>
      </c>
      <c r="N172" s="16">
        <v>0</v>
      </c>
      <c r="O172" s="16">
        <v>340287</v>
      </c>
      <c r="P172" s="16">
        <f>69200+16983+15997</f>
        <v>102180</v>
      </c>
      <c r="Q172" s="16">
        <f t="shared" si="223"/>
        <v>271</v>
      </c>
      <c r="R172" s="16">
        <v>0</v>
      </c>
      <c r="S172" s="16">
        <v>271</v>
      </c>
      <c r="T172" s="16">
        <v>0</v>
      </c>
      <c r="U172" s="16">
        <v>450444</v>
      </c>
      <c r="V172" s="16">
        <f>SUM(W172:AD172)</f>
        <v>4304872</v>
      </c>
      <c r="W172" s="16">
        <v>3362112</v>
      </c>
      <c r="X172" s="16">
        <v>542725</v>
      </c>
      <c r="Y172" s="16">
        <v>160540</v>
      </c>
      <c r="Z172" s="16">
        <v>117695</v>
      </c>
      <c r="AA172" s="16">
        <v>99381</v>
      </c>
      <c r="AB172" s="16">
        <v>971</v>
      </c>
      <c r="AC172" s="16">
        <v>0</v>
      </c>
      <c r="AD172" s="16">
        <v>21448</v>
      </c>
      <c r="AE172" s="16">
        <f>SUM(AF172:AZ172)</f>
        <v>6374857</v>
      </c>
      <c r="AF172" s="16">
        <v>0</v>
      </c>
      <c r="AG172" s="16">
        <v>0</v>
      </c>
      <c r="AH172" s="16">
        <f>487070+117434</f>
        <v>604504</v>
      </c>
      <c r="AI172" s="16">
        <v>0</v>
      </c>
      <c r="AJ172" s="16">
        <v>41369</v>
      </c>
      <c r="AK172" s="16">
        <v>0</v>
      </c>
      <c r="AL172" s="16">
        <v>158278</v>
      </c>
      <c r="AM172" s="16">
        <v>0</v>
      </c>
      <c r="AN172" s="16">
        <v>0</v>
      </c>
      <c r="AO172" s="16">
        <v>216</v>
      </c>
      <c r="AP172" s="16"/>
      <c r="AQ172" s="16">
        <v>0</v>
      </c>
      <c r="AR172" s="16">
        <v>34728</v>
      </c>
      <c r="AS172" s="16">
        <v>0</v>
      </c>
      <c r="AT172" s="16">
        <v>0</v>
      </c>
      <c r="AU172" s="16">
        <v>1148381</v>
      </c>
      <c r="AV172" s="16">
        <v>0</v>
      </c>
      <c r="AW172" s="16">
        <v>0</v>
      </c>
      <c r="AX172" s="16">
        <v>0</v>
      </c>
      <c r="AY172" s="16"/>
      <c r="AZ172" s="16">
        <f>5375975+212338-1200932</f>
        <v>4387381</v>
      </c>
      <c r="BA172" s="16">
        <f>SUM(BB172+BF172+BI172+BK172+BM172)</f>
        <v>0</v>
      </c>
      <c r="BB172" s="16">
        <f>SUM(BC172:BE172)</f>
        <v>0</v>
      </c>
      <c r="BC172" s="16">
        <v>0</v>
      </c>
      <c r="BD172" s="16">
        <v>0</v>
      </c>
      <c r="BE172" s="16">
        <v>0</v>
      </c>
      <c r="BF172" s="16">
        <f t="shared" si="224"/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f t="shared" si="225"/>
        <v>0</v>
      </c>
      <c r="BL172" s="16">
        <v>0</v>
      </c>
      <c r="BM172" s="16">
        <f t="shared" si="226"/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f>SUM(BZ172+CQ172)</f>
        <v>817137</v>
      </c>
      <c r="BZ172" s="16">
        <f>SUM(CA172+CD172+CJ172)</f>
        <v>817137</v>
      </c>
      <c r="CA172" s="16">
        <f t="shared" si="227"/>
        <v>817137</v>
      </c>
      <c r="CB172" s="16">
        <v>0</v>
      </c>
      <c r="CC172" s="16">
        <f>26478+18796+685813+46200+39850</f>
        <v>817137</v>
      </c>
      <c r="CD172" s="16">
        <f>SUM(CE172:CH172)</f>
        <v>0</v>
      </c>
      <c r="CE172" s="16">
        <v>0</v>
      </c>
      <c r="CF172" s="16">
        <v>0</v>
      </c>
      <c r="CG172" s="16">
        <v>0</v>
      </c>
      <c r="CH172" s="16">
        <v>0</v>
      </c>
      <c r="CI172" s="16">
        <v>0</v>
      </c>
      <c r="CJ172" s="16">
        <f>SUM(CK172:CN172)</f>
        <v>0</v>
      </c>
      <c r="CK172" s="16">
        <v>0</v>
      </c>
      <c r="CL172" s="16">
        <v>0</v>
      </c>
      <c r="CM172" s="16">
        <v>0</v>
      </c>
      <c r="CN172" s="16">
        <v>0</v>
      </c>
      <c r="CO172" s="16"/>
      <c r="CP172" s="16"/>
      <c r="CQ172" s="16">
        <v>0</v>
      </c>
      <c r="CR172" s="16">
        <f t="shared" si="228"/>
        <v>0</v>
      </c>
      <c r="CS172" s="16">
        <f t="shared" si="229"/>
        <v>0</v>
      </c>
      <c r="CT172" s="16">
        <v>0</v>
      </c>
      <c r="CU172" s="17">
        <v>0</v>
      </c>
      <c r="CV172" s="38"/>
    </row>
    <row r="173" spans="1:100" ht="15.75" x14ac:dyDescent="0.25">
      <c r="A173" s="13" t="s">
        <v>1</v>
      </c>
      <c r="B173" s="14" t="s">
        <v>1</v>
      </c>
      <c r="C173" s="14" t="s">
        <v>21</v>
      </c>
      <c r="D173" s="30" t="s">
        <v>199</v>
      </c>
      <c r="E173" s="15">
        <f>SUM(F173+BY173+CR173)</f>
        <v>35373903</v>
      </c>
      <c r="F173" s="16">
        <f>SUM(G173+BA173)</f>
        <v>34535209</v>
      </c>
      <c r="G173" s="16">
        <f>SUM(H173+I173+J173+Q173+T173+U173+V173+AE173)</f>
        <v>34531709</v>
      </c>
      <c r="H173" s="16">
        <f>20671741+1415800+4542039</f>
        <v>26629580</v>
      </c>
      <c r="I173" s="16">
        <f>4867013+1127317</f>
        <v>5994330</v>
      </c>
      <c r="J173" s="16">
        <f t="shared" si="222"/>
        <v>1510361</v>
      </c>
      <c r="K173" s="16">
        <v>1470863</v>
      </c>
      <c r="L173" s="16">
        <v>15565</v>
      </c>
      <c r="M173" s="16">
        <v>0</v>
      </c>
      <c r="N173" s="16">
        <v>0</v>
      </c>
      <c r="O173" s="16">
        <v>0</v>
      </c>
      <c r="P173" s="16">
        <v>23933</v>
      </c>
      <c r="Q173" s="16">
        <f t="shared" si="223"/>
        <v>0</v>
      </c>
      <c r="R173" s="16">
        <v>0</v>
      </c>
      <c r="S173" s="16">
        <v>0</v>
      </c>
      <c r="T173" s="16">
        <v>0</v>
      </c>
      <c r="U173" s="16">
        <v>62147</v>
      </c>
      <c r="V173" s="16">
        <f>SUM(W173:AD173)</f>
        <v>111160</v>
      </c>
      <c r="W173" s="16">
        <v>0</v>
      </c>
      <c r="X173" s="16">
        <v>51304</v>
      </c>
      <c r="Y173" s="16">
        <v>39915</v>
      </c>
      <c r="Z173" s="16">
        <v>10433</v>
      </c>
      <c r="AA173" s="16">
        <f>10009-501</f>
        <v>9508</v>
      </c>
      <c r="AB173" s="16">
        <v>0</v>
      </c>
      <c r="AC173" s="16">
        <v>0</v>
      </c>
      <c r="AD173" s="16">
        <v>0</v>
      </c>
      <c r="AE173" s="16">
        <f>SUM(AF173:AZ173)</f>
        <v>224131</v>
      </c>
      <c r="AF173" s="16">
        <v>0</v>
      </c>
      <c r="AG173" s="16">
        <v>832</v>
      </c>
      <c r="AH173" s="16">
        <v>19217</v>
      </c>
      <c r="AI173" s="16">
        <v>0</v>
      </c>
      <c r="AJ173" s="16">
        <v>3182</v>
      </c>
      <c r="AK173" s="16">
        <v>0</v>
      </c>
      <c r="AL173" s="16">
        <v>54498</v>
      </c>
      <c r="AM173" s="16">
        <v>28538</v>
      </c>
      <c r="AN173" s="16">
        <v>0</v>
      </c>
      <c r="AO173" s="16">
        <v>0</v>
      </c>
      <c r="AP173" s="16">
        <v>0</v>
      </c>
      <c r="AQ173" s="16">
        <v>0</v>
      </c>
      <c r="AR173" s="16">
        <v>18864</v>
      </c>
      <c r="AS173" s="16">
        <v>40000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59000</v>
      </c>
      <c r="BA173" s="16">
        <f>SUM(BB173+BF173+BI173+BK173+BM173)</f>
        <v>3500</v>
      </c>
      <c r="BB173" s="16">
        <f>SUM(BC173:BE173)</f>
        <v>0</v>
      </c>
      <c r="BC173" s="16">
        <v>0</v>
      </c>
      <c r="BD173" s="16">
        <v>0</v>
      </c>
      <c r="BE173" s="16">
        <v>0</v>
      </c>
      <c r="BF173" s="16">
        <f t="shared" si="224"/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f t="shared" si="225"/>
        <v>0</v>
      </c>
      <c r="BL173" s="16">
        <v>0</v>
      </c>
      <c r="BM173" s="16">
        <f t="shared" si="226"/>
        <v>3500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3500</v>
      </c>
      <c r="BY173" s="16">
        <f>SUM(BZ173+CQ173)</f>
        <v>838694</v>
      </c>
      <c r="BZ173" s="16">
        <f>SUM(CA173+CD173+CJ173)</f>
        <v>838694</v>
      </c>
      <c r="CA173" s="16">
        <f t="shared" si="227"/>
        <v>838694</v>
      </c>
      <c r="CB173" s="16">
        <v>0</v>
      </c>
      <c r="CC173" s="16">
        <v>838694</v>
      </c>
      <c r="CD173" s="16">
        <f>SUM(CE173:CH173)</f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f>SUM(CK173:CN173)</f>
        <v>0</v>
      </c>
      <c r="CK173" s="16"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f t="shared" si="228"/>
        <v>0</v>
      </c>
      <c r="CS173" s="16">
        <f t="shared" si="229"/>
        <v>0</v>
      </c>
      <c r="CT173" s="16">
        <v>0</v>
      </c>
      <c r="CU173" s="17">
        <v>0</v>
      </c>
      <c r="CV173" s="38"/>
    </row>
    <row r="174" spans="1:100" ht="31.5" x14ac:dyDescent="0.25">
      <c r="A174" s="13" t="s">
        <v>195</v>
      </c>
      <c r="B174" s="14" t="s">
        <v>15</v>
      </c>
      <c r="C174" s="14" t="s">
        <v>1</v>
      </c>
      <c r="D174" s="30" t="s">
        <v>200</v>
      </c>
      <c r="E174" s="15">
        <f t="shared" ref="E174:AJ174" si="276">SUM(E175:E176)</f>
        <v>31065394</v>
      </c>
      <c r="F174" s="16">
        <f t="shared" si="276"/>
        <v>31000922</v>
      </c>
      <c r="G174" s="16">
        <f t="shared" si="276"/>
        <v>30799259</v>
      </c>
      <c r="H174" s="16">
        <f t="shared" si="276"/>
        <v>20263063</v>
      </c>
      <c r="I174" s="16">
        <f t="shared" si="276"/>
        <v>4703044</v>
      </c>
      <c r="J174" s="16">
        <f t="shared" si="276"/>
        <v>4937298</v>
      </c>
      <c r="K174" s="16">
        <f t="shared" si="276"/>
        <v>3692635</v>
      </c>
      <c r="L174" s="16">
        <f t="shared" si="276"/>
        <v>212545</v>
      </c>
      <c r="M174" s="16">
        <f t="shared" si="276"/>
        <v>547190</v>
      </c>
      <c r="N174" s="16">
        <f t="shared" si="276"/>
        <v>0</v>
      </c>
      <c r="O174" s="16">
        <f t="shared" si="276"/>
        <v>398040</v>
      </c>
      <c r="P174" s="16">
        <f t="shared" si="276"/>
        <v>86888</v>
      </c>
      <c r="Q174" s="16">
        <f t="shared" si="276"/>
        <v>1022</v>
      </c>
      <c r="R174" s="16">
        <f t="shared" si="276"/>
        <v>0</v>
      </c>
      <c r="S174" s="16">
        <f t="shared" si="276"/>
        <v>1022</v>
      </c>
      <c r="T174" s="16">
        <f t="shared" si="276"/>
        <v>0</v>
      </c>
      <c r="U174" s="16">
        <f t="shared" si="276"/>
        <v>180102</v>
      </c>
      <c r="V174" s="16">
        <f t="shared" si="276"/>
        <v>352776</v>
      </c>
      <c r="W174" s="16">
        <f t="shared" si="276"/>
        <v>19620</v>
      </c>
      <c r="X174" s="16">
        <f t="shared" si="276"/>
        <v>201545</v>
      </c>
      <c r="Y174" s="16">
        <f t="shared" si="276"/>
        <v>49946</v>
      </c>
      <c r="Z174" s="16">
        <f t="shared" si="276"/>
        <v>39212</v>
      </c>
      <c r="AA174" s="16">
        <f t="shared" si="276"/>
        <v>27788</v>
      </c>
      <c r="AB174" s="16">
        <f t="shared" si="276"/>
        <v>0</v>
      </c>
      <c r="AC174" s="16">
        <f t="shared" si="276"/>
        <v>0</v>
      </c>
      <c r="AD174" s="16">
        <f t="shared" ref="AD174" si="277">SUM(AD175:AD176)</f>
        <v>14665</v>
      </c>
      <c r="AE174" s="16">
        <f t="shared" si="276"/>
        <v>361954</v>
      </c>
      <c r="AF174" s="16">
        <f t="shared" si="276"/>
        <v>0</v>
      </c>
      <c r="AG174" s="16">
        <f t="shared" si="276"/>
        <v>625</v>
      </c>
      <c r="AH174" s="16">
        <f t="shared" si="276"/>
        <v>120328</v>
      </c>
      <c r="AI174" s="16">
        <f t="shared" si="276"/>
        <v>0</v>
      </c>
      <c r="AJ174" s="16">
        <f t="shared" si="276"/>
        <v>12729</v>
      </c>
      <c r="AK174" s="16">
        <f t="shared" ref="AK174:BR174" si="278">SUM(AK175:AK176)</f>
        <v>0</v>
      </c>
      <c r="AL174" s="16">
        <f t="shared" si="278"/>
        <v>77563</v>
      </c>
      <c r="AM174" s="16">
        <f t="shared" si="278"/>
        <v>0</v>
      </c>
      <c r="AN174" s="16">
        <f t="shared" si="278"/>
        <v>0</v>
      </c>
      <c r="AO174" s="16">
        <f t="shared" si="278"/>
        <v>0</v>
      </c>
      <c r="AP174" s="16">
        <f>SUM(AP175:AP176)</f>
        <v>0</v>
      </c>
      <c r="AQ174" s="16">
        <f t="shared" si="278"/>
        <v>0</v>
      </c>
      <c r="AR174" s="16">
        <f t="shared" si="278"/>
        <v>0</v>
      </c>
      <c r="AS174" s="16">
        <f t="shared" si="278"/>
        <v>14400</v>
      </c>
      <c r="AT174" s="16">
        <f t="shared" si="278"/>
        <v>0</v>
      </c>
      <c r="AU174" s="16">
        <f t="shared" si="278"/>
        <v>103784</v>
      </c>
      <c r="AV174" s="16">
        <f t="shared" si="278"/>
        <v>0</v>
      </c>
      <c r="AW174" s="16">
        <f t="shared" si="278"/>
        <v>0</v>
      </c>
      <c r="AX174" s="16">
        <f t="shared" si="278"/>
        <v>0</v>
      </c>
      <c r="AY174" s="16">
        <f t="shared" si="278"/>
        <v>0</v>
      </c>
      <c r="AZ174" s="16">
        <f t="shared" si="278"/>
        <v>32525</v>
      </c>
      <c r="BA174" s="16">
        <f t="shared" si="278"/>
        <v>201663</v>
      </c>
      <c r="BB174" s="16">
        <f t="shared" si="278"/>
        <v>0</v>
      </c>
      <c r="BC174" s="16">
        <f t="shared" si="278"/>
        <v>0</v>
      </c>
      <c r="BD174" s="16">
        <f t="shared" si="278"/>
        <v>0</v>
      </c>
      <c r="BE174" s="16">
        <f t="shared" si="278"/>
        <v>0</v>
      </c>
      <c r="BF174" s="16">
        <f t="shared" si="278"/>
        <v>0</v>
      </c>
      <c r="BG174" s="16">
        <f t="shared" si="278"/>
        <v>0</v>
      </c>
      <c r="BH174" s="16">
        <f t="shared" si="278"/>
        <v>0</v>
      </c>
      <c r="BI174" s="16">
        <f t="shared" si="278"/>
        <v>0</v>
      </c>
      <c r="BJ174" s="16">
        <f t="shared" si="278"/>
        <v>0</v>
      </c>
      <c r="BK174" s="16">
        <f t="shared" si="278"/>
        <v>0</v>
      </c>
      <c r="BL174" s="16">
        <f t="shared" si="278"/>
        <v>0</v>
      </c>
      <c r="BM174" s="16">
        <f t="shared" si="278"/>
        <v>201663</v>
      </c>
      <c r="BN174" s="16">
        <f t="shared" si="278"/>
        <v>0</v>
      </c>
      <c r="BO174" s="16">
        <f t="shared" si="278"/>
        <v>0</v>
      </c>
      <c r="BP174" s="16">
        <f t="shared" si="278"/>
        <v>0</v>
      </c>
      <c r="BQ174" s="16">
        <f t="shared" si="278"/>
        <v>0</v>
      </c>
      <c r="BR174" s="16">
        <f t="shared" si="278"/>
        <v>0</v>
      </c>
      <c r="BS174" s="16">
        <f t="shared" ref="BS174:CU174" si="279">SUM(BS175:BS176)</f>
        <v>0</v>
      </c>
      <c r="BT174" s="16">
        <f t="shared" si="279"/>
        <v>0</v>
      </c>
      <c r="BU174" s="16">
        <f t="shared" si="279"/>
        <v>0</v>
      </c>
      <c r="BV174" s="16">
        <f t="shared" si="279"/>
        <v>0</v>
      </c>
      <c r="BW174" s="16">
        <f t="shared" si="279"/>
        <v>0</v>
      </c>
      <c r="BX174" s="16">
        <f t="shared" si="279"/>
        <v>201663</v>
      </c>
      <c r="BY174" s="16">
        <f t="shared" si="279"/>
        <v>64472</v>
      </c>
      <c r="BZ174" s="16">
        <f t="shared" si="279"/>
        <v>64472</v>
      </c>
      <c r="CA174" s="16">
        <f t="shared" si="279"/>
        <v>64472</v>
      </c>
      <c r="CB174" s="16">
        <f t="shared" si="279"/>
        <v>0</v>
      </c>
      <c r="CC174" s="16">
        <f t="shared" si="279"/>
        <v>64472</v>
      </c>
      <c r="CD174" s="16">
        <f t="shared" si="279"/>
        <v>0</v>
      </c>
      <c r="CE174" s="16">
        <f t="shared" si="279"/>
        <v>0</v>
      </c>
      <c r="CF174" s="16">
        <f t="shared" si="279"/>
        <v>0</v>
      </c>
      <c r="CG174" s="16">
        <f t="shared" si="279"/>
        <v>0</v>
      </c>
      <c r="CH174" s="16">
        <f t="shared" si="279"/>
        <v>0</v>
      </c>
      <c r="CI174" s="16">
        <f t="shared" ref="CI174" si="280">SUM(CI175:CI176)</f>
        <v>0</v>
      </c>
      <c r="CJ174" s="16">
        <f t="shared" si="279"/>
        <v>0</v>
      </c>
      <c r="CK174" s="16">
        <f t="shared" si="279"/>
        <v>0</v>
      </c>
      <c r="CL174" s="16">
        <f t="shared" si="279"/>
        <v>0</v>
      </c>
      <c r="CM174" s="16">
        <f t="shared" si="279"/>
        <v>0</v>
      </c>
      <c r="CN174" s="16">
        <f t="shared" si="279"/>
        <v>0</v>
      </c>
      <c r="CO174" s="16">
        <f t="shared" si="279"/>
        <v>0</v>
      </c>
      <c r="CP174" s="16">
        <f t="shared" si="279"/>
        <v>0</v>
      </c>
      <c r="CQ174" s="16">
        <f t="shared" si="279"/>
        <v>0</v>
      </c>
      <c r="CR174" s="16">
        <f t="shared" si="279"/>
        <v>0</v>
      </c>
      <c r="CS174" s="16">
        <f t="shared" si="279"/>
        <v>0</v>
      </c>
      <c r="CT174" s="16">
        <f t="shared" si="279"/>
        <v>0</v>
      </c>
      <c r="CU174" s="17">
        <f t="shared" si="279"/>
        <v>0</v>
      </c>
      <c r="CV174" s="38"/>
    </row>
    <row r="175" spans="1:100" ht="15.75" x14ac:dyDescent="0.25">
      <c r="A175" s="13" t="s">
        <v>1</v>
      </c>
      <c r="B175" s="14" t="s">
        <v>1</v>
      </c>
      <c r="C175" s="14" t="s">
        <v>19</v>
      </c>
      <c r="D175" s="30" t="s">
        <v>201</v>
      </c>
      <c r="E175" s="15">
        <f>SUM(F175+BY175+CR175)</f>
        <v>5827895</v>
      </c>
      <c r="F175" s="16">
        <f>SUM(G175+BA175)</f>
        <v>5769922</v>
      </c>
      <c r="G175" s="16">
        <f>SUM(H175+I175+J175+Q175+T175+U175+V175+AE175)</f>
        <v>5568259</v>
      </c>
      <c r="H175" s="16">
        <v>3425414</v>
      </c>
      <c r="I175" s="16">
        <v>794609</v>
      </c>
      <c r="J175" s="16">
        <f t="shared" si="222"/>
        <v>1036281</v>
      </c>
      <c r="K175" s="16">
        <v>137700</v>
      </c>
      <c r="L175" s="16">
        <v>193450</v>
      </c>
      <c r="M175" s="16">
        <v>547190</v>
      </c>
      <c r="N175" s="16">
        <v>0</v>
      </c>
      <c r="O175" s="16">
        <v>95109</v>
      </c>
      <c r="P175" s="16">
        <v>62832</v>
      </c>
      <c r="Q175" s="16">
        <f t="shared" si="223"/>
        <v>1022</v>
      </c>
      <c r="R175" s="16">
        <v>0</v>
      </c>
      <c r="S175" s="16">
        <v>1022</v>
      </c>
      <c r="T175" s="16">
        <v>0</v>
      </c>
      <c r="U175" s="16">
        <v>13292</v>
      </c>
      <c r="V175" s="16">
        <f>SUM(W175:AD175)</f>
        <v>94258</v>
      </c>
      <c r="W175" s="16">
        <v>19620</v>
      </c>
      <c r="X175" s="16">
        <v>0</v>
      </c>
      <c r="Y175" s="16">
        <v>28948</v>
      </c>
      <c r="Z175" s="16">
        <v>25906</v>
      </c>
      <c r="AA175" s="16">
        <v>6522</v>
      </c>
      <c r="AB175" s="16">
        <v>0</v>
      </c>
      <c r="AC175" s="16">
        <v>0</v>
      </c>
      <c r="AD175" s="16">
        <v>13262</v>
      </c>
      <c r="AE175" s="16">
        <f>SUM(AF175:AZ175)</f>
        <v>203383</v>
      </c>
      <c r="AF175" s="16">
        <v>0</v>
      </c>
      <c r="AG175" s="16">
        <v>625</v>
      </c>
      <c r="AH175" s="16">
        <v>16204</v>
      </c>
      <c r="AI175" s="16">
        <v>0</v>
      </c>
      <c r="AJ175" s="16">
        <v>1591</v>
      </c>
      <c r="AK175" s="16">
        <v>0</v>
      </c>
      <c r="AL175" s="16">
        <v>34254</v>
      </c>
      <c r="AM175" s="16">
        <v>0</v>
      </c>
      <c r="AN175" s="16">
        <v>0</v>
      </c>
      <c r="AO175" s="16">
        <v>0</v>
      </c>
      <c r="AP175" s="16">
        <v>0</v>
      </c>
      <c r="AQ175" s="16">
        <v>0</v>
      </c>
      <c r="AR175" s="16">
        <v>0</v>
      </c>
      <c r="AS175" s="16">
        <v>14400</v>
      </c>
      <c r="AT175" s="16">
        <v>0</v>
      </c>
      <c r="AU175" s="16">
        <v>103784</v>
      </c>
      <c r="AV175" s="16">
        <v>0</v>
      </c>
      <c r="AW175" s="16">
        <v>0</v>
      </c>
      <c r="AX175" s="16">
        <v>0</v>
      </c>
      <c r="AY175" s="16">
        <v>0</v>
      </c>
      <c r="AZ175" s="16">
        <v>32525</v>
      </c>
      <c r="BA175" s="16">
        <f>SUM(BB175+BF175+BI175+BK175+BM175)</f>
        <v>201663</v>
      </c>
      <c r="BB175" s="16">
        <f>SUM(BC175:BE175)</f>
        <v>0</v>
      </c>
      <c r="BC175" s="16">
        <v>0</v>
      </c>
      <c r="BD175" s="16">
        <v>0</v>
      </c>
      <c r="BE175" s="16">
        <v>0</v>
      </c>
      <c r="BF175" s="16">
        <f t="shared" si="224"/>
        <v>0</v>
      </c>
      <c r="BG175" s="16">
        <v>0</v>
      </c>
      <c r="BH175" s="16">
        <v>0</v>
      </c>
      <c r="BI175" s="16">
        <v>0</v>
      </c>
      <c r="BJ175" s="16">
        <v>0</v>
      </c>
      <c r="BK175" s="16">
        <f t="shared" si="225"/>
        <v>0</v>
      </c>
      <c r="BL175" s="16">
        <v>0</v>
      </c>
      <c r="BM175" s="16">
        <f t="shared" si="226"/>
        <v>201663</v>
      </c>
      <c r="BN175" s="16">
        <v>0</v>
      </c>
      <c r="BO175" s="16">
        <v>0</v>
      </c>
      <c r="BP175" s="16">
        <v>0</v>
      </c>
      <c r="BQ175" s="16">
        <v>0</v>
      </c>
      <c r="BR175" s="16">
        <v>0</v>
      </c>
      <c r="BS175" s="16">
        <v>0</v>
      </c>
      <c r="BT175" s="16">
        <v>0</v>
      </c>
      <c r="BU175" s="16">
        <v>0</v>
      </c>
      <c r="BV175" s="16">
        <v>0</v>
      </c>
      <c r="BW175" s="16">
        <v>0</v>
      </c>
      <c r="BX175" s="16">
        <v>201663</v>
      </c>
      <c r="BY175" s="16">
        <f>SUM(BZ175+CQ175)</f>
        <v>57973</v>
      </c>
      <c r="BZ175" s="16">
        <f>SUM(CA175+CD175+CJ175)</f>
        <v>57973</v>
      </c>
      <c r="CA175" s="16">
        <f t="shared" si="227"/>
        <v>57973</v>
      </c>
      <c r="CB175" s="16">
        <v>0</v>
      </c>
      <c r="CC175" s="16">
        <v>57973</v>
      </c>
      <c r="CD175" s="16">
        <f>SUM(CE175:CH175)</f>
        <v>0</v>
      </c>
      <c r="CE175" s="16">
        <v>0</v>
      </c>
      <c r="CF175" s="16">
        <v>0</v>
      </c>
      <c r="CG175" s="16">
        <v>0</v>
      </c>
      <c r="CH175" s="16">
        <v>0</v>
      </c>
      <c r="CI175" s="16">
        <v>0</v>
      </c>
      <c r="CJ175" s="16">
        <f>SUM(CK175:CN175)</f>
        <v>0</v>
      </c>
      <c r="CK175" s="16">
        <v>0</v>
      </c>
      <c r="CL175" s="16">
        <v>0</v>
      </c>
      <c r="CM175" s="16">
        <v>0</v>
      </c>
      <c r="CN175" s="16">
        <v>0</v>
      </c>
      <c r="CO175" s="16">
        <v>0</v>
      </c>
      <c r="CP175" s="16">
        <v>0</v>
      </c>
      <c r="CQ175" s="16">
        <v>0</v>
      </c>
      <c r="CR175" s="16">
        <f t="shared" si="228"/>
        <v>0</v>
      </c>
      <c r="CS175" s="16">
        <f t="shared" si="229"/>
        <v>0</v>
      </c>
      <c r="CT175" s="16">
        <v>0</v>
      </c>
      <c r="CU175" s="17">
        <v>0</v>
      </c>
      <c r="CV175" s="38"/>
    </row>
    <row r="176" spans="1:100" ht="15.75" x14ac:dyDescent="0.25">
      <c r="A176" s="13" t="s">
        <v>1</v>
      </c>
      <c r="B176" s="14" t="s">
        <v>1</v>
      </c>
      <c r="C176" s="14" t="s">
        <v>21</v>
      </c>
      <c r="D176" s="30" t="s">
        <v>202</v>
      </c>
      <c r="E176" s="15">
        <f>SUM(F176+BY176+CR176)</f>
        <v>25237499</v>
      </c>
      <c r="F176" s="16">
        <f>SUM(G176+BA176)</f>
        <v>25231000</v>
      </c>
      <c r="G176" s="16">
        <f>SUM(H176+I176+J176+Q176+T176+U176+V176+AE176)</f>
        <v>25231000</v>
      </c>
      <c r="H176" s="16">
        <f>15812380+347150+678119</f>
        <v>16837649</v>
      </c>
      <c r="I176" s="16">
        <f>3739655+168780</f>
        <v>3908435</v>
      </c>
      <c r="J176" s="16">
        <f t="shared" si="222"/>
        <v>3901017</v>
      </c>
      <c r="K176" s="16">
        <v>3554935</v>
      </c>
      <c r="L176" s="16">
        <v>19095</v>
      </c>
      <c r="M176" s="16">
        <v>0</v>
      </c>
      <c r="N176" s="16">
        <v>0</v>
      </c>
      <c r="O176" s="16">
        <v>302931</v>
      </c>
      <c r="P176" s="16">
        <v>24056</v>
      </c>
      <c r="Q176" s="16">
        <f t="shared" si="223"/>
        <v>0</v>
      </c>
      <c r="R176" s="16">
        <v>0</v>
      </c>
      <c r="S176" s="16">
        <v>0</v>
      </c>
      <c r="T176" s="16">
        <v>0</v>
      </c>
      <c r="U176" s="16">
        <v>166810</v>
      </c>
      <c r="V176" s="16">
        <f>SUM(W176:AD176)</f>
        <v>258518</v>
      </c>
      <c r="W176" s="16">
        <v>0</v>
      </c>
      <c r="X176" s="16">
        <v>201545</v>
      </c>
      <c r="Y176" s="16">
        <v>20998</v>
      </c>
      <c r="Z176" s="16">
        <v>13306</v>
      </c>
      <c r="AA176" s="16">
        <v>21266</v>
      </c>
      <c r="AB176" s="16">
        <v>0</v>
      </c>
      <c r="AC176" s="16">
        <v>0</v>
      </c>
      <c r="AD176" s="16">
        <v>1403</v>
      </c>
      <c r="AE176" s="16">
        <f>SUM(AF176:AZ176)</f>
        <v>158571</v>
      </c>
      <c r="AF176" s="16">
        <v>0</v>
      </c>
      <c r="AG176" s="16">
        <v>0</v>
      </c>
      <c r="AH176" s="16">
        <v>104124</v>
      </c>
      <c r="AI176" s="16">
        <v>0</v>
      </c>
      <c r="AJ176" s="16">
        <v>11138</v>
      </c>
      <c r="AK176" s="16">
        <v>0</v>
      </c>
      <c r="AL176" s="16">
        <v>43309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f>SUM(BB176+BF176+BI176+BK176+BM176)</f>
        <v>0</v>
      </c>
      <c r="BB176" s="16">
        <f>SUM(BC176:BE176)</f>
        <v>0</v>
      </c>
      <c r="BC176" s="16">
        <v>0</v>
      </c>
      <c r="BD176" s="16">
        <v>0</v>
      </c>
      <c r="BE176" s="16">
        <v>0</v>
      </c>
      <c r="BF176" s="16">
        <f t="shared" si="224"/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f t="shared" si="225"/>
        <v>0</v>
      </c>
      <c r="BL176" s="16">
        <v>0</v>
      </c>
      <c r="BM176" s="16">
        <f t="shared" si="226"/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f>SUM(BZ176+CQ176)</f>
        <v>6499</v>
      </c>
      <c r="BZ176" s="16">
        <f>SUM(CA176+CD176+CJ176)</f>
        <v>6499</v>
      </c>
      <c r="CA176" s="16">
        <f t="shared" si="227"/>
        <v>6499</v>
      </c>
      <c r="CB176" s="16">
        <v>0</v>
      </c>
      <c r="CC176" s="16">
        <v>6499</v>
      </c>
      <c r="CD176" s="16">
        <f>SUM(CE176:CH176)</f>
        <v>0</v>
      </c>
      <c r="CE176" s="16">
        <v>0</v>
      </c>
      <c r="CF176" s="16">
        <v>0</v>
      </c>
      <c r="CG176" s="16">
        <v>0</v>
      </c>
      <c r="CH176" s="16">
        <v>0</v>
      </c>
      <c r="CI176" s="16">
        <v>0</v>
      </c>
      <c r="CJ176" s="16">
        <f>SUM(CK176:CN176)</f>
        <v>0</v>
      </c>
      <c r="CK176" s="16">
        <v>0</v>
      </c>
      <c r="CL176" s="16">
        <v>0</v>
      </c>
      <c r="CM176" s="16">
        <v>0</v>
      </c>
      <c r="CN176" s="16">
        <v>0</v>
      </c>
      <c r="CO176" s="16">
        <v>0</v>
      </c>
      <c r="CP176" s="16">
        <v>0</v>
      </c>
      <c r="CQ176" s="16">
        <v>0</v>
      </c>
      <c r="CR176" s="16">
        <f t="shared" si="228"/>
        <v>0</v>
      </c>
      <c r="CS176" s="16">
        <f t="shared" si="229"/>
        <v>0</v>
      </c>
      <c r="CT176" s="16">
        <v>0</v>
      </c>
      <c r="CU176" s="17">
        <v>0</v>
      </c>
      <c r="CV176" s="38"/>
    </row>
    <row r="177" spans="1:100" ht="31.5" x14ac:dyDescent="0.25">
      <c r="A177" s="13" t="s">
        <v>195</v>
      </c>
      <c r="B177" s="14" t="s">
        <v>47</v>
      </c>
      <c r="C177" s="14" t="s">
        <v>1</v>
      </c>
      <c r="D177" s="30" t="s">
        <v>203</v>
      </c>
      <c r="E177" s="15">
        <f>SUM(E178)</f>
        <v>39714257</v>
      </c>
      <c r="F177" s="16">
        <f t="shared" ref="F177:BS177" si="281">SUM(F178)</f>
        <v>39714257</v>
      </c>
      <c r="G177" s="16">
        <f t="shared" si="281"/>
        <v>39714257</v>
      </c>
      <c r="H177" s="16">
        <f t="shared" si="281"/>
        <v>0</v>
      </c>
      <c r="I177" s="16">
        <f t="shared" si="281"/>
        <v>0</v>
      </c>
      <c r="J177" s="16">
        <f t="shared" si="281"/>
        <v>38016937</v>
      </c>
      <c r="K177" s="16">
        <f t="shared" si="281"/>
        <v>38016937</v>
      </c>
      <c r="L177" s="16">
        <f t="shared" si="281"/>
        <v>0</v>
      </c>
      <c r="M177" s="16">
        <f t="shared" si="281"/>
        <v>0</v>
      </c>
      <c r="N177" s="16">
        <f t="shared" si="281"/>
        <v>0</v>
      </c>
      <c r="O177" s="16">
        <f t="shared" si="281"/>
        <v>0</v>
      </c>
      <c r="P177" s="16">
        <f t="shared" si="281"/>
        <v>0</v>
      </c>
      <c r="Q177" s="16">
        <f t="shared" si="281"/>
        <v>0</v>
      </c>
      <c r="R177" s="16">
        <f t="shared" si="281"/>
        <v>0</v>
      </c>
      <c r="S177" s="16">
        <f t="shared" si="281"/>
        <v>0</v>
      </c>
      <c r="T177" s="16">
        <f t="shared" si="281"/>
        <v>0</v>
      </c>
      <c r="U177" s="16">
        <f t="shared" si="281"/>
        <v>0</v>
      </c>
      <c r="V177" s="16">
        <f t="shared" si="281"/>
        <v>0</v>
      </c>
      <c r="W177" s="16">
        <f t="shared" si="281"/>
        <v>0</v>
      </c>
      <c r="X177" s="16">
        <f t="shared" si="281"/>
        <v>0</v>
      </c>
      <c r="Y177" s="16">
        <f t="shared" si="281"/>
        <v>0</v>
      </c>
      <c r="Z177" s="16">
        <f t="shared" si="281"/>
        <v>0</v>
      </c>
      <c r="AA177" s="16">
        <f t="shared" si="281"/>
        <v>0</v>
      </c>
      <c r="AB177" s="16">
        <f t="shared" si="281"/>
        <v>0</v>
      </c>
      <c r="AC177" s="16">
        <f t="shared" si="281"/>
        <v>0</v>
      </c>
      <c r="AD177" s="16">
        <f t="shared" si="281"/>
        <v>0</v>
      </c>
      <c r="AE177" s="16">
        <f t="shared" si="281"/>
        <v>1697320</v>
      </c>
      <c r="AF177" s="16">
        <f t="shared" si="281"/>
        <v>0</v>
      </c>
      <c r="AG177" s="16">
        <f t="shared" si="281"/>
        <v>0</v>
      </c>
      <c r="AH177" s="16">
        <f t="shared" si="281"/>
        <v>0</v>
      </c>
      <c r="AI177" s="16">
        <f t="shared" si="281"/>
        <v>0</v>
      </c>
      <c r="AJ177" s="16">
        <f t="shared" si="281"/>
        <v>0</v>
      </c>
      <c r="AK177" s="16">
        <f t="shared" si="281"/>
        <v>0</v>
      </c>
      <c r="AL177" s="16">
        <f t="shared" si="281"/>
        <v>0</v>
      </c>
      <c r="AM177" s="16">
        <f t="shared" si="281"/>
        <v>0</v>
      </c>
      <c r="AN177" s="16">
        <f t="shared" si="281"/>
        <v>0</v>
      </c>
      <c r="AO177" s="16">
        <f t="shared" si="281"/>
        <v>0</v>
      </c>
      <c r="AP177" s="16">
        <f t="shared" si="281"/>
        <v>0</v>
      </c>
      <c r="AQ177" s="16">
        <f t="shared" si="281"/>
        <v>0</v>
      </c>
      <c r="AR177" s="16">
        <f t="shared" si="281"/>
        <v>0</v>
      </c>
      <c r="AS177" s="16">
        <f t="shared" si="281"/>
        <v>0</v>
      </c>
      <c r="AT177" s="16">
        <f t="shared" si="281"/>
        <v>0</v>
      </c>
      <c r="AU177" s="16">
        <f t="shared" si="281"/>
        <v>0</v>
      </c>
      <c r="AV177" s="16">
        <f t="shared" si="281"/>
        <v>1697320</v>
      </c>
      <c r="AW177" s="16">
        <f t="shared" si="281"/>
        <v>0</v>
      </c>
      <c r="AX177" s="16">
        <f t="shared" si="281"/>
        <v>0</v>
      </c>
      <c r="AY177" s="16">
        <f t="shared" si="281"/>
        <v>0</v>
      </c>
      <c r="AZ177" s="16">
        <f t="shared" si="281"/>
        <v>0</v>
      </c>
      <c r="BA177" s="16">
        <f t="shared" si="281"/>
        <v>0</v>
      </c>
      <c r="BB177" s="16">
        <f t="shared" si="281"/>
        <v>0</v>
      </c>
      <c r="BC177" s="16">
        <f t="shared" si="281"/>
        <v>0</v>
      </c>
      <c r="BD177" s="16">
        <f t="shared" si="281"/>
        <v>0</v>
      </c>
      <c r="BE177" s="16">
        <f t="shared" si="281"/>
        <v>0</v>
      </c>
      <c r="BF177" s="16">
        <f t="shared" si="281"/>
        <v>0</v>
      </c>
      <c r="BG177" s="16">
        <f t="shared" si="281"/>
        <v>0</v>
      </c>
      <c r="BH177" s="16">
        <f t="shared" si="281"/>
        <v>0</v>
      </c>
      <c r="BI177" s="16">
        <f t="shared" si="281"/>
        <v>0</v>
      </c>
      <c r="BJ177" s="16">
        <f t="shared" si="281"/>
        <v>0</v>
      </c>
      <c r="BK177" s="16">
        <f t="shared" si="281"/>
        <v>0</v>
      </c>
      <c r="BL177" s="16">
        <f t="shared" si="281"/>
        <v>0</v>
      </c>
      <c r="BM177" s="16">
        <f t="shared" si="281"/>
        <v>0</v>
      </c>
      <c r="BN177" s="16">
        <f t="shared" si="281"/>
        <v>0</v>
      </c>
      <c r="BO177" s="16">
        <f t="shared" si="281"/>
        <v>0</v>
      </c>
      <c r="BP177" s="16">
        <f t="shared" si="281"/>
        <v>0</v>
      </c>
      <c r="BQ177" s="16">
        <f t="shared" si="281"/>
        <v>0</v>
      </c>
      <c r="BR177" s="16">
        <f t="shared" si="281"/>
        <v>0</v>
      </c>
      <c r="BS177" s="16">
        <f t="shared" si="281"/>
        <v>0</v>
      </c>
      <c r="BT177" s="16">
        <f t="shared" ref="BT177:CU177" si="282">SUM(BT178)</f>
        <v>0</v>
      </c>
      <c r="BU177" s="16">
        <f t="shared" si="282"/>
        <v>0</v>
      </c>
      <c r="BV177" s="16">
        <f t="shared" si="282"/>
        <v>0</v>
      </c>
      <c r="BW177" s="16">
        <f t="shared" si="282"/>
        <v>0</v>
      </c>
      <c r="BX177" s="16">
        <f t="shared" si="282"/>
        <v>0</v>
      </c>
      <c r="BY177" s="16">
        <f t="shared" si="282"/>
        <v>0</v>
      </c>
      <c r="BZ177" s="16">
        <f t="shared" si="282"/>
        <v>0</v>
      </c>
      <c r="CA177" s="16">
        <f t="shared" si="282"/>
        <v>0</v>
      </c>
      <c r="CB177" s="16">
        <f t="shared" si="282"/>
        <v>0</v>
      </c>
      <c r="CC177" s="16">
        <f t="shared" si="282"/>
        <v>0</v>
      </c>
      <c r="CD177" s="16">
        <f t="shared" si="282"/>
        <v>0</v>
      </c>
      <c r="CE177" s="16">
        <f t="shared" si="282"/>
        <v>0</v>
      </c>
      <c r="CF177" s="16">
        <f t="shared" si="282"/>
        <v>0</v>
      </c>
      <c r="CG177" s="16">
        <f t="shared" si="282"/>
        <v>0</v>
      </c>
      <c r="CH177" s="16">
        <f t="shared" si="282"/>
        <v>0</v>
      </c>
      <c r="CI177" s="16">
        <f t="shared" si="282"/>
        <v>0</v>
      </c>
      <c r="CJ177" s="16">
        <f t="shared" si="282"/>
        <v>0</v>
      </c>
      <c r="CK177" s="16">
        <f t="shared" si="282"/>
        <v>0</v>
      </c>
      <c r="CL177" s="16">
        <f t="shared" si="282"/>
        <v>0</v>
      </c>
      <c r="CM177" s="16">
        <f t="shared" si="282"/>
        <v>0</v>
      </c>
      <c r="CN177" s="16">
        <f t="shared" si="282"/>
        <v>0</v>
      </c>
      <c r="CO177" s="16">
        <f t="shared" si="282"/>
        <v>0</v>
      </c>
      <c r="CP177" s="16">
        <f t="shared" si="282"/>
        <v>0</v>
      </c>
      <c r="CQ177" s="16">
        <f t="shared" si="282"/>
        <v>0</v>
      </c>
      <c r="CR177" s="16">
        <f t="shared" si="282"/>
        <v>0</v>
      </c>
      <c r="CS177" s="16">
        <f t="shared" si="282"/>
        <v>0</v>
      </c>
      <c r="CT177" s="16">
        <f t="shared" si="282"/>
        <v>0</v>
      </c>
      <c r="CU177" s="17">
        <f t="shared" si="282"/>
        <v>0</v>
      </c>
      <c r="CV177" s="38"/>
    </row>
    <row r="178" spans="1:100" ht="31.5" x14ac:dyDescent="0.25">
      <c r="A178" s="13" t="s">
        <v>1</v>
      </c>
      <c r="B178" s="14" t="s">
        <v>1</v>
      </c>
      <c r="C178" s="14" t="s">
        <v>21</v>
      </c>
      <c r="D178" s="30" t="s">
        <v>204</v>
      </c>
      <c r="E178" s="15">
        <f>SUM(F178+BY178+CR178)</f>
        <v>39714257</v>
      </c>
      <c r="F178" s="16">
        <f>SUM(G178+BA178)</f>
        <v>39714257</v>
      </c>
      <c r="G178" s="16">
        <f>SUM(H178+I178+J178+Q178+T178+U178+V178+AE178)</f>
        <v>39714257</v>
      </c>
      <c r="H178" s="16">
        <v>0</v>
      </c>
      <c r="I178" s="16">
        <v>0</v>
      </c>
      <c r="J178" s="16">
        <f t="shared" si="222"/>
        <v>38016937</v>
      </c>
      <c r="K178" s="16">
        <v>38016937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f t="shared" si="223"/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f>SUM(W178:AD178)</f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f>SUM(AF178:AZ178)</f>
        <v>1697320</v>
      </c>
      <c r="AF178" s="16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6">
        <v>0</v>
      </c>
      <c r="AM178" s="16">
        <v>0</v>
      </c>
      <c r="AN178" s="16">
        <v>0</v>
      </c>
      <c r="AO178" s="16">
        <v>0</v>
      </c>
      <c r="AP178" s="16">
        <v>0</v>
      </c>
      <c r="AQ178" s="16">
        <v>0</v>
      </c>
      <c r="AR178" s="16">
        <v>0</v>
      </c>
      <c r="AS178" s="16">
        <v>0</v>
      </c>
      <c r="AT178" s="16">
        <v>0</v>
      </c>
      <c r="AU178" s="16">
        <v>0</v>
      </c>
      <c r="AV178" s="16">
        <f>4387320-2690000</f>
        <v>1697320</v>
      </c>
      <c r="AW178" s="16">
        <v>0</v>
      </c>
      <c r="AX178" s="16">
        <v>0</v>
      </c>
      <c r="AY178" s="16">
        <v>0</v>
      </c>
      <c r="AZ178" s="16">
        <v>0</v>
      </c>
      <c r="BA178" s="16">
        <f>SUM(BB178+BF178+BI178+BK178+BM178)</f>
        <v>0</v>
      </c>
      <c r="BB178" s="16">
        <f>SUM(BC178:BE178)</f>
        <v>0</v>
      </c>
      <c r="BC178" s="16">
        <v>0</v>
      </c>
      <c r="BD178" s="16">
        <v>0</v>
      </c>
      <c r="BE178" s="16">
        <v>0</v>
      </c>
      <c r="BF178" s="16">
        <f t="shared" si="224"/>
        <v>0</v>
      </c>
      <c r="BG178" s="16">
        <v>0</v>
      </c>
      <c r="BH178" s="16">
        <v>0</v>
      </c>
      <c r="BI178" s="16">
        <v>0</v>
      </c>
      <c r="BJ178" s="16">
        <v>0</v>
      </c>
      <c r="BK178" s="16">
        <f t="shared" si="225"/>
        <v>0</v>
      </c>
      <c r="BL178" s="16">
        <v>0</v>
      </c>
      <c r="BM178" s="16">
        <f t="shared" si="226"/>
        <v>0</v>
      </c>
      <c r="BN178" s="16">
        <v>0</v>
      </c>
      <c r="BO178" s="16">
        <v>0</v>
      </c>
      <c r="BP178" s="16">
        <v>0</v>
      </c>
      <c r="BQ178" s="16">
        <v>0</v>
      </c>
      <c r="BR178" s="16">
        <v>0</v>
      </c>
      <c r="BS178" s="16">
        <v>0</v>
      </c>
      <c r="BT178" s="16">
        <v>0</v>
      </c>
      <c r="BU178" s="16">
        <v>0</v>
      </c>
      <c r="BV178" s="16">
        <v>0</v>
      </c>
      <c r="BW178" s="16">
        <v>0</v>
      </c>
      <c r="BX178" s="16">
        <v>0</v>
      </c>
      <c r="BY178" s="16">
        <f>SUM(BZ178+CQ178)</f>
        <v>0</v>
      </c>
      <c r="BZ178" s="16">
        <f>SUM(CA178+CD178+CJ178)</f>
        <v>0</v>
      </c>
      <c r="CA178" s="16">
        <f t="shared" si="227"/>
        <v>0</v>
      </c>
      <c r="CB178" s="16">
        <v>0</v>
      </c>
      <c r="CC178" s="16">
        <v>0</v>
      </c>
      <c r="CD178" s="16">
        <f>SUM(CE178:CH178)</f>
        <v>0</v>
      </c>
      <c r="CE178" s="16">
        <v>0</v>
      </c>
      <c r="CF178" s="16">
        <v>0</v>
      </c>
      <c r="CG178" s="16">
        <v>0</v>
      </c>
      <c r="CH178" s="16">
        <v>0</v>
      </c>
      <c r="CI178" s="16">
        <v>0</v>
      </c>
      <c r="CJ178" s="16">
        <f>SUM(CK178:CN178)</f>
        <v>0</v>
      </c>
      <c r="CK178" s="16">
        <v>0</v>
      </c>
      <c r="CL178" s="16">
        <v>0</v>
      </c>
      <c r="CM178" s="16">
        <v>0</v>
      </c>
      <c r="CN178" s="16">
        <v>0</v>
      </c>
      <c r="CO178" s="16">
        <v>0</v>
      </c>
      <c r="CP178" s="16">
        <v>0</v>
      </c>
      <c r="CQ178" s="16">
        <v>0</v>
      </c>
      <c r="CR178" s="16">
        <f t="shared" si="228"/>
        <v>0</v>
      </c>
      <c r="CS178" s="16">
        <f t="shared" si="229"/>
        <v>0</v>
      </c>
      <c r="CT178" s="16">
        <v>0</v>
      </c>
      <c r="CU178" s="17">
        <v>0</v>
      </c>
      <c r="CV178" s="38"/>
    </row>
    <row r="179" spans="1:100" ht="31.5" x14ac:dyDescent="0.25">
      <c r="A179" s="13" t="s">
        <v>195</v>
      </c>
      <c r="B179" s="14" t="s">
        <v>50</v>
      </c>
      <c r="C179" s="14" t="s">
        <v>1</v>
      </c>
      <c r="D179" s="30" t="s">
        <v>205</v>
      </c>
      <c r="E179" s="15">
        <f t="shared" ref="E179:AJ179" si="283">SUM(E180)</f>
        <v>2303554</v>
      </c>
      <c r="F179" s="16">
        <f t="shared" si="283"/>
        <v>2279502</v>
      </c>
      <c r="G179" s="16">
        <f t="shared" si="283"/>
        <v>2279502</v>
      </c>
      <c r="H179" s="16">
        <f t="shared" si="283"/>
        <v>1769797</v>
      </c>
      <c r="I179" s="16">
        <f t="shared" si="283"/>
        <v>403325</v>
      </c>
      <c r="J179" s="16">
        <f t="shared" si="283"/>
        <v>2019</v>
      </c>
      <c r="K179" s="16">
        <f t="shared" si="283"/>
        <v>0</v>
      </c>
      <c r="L179" s="16">
        <f t="shared" si="283"/>
        <v>1781</v>
      </c>
      <c r="M179" s="16">
        <f t="shared" si="283"/>
        <v>0</v>
      </c>
      <c r="N179" s="16">
        <f t="shared" si="283"/>
        <v>0</v>
      </c>
      <c r="O179" s="16">
        <f t="shared" si="283"/>
        <v>0</v>
      </c>
      <c r="P179" s="16">
        <f t="shared" si="283"/>
        <v>238</v>
      </c>
      <c r="Q179" s="16">
        <f t="shared" si="283"/>
        <v>0</v>
      </c>
      <c r="R179" s="16">
        <f t="shared" si="283"/>
        <v>0</v>
      </c>
      <c r="S179" s="16">
        <f t="shared" si="283"/>
        <v>0</v>
      </c>
      <c r="T179" s="16">
        <f t="shared" si="283"/>
        <v>0</v>
      </c>
      <c r="U179" s="16">
        <f t="shared" si="283"/>
        <v>49135</v>
      </c>
      <c r="V179" s="16">
        <f t="shared" si="283"/>
        <v>0</v>
      </c>
      <c r="W179" s="16">
        <f t="shared" si="283"/>
        <v>0</v>
      </c>
      <c r="X179" s="16">
        <f t="shared" si="283"/>
        <v>0</v>
      </c>
      <c r="Y179" s="16">
        <f t="shared" si="283"/>
        <v>0</v>
      </c>
      <c r="Z179" s="16">
        <f t="shared" si="283"/>
        <v>0</v>
      </c>
      <c r="AA179" s="16">
        <f t="shared" si="283"/>
        <v>0</v>
      </c>
      <c r="AB179" s="16">
        <f t="shared" si="283"/>
        <v>0</v>
      </c>
      <c r="AC179" s="16">
        <f t="shared" si="283"/>
        <v>0</v>
      </c>
      <c r="AD179" s="16">
        <f t="shared" si="283"/>
        <v>0</v>
      </c>
      <c r="AE179" s="16">
        <f t="shared" si="283"/>
        <v>55226</v>
      </c>
      <c r="AF179" s="16">
        <f t="shared" si="283"/>
        <v>0</v>
      </c>
      <c r="AG179" s="16">
        <f t="shared" si="283"/>
        <v>0</v>
      </c>
      <c r="AH179" s="16">
        <f t="shared" si="283"/>
        <v>3877</v>
      </c>
      <c r="AI179" s="16">
        <f t="shared" si="283"/>
        <v>0</v>
      </c>
      <c r="AJ179" s="16">
        <f t="shared" si="283"/>
        <v>7956</v>
      </c>
      <c r="AK179" s="16">
        <f t="shared" ref="AK179:BR179" si="284">SUM(AK180)</f>
        <v>0</v>
      </c>
      <c r="AL179" s="16">
        <f t="shared" si="284"/>
        <v>4393</v>
      </c>
      <c r="AM179" s="16">
        <f t="shared" si="284"/>
        <v>39000</v>
      </c>
      <c r="AN179" s="16">
        <f t="shared" si="284"/>
        <v>0</v>
      </c>
      <c r="AO179" s="16">
        <f t="shared" si="284"/>
        <v>0</v>
      </c>
      <c r="AP179" s="16">
        <f t="shared" si="284"/>
        <v>0</v>
      </c>
      <c r="AQ179" s="16">
        <f t="shared" si="284"/>
        <v>0</v>
      </c>
      <c r="AR179" s="16">
        <f t="shared" si="284"/>
        <v>0</v>
      </c>
      <c r="AS179" s="16">
        <f t="shared" si="284"/>
        <v>0</v>
      </c>
      <c r="AT179" s="16">
        <f t="shared" si="284"/>
        <v>0</v>
      </c>
      <c r="AU179" s="16">
        <f t="shared" si="284"/>
        <v>0</v>
      </c>
      <c r="AV179" s="16">
        <f t="shared" si="284"/>
        <v>0</v>
      </c>
      <c r="AW179" s="16">
        <f t="shared" si="284"/>
        <v>0</v>
      </c>
      <c r="AX179" s="16">
        <f t="shared" si="284"/>
        <v>0</v>
      </c>
      <c r="AY179" s="16">
        <f t="shared" si="284"/>
        <v>0</v>
      </c>
      <c r="AZ179" s="16">
        <f t="shared" si="284"/>
        <v>0</v>
      </c>
      <c r="BA179" s="16">
        <f t="shared" si="284"/>
        <v>0</v>
      </c>
      <c r="BB179" s="16">
        <f t="shared" si="284"/>
        <v>0</v>
      </c>
      <c r="BC179" s="16">
        <f t="shared" si="284"/>
        <v>0</v>
      </c>
      <c r="BD179" s="16">
        <f t="shared" si="284"/>
        <v>0</v>
      </c>
      <c r="BE179" s="16">
        <f t="shared" si="284"/>
        <v>0</v>
      </c>
      <c r="BF179" s="16">
        <f t="shared" si="284"/>
        <v>0</v>
      </c>
      <c r="BG179" s="16">
        <f t="shared" si="284"/>
        <v>0</v>
      </c>
      <c r="BH179" s="16">
        <f t="shared" si="284"/>
        <v>0</v>
      </c>
      <c r="BI179" s="16">
        <f t="shared" si="284"/>
        <v>0</v>
      </c>
      <c r="BJ179" s="16">
        <f t="shared" si="284"/>
        <v>0</v>
      </c>
      <c r="BK179" s="16">
        <f t="shared" si="284"/>
        <v>0</v>
      </c>
      <c r="BL179" s="16">
        <f t="shared" si="284"/>
        <v>0</v>
      </c>
      <c r="BM179" s="16">
        <f t="shared" si="284"/>
        <v>0</v>
      </c>
      <c r="BN179" s="16">
        <f t="shared" si="284"/>
        <v>0</v>
      </c>
      <c r="BO179" s="16">
        <f t="shared" si="284"/>
        <v>0</v>
      </c>
      <c r="BP179" s="16">
        <f t="shared" si="284"/>
        <v>0</v>
      </c>
      <c r="BQ179" s="16">
        <f t="shared" si="284"/>
        <v>0</v>
      </c>
      <c r="BR179" s="16">
        <f t="shared" si="284"/>
        <v>0</v>
      </c>
      <c r="BS179" s="16">
        <f t="shared" ref="BS179:CU179" si="285">SUM(BS180)</f>
        <v>0</v>
      </c>
      <c r="BT179" s="16">
        <f t="shared" si="285"/>
        <v>0</v>
      </c>
      <c r="BU179" s="16">
        <f t="shared" si="285"/>
        <v>0</v>
      </c>
      <c r="BV179" s="16">
        <f t="shared" si="285"/>
        <v>0</v>
      </c>
      <c r="BW179" s="16">
        <f t="shared" si="285"/>
        <v>0</v>
      </c>
      <c r="BX179" s="16">
        <f t="shared" si="285"/>
        <v>0</v>
      </c>
      <c r="BY179" s="16">
        <f t="shared" si="285"/>
        <v>24052</v>
      </c>
      <c r="BZ179" s="16">
        <f t="shared" si="285"/>
        <v>24052</v>
      </c>
      <c r="CA179" s="16">
        <f t="shared" si="285"/>
        <v>24052</v>
      </c>
      <c r="CB179" s="16">
        <f t="shared" si="285"/>
        <v>0</v>
      </c>
      <c r="CC179" s="16">
        <f t="shared" si="285"/>
        <v>24052</v>
      </c>
      <c r="CD179" s="16">
        <f t="shared" si="285"/>
        <v>0</v>
      </c>
      <c r="CE179" s="16">
        <f t="shared" si="285"/>
        <v>0</v>
      </c>
      <c r="CF179" s="16">
        <f t="shared" si="285"/>
        <v>0</v>
      </c>
      <c r="CG179" s="16">
        <f t="shared" si="285"/>
        <v>0</v>
      </c>
      <c r="CH179" s="16">
        <f t="shared" si="285"/>
        <v>0</v>
      </c>
      <c r="CI179" s="16">
        <f t="shared" si="285"/>
        <v>0</v>
      </c>
      <c r="CJ179" s="16">
        <f t="shared" si="285"/>
        <v>0</v>
      </c>
      <c r="CK179" s="16">
        <f t="shared" si="285"/>
        <v>0</v>
      </c>
      <c r="CL179" s="16">
        <f t="shared" si="285"/>
        <v>0</v>
      </c>
      <c r="CM179" s="16">
        <f t="shared" si="285"/>
        <v>0</v>
      </c>
      <c r="CN179" s="16">
        <f t="shared" si="285"/>
        <v>0</v>
      </c>
      <c r="CO179" s="16">
        <f t="shared" si="285"/>
        <v>0</v>
      </c>
      <c r="CP179" s="16">
        <f t="shared" si="285"/>
        <v>0</v>
      </c>
      <c r="CQ179" s="16">
        <f t="shared" si="285"/>
        <v>0</v>
      </c>
      <c r="CR179" s="16">
        <f t="shared" si="285"/>
        <v>0</v>
      </c>
      <c r="CS179" s="16">
        <f t="shared" si="285"/>
        <v>0</v>
      </c>
      <c r="CT179" s="16">
        <f t="shared" si="285"/>
        <v>0</v>
      </c>
      <c r="CU179" s="17">
        <f t="shared" si="285"/>
        <v>0</v>
      </c>
      <c r="CV179" s="38"/>
    </row>
    <row r="180" spans="1:100" ht="31.5" x14ac:dyDescent="0.25">
      <c r="A180" s="13" t="s">
        <v>1</v>
      </c>
      <c r="B180" s="14" t="s">
        <v>1</v>
      </c>
      <c r="C180" s="14" t="s">
        <v>21</v>
      </c>
      <c r="D180" s="30" t="s">
        <v>206</v>
      </c>
      <c r="E180" s="15">
        <f>SUM(F180+BY180+CR180)</f>
        <v>2303554</v>
      </c>
      <c r="F180" s="16">
        <f>SUM(G180+BA180)</f>
        <v>2279502</v>
      </c>
      <c r="G180" s="16">
        <f>SUM(H180+I180+J180+Q180+T180+U180+V180+AE180)</f>
        <v>2279502</v>
      </c>
      <c r="H180" s="16">
        <v>1769797</v>
      </c>
      <c r="I180" s="16">
        <v>403325</v>
      </c>
      <c r="J180" s="16">
        <f t="shared" si="222"/>
        <v>2019</v>
      </c>
      <c r="K180" s="16">
        <v>0</v>
      </c>
      <c r="L180" s="16">
        <v>1781</v>
      </c>
      <c r="M180" s="16">
        <v>0</v>
      </c>
      <c r="N180" s="16">
        <v>0</v>
      </c>
      <c r="O180" s="16">
        <v>0</v>
      </c>
      <c r="P180" s="16">
        <v>238</v>
      </c>
      <c r="Q180" s="16">
        <f t="shared" si="223"/>
        <v>0</v>
      </c>
      <c r="R180" s="16">
        <v>0</v>
      </c>
      <c r="S180" s="16">
        <v>0</v>
      </c>
      <c r="T180" s="16">
        <v>0</v>
      </c>
      <c r="U180" s="16">
        <v>49135</v>
      </c>
      <c r="V180" s="16">
        <f>SUM(W180:AD180)</f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0</v>
      </c>
      <c r="AD180" s="16">
        <v>0</v>
      </c>
      <c r="AE180" s="16">
        <f>SUM(AF180:AZ180)</f>
        <v>55226</v>
      </c>
      <c r="AF180" s="16">
        <v>0</v>
      </c>
      <c r="AG180" s="16">
        <v>0</v>
      </c>
      <c r="AH180" s="16">
        <v>3877</v>
      </c>
      <c r="AI180" s="16">
        <v>0</v>
      </c>
      <c r="AJ180" s="16">
        <v>7956</v>
      </c>
      <c r="AK180" s="16">
        <v>0</v>
      </c>
      <c r="AL180" s="16">
        <v>4393</v>
      </c>
      <c r="AM180" s="16">
        <v>39000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0</v>
      </c>
      <c r="AU180" s="16">
        <v>0</v>
      </c>
      <c r="AV180" s="16">
        <v>0</v>
      </c>
      <c r="AW180" s="16">
        <v>0</v>
      </c>
      <c r="AX180" s="16">
        <v>0</v>
      </c>
      <c r="AY180" s="16">
        <v>0</v>
      </c>
      <c r="AZ180" s="16">
        <v>0</v>
      </c>
      <c r="BA180" s="16">
        <f>SUM(BB180+BF180+BI180+BK180+BM180)</f>
        <v>0</v>
      </c>
      <c r="BB180" s="16">
        <f>SUM(BC180:BE180)</f>
        <v>0</v>
      </c>
      <c r="BC180" s="16">
        <v>0</v>
      </c>
      <c r="BD180" s="16">
        <v>0</v>
      </c>
      <c r="BE180" s="16">
        <v>0</v>
      </c>
      <c r="BF180" s="16">
        <f t="shared" si="224"/>
        <v>0</v>
      </c>
      <c r="BG180" s="16">
        <v>0</v>
      </c>
      <c r="BH180" s="16">
        <v>0</v>
      </c>
      <c r="BI180" s="16">
        <v>0</v>
      </c>
      <c r="BJ180" s="16">
        <v>0</v>
      </c>
      <c r="BK180" s="16">
        <f t="shared" si="225"/>
        <v>0</v>
      </c>
      <c r="BL180" s="16">
        <v>0</v>
      </c>
      <c r="BM180" s="16">
        <f t="shared" si="226"/>
        <v>0</v>
      </c>
      <c r="BN180" s="16">
        <v>0</v>
      </c>
      <c r="BO180" s="16">
        <v>0</v>
      </c>
      <c r="BP180" s="16">
        <v>0</v>
      </c>
      <c r="BQ180" s="16">
        <v>0</v>
      </c>
      <c r="BR180" s="16">
        <v>0</v>
      </c>
      <c r="BS180" s="16">
        <v>0</v>
      </c>
      <c r="BT180" s="16">
        <v>0</v>
      </c>
      <c r="BU180" s="16">
        <v>0</v>
      </c>
      <c r="BV180" s="16">
        <v>0</v>
      </c>
      <c r="BW180" s="16">
        <v>0</v>
      </c>
      <c r="BX180" s="16">
        <v>0</v>
      </c>
      <c r="BY180" s="16">
        <f>SUM(BZ180+CQ180)</f>
        <v>24052</v>
      </c>
      <c r="BZ180" s="16">
        <f>SUM(CA180+CD180+CJ180)</f>
        <v>24052</v>
      </c>
      <c r="CA180" s="16">
        <f t="shared" si="227"/>
        <v>24052</v>
      </c>
      <c r="CB180" s="16">
        <v>0</v>
      </c>
      <c r="CC180" s="16">
        <v>24052</v>
      </c>
      <c r="CD180" s="16">
        <f>SUM(CE180:CH180)</f>
        <v>0</v>
      </c>
      <c r="CE180" s="16">
        <v>0</v>
      </c>
      <c r="CF180" s="16">
        <v>0</v>
      </c>
      <c r="CG180" s="16">
        <v>0</v>
      </c>
      <c r="CH180" s="16">
        <v>0</v>
      </c>
      <c r="CI180" s="16">
        <v>0</v>
      </c>
      <c r="CJ180" s="16">
        <f>SUM(CK180:CN180)</f>
        <v>0</v>
      </c>
      <c r="CK180" s="16">
        <v>0</v>
      </c>
      <c r="CL180" s="16">
        <v>0</v>
      </c>
      <c r="CM180" s="16">
        <v>0</v>
      </c>
      <c r="CN180" s="16">
        <v>0</v>
      </c>
      <c r="CO180" s="16">
        <v>0</v>
      </c>
      <c r="CP180" s="16">
        <v>0</v>
      </c>
      <c r="CQ180" s="16">
        <v>0</v>
      </c>
      <c r="CR180" s="16">
        <f t="shared" si="228"/>
        <v>0</v>
      </c>
      <c r="CS180" s="16">
        <f t="shared" si="229"/>
        <v>0</v>
      </c>
      <c r="CT180" s="16">
        <v>0</v>
      </c>
      <c r="CU180" s="17">
        <v>0</v>
      </c>
      <c r="CV180" s="38"/>
    </row>
    <row r="181" spans="1:100" ht="15.75" x14ac:dyDescent="0.25">
      <c r="A181" s="18" t="s">
        <v>207</v>
      </c>
      <c r="B181" s="19" t="s">
        <v>1</v>
      </c>
      <c r="C181" s="19" t="s">
        <v>1</v>
      </c>
      <c r="D181" s="31" t="s">
        <v>208</v>
      </c>
      <c r="E181" s="20">
        <f t="shared" ref="E181:AJ181" si="286">SUM(E182+E183+E184+E188+E190+E192+E194+E196+E204)</f>
        <v>489890051</v>
      </c>
      <c r="F181" s="21">
        <f t="shared" si="286"/>
        <v>489563745</v>
      </c>
      <c r="G181" s="21">
        <f t="shared" si="286"/>
        <v>90558256</v>
      </c>
      <c r="H181" s="21">
        <f t="shared" si="286"/>
        <v>16183688</v>
      </c>
      <c r="I181" s="21">
        <f t="shared" si="286"/>
        <v>3438138</v>
      </c>
      <c r="J181" s="21">
        <f t="shared" si="286"/>
        <v>7852239</v>
      </c>
      <c r="K181" s="21">
        <f t="shared" si="286"/>
        <v>804378</v>
      </c>
      <c r="L181" s="21">
        <f t="shared" si="286"/>
        <v>1499420</v>
      </c>
      <c r="M181" s="21">
        <f t="shared" si="286"/>
        <v>4556859</v>
      </c>
      <c r="N181" s="21">
        <f t="shared" si="286"/>
        <v>0</v>
      </c>
      <c r="O181" s="21">
        <f t="shared" si="286"/>
        <v>937618</v>
      </c>
      <c r="P181" s="21">
        <f t="shared" si="286"/>
        <v>53964</v>
      </c>
      <c r="Q181" s="21">
        <f t="shared" si="286"/>
        <v>0</v>
      </c>
      <c r="R181" s="21">
        <f t="shared" si="286"/>
        <v>0</v>
      </c>
      <c r="S181" s="21">
        <f t="shared" si="286"/>
        <v>0</v>
      </c>
      <c r="T181" s="21">
        <f t="shared" si="286"/>
        <v>0</v>
      </c>
      <c r="U181" s="21">
        <f t="shared" si="286"/>
        <v>152822</v>
      </c>
      <c r="V181" s="21">
        <f t="shared" si="286"/>
        <v>62288932</v>
      </c>
      <c r="W181" s="21">
        <f t="shared" si="286"/>
        <v>66525</v>
      </c>
      <c r="X181" s="21">
        <f t="shared" si="286"/>
        <v>311975</v>
      </c>
      <c r="Y181" s="21">
        <f t="shared" si="286"/>
        <v>165990</v>
      </c>
      <c r="Z181" s="21">
        <f t="shared" si="286"/>
        <v>268733</v>
      </c>
      <c r="AA181" s="21">
        <f t="shared" si="286"/>
        <v>68943</v>
      </c>
      <c r="AB181" s="21">
        <f t="shared" si="286"/>
        <v>0</v>
      </c>
      <c r="AC181" s="21">
        <f t="shared" si="286"/>
        <v>61396038</v>
      </c>
      <c r="AD181" s="21">
        <f t="shared" ref="AD181" si="287">SUM(AD182+AD183+AD184+AD188+AD190+AD192+AD194+AD196+AD204)</f>
        <v>10728</v>
      </c>
      <c r="AE181" s="21">
        <f t="shared" si="286"/>
        <v>642437</v>
      </c>
      <c r="AF181" s="21">
        <f t="shared" si="286"/>
        <v>0</v>
      </c>
      <c r="AG181" s="21">
        <f t="shared" si="286"/>
        <v>0</v>
      </c>
      <c r="AH181" s="21">
        <f t="shared" si="286"/>
        <v>94902</v>
      </c>
      <c r="AI181" s="21">
        <f t="shared" si="286"/>
        <v>0</v>
      </c>
      <c r="AJ181" s="21">
        <f t="shared" si="286"/>
        <v>7955</v>
      </c>
      <c r="AK181" s="21">
        <f t="shared" ref="AK181:BP181" si="288">SUM(AK182+AK183+AK184+AK188+AK190+AK192+AK194+AK196+AK204)</f>
        <v>0</v>
      </c>
      <c r="AL181" s="21">
        <f t="shared" si="288"/>
        <v>165414</v>
      </c>
      <c r="AM181" s="21">
        <f t="shared" si="288"/>
        <v>0</v>
      </c>
      <c r="AN181" s="21">
        <f t="shared" si="288"/>
        <v>0</v>
      </c>
      <c r="AO181" s="21">
        <f t="shared" si="288"/>
        <v>0</v>
      </c>
      <c r="AP181" s="21">
        <f t="shared" si="288"/>
        <v>0</v>
      </c>
      <c r="AQ181" s="21">
        <f t="shared" si="288"/>
        <v>0</v>
      </c>
      <c r="AR181" s="21">
        <f t="shared" si="288"/>
        <v>30733</v>
      </c>
      <c r="AS181" s="21">
        <f t="shared" si="288"/>
        <v>145000</v>
      </c>
      <c r="AT181" s="21">
        <f t="shared" si="288"/>
        <v>0</v>
      </c>
      <c r="AU181" s="21">
        <f t="shared" si="288"/>
        <v>0</v>
      </c>
      <c r="AV181" s="21">
        <f t="shared" si="288"/>
        <v>174251</v>
      </c>
      <c r="AW181" s="21">
        <f t="shared" si="288"/>
        <v>23367</v>
      </c>
      <c r="AX181" s="21">
        <f t="shared" si="288"/>
        <v>0</v>
      </c>
      <c r="AY181" s="21">
        <f t="shared" si="288"/>
        <v>0</v>
      </c>
      <c r="AZ181" s="21">
        <f t="shared" si="288"/>
        <v>815</v>
      </c>
      <c r="BA181" s="21">
        <f t="shared" si="288"/>
        <v>399005489</v>
      </c>
      <c r="BB181" s="21">
        <f t="shared" si="288"/>
        <v>0</v>
      </c>
      <c r="BC181" s="21">
        <f t="shared" si="288"/>
        <v>0</v>
      </c>
      <c r="BD181" s="21">
        <f t="shared" si="288"/>
        <v>0</v>
      </c>
      <c r="BE181" s="21">
        <f t="shared" si="288"/>
        <v>0</v>
      </c>
      <c r="BF181" s="21">
        <f t="shared" si="288"/>
        <v>0</v>
      </c>
      <c r="BG181" s="21">
        <f t="shared" si="288"/>
        <v>0</v>
      </c>
      <c r="BH181" s="21">
        <f t="shared" si="288"/>
        <v>0</v>
      </c>
      <c r="BI181" s="21">
        <f t="shared" si="288"/>
        <v>0</v>
      </c>
      <c r="BJ181" s="21">
        <f t="shared" si="288"/>
        <v>0</v>
      </c>
      <c r="BK181" s="21">
        <f t="shared" si="288"/>
        <v>0</v>
      </c>
      <c r="BL181" s="21">
        <f t="shared" si="288"/>
        <v>0</v>
      </c>
      <c r="BM181" s="21">
        <f t="shared" si="288"/>
        <v>399005489</v>
      </c>
      <c r="BN181" s="21">
        <f t="shared" si="288"/>
        <v>59749651</v>
      </c>
      <c r="BO181" s="21">
        <f t="shared" si="288"/>
        <v>4583424</v>
      </c>
      <c r="BP181" s="21">
        <f t="shared" si="288"/>
        <v>0</v>
      </c>
      <c r="BQ181" s="21">
        <f t="shared" ref="BQ181:CU181" si="289">SUM(BQ182+BQ183+BQ184+BQ188+BQ190+BQ192+BQ194+BQ196+BQ204)</f>
        <v>14134363</v>
      </c>
      <c r="BR181" s="21">
        <f t="shared" si="289"/>
        <v>100000</v>
      </c>
      <c r="BS181" s="21">
        <f t="shared" si="289"/>
        <v>0</v>
      </c>
      <c r="BT181" s="21">
        <f t="shared" si="289"/>
        <v>167368528</v>
      </c>
      <c r="BU181" s="21">
        <f t="shared" si="289"/>
        <v>0</v>
      </c>
      <c r="BV181" s="21">
        <f t="shared" si="289"/>
        <v>230042</v>
      </c>
      <c r="BW181" s="21">
        <f t="shared" si="289"/>
        <v>125193738</v>
      </c>
      <c r="BX181" s="21">
        <f t="shared" si="289"/>
        <v>27645743</v>
      </c>
      <c r="BY181" s="21">
        <f t="shared" si="289"/>
        <v>326306</v>
      </c>
      <c r="BZ181" s="21">
        <f t="shared" si="289"/>
        <v>326306</v>
      </c>
      <c r="CA181" s="21">
        <f t="shared" si="289"/>
        <v>326306</v>
      </c>
      <c r="CB181" s="21">
        <f t="shared" si="289"/>
        <v>0</v>
      </c>
      <c r="CC181" s="21">
        <f t="shared" si="289"/>
        <v>326306</v>
      </c>
      <c r="CD181" s="21">
        <f t="shared" si="289"/>
        <v>0</v>
      </c>
      <c r="CE181" s="21">
        <f t="shared" si="289"/>
        <v>0</v>
      </c>
      <c r="CF181" s="21">
        <f t="shared" si="289"/>
        <v>0</v>
      </c>
      <c r="CG181" s="21">
        <f t="shared" si="289"/>
        <v>0</v>
      </c>
      <c r="CH181" s="21">
        <f t="shared" si="289"/>
        <v>0</v>
      </c>
      <c r="CI181" s="21">
        <f t="shared" ref="CI181" si="290">SUM(CI182+CI183+CI184+CI188+CI190+CI192+CI194+CI196+CI204)</f>
        <v>0</v>
      </c>
      <c r="CJ181" s="21">
        <f t="shared" si="289"/>
        <v>0</v>
      </c>
      <c r="CK181" s="21">
        <f t="shared" si="289"/>
        <v>0</v>
      </c>
      <c r="CL181" s="21">
        <f t="shared" si="289"/>
        <v>0</v>
      </c>
      <c r="CM181" s="21">
        <f t="shared" si="289"/>
        <v>0</v>
      </c>
      <c r="CN181" s="21">
        <f t="shared" si="289"/>
        <v>0</v>
      </c>
      <c r="CO181" s="21">
        <f t="shared" si="289"/>
        <v>0</v>
      </c>
      <c r="CP181" s="21">
        <f t="shared" si="289"/>
        <v>0</v>
      </c>
      <c r="CQ181" s="21">
        <f t="shared" si="289"/>
        <v>0</v>
      </c>
      <c r="CR181" s="21">
        <f t="shared" si="289"/>
        <v>0</v>
      </c>
      <c r="CS181" s="21">
        <f t="shared" si="289"/>
        <v>0</v>
      </c>
      <c r="CT181" s="21">
        <f t="shared" si="289"/>
        <v>0</v>
      </c>
      <c r="CU181" s="22">
        <f t="shared" si="289"/>
        <v>0</v>
      </c>
      <c r="CV181" s="38"/>
    </row>
    <row r="182" spans="1:100" ht="15.75" x14ac:dyDescent="0.25">
      <c r="A182" s="13" t="s">
        <v>209</v>
      </c>
      <c r="B182" s="14" t="s">
        <v>3</v>
      </c>
      <c r="C182" s="14" t="s">
        <v>1</v>
      </c>
      <c r="D182" s="30" t="s">
        <v>210</v>
      </c>
      <c r="E182" s="15">
        <f>SUM(F182+BY182+CR182)</f>
        <v>83207923</v>
      </c>
      <c r="F182" s="16">
        <f>SUM(G182+BA182)</f>
        <v>83207923</v>
      </c>
      <c r="G182" s="16">
        <f>SUM(H182+I182+J182+Q182+T182+U182+V182+AE182)</f>
        <v>0</v>
      </c>
      <c r="H182" s="16">
        <v>0</v>
      </c>
      <c r="I182" s="16">
        <v>0</v>
      </c>
      <c r="J182" s="16">
        <f t="shared" si="222"/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f t="shared" si="223"/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f>SUM(W182:AD182)</f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f>SUM(AF182:AZ182)</f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0</v>
      </c>
      <c r="AX182" s="16">
        <v>0</v>
      </c>
      <c r="AY182" s="16">
        <v>0</v>
      </c>
      <c r="AZ182" s="16">
        <v>0</v>
      </c>
      <c r="BA182" s="16">
        <f>SUM(BB182+BF182+BI182+BK182+BM182)</f>
        <v>83207923</v>
      </c>
      <c r="BB182" s="16">
        <f>SUM(BC182:BE182)</f>
        <v>0</v>
      </c>
      <c r="BC182" s="16">
        <v>0</v>
      </c>
      <c r="BD182" s="16">
        <v>0</v>
      </c>
      <c r="BE182" s="16">
        <v>0</v>
      </c>
      <c r="BF182" s="16">
        <f t="shared" si="224"/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f t="shared" si="225"/>
        <v>0</v>
      </c>
      <c r="BL182" s="16">
        <v>0</v>
      </c>
      <c r="BM182" s="16">
        <f t="shared" si="226"/>
        <v>83207923</v>
      </c>
      <c r="BN182" s="16">
        <f>58511780-12828985</f>
        <v>45682795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f>35641937-7552558</f>
        <v>28089379</v>
      </c>
      <c r="BX182" s="16">
        <f>1523249+7912500</f>
        <v>9435749</v>
      </c>
      <c r="BY182" s="16">
        <f>SUM(BZ182+CQ182)</f>
        <v>0</v>
      </c>
      <c r="BZ182" s="16">
        <f>SUM(CA182+CD182+CJ182)</f>
        <v>0</v>
      </c>
      <c r="CA182" s="16">
        <f t="shared" si="227"/>
        <v>0</v>
      </c>
      <c r="CB182" s="16">
        <v>0</v>
      </c>
      <c r="CC182" s="16">
        <v>0</v>
      </c>
      <c r="CD182" s="16">
        <f>SUM(CE182:CH182)</f>
        <v>0</v>
      </c>
      <c r="CE182" s="16">
        <v>0</v>
      </c>
      <c r="CF182" s="16">
        <v>0</v>
      </c>
      <c r="CG182" s="16">
        <v>0</v>
      </c>
      <c r="CH182" s="16">
        <v>0</v>
      </c>
      <c r="CI182" s="16">
        <v>0</v>
      </c>
      <c r="CJ182" s="16">
        <f>SUM(CK182:CN182)</f>
        <v>0</v>
      </c>
      <c r="CK182" s="16">
        <v>0</v>
      </c>
      <c r="CL182" s="16">
        <v>0</v>
      </c>
      <c r="CM182" s="16">
        <v>0</v>
      </c>
      <c r="CN182" s="16">
        <v>0</v>
      </c>
      <c r="CO182" s="16">
        <v>0</v>
      </c>
      <c r="CP182" s="16">
        <v>0</v>
      </c>
      <c r="CQ182" s="16">
        <v>0</v>
      </c>
      <c r="CR182" s="16">
        <f t="shared" si="228"/>
        <v>0</v>
      </c>
      <c r="CS182" s="16">
        <f t="shared" si="229"/>
        <v>0</v>
      </c>
      <c r="CT182" s="16">
        <v>0</v>
      </c>
      <c r="CU182" s="17">
        <v>0</v>
      </c>
      <c r="CV182" s="38"/>
    </row>
    <row r="183" spans="1:100" ht="31.5" x14ac:dyDescent="0.25">
      <c r="A183" s="13" t="s">
        <v>209</v>
      </c>
      <c r="B183" s="14" t="s">
        <v>7</v>
      </c>
      <c r="C183" s="14" t="s">
        <v>1</v>
      </c>
      <c r="D183" s="30" t="s">
        <v>212</v>
      </c>
      <c r="E183" s="15">
        <f>SUM(F183+BY183+CR183)</f>
        <v>14480402</v>
      </c>
      <c r="F183" s="16">
        <f>SUM(G183+BA183)</f>
        <v>14480402</v>
      </c>
      <c r="G183" s="16">
        <f>SUM(H183+I183+J183+Q183+T183+U183+V183+AE183)</f>
        <v>0</v>
      </c>
      <c r="H183" s="16">
        <v>0</v>
      </c>
      <c r="I183" s="16">
        <v>0</v>
      </c>
      <c r="J183" s="16">
        <f t="shared" si="222"/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f t="shared" si="223"/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f>SUM(W183:AD183)</f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f>SUM(AF183:AZ183)</f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0</v>
      </c>
      <c r="AL183" s="16">
        <v>0</v>
      </c>
      <c r="AM183" s="16">
        <v>0</v>
      </c>
      <c r="AN183" s="16">
        <v>0</v>
      </c>
      <c r="AO183" s="16">
        <v>0</v>
      </c>
      <c r="AP183" s="16">
        <v>0</v>
      </c>
      <c r="AQ183" s="16">
        <v>0</v>
      </c>
      <c r="AR183" s="16">
        <v>0</v>
      </c>
      <c r="AS183" s="16">
        <v>0</v>
      </c>
      <c r="AT183" s="16">
        <v>0</v>
      </c>
      <c r="AU183" s="16">
        <v>0</v>
      </c>
      <c r="AV183" s="16">
        <v>0</v>
      </c>
      <c r="AW183" s="16">
        <v>0</v>
      </c>
      <c r="AX183" s="16">
        <v>0</v>
      </c>
      <c r="AY183" s="16">
        <v>0</v>
      </c>
      <c r="AZ183" s="16">
        <v>0</v>
      </c>
      <c r="BA183" s="16">
        <f>SUM(BB183+BF183+BI183+BK183+BM183)</f>
        <v>14480402</v>
      </c>
      <c r="BB183" s="16">
        <f>SUM(BC183:BE183)</f>
        <v>0</v>
      </c>
      <c r="BC183" s="16">
        <v>0</v>
      </c>
      <c r="BD183" s="16">
        <v>0</v>
      </c>
      <c r="BE183" s="16">
        <v>0</v>
      </c>
      <c r="BF183" s="16">
        <f t="shared" si="224"/>
        <v>0</v>
      </c>
      <c r="BG183" s="16">
        <v>0</v>
      </c>
      <c r="BH183" s="16">
        <v>0</v>
      </c>
      <c r="BI183" s="16">
        <v>0</v>
      </c>
      <c r="BJ183" s="16">
        <v>0</v>
      </c>
      <c r="BK183" s="16">
        <f t="shared" si="225"/>
        <v>0</v>
      </c>
      <c r="BL183" s="16">
        <v>0</v>
      </c>
      <c r="BM183" s="16">
        <f t="shared" si="226"/>
        <v>14480402</v>
      </c>
      <c r="BN183" s="16">
        <v>14066856</v>
      </c>
      <c r="BO183" s="16">
        <v>0</v>
      </c>
      <c r="BP183" s="16">
        <v>0</v>
      </c>
      <c r="BQ183" s="16">
        <v>0</v>
      </c>
      <c r="BR183" s="16">
        <v>0</v>
      </c>
      <c r="BS183" s="16">
        <v>0</v>
      </c>
      <c r="BT183" s="16">
        <v>0</v>
      </c>
      <c r="BU183" s="16">
        <v>0</v>
      </c>
      <c r="BV183" s="16">
        <v>0</v>
      </c>
      <c r="BW183" s="16">
        <v>0</v>
      </c>
      <c r="BX183" s="16">
        <f>232196+181350</f>
        <v>413546</v>
      </c>
      <c r="BY183" s="16">
        <f>SUM(BZ183+CQ183)</f>
        <v>0</v>
      </c>
      <c r="BZ183" s="16">
        <f>SUM(CA183+CD183+CJ183)</f>
        <v>0</v>
      </c>
      <c r="CA183" s="16">
        <f t="shared" si="227"/>
        <v>0</v>
      </c>
      <c r="CB183" s="16">
        <v>0</v>
      </c>
      <c r="CC183" s="16">
        <v>0</v>
      </c>
      <c r="CD183" s="16">
        <f>SUM(CE183:CH183)</f>
        <v>0</v>
      </c>
      <c r="CE183" s="16">
        <v>0</v>
      </c>
      <c r="CF183" s="16">
        <v>0</v>
      </c>
      <c r="CG183" s="16">
        <v>0</v>
      </c>
      <c r="CH183" s="16">
        <v>0</v>
      </c>
      <c r="CI183" s="16">
        <v>0</v>
      </c>
      <c r="CJ183" s="16">
        <f>SUM(CK183:CN183)</f>
        <v>0</v>
      </c>
      <c r="CK183" s="16">
        <v>0</v>
      </c>
      <c r="CL183" s="16">
        <v>0</v>
      </c>
      <c r="CM183" s="16">
        <v>0</v>
      </c>
      <c r="CN183" s="16">
        <v>0</v>
      </c>
      <c r="CO183" s="16">
        <v>0</v>
      </c>
      <c r="CP183" s="16">
        <v>0</v>
      </c>
      <c r="CQ183" s="16">
        <v>0</v>
      </c>
      <c r="CR183" s="16">
        <f t="shared" si="228"/>
        <v>0</v>
      </c>
      <c r="CS183" s="16">
        <f t="shared" si="229"/>
        <v>0</v>
      </c>
      <c r="CT183" s="16">
        <v>0</v>
      </c>
      <c r="CU183" s="17">
        <v>0</v>
      </c>
      <c r="CV183" s="38"/>
    </row>
    <row r="184" spans="1:100" ht="15.75" x14ac:dyDescent="0.25">
      <c r="A184" s="13" t="s">
        <v>209</v>
      </c>
      <c r="B184" s="14" t="s">
        <v>15</v>
      </c>
      <c r="C184" s="14" t="s">
        <v>1</v>
      </c>
      <c r="D184" s="30" t="s">
        <v>213</v>
      </c>
      <c r="E184" s="15">
        <f>SUM(E185:E187)</f>
        <v>27381631</v>
      </c>
      <c r="F184" s="16">
        <f t="shared" ref="F184:BS184" si="291">SUM(F185:F187)</f>
        <v>27111361</v>
      </c>
      <c r="G184" s="16">
        <f t="shared" si="291"/>
        <v>27111361</v>
      </c>
      <c r="H184" s="16">
        <f t="shared" si="291"/>
        <v>14738333</v>
      </c>
      <c r="I184" s="16">
        <f t="shared" si="291"/>
        <v>3251499</v>
      </c>
      <c r="J184" s="16">
        <f t="shared" si="291"/>
        <v>7527587</v>
      </c>
      <c r="K184" s="16">
        <f t="shared" si="291"/>
        <v>804378</v>
      </c>
      <c r="L184" s="16">
        <f t="shared" si="291"/>
        <v>1490914</v>
      </c>
      <c r="M184" s="16">
        <f t="shared" si="291"/>
        <v>4556859</v>
      </c>
      <c r="N184" s="16">
        <f t="shared" si="291"/>
        <v>0</v>
      </c>
      <c r="O184" s="16">
        <f t="shared" si="291"/>
        <v>621472</v>
      </c>
      <c r="P184" s="16">
        <f t="shared" si="291"/>
        <v>53964</v>
      </c>
      <c r="Q184" s="16">
        <f t="shared" si="291"/>
        <v>0</v>
      </c>
      <c r="R184" s="16">
        <f t="shared" si="291"/>
        <v>0</v>
      </c>
      <c r="S184" s="16">
        <f t="shared" si="291"/>
        <v>0</v>
      </c>
      <c r="T184" s="16">
        <f t="shared" si="291"/>
        <v>0</v>
      </c>
      <c r="U184" s="16">
        <f t="shared" si="291"/>
        <v>88835</v>
      </c>
      <c r="V184" s="16">
        <f t="shared" si="291"/>
        <v>892894</v>
      </c>
      <c r="W184" s="16">
        <f t="shared" si="291"/>
        <v>66525</v>
      </c>
      <c r="X184" s="16">
        <f t="shared" si="291"/>
        <v>311975</v>
      </c>
      <c r="Y184" s="16">
        <f t="shared" si="291"/>
        <v>165990</v>
      </c>
      <c r="Z184" s="16">
        <f t="shared" si="291"/>
        <v>268733</v>
      </c>
      <c r="AA184" s="16">
        <f t="shared" si="291"/>
        <v>68943</v>
      </c>
      <c r="AB184" s="16">
        <f t="shared" si="291"/>
        <v>0</v>
      </c>
      <c r="AC184" s="16">
        <f t="shared" si="291"/>
        <v>0</v>
      </c>
      <c r="AD184" s="16">
        <f t="shared" ref="AD184" si="292">SUM(AD185:AD187)</f>
        <v>10728</v>
      </c>
      <c r="AE184" s="16">
        <f t="shared" si="291"/>
        <v>612213</v>
      </c>
      <c r="AF184" s="16">
        <f t="shared" si="291"/>
        <v>0</v>
      </c>
      <c r="AG184" s="16">
        <f t="shared" si="291"/>
        <v>0</v>
      </c>
      <c r="AH184" s="16">
        <f t="shared" si="291"/>
        <v>94902</v>
      </c>
      <c r="AI184" s="16">
        <f t="shared" si="291"/>
        <v>0</v>
      </c>
      <c r="AJ184" s="16">
        <f t="shared" si="291"/>
        <v>7955</v>
      </c>
      <c r="AK184" s="16">
        <f t="shared" si="291"/>
        <v>0</v>
      </c>
      <c r="AL184" s="16">
        <f t="shared" si="291"/>
        <v>158557</v>
      </c>
      <c r="AM184" s="16">
        <f t="shared" si="291"/>
        <v>0</v>
      </c>
      <c r="AN184" s="16">
        <f t="shared" si="291"/>
        <v>0</v>
      </c>
      <c r="AO184" s="16">
        <f t="shared" si="291"/>
        <v>0</v>
      </c>
      <c r="AP184" s="16">
        <f>SUM(AP185:AP187)</f>
        <v>0</v>
      </c>
      <c r="AQ184" s="16">
        <f t="shared" si="291"/>
        <v>0</v>
      </c>
      <c r="AR184" s="16">
        <f t="shared" si="291"/>
        <v>30733</v>
      </c>
      <c r="AS184" s="16">
        <f t="shared" si="291"/>
        <v>145000</v>
      </c>
      <c r="AT184" s="16">
        <f t="shared" si="291"/>
        <v>0</v>
      </c>
      <c r="AU184" s="16">
        <f t="shared" si="291"/>
        <v>0</v>
      </c>
      <c r="AV184" s="16">
        <f t="shared" si="291"/>
        <v>174251</v>
      </c>
      <c r="AW184" s="16">
        <f t="shared" si="291"/>
        <v>0</v>
      </c>
      <c r="AX184" s="16">
        <f t="shared" si="291"/>
        <v>0</v>
      </c>
      <c r="AY184" s="16">
        <f t="shared" si="291"/>
        <v>0</v>
      </c>
      <c r="AZ184" s="16">
        <f t="shared" si="291"/>
        <v>815</v>
      </c>
      <c r="BA184" s="16">
        <f t="shared" si="291"/>
        <v>0</v>
      </c>
      <c r="BB184" s="16">
        <f t="shared" si="291"/>
        <v>0</v>
      </c>
      <c r="BC184" s="16">
        <f t="shared" si="291"/>
        <v>0</v>
      </c>
      <c r="BD184" s="16">
        <f t="shared" si="291"/>
        <v>0</v>
      </c>
      <c r="BE184" s="16">
        <f t="shared" si="291"/>
        <v>0</v>
      </c>
      <c r="BF184" s="16">
        <f t="shared" si="291"/>
        <v>0</v>
      </c>
      <c r="BG184" s="16">
        <f t="shared" si="291"/>
        <v>0</v>
      </c>
      <c r="BH184" s="16">
        <f t="shared" si="291"/>
        <v>0</v>
      </c>
      <c r="BI184" s="16">
        <f t="shared" si="291"/>
        <v>0</v>
      </c>
      <c r="BJ184" s="16">
        <f t="shared" si="291"/>
        <v>0</v>
      </c>
      <c r="BK184" s="16">
        <f t="shared" si="291"/>
        <v>0</v>
      </c>
      <c r="BL184" s="16">
        <f t="shared" si="291"/>
        <v>0</v>
      </c>
      <c r="BM184" s="16">
        <f t="shared" si="291"/>
        <v>0</v>
      </c>
      <c r="BN184" s="16">
        <f t="shared" si="291"/>
        <v>0</v>
      </c>
      <c r="BO184" s="16">
        <f t="shared" si="291"/>
        <v>0</v>
      </c>
      <c r="BP184" s="16">
        <f t="shared" si="291"/>
        <v>0</v>
      </c>
      <c r="BQ184" s="16">
        <f t="shared" si="291"/>
        <v>0</v>
      </c>
      <c r="BR184" s="16">
        <f t="shared" si="291"/>
        <v>0</v>
      </c>
      <c r="BS184" s="16">
        <f t="shared" si="291"/>
        <v>0</v>
      </c>
      <c r="BT184" s="16">
        <f t="shared" ref="BT184:CU184" si="293">SUM(BT185:BT187)</f>
        <v>0</v>
      </c>
      <c r="BU184" s="16">
        <f t="shared" si="293"/>
        <v>0</v>
      </c>
      <c r="BV184" s="16">
        <f t="shared" si="293"/>
        <v>0</v>
      </c>
      <c r="BW184" s="16">
        <f t="shared" si="293"/>
        <v>0</v>
      </c>
      <c r="BX184" s="16">
        <f t="shared" si="293"/>
        <v>0</v>
      </c>
      <c r="BY184" s="16">
        <f t="shared" si="293"/>
        <v>270270</v>
      </c>
      <c r="BZ184" s="16">
        <f t="shared" si="293"/>
        <v>270270</v>
      </c>
      <c r="CA184" s="16">
        <f t="shared" si="293"/>
        <v>270270</v>
      </c>
      <c r="CB184" s="16">
        <f t="shared" si="293"/>
        <v>0</v>
      </c>
      <c r="CC184" s="16">
        <f t="shared" si="293"/>
        <v>270270</v>
      </c>
      <c r="CD184" s="16">
        <f t="shared" si="293"/>
        <v>0</v>
      </c>
      <c r="CE184" s="16">
        <f t="shared" si="293"/>
        <v>0</v>
      </c>
      <c r="CF184" s="16">
        <f t="shared" si="293"/>
        <v>0</v>
      </c>
      <c r="CG184" s="16">
        <f t="shared" si="293"/>
        <v>0</v>
      </c>
      <c r="CH184" s="16">
        <f t="shared" si="293"/>
        <v>0</v>
      </c>
      <c r="CI184" s="16">
        <f t="shared" ref="CI184" si="294">SUM(CI185:CI187)</f>
        <v>0</v>
      </c>
      <c r="CJ184" s="16">
        <f t="shared" si="293"/>
        <v>0</v>
      </c>
      <c r="CK184" s="16">
        <f t="shared" si="293"/>
        <v>0</v>
      </c>
      <c r="CL184" s="16">
        <f t="shared" si="293"/>
        <v>0</v>
      </c>
      <c r="CM184" s="16">
        <f t="shared" si="293"/>
        <v>0</v>
      </c>
      <c r="CN184" s="16">
        <f t="shared" si="293"/>
        <v>0</v>
      </c>
      <c r="CO184" s="16">
        <f t="shared" si="293"/>
        <v>0</v>
      </c>
      <c r="CP184" s="16">
        <f t="shared" si="293"/>
        <v>0</v>
      </c>
      <c r="CQ184" s="16">
        <f t="shared" si="293"/>
        <v>0</v>
      </c>
      <c r="CR184" s="16">
        <f t="shared" si="293"/>
        <v>0</v>
      </c>
      <c r="CS184" s="16">
        <f t="shared" si="293"/>
        <v>0</v>
      </c>
      <c r="CT184" s="16">
        <f t="shared" si="293"/>
        <v>0</v>
      </c>
      <c r="CU184" s="17">
        <f t="shared" si="293"/>
        <v>0</v>
      </c>
      <c r="CV184" s="38"/>
    </row>
    <row r="185" spans="1:100" ht="15.75" x14ac:dyDescent="0.25">
      <c r="A185" s="13" t="s">
        <v>1</v>
      </c>
      <c r="B185" s="14" t="s">
        <v>1</v>
      </c>
      <c r="C185" s="14" t="s">
        <v>19</v>
      </c>
      <c r="D185" s="30" t="s">
        <v>214</v>
      </c>
      <c r="E185" s="15">
        <f>SUM(F185+BY185+CR185)</f>
        <v>4604588</v>
      </c>
      <c r="F185" s="16">
        <f>SUM(G185+BA185)</f>
        <v>4553323</v>
      </c>
      <c r="G185" s="16">
        <f>SUM(H185+I185+J185+Q185+T185+U185+V185+AE185)</f>
        <v>4553323</v>
      </c>
      <c r="H185" s="16">
        <v>2776462</v>
      </c>
      <c r="I185" s="16">
        <v>646150</v>
      </c>
      <c r="J185" s="16">
        <f t="shared" si="222"/>
        <v>925348</v>
      </c>
      <c r="K185" s="16">
        <v>88148</v>
      </c>
      <c r="L185" s="16">
        <v>87580</v>
      </c>
      <c r="M185" s="16">
        <v>607263</v>
      </c>
      <c r="N185" s="16">
        <v>0</v>
      </c>
      <c r="O185" s="16">
        <v>130196</v>
      </c>
      <c r="P185" s="16">
        <v>12161</v>
      </c>
      <c r="Q185" s="16">
        <f t="shared" si="223"/>
        <v>0</v>
      </c>
      <c r="R185" s="16">
        <v>0</v>
      </c>
      <c r="S185" s="16">
        <v>0</v>
      </c>
      <c r="T185" s="16">
        <v>0</v>
      </c>
      <c r="U185" s="16">
        <v>17869</v>
      </c>
      <c r="V185" s="16">
        <f>SUM(W185:AD185)</f>
        <v>59489</v>
      </c>
      <c r="W185" s="16">
        <v>5364</v>
      </c>
      <c r="X185" s="16">
        <v>12360</v>
      </c>
      <c r="Y185" s="16">
        <v>19773</v>
      </c>
      <c r="Z185" s="16">
        <v>11762</v>
      </c>
      <c r="AA185" s="16">
        <v>6018</v>
      </c>
      <c r="AB185" s="16">
        <v>0</v>
      </c>
      <c r="AC185" s="16">
        <v>0</v>
      </c>
      <c r="AD185" s="16">
        <v>4212</v>
      </c>
      <c r="AE185" s="16">
        <f>SUM(AF185:AZ185)</f>
        <v>128005</v>
      </c>
      <c r="AF185" s="16">
        <v>0</v>
      </c>
      <c r="AG185" s="16">
        <v>0</v>
      </c>
      <c r="AH185" s="16">
        <v>7391</v>
      </c>
      <c r="AI185" s="16">
        <v>0</v>
      </c>
      <c r="AJ185" s="16">
        <v>1591</v>
      </c>
      <c r="AK185" s="16">
        <v>0</v>
      </c>
      <c r="AL185" s="16">
        <v>30290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30733</v>
      </c>
      <c r="AS185" s="16">
        <v>58000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f>SUM(BB185+BF185+BI185+BK185+BM185)</f>
        <v>0</v>
      </c>
      <c r="BB185" s="16">
        <f>SUM(BC185:BE185)</f>
        <v>0</v>
      </c>
      <c r="BC185" s="16">
        <v>0</v>
      </c>
      <c r="BD185" s="16">
        <v>0</v>
      </c>
      <c r="BE185" s="16">
        <v>0</v>
      </c>
      <c r="BF185" s="16">
        <f t="shared" si="224"/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f t="shared" si="225"/>
        <v>0</v>
      </c>
      <c r="BL185" s="16">
        <v>0</v>
      </c>
      <c r="BM185" s="16">
        <f t="shared" si="226"/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f>SUM(BZ185+CQ185)</f>
        <v>51265</v>
      </c>
      <c r="BZ185" s="16">
        <f>SUM(CA185+CD185+CJ185)</f>
        <v>51265</v>
      </c>
      <c r="CA185" s="16">
        <f t="shared" si="227"/>
        <v>51265</v>
      </c>
      <c r="CB185" s="16">
        <v>0</v>
      </c>
      <c r="CC185" s="16">
        <v>51265</v>
      </c>
      <c r="CD185" s="16">
        <f>SUM(CE185:CH185)</f>
        <v>0</v>
      </c>
      <c r="CE185" s="16">
        <v>0</v>
      </c>
      <c r="CF185" s="16">
        <v>0</v>
      </c>
      <c r="CG185" s="16">
        <v>0</v>
      </c>
      <c r="CH185" s="16">
        <v>0</v>
      </c>
      <c r="CI185" s="16">
        <v>0</v>
      </c>
      <c r="CJ185" s="16">
        <f>SUM(CK185:CN185)</f>
        <v>0</v>
      </c>
      <c r="CK185" s="16">
        <v>0</v>
      </c>
      <c r="CL185" s="16">
        <v>0</v>
      </c>
      <c r="CM185" s="16">
        <v>0</v>
      </c>
      <c r="CN185" s="16">
        <v>0</v>
      </c>
      <c r="CO185" s="16">
        <v>0</v>
      </c>
      <c r="CP185" s="16">
        <v>0</v>
      </c>
      <c r="CQ185" s="16">
        <v>0</v>
      </c>
      <c r="CR185" s="16">
        <f t="shared" si="228"/>
        <v>0</v>
      </c>
      <c r="CS185" s="16">
        <f t="shared" si="229"/>
        <v>0</v>
      </c>
      <c r="CT185" s="16">
        <v>0</v>
      </c>
      <c r="CU185" s="17">
        <v>0</v>
      </c>
      <c r="CV185" s="38"/>
    </row>
    <row r="186" spans="1:100" ht="31.5" x14ac:dyDescent="0.25">
      <c r="A186" s="13" t="s">
        <v>1</v>
      </c>
      <c r="B186" s="14" t="s">
        <v>1</v>
      </c>
      <c r="C186" s="14" t="s">
        <v>19</v>
      </c>
      <c r="D186" s="30" t="s">
        <v>215</v>
      </c>
      <c r="E186" s="15">
        <f>SUM(F186+BY186+CR186)</f>
        <v>22053208</v>
      </c>
      <c r="F186" s="16">
        <f>SUM(G186+BA186)</f>
        <v>21846681</v>
      </c>
      <c r="G186" s="16">
        <f>SUM(H186+I186+J186+Q186+T186+U186+V186+AE186)</f>
        <v>21846681</v>
      </c>
      <c r="H186" s="16">
        <f>11060244+373100</f>
        <v>11433344</v>
      </c>
      <c r="I186" s="16">
        <v>2493914</v>
      </c>
      <c r="J186" s="16">
        <f t="shared" si="222"/>
        <v>6551501</v>
      </c>
      <c r="K186" s="16">
        <v>716230</v>
      </c>
      <c r="L186" s="16">
        <v>1403334</v>
      </c>
      <c r="M186" s="16">
        <v>3949596</v>
      </c>
      <c r="N186" s="16">
        <v>0</v>
      </c>
      <c r="O186" s="16">
        <v>441677</v>
      </c>
      <c r="P186" s="16">
        <v>40664</v>
      </c>
      <c r="Q186" s="16">
        <f t="shared" si="223"/>
        <v>0</v>
      </c>
      <c r="R186" s="16">
        <v>0</v>
      </c>
      <c r="S186" s="16">
        <v>0</v>
      </c>
      <c r="T186" s="16">
        <v>0</v>
      </c>
      <c r="U186" s="16">
        <v>60191</v>
      </c>
      <c r="V186" s="16">
        <f>SUM(W186:AD186)</f>
        <v>832174</v>
      </c>
      <c r="W186" s="16">
        <v>61161</v>
      </c>
      <c r="X186" s="16">
        <v>298806</v>
      </c>
      <c r="Y186" s="16">
        <v>145923</v>
      </c>
      <c r="Z186" s="16">
        <v>256843</v>
      </c>
      <c r="AA186" s="16">
        <v>62925</v>
      </c>
      <c r="AB186" s="16">
        <v>0</v>
      </c>
      <c r="AC186" s="16">
        <v>0</v>
      </c>
      <c r="AD186" s="16">
        <v>6516</v>
      </c>
      <c r="AE186" s="16">
        <f>SUM(AF186:AZ186)</f>
        <v>475557</v>
      </c>
      <c r="AF186" s="16">
        <v>0</v>
      </c>
      <c r="AG186" s="16">
        <v>0</v>
      </c>
      <c r="AH186" s="16">
        <v>86793</v>
      </c>
      <c r="AI186" s="16">
        <v>0</v>
      </c>
      <c r="AJ186" s="16">
        <v>4773</v>
      </c>
      <c r="AK186" s="16">
        <v>0</v>
      </c>
      <c r="AL186" s="16">
        <v>122028</v>
      </c>
      <c r="AM186" s="16">
        <v>0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87000</v>
      </c>
      <c r="AT186" s="16">
        <v>0</v>
      </c>
      <c r="AU186" s="16">
        <v>0</v>
      </c>
      <c r="AV186" s="16">
        <v>174251</v>
      </c>
      <c r="AW186" s="16">
        <v>0</v>
      </c>
      <c r="AX186" s="16">
        <v>0</v>
      </c>
      <c r="AY186" s="16">
        <v>0</v>
      </c>
      <c r="AZ186" s="16">
        <v>712</v>
      </c>
      <c r="BA186" s="16">
        <f>SUM(BB186+BF186+BI186+BK186+BM186)</f>
        <v>0</v>
      </c>
      <c r="BB186" s="16">
        <f>SUM(BC186:BE186)</f>
        <v>0</v>
      </c>
      <c r="BC186" s="16">
        <v>0</v>
      </c>
      <c r="BD186" s="16">
        <v>0</v>
      </c>
      <c r="BE186" s="16">
        <v>0</v>
      </c>
      <c r="BF186" s="16">
        <f t="shared" si="224"/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f t="shared" si="225"/>
        <v>0</v>
      </c>
      <c r="BL186" s="16">
        <v>0</v>
      </c>
      <c r="BM186" s="16">
        <f t="shared" si="226"/>
        <v>0</v>
      </c>
      <c r="BN186" s="16">
        <v>0</v>
      </c>
      <c r="BO186" s="16">
        <v>0</v>
      </c>
      <c r="BP186" s="16">
        <v>0</v>
      </c>
      <c r="BQ186" s="16">
        <v>0</v>
      </c>
      <c r="BR186" s="16">
        <v>0</v>
      </c>
      <c r="BS186" s="16">
        <v>0</v>
      </c>
      <c r="BT186" s="16">
        <v>0</v>
      </c>
      <c r="BU186" s="16">
        <v>0</v>
      </c>
      <c r="BV186" s="16">
        <v>0</v>
      </c>
      <c r="BW186" s="16">
        <v>0</v>
      </c>
      <c r="BX186" s="16">
        <v>0</v>
      </c>
      <c r="BY186" s="16">
        <f>SUM(BZ186+CQ186)</f>
        <v>206527</v>
      </c>
      <c r="BZ186" s="16">
        <f>SUM(CA186+CD186+CJ186)</f>
        <v>206527</v>
      </c>
      <c r="CA186" s="16">
        <f t="shared" si="227"/>
        <v>206527</v>
      </c>
      <c r="CB186" s="16">
        <v>0</v>
      </c>
      <c r="CC186" s="16">
        <v>206527</v>
      </c>
      <c r="CD186" s="16">
        <f>SUM(CE186:CH186)</f>
        <v>0</v>
      </c>
      <c r="CE186" s="16">
        <v>0</v>
      </c>
      <c r="CF186" s="16">
        <v>0</v>
      </c>
      <c r="CG186" s="16">
        <v>0</v>
      </c>
      <c r="CH186" s="16">
        <v>0</v>
      </c>
      <c r="CI186" s="16">
        <v>0</v>
      </c>
      <c r="CJ186" s="16">
        <f>SUM(CK186:CN186)</f>
        <v>0</v>
      </c>
      <c r="CK186" s="16">
        <v>0</v>
      </c>
      <c r="CL186" s="16">
        <v>0</v>
      </c>
      <c r="CM186" s="16">
        <v>0</v>
      </c>
      <c r="CN186" s="16">
        <v>0</v>
      </c>
      <c r="CO186" s="16">
        <v>0</v>
      </c>
      <c r="CP186" s="16">
        <v>0</v>
      </c>
      <c r="CQ186" s="16">
        <v>0</v>
      </c>
      <c r="CR186" s="16">
        <f t="shared" si="228"/>
        <v>0</v>
      </c>
      <c r="CS186" s="16">
        <f t="shared" si="229"/>
        <v>0</v>
      </c>
      <c r="CT186" s="16">
        <v>0</v>
      </c>
      <c r="CU186" s="17">
        <v>0</v>
      </c>
      <c r="CV186" s="38"/>
    </row>
    <row r="187" spans="1:100" ht="31.5" x14ac:dyDescent="0.25">
      <c r="A187" s="13" t="s">
        <v>1</v>
      </c>
      <c r="B187" s="14" t="s">
        <v>1</v>
      </c>
      <c r="C187" s="14" t="s">
        <v>19</v>
      </c>
      <c r="D187" s="30" t="s">
        <v>216</v>
      </c>
      <c r="E187" s="15">
        <f>SUM(F187+BY187+CR187)</f>
        <v>723835</v>
      </c>
      <c r="F187" s="16">
        <f>SUM(G187+BA187)</f>
        <v>711357</v>
      </c>
      <c r="G187" s="16">
        <f>SUM(H187+I187+J187+Q187+T187+U187+V187+AE187)</f>
        <v>711357</v>
      </c>
      <c r="H187" s="16">
        <v>528527</v>
      </c>
      <c r="I187" s="16">
        <v>111435</v>
      </c>
      <c r="J187" s="16">
        <f t="shared" si="222"/>
        <v>50738</v>
      </c>
      <c r="K187" s="16">
        <v>0</v>
      </c>
      <c r="L187" s="16">
        <v>0</v>
      </c>
      <c r="M187" s="16">
        <v>0</v>
      </c>
      <c r="N187" s="16">
        <v>0</v>
      </c>
      <c r="O187" s="16">
        <v>49599</v>
      </c>
      <c r="P187" s="16">
        <v>1139</v>
      </c>
      <c r="Q187" s="16">
        <f t="shared" si="223"/>
        <v>0</v>
      </c>
      <c r="R187" s="16">
        <v>0</v>
      </c>
      <c r="S187" s="16">
        <v>0</v>
      </c>
      <c r="T187" s="16">
        <v>0</v>
      </c>
      <c r="U187" s="16">
        <v>10775</v>
      </c>
      <c r="V187" s="16">
        <f>SUM(W187:AD187)</f>
        <v>1231</v>
      </c>
      <c r="W187" s="16">
        <v>0</v>
      </c>
      <c r="X187" s="16">
        <v>809</v>
      </c>
      <c r="Y187" s="16">
        <v>294</v>
      </c>
      <c r="Z187" s="16">
        <v>128</v>
      </c>
      <c r="AA187" s="16">
        <v>0</v>
      </c>
      <c r="AB187" s="16">
        <v>0</v>
      </c>
      <c r="AC187" s="16">
        <v>0</v>
      </c>
      <c r="AD187" s="16">
        <v>0</v>
      </c>
      <c r="AE187" s="16">
        <f>SUM(AF187:AZ187)</f>
        <v>8651</v>
      </c>
      <c r="AF187" s="16">
        <v>0</v>
      </c>
      <c r="AG187" s="16">
        <v>0</v>
      </c>
      <c r="AH187" s="16">
        <v>718</v>
      </c>
      <c r="AI187" s="16">
        <v>0</v>
      </c>
      <c r="AJ187" s="16">
        <v>1591</v>
      </c>
      <c r="AK187" s="16">
        <v>0</v>
      </c>
      <c r="AL187" s="16">
        <v>6239</v>
      </c>
      <c r="AM187" s="16">
        <v>0</v>
      </c>
      <c r="AN187" s="16">
        <v>0</v>
      </c>
      <c r="AO187" s="16">
        <v>0</v>
      </c>
      <c r="AP187" s="16">
        <v>0</v>
      </c>
      <c r="AQ187" s="16">
        <v>0</v>
      </c>
      <c r="AR187" s="16">
        <v>0</v>
      </c>
      <c r="AS187" s="16">
        <v>0</v>
      </c>
      <c r="AT187" s="16">
        <v>0</v>
      </c>
      <c r="AU187" s="16">
        <v>0</v>
      </c>
      <c r="AV187" s="16">
        <v>0</v>
      </c>
      <c r="AW187" s="16">
        <v>0</v>
      </c>
      <c r="AX187" s="16">
        <v>0</v>
      </c>
      <c r="AY187" s="16">
        <v>0</v>
      </c>
      <c r="AZ187" s="16">
        <v>103</v>
      </c>
      <c r="BA187" s="16">
        <f>SUM(BB187+BF187+BI187+BK187+BM187)</f>
        <v>0</v>
      </c>
      <c r="BB187" s="16">
        <f>SUM(BC187:BE187)</f>
        <v>0</v>
      </c>
      <c r="BC187" s="16">
        <v>0</v>
      </c>
      <c r="BD187" s="16">
        <v>0</v>
      </c>
      <c r="BE187" s="16">
        <v>0</v>
      </c>
      <c r="BF187" s="16">
        <f t="shared" si="224"/>
        <v>0</v>
      </c>
      <c r="BG187" s="16">
        <v>0</v>
      </c>
      <c r="BH187" s="16">
        <v>0</v>
      </c>
      <c r="BI187" s="16">
        <v>0</v>
      </c>
      <c r="BJ187" s="16">
        <v>0</v>
      </c>
      <c r="BK187" s="16">
        <f t="shared" si="225"/>
        <v>0</v>
      </c>
      <c r="BL187" s="16">
        <v>0</v>
      </c>
      <c r="BM187" s="16">
        <f t="shared" si="226"/>
        <v>0</v>
      </c>
      <c r="BN187" s="16">
        <v>0</v>
      </c>
      <c r="BO187" s="16">
        <v>0</v>
      </c>
      <c r="BP187" s="16">
        <v>0</v>
      </c>
      <c r="BQ187" s="16">
        <v>0</v>
      </c>
      <c r="BR187" s="16">
        <v>0</v>
      </c>
      <c r="BS187" s="16">
        <v>0</v>
      </c>
      <c r="BT187" s="16">
        <v>0</v>
      </c>
      <c r="BU187" s="16">
        <v>0</v>
      </c>
      <c r="BV187" s="16">
        <v>0</v>
      </c>
      <c r="BW187" s="16">
        <v>0</v>
      </c>
      <c r="BX187" s="16">
        <v>0</v>
      </c>
      <c r="BY187" s="16">
        <f>SUM(BZ187+CQ187)</f>
        <v>12478</v>
      </c>
      <c r="BZ187" s="16">
        <f>SUM(CA187+CD187+CJ187)</f>
        <v>12478</v>
      </c>
      <c r="CA187" s="16">
        <f t="shared" si="227"/>
        <v>12478</v>
      </c>
      <c r="CB187" s="16">
        <v>0</v>
      </c>
      <c r="CC187" s="16">
        <v>12478</v>
      </c>
      <c r="CD187" s="16">
        <f>SUM(CE187:CH187)</f>
        <v>0</v>
      </c>
      <c r="CE187" s="16">
        <v>0</v>
      </c>
      <c r="CF187" s="16">
        <v>0</v>
      </c>
      <c r="CG187" s="16">
        <v>0</v>
      </c>
      <c r="CH187" s="16">
        <v>0</v>
      </c>
      <c r="CI187" s="16">
        <v>0</v>
      </c>
      <c r="CJ187" s="16">
        <f>SUM(CK187:CN187)</f>
        <v>0</v>
      </c>
      <c r="CK187" s="16">
        <v>0</v>
      </c>
      <c r="CL187" s="16">
        <v>0</v>
      </c>
      <c r="CM187" s="16">
        <v>0</v>
      </c>
      <c r="CN187" s="16">
        <v>0</v>
      </c>
      <c r="CO187" s="16">
        <v>0</v>
      </c>
      <c r="CP187" s="16">
        <v>0</v>
      </c>
      <c r="CQ187" s="16">
        <v>0</v>
      </c>
      <c r="CR187" s="16">
        <f t="shared" si="228"/>
        <v>0</v>
      </c>
      <c r="CS187" s="16">
        <f t="shared" si="229"/>
        <v>0</v>
      </c>
      <c r="CT187" s="16">
        <v>0</v>
      </c>
      <c r="CU187" s="17">
        <v>0</v>
      </c>
      <c r="CV187" s="38"/>
    </row>
    <row r="188" spans="1:100" ht="15.75" x14ac:dyDescent="0.25">
      <c r="A188" s="13" t="s">
        <v>209</v>
      </c>
      <c r="B188" s="14" t="s">
        <v>47</v>
      </c>
      <c r="C188" s="14" t="s">
        <v>1</v>
      </c>
      <c r="D188" s="30" t="s">
        <v>217</v>
      </c>
      <c r="E188" s="15">
        <f>SUM(E189)</f>
        <v>196397239</v>
      </c>
      <c r="F188" s="16">
        <f t="shared" ref="F188:BS188" si="295">SUM(F189)</f>
        <v>196397239</v>
      </c>
      <c r="G188" s="16">
        <f t="shared" si="295"/>
        <v>0</v>
      </c>
      <c r="H188" s="16">
        <f t="shared" si="295"/>
        <v>0</v>
      </c>
      <c r="I188" s="16">
        <f t="shared" si="295"/>
        <v>0</v>
      </c>
      <c r="J188" s="16">
        <f t="shared" si="295"/>
        <v>0</v>
      </c>
      <c r="K188" s="16">
        <f t="shared" si="295"/>
        <v>0</v>
      </c>
      <c r="L188" s="16">
        <f t="shared" si="295"/>
        <v>0</v>
      </c>
      <c r="M188" s="16">
        <f t="shared" si="295"/>
        <v>0</v>
      </c>
      <c r="N188" s="16">
        <f t="shared" si="295"/>
        <v>0</v>
      </c>
      <c r="O188" s="16">
        <f t="shared" si="295"/>
        <v>0</v>
      </c>
      <c r="P188" s="16">
        <f t="shared" si="295"/>
        <v>0</v>
      </c>
      <c r="Q188" s="16">
        <f t="shared" si="295"/>
        <v>0</v>
      </c>
      <c r="R188" s="16">
        <f t="shared" si="295"/>
        <v>0</v>
      </c>
      <c r="S188" s="16">
        <f t="shared" si="295"/>
        <v>0</v>
      </c>
      <c r="T188" s="16">
        <f t="shared" si="295"/>
        <v>0</v>
      </c>
      <c r="U188" s="16">
        <f t="shared" si="295"/>
        <v>0</v>
      </c>
      <c r="V188" s="16">
        <f t="shared" si="295"/>
        <v>0</v>
      </c>
      <c r="W188" s="16">
        <f t="shared" si="295"/>
        <v>0</v>
      </c>
      <c r="X188" s="16">
        <f t="shared" si="295"/>
        <v>0</v>
      </c>
      <c r="Y188" s="16">
        <f t="shared" si="295"/>
        <v>0</v>
      </c>
      <c r="Z188" s="16">
        <f t="shared" si="295"/>
        <v>0</v>
      </c>
      <c r="AA188" s="16">
        <f t="shared" si="295"/>
        <v>0</v>
      </c>
      <c r="AB188" s="16">
        <f t="shared" si="295"/>
        <v>0</v>
      </c>
      <c r="AC188" s="16">
        <f t="shared" si="295"/>
        <v>0</v>
      </c>
      <c r="AD188" s="16">
        <f t="shared" si="295"/>
        <v>0</v>
      </c>
      <c r="AE188" s="16">
        <f t="shared" si="295"/>
        <v>0</v>
      </c>
      <c r="AF188" s="16">
        <f t="shared" si="295"/>
        <v>0</v>
      </c>
      <c r="AG188" s="16">
        <f t="shared" si="295"/>
        <v>0</v>
      </c>
      <c r="AH188" s="16">
        <f t="shared" si="295"/>
        <v>0</v>
      </c>
      <c r="AI188" s="16">
        <f t="shared" si="295"/>
        <v>0</v>
      </c>
      <c r="AJ188" s="16">
        <f t="shared" si="295"/>
        <v>0</v>
      </c>
      <c r="AK188" s="16">
        <f t="shared" si="295"/>
        <v>0</v>
      </c>
      <c r="AL188" s="16">
        <f t="shared" si="295"/>
        <v>0</v>
      </c>
      <c r="AM188" s="16">
        <f t="shared" si="295"/>
        <v>0</v>
      </c>
      <c r="AN188" s="16">
        <f t="shared" si="295"/>
        <v>0</v>
      </c>
      <c r="AO188" s="16">
        <f t="shared" si="295"/>
        <v>0</v>
      </c>
      <c r="AP188" s="16">
        <f t="shared" si="295"/>
        <v>0</v>
      </c>
      <c r="AQ188" s="16">
        <f t="shared" si="295"/>
        <v>0</v>
      </c>
      <c r="AR188" s="16">
        <f t="shared" si="295"/>
        <v>0</v>
      </c>
      <c r="AS188" s="16">
        <f t="shared" si="295"/>
        <v>0</v>
      </c>
      <c r="AT188" s="16">
        <f t="shared" si="295"/>
        <v>0</v>
      </c>
      <c r="AU188" s="16">
        <f t="shared" si="295"/>
        <v>0</v>
      </c>
      <c r="AV188" s="16">
        <f t="shared" si="295"/>
        <v>0</v>
      </c>
      <c r="AW188" s="16">
        <f t="shared" si="295"/>
        <v>0</v>
      </c>
      <c r="AX188" s="16">
        <f t="shared" si="295"/>
        <v>0</v>
      </c>
      <c r="AY188" s="16">
        <f t="shared" si="295"/>
        <v>0</v>
      </c>
      <c r="AZ188" s="16">
        <f t="shared" si="295"/>
        <v>0</v>
      </c>
      <c r="BA188" s="16">
        <f t="shared" si="295"/>
        <v>196397239</v>
      </c>
      <c r="BB188" s="16">
        <f t="shared" si="295"/>
        <v>0</v>
      </c>
      <c r="BC188" s="16">
        <f t="shared" si="295"/>
        <v>0</v>
      </c>
      <c r="BD188" s="16">
        <f t="shared" si="295"/>
        <v>0</v>
      </c>
      <c r="BE188" s="16">
        <f t="shared" si="295"/>
        <v>0</v>
      </c>
      <c r="BF188" s="16">
        <f t="shared" si="295"/>
        <v>0</v>
      </c>
      <c r="BG188" s="16">
        <f t="shared" si="295"/>
        <v>0</v>
      </c>
      <c r="BH188" s="16">
        <f t="shared" si="295"/>
        <v>0</v>
      </c>
      <c r="BI188" s="16">
        <f t="shared" si="295"/>
        <v>0</v>
      </c>
      <c r="BJ188" s="16">
        <f t="shared" si="295"/>
        <v>0</v>
      </c>
      <c r="BK188" s="16">
        <f t="shared" si="295"/>
        <v>0</v>
      </c>
      <c r="BL188" s="16">
        <f t="shared" si="295"/>
        <v>0</v>
      </c>
      <c r="BM188" s="16">
        <f t="shared" si="295"/>
        <v>196397239</v>
      </c>
      <c r="BN188" s="16">
        <f t="shared" si="295"/>
        <v>0</v>
      </c>
      <c r="BO188" s="16">
        <f t="shared" si="295"/>
        <v>0</v>
      </c>
      <c r="BP188" s="16">
        <f t="shared" si="295"/>
        <v>0</v>
      </c>
      <c r="BQ188" s="16">
        <f t="shared" si="295"/>
        <v>0</v>
      </c>
      <c r="BR188" s="16">
        <f t="shared" si="295"/>
        <v>0</v>
      </c>
      <c r="BS188" s="16">
        <f t="shared" si="295"/>
        <v>0</v>
      </c>
      <c r="BT188" s="16">
        <f t="shared" ref="BT188:CU188" si="296">SUM(BT189)</f>
        <v>167368528</v>
      </c>
      <c r="BU188" s="16">
        <f t="shared" si="296"/>
        <v>0</v>
      </c>
      <c r="BV188" s="16">
        <f t="shared" si="296"/>
        <v>0</v>
      </c>
      <c r="BW188" s="16">
        <f t="shared" si="296"/>
        <v>29028711</v>
      </c>
      <c r="BX188" s="16">
        <f t="shared" si="296"/>
        <v>0</v>
      </c>
      <c r="BY188" s="16">
        <f t="shared" si="296"/>
        <v>0</v>
      </c>
      <c r="BZ188" s="16">
        <f t="shared" si="296"/>
        <v>0</v>
      </c>
      <c r="CA188" s="16">
        <f t="shared" si="296"/>
        <v>0</v>
      </c>
      <c r="CB188" s="16">
        <f t="shared" si="296"/>
        <v>0</v>
      </c>
      <c r="CC188" s="16">
        <f t="shared" si="296"/>
        <v>0</v>
      </c>
      <c r="CD188" s="16">
        <f t="shared" si="296"/>
        <v>0</v>
      </c>
      <c r="CE188" s="16">
        <f t="shared" si="296"/>
        <v>0</v>
      </c>
      <c r="CF188" s="16">
        <f t="shared" si="296"/>
        <v>0</v>
      </c>
      <c r="CG188" s="16">
        <f t="shared" si="296"/>
        <v>0</v>
      </c>
      <c r="CH188" s="16">
        <f t="shared" si="296"/>
        <v>0</v>
      </c>
      <c r="CI188" s="16">
        <f t="shared" si="296"/>
        <v>0</v>
      </c>
      <c r="CJ188" s="16">
        <f t="shared" si="296"/>
        <v>0</v>
      </c>
      <c r="CK188" s="16">
        <f t="shared" si="296"/>
        <v>0</v>
      </c>
      <c r="CL188" s="16">
        <f t="shared" si="296"/>
        <v>0</v>
      </c>
      <c r="CM188" s="16">
        <f t="shared" si="296"/>
        <v>0</v>
      </c>
      <c r="CN188" s="16">
        <f t="shared" si="296"/>
        <v>0</v>
      </c>
      <c r="CO188" s="16">
        <f t="shared" si="296"/>
        <v>0</v>
      </c>
      <c r="CP188" s="16">
        <f t="shared" si="296"/>
        <v>0</v>
      </c>
      <c r="CQ188" s="16">
        <f t="shared" si="296"/>
        <v>0</v>
      </c>
      <c r="CR188" s="16">
        <f t="shared" si="296"/>
        <v>0</v>
      </c>
      <c r="CS188" s="16">
        <f t="shared" si="296"/>
        <v>0</v>
      </c>
      <c r="CT188" s="16">
        <f t="shared" si="296"/>
        <v>0</v>
      </c>
      <c r="CU188" s="17">
        <f t="shared" si="296"/>
        <v>0</v>
      </c>
      <c r="CV188" s="38"/>
    </row>
    <row r="189" spans="1:100" ht="15.75" x14ac:dyDescent="0.25">
      <c r="A189" s="13" t="s">
        <v>1</v>
      </c>
      <c r="B189" s="14" t="s">
        <v>1</v>
      </c>
      <c r="C189" s="14" t="s">
        <v>19</v>
      </c>
      <c r="D189" s="30" t="s">
        <v>218</v>
      </c>
      <c r="E189" s="15">
        <f>SUM(F189+BY189+CR189)</f>
        <v>196397239</v>
      </c>
      <c r="F189" s="16">
        <f>SUM(G189+BA189)</f>
        <v>196397239</v>
      </c>
      <c r="G189" s="16">
        <f>SUM(H189+I189+J189+Q189+T189+U189+V189+AE189)</f>
        <v>0</v>
      </c>
      <c r="H189" s="16">
        <v>0</v>
      </c>
      <c r="I189" s="16">
        <v>0</v>
      </c>
      <c r="J189" s="16">
        <f t="shared" si="222"/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f t="shared" si="223"/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f>SUM(W189:AD189)</f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f>SUM(AF189:AZ189)</f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f>SUM(BB189+BF189+BI189+BK189+BM189)</f>
        <v>196397239</v>
      </c>
      <c r="BB189" s="16">
        <f>SUM(BC189:BE189)</f>
        <v>0</v>
      </c>
      <c r="BC189" s="16">
        <v>0</v>
      </c>
      <c r="BD189" s="16">
        <v>0</v>
      </c>
      <c r="BE189" s="16">
        <v>0</v>
      </c>
      <c r="BF189" s="16">
        <f t="shared" si="224"/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f t="shared" si="225"/>
        <v>0</v>
      </c>
      <c r="BL189" s="16">
        <v>0</v>
      </c>
      <c r="BM189" s="16">
        <f t="shared" si="226"/>
        <v>196397239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f>187167526-19798998</f>
        <v>167368528</v>
      </c>
      <c r="BU189" s="16">
        <v>0</v>
      </c>
      <c r="BV189" s="16">
        <v>0</v>
      </c>
      <c r="BW189" s="16">
        <f>30422549-1393838</f>
        <v>29028711</v>
      </c>
      <c r="BX189" s="16">
        <v>0</v>
      </c>
      <c r="BY189" s="16">
        <f>SUM(BZ189+CQ189)</f>
        <v>0</v>
      </c>
      <c r="BZ189" s="16">
        <f>SUM(CA189+CD189+CJ189)</f>
        <v>0</v>
      </c>
      <c r="CA189" s="16">
        <f t="shared" si="227"/>
        <v>0</v>
      </c>
      <c r="CB189" s="16">
        <v>0</v>
      </c>
      <c r="CC189" s="16">
        <v>0</v>
      </c>
      <c r="CD189" s="16">
        <f>SUM(CE189:CH189)</f>
        <v>0</v>
      </c>
      <c r="CE189" s="16">
        <v>0</v>
      </c>
      <c r="CF189" s="16">
        <v>0</v>
      </c>
      <c r="CG189" s="16">
        <v>0</v>
      </c>
      <c r="CH189" s="16">
        <v>0</v>
      </c>
      <c r="CI189" s="16">
        <v>0</v>
      </c>
      <c r="CJ189" s="16">
        <f>SUM(CK189:CN189)</f>
        <v>0</v>
      </c>
      <c r="CK189" s="16">
        <v>0</v>
      </c>
      <c r="CL189" s="16">
        <v>0</v>
      </c>
      <c r="CM189" s="16">
        <v>0</v>
      </c>
      <c r="CN189" s="16">
        <v>0</v>
      </c>
      <c r="CO189" s="16">
        <v>0</v>
      </c>
      <c r="CP189" s="16">
        <v>0</v>
      </c>
      <c r="CQ189" s="16">
        <v>0</v>
      </c>
      <c r="CR189" s="16">
        <f t="shared" si="228"/>
        <v>0</v>
      </c>
      <c r="CS189" s="16">
        <f t="shared" si="229"/>
        <v>0</v>
      </c>
      <c r="CT189" s="16">
        <v>0</v>
      </c>
      <c r="CU189" s="17">
        <v>0</v>
      </c>
      <c r="CV189" s="38"/>
    </row>
    <row r="190" spans="1:100" ht="15.75" x14ac:dyDescent="0.25">
      <c r="A190" s="13" t="s">
        <v>209</v>
      </c>
      <c r="B190" s="14" t="s">
        <v>117</v>
      </c>
      <c r="C190" s="14" t="s">
        <v>1</v>
      </c>
      <c r="D190" s="30" t="s">
        <v>219</v>
      </c>
      <c r="E190" s="15">
        <f t="shared" ref="E190:AJ190" si="297">SUM(E191)</f>
        <v>14134363</v>
      </c>
      <c r="F190" s="16">
        <f t="shared" si="297"/>
        <v>14134363</v>
      </c>
      <c r="G190" s="16">
        <f t="shared" si="297"/>
        <v>0</v>
      </c>
      <c r="H190" s="16">
        <f t="shared" si="297"/>
        <v>0</v>
      </c>
      <c r="I190" s="16">
        <f t="shared" si="297"/>
        <v>0</v>
      </c>
      <c r="J190" s="16">
        <f t="shared" si="297"/>
        <v>0</v>
      </c>
      <c r="K190" s="16">
        <f t="shared" si="297"/>
        <v>0</v>
      </c>
      <c r="L190" s="16">
        <f t="shared" si="297"/>
        <v>0</v>
      </c>
      <c r="M190" s="16">
        <f t="shared" si="297"/>
        <v>0</v>
      </c>
      <c r="N190" s="16">
        <f t="shared" si="297"/>
        <v>0</v>
      </c>
      <c r="O190" s="16">
        <f t="shared" si="297"/>
        <v>0</v>
      </c>
      <c r="P190" s="16">
        <f t="shared" si="297"/>
        <v>0</v>
      </c>
      <c r="Q190" s="16">
        <f t="shared" si="297"/>
        <v>0</v>
      </c>
      <c r="R190" s="16">
        <f t="shared" si="297"/>
        <v>0</v>
      </c>
      <c r="S190" s="16">
        <f t="shared" si="297"/>
        <v>0</v>
      </c>
      <c r="T190" s="16">
        <f t="shared" si="297"/>
        <v>0</v>
      </c>
      <c r="U190" s="16">
        <f t="shared" si="297"/>
        <v>0</v>
      </c>
      <c r="V190" s="16">
        <f t="shared" si="297"/>
        <v>0</v>
      </c>
      <c r="W190" s="16">
        <f t="shared" si="297"/>
        <v>0</v>
      </c>
      <c r="X190" s="16">
        <f t="shared" si="297"/>
        <v>0</v>
      </c>
      <c r="Y190" s="16">
        <f t="shared" si="297"/>
        <v>0</v>
      </c>
      <c r="Z190" s="16">
        <f t="shared" si="297"/>
        <v>0</v>
      </c>
      <c r="AA190" s="16">
        <f t="shared" si="297"/>
        <v>0</v>
      </c>
      <c r="AB190" s="16">
        <f t="shared" si="297"/>
        <v>0</v>
      </c>
      <c r="AC190" s="16">
        <f t="shared" si="297"/>
        <v>0</v>
      </c>
      <c r="AD190" s="16">
        <f t="shared" si="297"/>
        <v>0</v>
      </c>
      <c r="AE190" s="16">
        <f t="shared" si="297"/>
        <v>0</v>
      </c>
      <c r="AF190" s="16">
        <f t="shared" si="297"/>
        <v>0</v>
      </c>
      <c r="AG190" s="16">
        <f t="shared" si="297"/>
        <v>0</v>
      </c>
      <c r="AH190" s="16">
        <f t="shared" si="297"/>
        <v>0</v>
      </c>
      <c r="AI190" s="16">
        <f t="shared" si="297"/>
        <v>0</v>
      </c>
      <c r="AJ190" s="16">
        <f t="shared" si="297"/>
        <v>0</v>
      </c>
      <c r="AK190" s="16">
        <f t="shared" ref="AK190:BR190" si="298">SUM(AK191)</f>
        <v>0</v>
      </c>
      <c r="AL190" s="16">
        <f t="shared" si="298"/>
        <v>0</v>
      </c>
      <c r="AM190" s="16">
        <f t="shared" si="298"/>
        <v>0</v>
      </c>
      <c r="AN190" s="16">
        <f t="shared" si="298"/>
        <v>0</v>
      </c>
      <c r="AO190" s="16">
        <f t="shared" si="298"/>
        <v>0</v>
      </c>
      <c r="AP190" s="16">
        <f t="shared" si="298"/>
        <v>0</v>
      </c>
      <c r="AQ190" s="16">
        <f t="shared" si="298"/>
        <v>0</v>
      </c>
      <c r="AR190" s="16">
        <f t="shared" si="298"/>
        <v>0</v>
      </c>
      <c r="AS190" s="16">
        <f t="shared" si="298"/>
        <v>0</v>
      </c>
      <c r="AT190" s="16">
        <f t="shared" si="298"/>
        <v>0</v>
      </c>
      <c r="AU190" s="16">
        <f t="shared" si="298"/>
        <v>0</v>
      </c>
      <c r="AV190" s="16">
        <f t="shared" si="298"/>
        <v>0</v>
      </c>
      <c r="AW190" s="16">
        <f t="shared" si="298"/>
        <v>0</v>
      </c>
      <c r="AX190" s="16">
        <f t="shared" si="298"/>
        <v>0</v>
      </c>
      <c r="AY190" s="16">
        <f t="shared" si="298"/>
        <v>0</v>
      </c>
      <c r="AZ190" s="16">
        <f t="shared" si="298"/>
        <v>0</v>
      </c>
      <c r="BA190" s="16">
        <f t="shared" si="298"/>
        <v>14134363</v>
      </c>
      <c r="BB190" s="16">
        <f t="shared" si="298"/>
        <v>0</v>
      </c>
      <c r="BC190" s="16">
        <f t="shared" si="298"/>
        <v>0</v>
      </c>
      <c r="BD190" s="16">
        <f t="shared" si="298"/>
        <v>0</v>
      </c>
      <c r="BE190" s="16">
        <f t="shared" si="298"/>
        <v>0</v>
      </c>
      <c r="BF190" s="16">
        <f t="shared" si="298"/>
        <v>0</v>
      </c>
      <c r="BG190" s="16">
        <f t="shared" si="298"/>
        <v>0</v>
      </c>
      <c r="BH190" s="16">
        <f t="shared" si="298"/>
        <v>0</v>
      </c>
      <c r="BI190" s="16">
        <f t="shared" si="298"/>
        <v>0</v>
      </c>
      <c r="BJ190" s="16">
        <f t="shared" si="298"/>
        <v>0</v>
      </c>
      <c r="BK190" s="16">
        <f t="shared" si="298"/>
        <v>0</v>
      </c>
      <c r="BL190" s="16">
        <f t="shared" si="298"/>
        <v>0</v>
      </c>
      <c r="BM190" s="16">
        <f t="shared" si="298"/>
        <v>14134363</v>
      </c>
      <c r="BN190" s="16">
        <f t="shared" si="298"/>
        <v>0</v>
      </c>
      <c r="BO190" s="16">
        <f t="shared" si="298"/>
        <v>0</v>
      </c>
      <c r="BP190" s="16">
        <f t="shared" si="298"/>
        <v>0</v>
      </c>
      <c r="BQ190" s="16">
        <f t="shared" si="298"/>
        <v>14134363</v>
      </c>
      <c r="BR190" s="16">
        <f t="shared" si="298"/>
        <v>0</v>
      </c>
      <c r="BS190" s="16">
        <f t="shared" ref="BS190:CU190" si="299">SUM(BS191)</f>
        <v>0</v>
      </c>
      <c r="BT190" s="16">
        <f t="shared" si="299"/>
        <v>0</v>
      </c>
      <c r="BU190" s="16">
        <f t="shared" si="299"/>
        <v>0</v>
      </c>
      <c r="BV190" s="16">
        <f t="shared" si="299"/>
        <v>0</v>
      </c>
      <c r="BW190" s="16">
        <f t="shared" si="299"/>
        <v>0</v>
      </c>
      <c r="BX190" s="16">
        <f t="shared" si="299"/>
        <v>0</v>
      </c>
      <c r="BY190" s="16">
        <f t="shared" si="299"/>
        <v>0</v>
      </c>
      <c r="BZ190" s="16">
        <f t="shared" si="299"/>
        <v>0</v>
      </c>
      <c r="CA190" s="16">
        <f t="shared" si="299"/>
        <v>0</v>
      </c>
      <c r="CB190" s="16">
        <f t="shared" si="299"/>
        <v>0</v>
      </c>
      <c r="CC190" s="16">
        <f t="shared" si="299"/>
        <v>0</v>
      </c>
      <c r="CD190" s="16">
        <f t="shared" si="299"/>
        <v>0</v>
      </c>
      <c r="CE190" s="16">
        <f t="shared" si="299"/>
        <v>0</v>
      </c>
      <c r="CF190" s="16">
        <f t="shared" si="299"/>
        <v>0</v>
      </c>
      <c r="CG190" s="16">
        <f t="shared" si="299"/>
        <v>0</v>
      </c>
      <c r="CH190" s="16">
        <f t="shared" si="299"/>
        <v>0</v>
      </c>
      <c r="CI190" s="16">
        <f t="shared" si="299"/>
        <v>0</v>
      </c>
      <c r="CJ190" s="16">
        <f t="shared" si="299"/>
        <v>0</v>
      </c>
      <c r="CK190" s="16">
        <f t="shared" si="299"/>
        <v>0</v>
      </c>
      <c r="CL190" s="16">
        <f t="shared" si="299"/>
        <v>0</v>
      </c>
      <c r="CM190" s="16">
        <f t="shared" si="299"/>
        <v>0</v>
      </c>
      <c r="CN190" s="16">
        <f t="shared" si="299"/>
        <v>0</v>
      </c>
      <c r="CO190" s="16">
        <f t="shared" si="299"/>
        <v>0</v>
      </c>
      <c r="CP190" s="16">
        <f t="shared" si="299"/>
        <v>0</v>
      </c>
      <c r="CQ190" s="16">
        <f t="shared" si="299"/>
        <v>0</v>
      </c>
      <c r="CR190" s="16">
        <f t="shared" si="299"/>
        <v>0</v>
      </c>
      <c r="CS190" s="16">
        <f t="shared" si="299"/>
        <v>0</v>
      </c>
      <c r="CT190" s="16">
        <f t="shared" si="299"/>
        <v>0</v>
      </c>
      <c r="CU190" s="17">
        <f t="shared" si="299"/>
        <v>0</v>
      </c>
      <c r="CV190" s="38"/>
    </row>
    <row r="191" spans="1:100" ht="15.75" x14ac:dyDescent="0.25">
      <c r="A191" s="13" t="s">
        <v>1</v>
      </c>
      <c r="B191" s="14" t="s">
        <v>1</v>
      </c>
      <c r="C191" s="14" t="s">
        <v>43</v>
      </c>
      <c r="D191" s="30" t="s">
        <v>220</v>
      </c>
      <c r="E191" s="15">
        <f>SUM(F191+BY191+CR191)</f>
        <v>14134363</v>
      </c>
      <c r="F191" s="16">
        <f>SUM(G191+BA191)</f>
        <v>14134363</v>
      </c>
      <c r="G191" s="16">
        <f>SUM(H191+I191+J191+Q191+T191+U191+V191+AE191)</f>
        <v>0</v>
      </c>
      <c r="H191" s="16">
        <v>0</v>
      </c>
      <c r="I191" s="16">
        <v>0</v>
      </c>
      <c r="J191" s="16">
        <f t="shared" si="222"/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f t="shared" si="223"/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f>SUM(W191:AD191)</f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f>SUM(AF191:AZ191)</f>
        <v>0</v>
      </c>
      <c r="AF191" s="16">
        <v>0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6">
        <v>0</v>
      </c>
      <c r="AM191" s="16">
        <v>0</v>
      </c>
      <c r="AN191" s="16">
        <v>0</v>
      </c>
      <c r="AO191" s="16">
        <v>0</v>
      </c>
      <c r="AP191" s="16">
        <v>0</v>
      </c>
      <c r="AQ191" s="16">
        <v>0</v>
      </c>
      <c r="AR191" s="16">
        <v>0</v>
      </c>
      <c r="AS191" s="16">
        <v>0</v>
      </c>
      <c r="AT191" s="16">
        <v>0</v>
      </c>
      <c r="AU191" s="16">
        <v>0</v>
      </c>
      <c r="AV191" s="16">
        <v>0</v>
      </c>
      <c r="AW191" s="16">
        <v>0</v>
      </c>
      <c r="AX191" s="16">
        <v>0</v>
      </c>
      <c r="AY191" s="16">
        <v>0</v>
      </c>
      <c r="AZ191" s="16">
        <v>0</v>
      </c>
      <c r="BA191" s="16">
        <f>SUM(BB191+BF191+BI191+BK191+BM191)</f>
        <v>14134363</v>
      </c>
      <c r="BB191" s="16">
        <f>SUM(BC191:BE191)</f>
        <v>0</v>
      </c>
      <c r="BC191" s="16">
        <v>0</v>
      </c>
      <c r="BD191" s="16">
        <v>0</v>
      </c>
      <c r="BE191" s="16">
        <v>0</v>
      </c>
      <c r="BF191" s="16">
        <f t="shared" si="224"/>
        <v>0</v>
      </c>
      <c r="BG191" s="16">
        <v>0</v>
      </c>
      <c r="BH191" s="16">
        <v>0</v>
      </c>
      <c r="BI191" s="16">
        <v>0</v>
      </c>
      <c r="BJ191" s="16">
        <v>0</v>
      </c>
      <c r="BK191" s="16">
        <f t="shared" si="225"/>
        <v>0</v>
      </c>
      <c r="BL191" s="16">
        <v>0</v>
      </c>
      <c r="BM191" s="16">
        <f t="shared" si="226"/>
        <v>14134363</v>
      </c>
      <c r="BN191" s="16">
        <v>0</v>
      </c>
      <c r="BO191" s="16">
        <v>0</v>
      </c>
      <c r="BP191" s="16">
        <v>0</v>
      </c>
      <c r="BQ191" s="16">
        <v>14134363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f>SUM(BZ191+CQ191)</f>
        <v>0</v>
      </c>
      <c r="BZ191" s="16">
        <f>SUM(CA191+CD191+CJ191)</f>
        <v>0</v>
      </c>
      <c r="CA191" s="16">
        <f t="shared" si="227"/>
        <v>0</v>
      </c>
      <c r="CB191" s="16">
        <v>0</v>
      </c>
      <c r="CC191" s="16">
        <v>0</v>
      </c>
      <c r="CD191" s="16">
        <f>SUM(CE191:CH191)</f>
        <v>0</v>
      </c>
      <c r="CE191" s="16">
        <v>0</v>
      </c>
      <c r="CF191" s="16">
        <v>0</v>
      </c>
      <c r="CG191" s="16">
        <v>0</v>
      </c>
      <c r="CH191" s="16">
        <v>0</v>
      </c>
      <c r="CI191" s="16">
        <v>0</v>
      </c>
      <c r="CJ191" s="16">
        <f>SUM(CK191:CN191)</f>
        <v>0</v>
      </c>
      <c r="CK191" s="16">
        <v>0</v>
      </c>
      <c r="CL191" s="16">
        <v>0</v>
      </c>
      <c r="CM191" s="16">
        <v>0</v>
      </c>
      <c r="CN191" s="16">
        <v>0</v>
      </c>
      <c r="CO191" s="16">
        <v>0</v>
      </c>
      <c r="CP191" s="16">
        <v>0</v>
      </c>
      <c r="CQ191" s="16">
        <v>0</v>
      </c>
      <c r="CR191" s="16">
        <f t="shared" si="228"/>
        <v>0</v>
      </c>
      <c r="CS191" s="16">
        <f t="shared" si="229"/>
        <v>0</v>
      </c>
      <c r="CT191" s="16">
        <v>0</v>
      </c>
      <c r="CU191" s="17">
        <v>0</v>
      </c>
      <c r="CV191" s="38"/>
    </row>
    <row r="192" spans="1:100" ht="31.5" x14ac:dyDescent="0.25">
      <c r="A192" s="13" t="s">
        <v>209</v>
      </c>
      <c r="B192" s="14" t="s">
        <v>100</v>
      </c>
      <c r="C192" s="14" t="s">
        <v>1</v>
      </c>
      <c r="D192" s="30" t="s">
        <v>221</v>
      </c>
      <c r="E192" s="15">
        <f t="shared" ref="E192:AJ192" si="300">SUM(E193)</f>
        <v>100000</v>
      </c>
      <c r="F192" s="16">
        <f t="shared" si="300"/>
        <v>100000</v>
      </c>
      <c r="G192" s="16">
        <f t="shared" si="300"/>
        <v>0</v>
      </c>
      <c r="H192" s="16">
        <f t="shared" si="300"/>
        <v>0</v>
      </c>
      <c r="I192" s="16">
        <f t="shared" si="300"/>
        <v>0</v>
      </c>
      <c r="J192" s="16">
        <f t="shared" si="300"/>
        <v>0</v>
      </c>
      <c r="K192" s="16">
        <f t="shared" si="300"/>
        <v>0</v>
      </c>
      <c r="L192" s="16">
        <f t="shared" si="300"/>
        <v>0</v>
      </c>
      <c r="M192" s="16">
        <f t="shared" si="300"/>
        <v>0</v>
      </c>
      <c r="N192" s="16">
        <f t="shared" si="300"/>
        <v>0</v>
      </c>
      <c r="O192" s="16">
        <f t="shared" si="300"/>
        <v>0</v>
      </c>
      <c r="P192" s="16">
        <f t="shared" si="300"/>
        <v>0</v>
      </c>
      <c r="Q192" s="16">
        <f t="shared" si="300"/>
        <v>0</v>
      </c>
      <c r="R192" s="16">
        <f t="shared" si="300"/>
        <v>0</v>
      </c>
      <c r="S192" s="16">
        <f t="shared" si="300"/>
        <v>0</v>
      </c>
      <c r="T192" s="16">
        <f t="shared" si="300"/>
        <v>0</v>
      </c>
      <c r="U192" s="16">
        <f t="shared" si="300"/>
        <v>0</v>
      </c>
      <c r="V192" s="16">
        <f t="shared" si="300"/>
        <v>0</v>
      </c>
      <c r="W192" s="16">
        <f t="shared" si="300"/>
        <v>0</v>
      </c>
      <c r="X192" s="16">
        <f t="shared" si="300"/>
        <v>0</v>
      </c>
      <c r="Y192" s="16">
        <f t="shared" si="300"/>
        <v>0</v>
      </c>
      <c r="Z192" s="16">
        <f t="shared" si="300"/>
        <v>0</v>
      </c>
      <c r="AA192" s="16">
        <f t="shared" si="300"/>
        <v>0</v>
      </c>
      <c r="AB192" s="16">
        <f t="shared" si="300"/>
        <v>0</v>
      </c>
      <c r="AC192" s="16">
        <f t="shared" si="300"/>
        <v>0</v>
      </c>
      <c r="AD192" s="16">
        <f t="shared" si="300"/>
        <v>0</v>
      </c>
      <c r="AE192" s="16">
        <f t="shared" si="300"/>
        <v>0</v>
      </c>
      <c r="AF192" s="16">
        <f t="shared" si="300"/>
        <v>0</v>
      </c>
      <c r="AG192" s="16">
        <f t="shared" si="300"/>
        <v>0</v>
      </c>
      <c r="AH192" s="16">
        <f t="shared" si="300"/>
        <v>0</v>
      </c>
      <c r="AI192" s="16">
        <f t="shared" si="300"/>
        <v>0</v>
      </c>
      <c r="AJ192" s="16">
        <f t="shared" si="300"/>
        <v>0</v>
      </c>
      <c r="AK192" s="16">
        <f t="shared" ref="AK192:BR192" si="301">SUM(AK193)</f>
        <v>0</v>
      </c>
      <c r="AL192" s="16">
        <f t="shared" si="301"/>
        <v>0</v>
      </c>
      <c r="AM192" s="16">
        <f t="shared" si="301"/>
        <v>0</v>
      </c>
      <c r="AN192" s="16">
        <f t="shared" si="301"/>
        <v>0</v>
      </c>
      <c r="AO192" s="16">
        <f t="shared" si="301"/>
        <v>0</v>
      </c>
      <c r="AP192" s="16">
        <f t="shared" si="301"/>
        <v>0</v>
      </c>
      <c r="AQ192" s="16">
        <f t="shared" si="301"/>
        <v>0</v>
      </c>
      <c r="AR192" s="16">
        <f t="shared" si="301"/>
        <v>0</v>
      </c>
      <c r="AS192" s="16">
        <f t="shared" si="301"/>
        <v>0</v>
      </c>
      <c r="AT192" s="16">
        <f t="shared" si="301"/>
        <v>0</v>
      </c>
      <c r="AU192" s="16">
        <f t="shared" si="301"/>
        <v>0</v>
      </c>
      <c r="AV192" s="16">
        <f t="shared" si="301"/>
        <v>0</v>
      </c>
      <c r="AW192" s="16">
        <f t="shared" si="301"/>
        <v>0</v>
      </c>
      <c r="AX192" s="16">
        <f t="shared" si="301"/>
        <v>0</v>
      </c>
      <c r="AY192" s="16">
        <f t="shared" si="301"/>
        <v>0</v>
      </c>
      <c r="AZ192" s="16">
        <f t="shared" si="301"/>
        <v>0</v>
      </c>
      <c r="BA192" s="16">
        <f t="shared" si="301"/>
        <v>100000</v>
      </c>
      <c r="BB192" s="16">
        <f t="shared" si="301"/>
        <v>0</v>
      </c>
      <c r="BC192" s="16">
        <f t="shared" si="301"/>
        <v>0</v>
      </c>
      <c r="BD192" s="16">
        <f t="shared" si="301"/>
        <v>0</v>
      </c>
      <c r="BE192" s="16">
        <f t="shared" si="301"/>
        <v>0</v>
      </c>
      <c r="BF192" s="16">
        <f t="shared" si="301"/>
        <v>0</v>
      </c>
      <c r="BG192" s="16">
        <f t="shared" si="301"/>
        <v>0</v>
      </c>
      <c r="BH192" s="16">
        <f t="shared" si="301"/>
        <v>0</v>
      </c>
      <c r="BI192" s="16">
        <f t="shared" si="301"/>
        <v>0</v>
      </c>
      <c r="BJ192" s="16">
        <f t="shared" si="301"/>
        <v>0</v>
      </c>
      <c r="BK192" s="16">
        <f t="shared" si="301"/>
        <v>0</v>
      </c>
      <c r="BL192" s="16">
        <f t="shared" si="301"/>
        <v>0</v>
      </c>
      <c r="BM192" s="16">
        <f t="shared" si="301"/>
        <v>100000</v>
      </c>
      <c r="BN192" s="16">
        <f t="shared" si="301"/>
        <v>0</v>
      </c>
      <c r="BO192" s="16">
        <f t="shared" si="301"/>
        <v>0</v>
      </c>
      <c r="BP192" s="16">
        <f t="shared" si="301"/>
        <v>0</v>
      </c>
      <c r="BQ192" s="16">
        <f t="shared" si="301"/>
        <v>0</v>
      </c>
      <c r="BR192" s="16">
        <f t="shared" si="301"/>
        <v>100000</v>
      </c>
      <c r="BS192" s="16">
        <f t="shared" ref="BS192:CU192" si="302">SUM(BS193)</f>
        <v>0</v>
      </c>
      <c r="BT192" s="16">
        <f t="shared" si="302"/>
        <v>0</v>
      </c>
      <c r="BU192" s="16">
        <f t="shared" si="302"/>
        <v>0</v>
      </c>
      <c r="BV192" s="16">
        <f t="shared" si="302"/>
        <v>0</v>
      </c>
      <c r="BW192" s="16">
        <f t="shared" si="302"/>
        <v>0</v>
      </c>
      <c r="BX192" s="16">
        <f t="shared" si="302"/>
        <v>0</v>
      </c>
      <c r="BY192" s="16">
        <f t="shared" si="302"/>
        <v>0</v>
      </c>
      <c r="BZ192" s="16">
        <f t="shared" si="302"/>
        <v>0</v>
      </c>
      <c r="CA192" s="16">
        <f t="shared" si="302"/>
        <v>0</v>
      </c>
      <c r="CB192" s="16">
        <f t="shared" si="302"/>
        <v>0</v>
      </c>
      <c r="CC192" s="16">
        <f t="shared" si="302"/>
        <v>0</v>
      </c>
      <c r="CD192" s="16">
        <f t="shared" si="302"/>
        <v>0</v>
      </c>
      <c r="CE192" s="16">
        <f t="shared" si="302"/>
        <v>0</v>
      </c>
      <c r="CF192" s="16">
        <f t="shared" si="302"/>
        <v>0</v>
      </c>
      <c r="CG192" s="16">
        <f t="shared" si="302"/>
        <v>0</v>
      </c>
      <c r="CH192" s="16">
        <f t="shared" si="302"/>
        <v>0</v>
      </c>
      <c r="CI192" s="16">
        <f t="shared" si="302"/>
        <v>0</v>
      </c>
      <c r="CJ192" s="16">
        <f t="shared" si="302"/>
        <v>0</v>
      </c>
      <c r="CK192" s="16">
        <f t="shared" si="302"/>
        <v>0</v>
      </c>
      <c r="CL192" s="16">
        <f t="shared" si="302"/>
        <v>0</v>
      </c>
      <c r="CM192" s="16">
        <f t="shared" si="302"/>
        <v>0</v>
      </c>
      <c r="CN192" s="16">
        <f t="shared" si="302"/>
        <v>0</v>
      </c>
      <c r="CO192" s="16">
        <f t="shared" si="302"/>
        <v>0</v>
      </c>
      <c r="CP192" s="16">
        <f t="shared" si="302"/>
        <v>0</v>
      </c>
      <c r="CQ192" s="16">
        <f t="shared" si="302"/>
        <v>0</v>
      </c>
      <c r="CR192" s="16">
        <f t="shared" si="302"/>
        <v>0</v>
      </c>
      <c r="CS192" s="16">
        <f t="shared" si="302"/>
        <v>0</v>
      </c>
      <c r="CT192" s="16">
        <f t="shared" si="302"/>
        <v>0</v>
      </c>
      <c r="CU192" s="17">
        <f t="shared" si="302"/>
        <v>0</v>
      </c>
      <c r="CV192" s="38"/>
    </row>
    <row r="193" spans="1:100" ht="15.75" x14ac:dyDescent="0.25">
      <c r="A193" s="13" t="s">
        <v>1</v>
      </c>
      <c r="B193" s="14" t="s">
        <v>1</v>
      </c>
      <c r="C193" s="14" t="s">
        <v>43</v>
      </c>
      <c r="D193" s="30" t="s">
        <v>222</v>
      </c>
      <c r="E193" s="15">
        <f>SUM(F193+BY193+CR193)</f>
        <v>100000</v>
      </c>
      <c r="F193" s="16">
        <f>SUM(G193+BA193)</f>
        <v>100000</v>
      </c>
      <c r="G193" s="16">
        <f>SUM(H193+I193+J193+Q193+T193+U193+V193+AE193)</f>
        <v>0</v>
      </c>
      <c r="H193" s="16">
        <v>0</v>
      </c>
      <c r="I193" s="16">
        <v>0</v>
      </c>
      <c r="J193" s="16">
        <f t="shared" si="222"/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f t="shared" si="223"/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f>SUM(W193:AD193)</f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f>SUM(AF193:AZ193)</f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f>SUM(BB193+BF193+BI193+BK193+BM193)</f>
        <v>100000</v>
      </c>
      <c r="BB193" s="16">
        <f>SUM(BC193:BE193)</f>
        <v>0</v>
      </c>
      <c r="BC193" s="16">
        <v>0</v>
      </c>
      <c r="BD193" s="16">
        <v>0</v>
      </c>
      <c r="BE193" s="16">
        <v>0</v>
      </c>
      <c r="BF193" s="16">
        <f t="shared" si="224"/>
        <v>0</v>
      </c>
      <c r="BG193" s="16">
        <v>0</v>
      </c>
      <c r="BH193" s="16">
        <v>0</v>
      </c>
      <c r="BI193" s="16">
        <v>0</v>
      </c>
      <c r="BJ193" s="16">
        <v>0</v>
      </c>
      <c r="BK193" s="16">
        <f t="shared" si="225"/>
        <v>0</v>
      </c>
      <c r="BL193" s="16">
        <v>0</v>
      </c>
      <c r="BM193" s="16">
        <f t="shared" si="226"/>
        <v>100000</v>
      </c>
      <c r="BN193" s="16">
        <v>0</v>
      </c>
      <c r="BO193" s="16">
        <v>0</v>
      </c>
      <c r="BP193" s="16">
        <v>0</v>
      </c>
      <c r="BQ193" s="16">
        <v>0</v>
      </c>
      <c r="BR193" s="16">
        <v>100000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f>SUM(BZ193+CQ193)</f>
        <v>0</v>
      </c>
      <c r="BZ193" s="16">
        <f>SUM(CA193+CD193+CJ193)</f>
        <v>0</v>
      </c>
      <c r="CA193" s="16">
        <f t="shared" si="227"/>
        <v>0</v>
      </c>
      <c r="CB193" s="16">
        <v>0</v>
      </c>
      <c r="CC193" s="16">
        <v>0</v>
      </c>
      <c r="CD193" s="16">
        <f>SUM(CE193:CH193)</f>
        <v>0</v>
      </c>
      <c r="CE193" s="16">
        <v>0</v>
      </c>
      <c r="CF193" s="16">
        <v>0</v>
      </c>
      <c r="CG193" s="16">
        <v>0</v>
      </c>
      <c r="CH193" s="16">
        <v>0</v>
      </c>
      <c r="CI193" s="16">
        <v>0</v>
      </c>
      <c r="CJ193" s="16">
        <f>SUM(CK193:CN193)</f>
        <v>0</v>
      </c>
      <c r="CK193" s="16">
        <v>0</v>
      </c>
      <c r="CL193" s="16">
        <v>0</v>
      </c>
      <c r="CM193" s="16">
        <v>0</v>
      </c>
      <c r="CN193" s="16">
        <v>0</v>
      </c>
      <c r="CO193" s="16">
        <v>0</v>
      </c>
      <c r="CP193" s="16">
        <v>0</v>
      </c>
      <c r="CQ193" s="16">
        <v>0</v>
      </c>
      <c r="CR193" s="16">
        <f t="shared" si="228"/>
        <v>0</v>
      </c>
      <c r="CS193" s="16">
        <f t="shared" si="229"/>
        <v>0</v>
      </c>
      <c r="CT193" s="16">
        <v>0</v>
      </c>
      <c r="CU193" s="17">
        <v>0</v>
      </c>
      <c r="CV193" s="38"/>
    </row>
    <row r="194" spans="1:100" ht="31.5" x14ac:dyDescent="0.25">
      <c r="A194" s="13" t="s">
        <v>209</v>
      </c>
      <c r="B194" s="14" t="s">
        <v>107</v>
      </c>
      <c r="C194" s="14" t="s">
        <v>1</v>
      </c>
      <c r="D194" s="30" t="s">
        <v>223</v>
      </c>
      <c r="E194" s="15">
        <f t="shared" ref="E194:AJ194" si="303">SUM(E195)</f>
        <v>4583424</v>
      </c>
      <c r="F194" s="16">
        <f t="shared" si="303"/>
        <v>4583424</v>
      </c>
      <c r="G194" s="16">
        <f t="shared" si="303"/>
        <v>0</v>
      </c>
      <c r="H194" s="16">
        <f t="shared" si="303"/>
        <v>0</v>
      </c>
      <c r="I194" s="16">
        <f t="shared" si="303"/>
        <v>0</v>
      </c>
      <c r="J194" s="16">
        <f t="shared" si="303"/>
        <v>0</v>
      </c>
      <c r="K194" s="16">
        <f t="shared" si="303"/>
        <v>0</v>
      </c>
      <c r="L194" s="16">
        <f t="shared" si="303"/>
        <v>0</v>
      </c>
      <c r="M194" s="16">
        <f t="shared" si="303"/>
        <v>0</v>
      </c>
      <c r="N194" s="16">
        <f t="shared" si="303"/>
        <v>0</v>
      </c>
      <c r="O194" s="16">
        <f t="shared" si="303"/>
        <v>0</v>
      </c>
      <c r="P194" s="16">
        <f t="shared" si="303"/>
        <v>0</v>
      </c>
      <c r="Q194" s="16">
        <f t="shared" si="303"/>
        <v>0</v>
      </c>
      <c r="R194" s="16">
        <f t="shared" si="303"/>
        <v>0</v>
      </c>
      <c r="S194" s="16">
        <f t="shared" si="303"/>
        <v>0</v>
      </c>
      <c r="T194" s="16">
        <f t="shared" si="303"/>
        <v>0</v>
      </c>
      <c r="U194" s="16">
        <f t="shared" si="303"/>
        <v>0</v>
      </c>
      <c r="V194" s="16">
        <f t="shared" si="303"/>
        <v>0</v>
      </c>
      <c r="W194" s="16">
        <f t="shared" si="303"/>
        <v>0</v>
      </c>
      <c r="X194" s="16">
        <f t="shared" si="303"/>
        <v>0</v>
      </c>
      <c r="Y194" s="16">
        <f t="shared" si="303"/>
        <v>0</v>
      </c>
      <c r="Z194" s="16">
        <f t="shared" si="303"/>
        <v>0</v>
      </c>
      <c r="AA194" s="16">
        <f t="shared" si="303"/>
        <v>0</v>
      </c>
      <c r="AB194" s="16">
        <f t="shared" si="303"/>
        <v>0</v>
      </c>
      <c r="AC194" s="16">
        <f t="shared" si="303"/>
        <v>0</v>
      </c>
      <c r="AD194" s="16">
        <f t="shared" si="303"/>
        <v>0</v>
      </c>
      <c r="AE194" s="16">
        <f t="shared" si="303"/>
        <v>0</v>
      </c>
      <c r="AF194" s="16">
        <f t="shared" si="303"/>
        <v>0</v>
      </c>
      <c r="AG194" s="16">
        <f t="shared" si="303"/>
        <v>0</v>
      </c>
      <c r="AH194" s="16">
        <f t="shared" si="303"/>
        <v>0</v>
      </c>
      <c r="AI194" s="16">
        <f t="shared" si="303"/>
        <v>0</v>
      </c>
      <c r="AJ194" s="16">
        <f t="shared" si="303"/>
        <v>0</v>
      </c>
      <c r="AK194" s="16">
        <f t="shared" ref="AK194:BR194" si="304">SUM(AK195)</f>
        <v>0</v>
      </c>
      <c r="AL194" s="16">
        <f t="shared" si="304"/>
        <v>0</v>
      </c>
      <c r="AM194" s="16">
        <f t="shared" si="304"/>
        <v>0</v>
      </c>
      <c r="AN194" s="16">
        <f t="shared" si="304"/>
        <v>0</v>
      </c>
      <c r="AO194" s="16">
        <f t="shared" si="304"/>
        <v>0</v>
      </c>
      <c r="AP194" s="16">
        <f t="shared" si="304"/>
        <v>0</v>
      </c>
      <c r="AQ194" s="16">
        <f t="shared" si="304"/>
        <v>0</v>
      </c>
      <c r="AR194" s="16">
        <f t="shared" si="304"/>
        <v>0</v>
      </c>
      <c r="AS194" s="16">
        <f t="shared" si="304"/>
        <v>0</v>
      </c>
      <c r="AT194" s="16">
        <f t="shared" si="304"/>
        <v>0</v>
      </c>
      <c r="AU194" s="16">
        <f t="shared" si="304"/>
        <v>0</v>
      </c>
      <c r="AV194" s="16">
        <f t="shared" si="304"/>
        <v>0</v>
      </c>
      <c r="AW194" s="16">
        <f t="shared" si="304"/>
        <v>0</v>
      </c>
      <c r="AX194" s="16">
        <f t="shared" si="304"/>
        <v>0</v>
      </c>
      <c r="AY194" s="16">
        <f t="shared" si="304"/>
        <v>0</v>
      </c>
      <c r="AZ194" s="16">
        <f t="shared" si="304"/>
        <v>0</v>
      </c>
      <c r="BA194" s="16">
        <f t="shared" si="304"/>
        <v>4583424</v>
      </c>
      <c r="BB194" s="16">
        <f t="shared" si="304"/>
        <v>0</v>
      </c>
      <c r="BC194" s="16">
        <f t="shared" si="304"/>
        <v>0</v>
      </c>
      <c r="BD194" s="16">
        <f t="shared" si="304"/>
        <v>0</v>
      </c>
      <c r="BE194" s="16">
        <f t="shared" si="304"/>
        <v>0</v>
      </c>
      <c r="BF194" s="16">
        <f t="shared" si="304"/>
        <v>0</v>
      </c>
      <c r="BG194" s="16">
        <f t="shared" si="304"/>
        <v>0</v>
      </c>
      <c r="BH194" s="16">
        <f t="shared" si="304"/>
        <v>0</v>
      </c>
      <c r="BI194" s="16">
        <f t="shared" si="304"/>
        <v>0</v>
      </c>
      <c r="BJ194" s="16">
        <f t="shared" si="304"/>
        <v>0</v>
      </c>
      <c r="BK194" s="16">
        <f t="shared" si="304"/>
        <v>0</v>
      </c>
      <c r="BL194" s="16">
        <f t="shared" si="304"/>
        <v>0</v>
      </c>
      <c r="BM194" s="16">
        <f t="shared" si="304"/>
        <v>4583424</v>
      </c>
      <c r="BN194" s="16">
        <f t="shared" si="304"/>
        <v>0</v>
      </c>
      <c r="BO194" s="16">
        <f t="shared" si="304"/>
        <v>4583424</v>
      </c>
      <c r="BP194" s="16">
        <f t="shared" si="304"/>
        <v>0</v>
      </c>
      <c r="BQ194" s="16">
        <f t="shared" si="304"/>
        <v>0</v>
      </c>
      <c r="BR194" s="16">
        <f t="shared" si="304"/>
        <v>0</v>
      </c>
      <c r="BS194" s="16">
        <f t="shared" ref="BS194:CU194" si="305">SUM(BS195)</f>
        <v>0</v>
      </c>
      <c r="BT194" s="16">
        <f t="shared" si="305"/>
        <v>0</v>
      </c>
      <c r="BU194" s="16">
        <f t="shared" si="305"/>
        <v>0</v>
      </c>
      <c r="BV194" s="16">
        <f t="shared" si="305"/>
        <v>0</v>
      </c>
      <c r="BW194" s="16">
        <f t="shared" si="305"/>
        <v>0</v>
      </c>
      <c r="BX194" s="16">
        <f t="shared" si="305"/>
        <v>0</v>
      </c>
      <c r="BY194" s="16">
        <f t="shared" si="305"/>
        <v>0</v>
      </c>
      <c r="BZ194" s="16">
        <f t="shared" si="305"/>
        <v>0</v>
      </c>
      <c r="CA194" s="16">
        <f t="shared" si="305"/>
        <v>0</v>
      </c>
      <c r="CB194" s="16">
        <f t="shared" si="305"/>
        <v>0</v>
      </c>
      <c r="CC194" s="16">
        <f t="shared" si="305"/>
        <v>0</v>
      </c>
      <c r="CD194" s="16">
        <f t="shared" si="305"/>
        <v>0</v>
      </c>
      <c r="CE194" s="16">
        <f t="shared" si="305"/>
        <v>0</v>
      </c>
      <c r="CF194" s="16">
        <f t="shared" si="305"/>
        <v>0</v>
      </c>
      <c r="CG194" s="16">
        <f t="shared" si="305"/>
        <v>0</v>
      </c>
      <c r="CH194" s="16">
        <f t="shared" si="305"/>
        <v>0</v>
      </c>
      <c r="CI194" s="16">
        <f t="shared" si="305"/>
        <v>0</v>
      </c>
      <c r="CJ194" s="16">
        <f t="shared" si="305"/>
        <v>0</v>
      </c>
      <c r="CK194" s="16">
        <f t="shared" si="305"/>
        <v>0</v>
      </c>
      <c r="CL194" s="16">
        <f t="shared" si="305"/>
        <v>0</v>
      </c>
      <c r="CM194" s="16">
        <f t="shared" si="305"/>
        <v>0</v>
      </c>
      <c r="CN194" s="16">
        <f t="shared" si="305"/>
        <v>0</v>
      </c>
      <c r="CO194" s="16">
        <f t="shared" si="305"/>
        <v>0</v>
      </c>
      <c r="CP194" s="16">
        <f t="shared" si="305"/>
        <v>0</v>
      </c>
      <c r="CQ194" s="16">
        <f t="shared" si="305"/>
        <v>0</v>
      </c>
      <c r="CR194" s="16">
        <f t="shared" si="305"/>
        <v>0</v>
      </c>
      <c r="CS194" s="16">
        <f t="shared" si="305"/>
        <v>0</v>
      </c>
      <c r="CT194" s="16">
        <f t="shared" si="305"/>
        <v>0</v>
      </c>
      <c r="CU194" s="17">
        <f t="shared" si="305"/>
        <v>0</v>
      </c>
      <c r="CV194" s="38"/>
    </row>
    <row r="195" spans="1:100" ht="15.75" x14ac:dyDescent="0.25">
      <c r="A195" s="13" t="s">
        <v>1</v>
      </c>
      <c r="B195" s="14" t="s">
        <v>1</v>
      </c>
      <c r="C195" s="14" t="s">
        <v>19</v>
      </c>
      <c r="D195" s="30" t="s">
        <v>224</v>
      </c>
      <c r="E195" s="15">
        <f>SUM(F195+BY195+CR195)</f>
        <v>4583424</v>
      </c>
      <c r="F195" s="16">
        <f>SUM(G195+BA195)</f>
        <v>4583424</v>
      </c>
      <c r="G195" s="16">
        <f>SUM(H195+I195+J195+Q195+T195+U195+V195+AE195)</f>
        <v>0</v>
      </c>
      <c r="H195" s="16">
        <v>0</v>
      </c>
      <c r="I195" s="16">
        <v>0</v>
      </c>
      <c r="J195" s="16">
        <f t="shared" si="222"/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f t="shared" si="223"/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f>SUM(W195:AD195)</f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f>SUM(AF195:AZ195)</f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f>SUM(BB195+BF195+BI195+BK195+BM195)</f>
        <v>4583424</v>
      </c>
      <c r="BB195" s="16">
        <f>SUM(BC195:BE195)</f>
        <v>0</v>
      </c>
      <c r="BC195" s="16">
        <v>0</v>
      </c>
      <c r="BD195" s="16">
        <v>0</v>
      </c>
      <c r="BE195" s="16">
        <v>0</v>
      </c>
      <c r="BF195" s="16">
        <f t="shared" si="224"/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f t="shared" si="225"/>
        <v>0</v>
      </c>
      <c r="BL195" s="16">
        <v>0</v>
      </c>
      <c r="BM195" s="16">
        <f t="shared" si="226"/>
        <v>4583424</v>
      </c>
      <c r="BN195" s="16">
        <v>0</v>
      </c>
      <c r="BO195" s="16">
        <v>4583424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f>SUM(BZ195+CQ195)</f>
        <v>0</v>
      </c>
      <c r="BZ195" s="16">
        <f>SUM(CA195+CD195+CJ195)</f>
        <v>0</v>
      </c>
      <c r="CA195" s="16">
        <f t="shared" si="227"/>
        <v>0</v>
      </c>
      <c r="CB195" s="16">
        <v>0</v>
      </c>
      <c r="CC195" s="16">
        <v>0</v>
      </c>
      <c r="CD195" s="16">
        <f>SUM(CE195:CH195)</f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f>SUM(CK195:CN195)</f>
        <v>0</v>
      </c>
      <c r="CK195" s="16"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f t="shared" si="228"/>
        <v>0</v>
      </c>
      <c r="CS195" s="16">
        <f t="shared" si="229"/>
        <v>0</v>
      </c>
      <c r="CT195" s="16">
        <v>0</v>
      </c>
      <c r="CU195" s="17">
        <v>0</v>
      </c>
      <c r="CV195" s="38"/>
    </row>
    <row r="196" spans="1:100" ht="31.5" x14ac:dyDescent="0.25">
      <c r="A196" s="13" t="s">
        <v>209</v>
      </c>
      <c r="B196" s="14" t="s">
        <v>225</v>
      </c>
      <c r="C196" s="14" t="s">
        <v>1</v>
      </c>
      <c r="D196" s="30" t="s">
        <v>226</v>
      </c>
      <c r="E196" s="15">
        <f>SUM(E197:E203)</f>
        <v>88209031</v>
      </c>
      <c r="F196" s="16">
        <f t="shared" ref="F196:BS196" si="306">SUM(F197:F203)</f>
        <v>88152995</v>
      </c>
      <c r="G196" s="16">
        <f t="shared" si="306"/>
        <v>2050857</v>
      </c>
      <c r="H196" s="16">
        <f t="shared" si="306"/>
        <v>1445355</v>
      </c>
      <c r="I196" s="16">
        <f t="shared" si="306"/>
        <v>186639</v>
      </c>
      <c r="J196" s="16">
        <f t="shared" si="306"/>
        <v>324652</v>
      </c>
      <c r="K196" s="16">
        <f t="shared" si="306"/>
        <v>0</v>
      </c>
      <c r="L196" s="16">
        <f t="shared" si="306"/>
        <v>8506</v>
      </c>
      <c r="M196" s="16">
        <f t="shared" si="306"/>
        <v>0</v>
      </c>
      <c r="N196" s="16">
        <f t="shared" si="306"/>
        <v>0</v>
      </c>
      <c r="O196" s="16">
        <f t="shared" si="306"/>
        <v>316146</v>
      </c>
      <c r="P196" s="16">
        <f t="shared" si="306"/>
        <v>0</v>
      </c>
      <c r="Q196" s="16">
        <f t="shared" si="306"/>
        <v>0</v>
      </c>
      <c r="R196" s="16">
        <f t="shared" si="306"/>
        <v>0</v>
      </c>
      <c r="S196" s="16">
        <f t="shared" si="306"/>
        <v>0</v>
      </c>
      <c r="T196" s="16">
        <f t="shared" si="306"/>
        <v>0</v>
      </c>
      <c r="U196" s="16">
        <f t="shared" si="306"/>
        <v>63987</v>
      </c>
      <c r="V196" s="16">
        <f t="shared" si="306"/>
        <v>0</v>
      </c>
      <c r="W196" s="16">
        <f t="shared" si="306"/>
        <v>0</v>
      </c>
      <c r="X196" s="16">
        <f t="shared" si="306"/>
        <v>0</v>
      </c>
      <c r="Y196" s="16">
        <f t="shared" si="306"/>
        <v>0</v>
      </c>
      <c r="Z196" s="16">
        <f t="shared" si="306"/>
        <v>0</v>
      </c>
      <c r="AA196" s="16">
        <f t="shared" si="306"/>
        <v>0</v>
      </c>
      <c r="AB196" s="16">
        <f t="shared" si="306"/>
        <v>0</v>
      </c>
      <c r="AC196" s="16">
        <f t="shared" si="306"/>
        <v>0</v>
      </c>
      <c r="AD196" s="16">
        <f t="shared" ref="AD196" si="307">SUM(AD197:AD203)</f>
        <v>0</v>
      </c>
      <c r="AE196" s="16">
        <f t="shared" si="306"/>
        <v>30224</v>
      </c>
      <c r="AF196" s="16">
        <f t="shared" si="306"/>
        <v>0</v>
      </c>
      <c r="AG196" s="16">
        <f t="shared" si="306"/>
        <v>0</v>
      </c>
      <c r="AH196" s="16">
        <f t="shared" si="306"/>
        <v>0</v>
      </c>
      <c r="AI196" s="16">
        <f t="shared" si="306"/>
        <v>0</v>
      </c>
      <c r="AJ196" s="16">
        <f t="shared" si="306"/>
        <v>0</v>
      </c>
      <c r="AK196" s="16">
        <f t="shared" si="306"/>
        <v>0</v>
      </c>
      <c r="AL196" s="16">
        <f t="shared" si="306"/>
        <v>6857</v>
      </c>
      <c r="AM196" s="16">
        <f t="shared" si="306"/>
        <v>0</v>
      </c>
      <c r="AN196" s="16">
        <f t="shared" si="306"/>
        <v>0</v>
      </c>
      <c r="AO196" s="16">
        <f t="shared" si="306"/>
        <v>0</v>
      </c>
      <c r="AP196" s="16">
        <f>SUM(AP197:AP203)</f>
        <v>0</v>
      </c>
      <c r="AQ196" s="16">
        <f t="shared" si="306"/>
        <v>0</v>
      </c>
      <c r="AR196" s="16">
        <f t="shared" si="306"/>
        <v>0</v>
      </c>
      <c r="AS196" s="16">
        <f t="shared" si="306"/>
        <v>0</v>
      </c>
      <c r="AT196" s="16">
        <f t="shared" si="306"/>
        <v>0</v>
      </c>
      <c r="AU196" s="16">
        <f t="shared" si="306"/>
        <v>0</v>
      </c>
      <c r="AV196" s="16">
        <f t="shared" si="306"/>
        <v>0</v>
      </c>
      <c r="AW196" s="16">
        <f t="shared" si="306"/>
        <v>23367</v>
      </c>
      <c r="AX196" s="16">
        <f t="shared" si="306"/>
        <v>0</v>
      </c>
      <c r="AY196" s="16">
        <f t="shared" si="306"/>
        <v>0</v>
      </c>
      <c r="AZ196" s="16">
        <f t="shared" si="306"/>
        <v>0</v>
      </c>
      <c r="BA196" s="16">
        <f t="shared" si="306"/>
        <v>86102138</v>
      </c>
      <c r="BB196" s="16">
        <f t="shared" si="306"/>
        <v>0</v>
      </c>
      <c r="BC196" s="16">
        <f t="shared" si="306"/>
        <v>0</v>
      </c>
      <c r="BD196" s="16">
        <f t="shared" si="306"/>
        <v>0</v>
      </c>
      <c r="BE196" s="16">
        <f t="shared" si="306"/>
        <v>0</v>
      </c>
      <c r="BF196" s="16">
        <f t="shared" si="306"/>
        <v>0</v>
      </c>
      <c r="BG196" s="16">
        <f t="shared" si="306"/>
        <v>0</v>
      </c>
      <c r="BH196" s="16">
        <f t="shared" si="306"/>
        <v>0</v>
      </c>
      <c r="BI196" s="16">
        <f t="shared" si="306"/>
        <v>0</v>
      </c>
      <c r="BJ196" s="16">
        <f t="shared" si="306"/>
        <v>0</v>
      </c>
      <c r="BK196" s="16">
        <f t="shared" si="306"/>
        <v>0</v>
      </c>
      <c r="BL196" s="16">
        <f t="shared" si="306"/>
        <v>0</v>
      </c>
      <c r="BM196" s="16">
        <f t="shared" si="306"/>
        <v>86102138</v>
      </c>
      <c r="BN196" s="16">
        <f t="shared" si="306"/>
        <v>0</v>
      </c>
      <c r="BO196" s="16">
        <f t="shared" si="306"/>
        <v>0</v>
      </c>
      <c r="BP196" s="16">
        <f t="shared" si="306"/>
        <v>0</v>
      </c>
      <c r="BQ196" s="16">
        <f t="shared" si="306"/>
        <v>0</v>
      </c>
      <c r="BR196" s="16">
        <f t="shared" si="306"/>
        <v>0</v>
      </c>
      <c r="BS196" s="16">
        <f t="shared" si="306"/>
        <v>0</v>
      </c>
      <c r="BT196" s="16">
        <f t="shared" ref="BT196:CU196" si="308">SUM(BT197:BT203)</f>
        <v>0</v>
      </c>
      <c r="BU196" s="16">
        <f t="shared" si="308"/>
        <v>0</v>
      </c>
      <c r="BV196" s="16">
        <f t="shared" si="308"/>
        <v>230042</v>
      </c>
      <c r="BW196" s="16">
        <f t="shared" si="308"/>
        <v>68075648</v>
      </c>
      <c r="BX196" s="16">
        <f t="shared" si="308"/>
        <v>17796448</v>
      </c>
      <c r="BY196" s="16">
        <f t="shared" si="308"/>
        <v>56036</v>
      </c>
      <c r="BZ196" s="16">
        <f t="shared" si="308"/>
        <v>56036</v>
      </c>
      <c r="CA196" s="16">
        <f t="shared" si="308"/>
        <v>56036</v>
      </c>
      <c r="CB196" s="16">
        <f t="shared" si="308"/>
        <v>0</v>
      </c>
      <c r="CC196" s="16">
        <f t="shared" si="308"/>
        <v>56036</v>
      </c>
      <c r="CD196" s="16">
        <f t="shared" si="308"/>
        <v>0</v>
      </c>
      <c r="CE196" s="16">
        <f t="shared" si="308"/>
        <v>0</v>
      </c>
      <c r="CF196" s="16">
        <f t="shared" si="308"/>
        <v>0</v>
      </c>
      <c r="CG196" s="16">
        <f t="shared" si="308"/>
        <v>0</v>
      </c>
      <c r="CH196" s="16">
        <f t="shared" si="308"/>
        <v>0</v>
      </c>
      <c r="CI196" s="16">
        <f t="shared" ref="CI196" si="309">SUM(CI197:CI203)</f>
        <v>0</v>
      </c>
      <c r="CJ196" s="16">
        <f t="shared" si="308"/>
        <v>0</v>
      </c>
      <c r="CK196" s="16">
        <f t="shared" si="308"/>
        <v>0</v>
      </c>
      <c r="CL196" s="16">
        <f t="shared" si="308"/>
        <v>0</v>
      </c>
      <c r="CM196" s="16">
        <f t="shared" si="308"/>
        <v>0</v>
      </c>
      <c r="CN196" s="16">
        <f t="shared" si="308"/>
        <v>0</v>
      </c>
      <c r="CO196" s="16">
        <f t="shared" si="308"/>
        <v>0</v>
      </c>
      <c r="CP196" s="16">
        <f t="shared" si="308"/>
        <v>0</v>
      </c>
      <c r="CQ196" s="16">
        <f t="shared" si="308"/>
        <v>0</v>
      </c>
      <c r="CR196" s="16">
        <f t="shared" si="308"/>
        <v>0</v>
      </c>
      <c r="CS196" s="16">
        <f t="shared" si="308"/>
        <v>0</v>
      </c>
      <c r="CT196" s="16">
        <f t="shared" si="308"/>
        <v>0</v>
      </c>
      <c r="CU196" s="17">
        <f t="shared" si="308"/>
        <v>0</v>
      </c>
      <c r="CV196" s="38"/>
    </row>
    <row r="197" spans="1:100" ht="31.5" x14ac:dyDescent="0.25">
      <c r="A197" s="13" t="s">
        <v>1</v>
      </c>
      <c r="B197" s="14" t="s">
        <v>1</v>
      </c>
      <c r="C197" s="14" t="s">
        <v>9</v>
      </c>
      <c r="D197" s="30" t="s">
        <v>227</v>
      </c>
      <c r="E197" s="15">
        <f t="shared" ref="E197:E203" si="310">SUM(F197+BY197+CR197)</f>
        <v>981206</v>
      </c>
      <c r="F197" s="16">
        <f t="shared" ref="F197:F203" si="311">SUM(G197+BA197)</f>
        <v>981206</v>
      </c>
      <c r="G197" s="16">
        <f t="shared" ref="G197:G203" si="312">SUM(H197+I197+J197+Q197+T197+U197+V197+AE197)</f>
        <v>608795</v>
      </c>
      <c r="H197" s="16">
        <v>399440</v>
      </c>
      <c r="I197" s="16">
        <v>96010</v>
      </c>
      <c r="J197" s="16">
        <f t="shared" si="222"/>
        <v>113345</v>
      </c>
      <c r="K197" s="16">
        <v>0</v>
      </c>
      <c r="L197" s="16">
        <v>0</v>
      </c>
      <c r="M197" s="16">
        <v>0</v>
      </c>
      <c r="N197" s="16">
        <v>0</v>
      </c>
      <c r="O197" s="16">
        <v>113345</v>
      </c>
      <c r="P197" s="16">
        <v>0</v>
      </c>
      <c r="Q197" s="16">
        <f t="shared" si="223"/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f t="shared" ref="V197:V203" si="313">SUM(W197:AD197)</f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16">
        <v>0</v>
      </c>
      <c r="AE197" s="16">
        <f t="shared" ref="AE197:AE203" si="314">SUM(AF197:AZ197)</f>
        <v>0</v>
      </c>
      <c r="AF197" s="16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0</v>
      </c>
      <c r="AS197" s="16">
        <v>0</v>
      </c>
      <c r="AT197" s="16">
        <v>0</v>
      </c>
      <c r="AU197" s="16">
        <v>0</v>
      </c>
      <c r="AV197" s="16">
        <v>0</v>
      </c>
      <c r="AW197" s="16">
        <v>0</v>
      </c>
      <c r="AX197" s="16">
        <v>0</v>
      </c>
      <c r="AY197" s="16">
        <v>0</v>
      </c>
      <c r="AZ197" s="16">
        <v>0</v>
      </c>
      <c r="BA197" s="16">
        <f t="shared" ref="BA197:BA203" si="315">SUM(BB197+BF197+BI197+BK197+BM197)</f>
        <v>372411</v>
      </c>
      <c r="BB197" s="16">
        <f t="shared" ref="BB197:BB203" si="316">SUM(BC197:BE197)</f>
        <v>0</v>
      </c>
      <c r="BC197" s="16">
        <v>0</v>
      </c>
      <c r="BD197" s="16">
        <v>0</v>
      </c>
      <c r="BE197" s="16">
        <v>0</v>
      </c>
      <c r="BF197" s="16">
        <f t="shared" si="224"/>
        <v>0</v>
      </c>
      <c r="BG197" s="16">
        <v>0</v>
      </c>
      <c r="BH197" s="16">
        <v>0</v>
      </c>
      <c r="BI197" s="16">
        <v>0</v>
      </c>
      <c r="BJ197" s="16">
        <v>0</v>
      </c>
      <c r="BK197" s="16">
        <f t="shared" si="225"/>
        <v>0</v>
      </c>
      <c r="BL197" s="16">
        <v>0</v>
      </c>
      <c r="BM197" s="16">
        <f t="shared" si="226"/>
        <v>372411</v>
      </c>
      <c r="BN197" s="16">
        <v>0</v>
      </c>
      <c r="BO197" s="16">
        <v>0</v>
      </c>
      <c r="BP197" s="16">
        <v>0</v>
      </c>
      <c r="BQ197" s="16">
        <v>0</v>
      </c>
      <c r="BR197" s="16">
        <v>0</v>
      </c>
      <c r="BS197" s="16">
        <v>0</v>
      </c>
      <c r="BT197" s="16">
        <v>0</v>
      </c>
      <c r="BU197" s="16">
        <v>0</v>
      </c>
      <c r="BV197" s="16">
        <v>0</v>
      </c>
      <c r="BW197" s="16">
        <v>372411</v>
      </c>
      <c r="BX197" s="16">
        <v>0</v>
      </c>
      <c r="BY197" s="16">
        <f t="shared" ref="BY197:BY203" si="317">SUM(BZ197+CQ197)</f>
        <v>0</v>
      </c>
      <c r="BZ197" s="16">
        <f t="shared" ref="BZ197:BZ203" si="318">SUM(CA197+CD197+CJ197)</f>
        <v>0</v>
      </c>
      <c r="CA197" s="16">
        <f t="shared" si="227"/>
        <v>0</v>
      </c>
      <c r="CB197" s="16">
        <v>0</v>
      </c>
      <c r="CC197" s="16">
        <v>0</v>
      </c>
      <c r="CD197" s="16">
        <f t="shared" ref="CD197:CD203" si="319">SUM(CE197:CH197)</f>
        <v>0</v>
      </c>
      <c r="CE197" s="16">
        <v>0</v>
      </c>
      <c r="CF197" s="16">
        <v>0</v>
      </c>
      <c r="CG197" s="16">
        <v>0</v>
      </c>
      <c r="CH197" s="16">
        <v>0</v>
      </c>
      <c r="CI197" s="16">
        <v>0</v>
      </c>
      <c r="CJ197" s="16">
        <f t="shared" ref="CJ197:CJ203" si="320">SUM(CK197:CN197)</f>
        <v>0</v>
      </c>
      <c r="CK197" s="16">
        <v>0</v>
      </c>
      <c r="CL197" s="16">
        <v>0</v>
      </c>
      <c r="CM197" s="16">
        <v>0</v>
      </c>
      <c r="CN197" s="16">
        <v>0</v>
      </c>
      <c r="CO197" s="16">
        <v>0</v>
      </c>
      <c r="CP197" s="16">
        <v>0</v>
      </c>
      <c r="CQ197" s="16">
        <v>0</v>
      </c>
      <c r="CR197" s="16">
        <f t="shared" si="228"/>
        <v>0</v>
      </c>
      <c r="CS197" s="16">
        <f t="shared" si="229"/>
        <v>0</v>
      </c>
      <c r="CT197" s="16">
        <v>0</v>
      </c>
      <c r="CU197" s="17">
        <v>0</v>
      </c>
      <c r="CV197" s="38"/>
    </row>
    <row r="198" spans="1:100" ht="31.5" x14ac:dyDescent="0.25">
      <c r="A198" s="13" t="s">
        <v>1</v>
      </c>
      <c r="B198" s="14" t="s">
        <v>1</v>
      </c>
      <c r="C198" s="14" t="s">
        <v>5</v>
      </c>
      <c r="D198" s="30" t="s">
        <v>228</v>
      </c>
      <c r="E198" s="15">
        <f t="shared" si="310"/>
        <v>1567421</v>
      </c>
      <c r="F198" s="16">
        <f t="shared" si="311"/>
        <v>1525099</v>
      </c>
      <c r="G198" s="16">
        <f t="shared" si="312"/>
        <v>767257</v>
      </c>
      <c r="H198" s="16">
        <v>447538</v>
      </c>
      <c r="I198" s="16">
        <v>52931</v>
      </c>
      <c r="J198" s="16">
        <f t="shared" si="222"/>
        <v>202801</v>
      </c>
      <c r="K198" s="16">
        <v>0</v>
      </c>
      <c r="L198" s="16">
        <v>0</v>
      </c>
      <c r="M198" s="16">
        <v>0</v>
      </c>
      <c r="N198" s="16">
        <v>0</v>
      </c>
      <c r="O198" s="16">
        <v>202801</v>
      </c>
      <c r="P198" s="16">
        <v>0</v>
      </c>
      <c r="Q198" s="16">
        <f t="shared" si="223"/>
        <v>0</v>
      </c>
      <c r="R198" s="16">
        <v>0</v>
      </c>
      <c r="S198" s="16">
        <v>0</v>
      </c>
      <c r="T198" s="16">
        <v>0</v>
      </c>
      <c r="U198" s="16">
        <v>63987</v>
      </c>
      <c r="V198" s="16">
        <f t="shared" si="313"/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f t="shared" si="314"/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f t="shared" si="315"/>
        <v>757842</v>
      </c>
      <c r="BB198" s="16">
        <f t="shared" si="316"/>
        <v>0</v>
      </c>
      <c r="BC198" s="16">
        <v>0</v>
      </c>
      <c r="BD198" s="16">
        <v>0</v>
      </c>
      <c r="BE198" s="16">
        <v>0</v>
      </c>
      <c r="BF198" s="16">
        <f t="shared" si="224"/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f t="shared" si="225"/>
        <v>0</v>
      </c>
      <c r="BL198" s="16">
        <v>0</v>
      </c>
      <c r="BM198" s="16">
        <f t="shared" si="226"/>
        <v>757842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757842</v>
      </c>
      <c r="BX198" s="16">
        <v>0</v>
      </c>
      <c r="BY198" s="16">
        <f t="shared" si="317"/>
        <v>42322</v>
      </c>
      <c r="BZ198" s="16">
        <f t="shared" si="318"/>
        <v>42322</v>
      </c>
      <c r="CA198" s="16">
        <f t="shared" si="227"/>
        <v>42322</v>
      </c>
      <c r="CB198" s="16">
        <v>0</v>
      </c>
      <c r="CC198" s="16">
        <v>42322</v>
      </c>
      <c r="CD198" s="16">
        <f t="shared" si="319"/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0</v>
      </c>
      <c r="CJ198" s="16">
        <f t="shared" si="320"/>
        <v>0</v>
      </c>
      <c r="CK198" s="16">
        <v>0</v>
      </c>
      <c r="CL198" s="16">
        <v>0</v>
      </c>
      <c r="CM198" s="16">
        <v>0</v>
      </c>
      <c r="CN198" s="16">
        <v>0</v>
      </c>
      <c r="CO198" s="16">
        <v>0</v>
      </c>
      <c r="CP198" s="16">
        <v>0</v>
      </c>
      <c r="CQ198" s="16">
        <v>0</v>
      </c>
      <c r="CR198" s="16">
        <f t="shared" si="228"/>
        <v>0</v>
      </c>
      <c r="CS198" s="16">
        <f t="shared" si="229"/>
        <v>0</v>
      </c>
      <c r="CT198" s="16">
        <v>0</v>
      </c>
      <c r="CU198" s="17">
        <v>0</v>
      </c>
      <c r="CV198" s="38"/>
    </row>
    <row r="199" spans="1:100" ht="31.5" x14ac:dyDescent="0.25">
      <c r="A199" s="13" t="s">
        <v>1</v>
      </c>
      <c r="B199" s="14" t="s">
        <v>1</v>
      </c>
      <c r="C199" s="14" t="s">
        <v>19</v>
      </c>
      <c r="D199" s="30" t="s">
        <v>232</v>
      </c>
      <c r="E199" s="15">
        <f t="shared" si="310"/>
        <v>23543913</v>
      </c>
      <c r="F199" s="16">
        <f t="shared" si="311"/>
        <v>23543913</v>
      </c>
      <c r="G199" s="16">
        <f t="shared" si="312"/>
        <v>0</v>
      </c>
      <c r="H199" s="16">
        <v>0</v>
      </c>
      <c r="I199" s="16">
        <v>0</v>
      </c>
      <c r="J199" s="16">
        <f>SUM(K199:P199)</f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f>SUM(R199:S199)</f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f t="shared" si="313"/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f t="shared" si="314"/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f t="shared" si="315"/>
        <v>23543913</v>
      </c>
      <c r="BB199" s="16">
        <f t="shared" si="316"/>
        <v>0</v>
      </c>
      <c r="BC199" s="16">
        <v>0</v>
      </c>
      <c r="BD199" s="16">
        <v>0</v>
      </c>
      <c r="BE199" s="16">
        <v>0</v>
      </c>
      <c r="BF199" s="16">
        <f>SUM(BG199:BH199)</f>
        <v>0</v>
      </c>
      <c r="BG199" s="16">
        <v>0</v>
      </c>
      <c r="BH199" s="16">
        <v>0</v>
      </c>
      <c r="BI199" s="16">
        <v>0</v>
      </c>
      <c r="BJ199" s="16">
        <v>0</v>
      </c>
      <c r="BK199" s="16">
        <f>SUM(BL199)</f>
        <v>0</v>
      </c>
      <c r="BL199" s="16">
        <v>0</v>
      </c>
      <c r="BM199" s="16">
        <f>SUM(BN199:BX199)</f>
        <v>23543913</v>
      </c>
      <c r="BN199" s="16">
        <v>0</v>
      </c>
      <c r="BO199" s="16">
        <v>0</v>
      </c>
      <c r="BP199" s="16">
        <v>0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f>262080-32038</f>
        <v>230042</v>
      </c>
      <c r="BW199" s="16">
        <f>6423146+331407-21146</f>
        <v>6733407</v>
      </c>
      <c r="BX199" s="16">
        <f>16580464</f>
        <v>16580464</v>
      </c>
      <c r="BY199" s="16">
        <f t="shared" si="317"/>
        <v>0</v>
      </c>
      <c r="BZ199" s="16">
        <f t="shared" si="318"/>
        <v>0</v>
      </c>
      <c r="CA199" s="16">
        <f>SUM(CB199:CC199)</f>
        <v>0</v>
      </c>
      <c r="CB199" s="16">
        <v>0</v>
      </c>
      <c r="CC199" s="16">
        <v>0</v>
      </c>
      <c r="CD199" s="16">
        <f t="shared" si="319"/>
        <v>0</v>
      </c>
      <c r="CE199" s="16">
        <v>0</v>
      </c>
      <c r="CF199" s="16">
        <v>0</v>
      </c>
      <c r="CG199" s="16">
        <v>0</v>
      </c>
      <c r="CH199" s="16">
        <v>0</v>
      </c>
      <c r="CI199" s="16">
        <v>0</v>
      </c>
      <c r="CJ199" s="16">
        <f t="shared" si="320"/>
        <v>0</v>
      </c>
      <c r="CK199" s="16">
        <v>0</v>
      </c>
      <c r="CL199" s="16">
        <v>0</v>
      </c>
      <c r="CM199" s="16">
        <v>0</v>
      </c>
      <c r="CN199" s="16">
        <v>0</v>
      </c>
      <c r="CO199" s="16">
        <v>0</v>
      </c>
      <c r="CP199" s="16">
        <v>0</v>
      </c>
      <c r="CQ199" s="16">
        <v>0</v>
      </c>
      <c r="CR199" s="16">
        <f>SUM(CS199)</f>
        <v>0</v>
      </c>
      <c r="CS199" s="16">
        <f>SUM(CT199:CU199)</f>
        <v>0</v>
      </c>
      <c r="CT199" s="16">
        <v>0</v>
      </c>
      <c r="CU199" s="17">
        <v>0</v>
      </c>
      <c r="CV199" s="38"/>
    </row>
    <row r="200" spans="1:100" ht="15.75" x14ac:dyDescent="0.25">
      <c r="A200" s="13" t="s">
        <v>1</v>
      </c>
      <c r="B200" s="14" t="s">
        <v>1</v>
      </c>
      <c r="C200" s="14" t="s">
        <v>19</v>
      </c>
      <c r="D200" s="30" t="s">
        <v>231</v>
      </c>
      <c r="E200" s="15">
        <f t="shared" si="310"/>
        <v>54383009</v>
      </c>
      <c r="F200" s="16">
        <f t="shared" si="311"/>
        <v>54383009</v>
      </c>
      <c r="G200" s="16">
        <f t="shared" si="312"/>
        <v>0</v>
      </c>
      <c r="H200" s="16">
        <v>0</v>
      </c>
      <c r="I200" s="16">
        <v>0</v>
      </c>
      <c r="J200" s="16">
        <f t="shared" si="222"/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f t="shared" si="223"/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f t="shared" si="313"/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f t="shared" si="314"/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f t="shared" si="315"/>
        <v>54383009</v>
      </c>
      <c r="BB200" s="16">
        <f t="shared" si="316"/>
        <v>0</v>
      </c>
      <c r="BC200" s="16">
        <v>0</v>
      </c>
      <c r="BD200" s="16">
        <v>0</v>
      </c>
      <c r="BE200" s="16">
        <v>0</v>
      </c>
      <c r="BF200" s="16">
        <f t="shared" si="224"/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f t="shared" si="225"/>
        <v>0</v>
      </c>
      <c r="BL200" s="16">
        <v>0</v>
      </c>
      <c r="BM200" s="16">
        <f t="shared" si="226"/>
        <v>54383009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f>53922362+38907</f>
        <v>53961269</v>
      </c>
      <c r="BX200" s="16">
        <v>421740</v>
      </c>
      <c r="BY200" s="16">
        <f t="shared" si="317"/>
        <v>0</v>
      </c>
      <c r="BZ200" s="16">
        <f t="shared" si="318"/>
        <v>0</v>
      </c>
      <c r="CA200" s="16">
        <f t="shared" si="227"/>
        <v>0</v>
      </c>
      <c r="CB200" s="16">
        <v>0</v>
      </c>
      <c r="CC200" s="16">
        <v>0</v>
      </c>
      <c r="CD200" s="16">
        <f t="shared" si="319"/>
        <v>0</v>
      </c>
      <c r="CE200" s="16">
        <v>0</v>
      </c>
      <c r="CF200" s="16">
        <v>0</v>
      </c>
      <c r="CG200" s="16">
        <v>0</v>
      </c>
      <c r="CH200" s="16">
        <v>0</v>
      </c>
      <c r="CI200" s="16">
        <v>0</v>
      </c>
      <c r="CJ200" s="16">
        <f t="shared" si="320"/>
        <v>0</v>
      </c>
      <c r="CK200" s="16">
        <v>0</v>
      </c>
      <c r="CL200" s="16">
        <v>0</v>
      </c>
      <c r="CM200" s="16">
        <v>0</v>
      </c>
      <c r="CN200" s="16">
        <v>0</v>
      </c>
      <c r="CO200" s="16">
        <v>0</v>
      </c>
      <c r="CP200" s="16">
        <v>0</v>
      </c>
      <c r="CQ200" s="16">
        <v>0</v>
      </c>
      <c r="CR200" s="16">
        <f t="shared" si="228"/>
        <v>0</v>
      </c>
      <c r="CS200" s="16">
        <f t="shared" si="229"/>
        <v>0</v>
      </c>
      <c r="CT200" s="16">
        <v>0</v>
      </c>
      <c r="CU200" s="17">
        <v>0</v>
      </c>
      <c r="CV200" s="38"/>
    </row>
    <row r="201" spans="1:100" ht="31.5" x14ac:dyDescent="0.25">
      <c r="A201" s="13" t="s">
        <v>1</v>
      </c>
      <c r="B201" s="14" t="s">
        <v>1</v>
      </c>
      <c r="C201" s="14" t="s">
        <v>19</v>
      </c>
      <c r="D201" s="30" t="s">
        <v>230</v>
      </c>
      <c r="E201" s="15">
        <f t="shared" si="310"/>
        <v>6552939</v>
      </c>
      <c r="F201" s="16">
        <f t="shared" si="311"/>
        <v>6552939</v>
      </c>
      <c r="G201" s="16">
        <f t="shared" si="312"/>
        <v>0</v>
      </c>
      <c r="H201" s="16">
        <v>0</v>
      </c>
      <c r="I201" s="16">
        <v>0</v>
      </c>
      <c r="J201" s="16">
        <f>SUM(K201:P201)</f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f>SUM(R201:S201)</f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f t="shared" si="313"/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f t="shared" si="314"/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f t="shared" si="315"/>
        <v>6552939</v>
      </c>
      <c r="BB201" s="16">
        <f t="shared" si="316"/>
        <v>0</v>
      </c>
      <c r="BC201" s="16">
        <v>0</v>
      </c>
      <c r="BD201" s="16">
        <v>0</v>
      </c>
      <c r="BE201" s="16">
        <v>0</v>
      </c>
      <c r="BF201" s="16">
        <f>SUM(BG201:BH201)</f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f>SUM(BL201)</f>
        <v>0</v>
      </c>
      <c r="BL201" s="16">
        <v>0</v>
      </c>
      <c r="BM201" s="16">
        <f>SUM(BN201:BX201)</f>
        <v>6552939</v>
      </c>
      <c r="BN201" s="16">
        <v>0</v>
      </c>
      <c r="BO201" s="16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f>7602063-1351344</f>
        <v>6250719</v>
      </c>
      <c r="BX201" s="16">
        <v>302220</v>
      </c>
      <c r="BY201" s="16">
        <f t="shared" si="317"/>
        <v>0</v>
      </c>
      <c r="BZ201" s="16">
        <f t="shared" si="318"/>
        <v>0</v>
      </c>
      <c r="CA201" s="16">
        <f>SUM(CB201:CC201)</f>
        <v>0</v>
      </c>
      <c r="CB201" s="16">
        <v>0</v>
      </c>
      <c r="CC201" s="16">
        <v>0</v>
      </c>
      <c r="CD201" s="16">
        <f t="shared" si="319"/>
        <v>0</v>
      </c>
      <c r="CE201" s="16">
        <v>0</v>
      </c>
      <c r="CF201" s="16">
        <v>0</v>
      </c>
      <c r="CG201" s="16">
        <v>0</v>
      </c>
      <c r="CH201" s="16">
        <v>0</v>
      </c>
      <c r="CI201" s="16">
        <v>0</v>
      </c>
      <c r="CJ201" s="16">
        <f t="shared" si="320"/>
        <v>0</v>
      </c>
      <c r="CK201" s="16">
        <v>0</v>
      </c>
      <c r="CL201" s="16">
        <v>0</v>
      </c>
      <c r="CM201" s="16">
        <v>0</v>
      </c>
      <c r="CN201" s="16">
        <v>0</v>
      </c>
      <c r="CO201" s="16">
        <v>0</v>
      </c>
      <c r="CP201" s="16">
        <v>0</v>
      </c>
      <c r="CQ201" s="16">
        <v>0</v>
      </c>
      <c r="CR201" s="16">
        <f>SUM(CS201)</f>
        <v>0</v>
      </c>
      <c r="CS201" s="16">
        <f>SUM(CT201:CU201)</f>
        <v>0</v>
      </c>
      <c r="CT201" s="16">
        <v>0</v>
      </c>
      <c r="CU201" s="17">
        <v>0</v>
      </c>
      <c r="CV201" s="38"/>
    </row>
    <row r="202" spans="1:100" ht="15.75" x14ac:dyDescent="0.25">
      <c r="A202" s="13" t="s">
        <v>1</v>
      </c>
      <c r="B202" s="14" t="s">
        <v>1</v>
      </c>
      <c r="C202" s="14" t="s">
        <v>19</v>
      </c>
      <c r="D202" s="30" t="s">
        <v>229</v>
      </c>
      <c r="E202" s="15">
        <f t="shared" si="310"/>
        <v>170976</v>
      </c>
      <c r="F202" s="16">
        <f t="shared" si="311"/>
        <v>170976</v>
      </c>
      <c r="G202" s="16">
        <f t="shared" si="312"/>
        <v>0</v>
      </c>
      <c r="H202" s="16">
        <v>0</v>
      </c>
      <c r="I202" s="16">
        <v>0</v>
      </c>
      <c r="J202" s="16">
        <f>SUM(K202:P202)</f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f>SUM(R202:S202)</f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f t="shared" si="313"/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f t="shared" si="314"/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f t="shared" si="315"/>
        <v>170976</v>
      </c>
      <c r="BB202" s="16">
        <f t="shared" si="316"/>
        <v>0</v>
      </c>
      <c r="BC202" s="16">
        <v>0</v>
      </c>
      <c r="BD202" s="16">
        <v>0</v>
      </c>
      <c r="BE202" s="16">
        <v>0</v>
      </c>
      <c r="BF202" s="16">
        <f>SUM(BG202:BH202)</f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f>SUM(BL202)</f>
        <v>0</v>
      </c>
      <c r="BL202" s="16">
        <v>0</v>
      </c>
      <c r="BM202" s="16">
        <f>SUM(BN202:BX202)</f>
        <v>170976</v>
      </c>
      <c r="BN202" s="16">
        <v>0</v>
      </c>
      <c r="BO202" s="16">
        <v>0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f>374694-203718</f>
        <v>170976</v>
      </c>
      <c r="BY202" s="16">
        <f t="shared" si="317"/>
        <v>0</v>
      </c>
      <c r="BZ202" s="16">
        <f t="shared" si="318"/>
        <v>0</v>
      </c>
      <c r="CA202" s="16">
        <f>SUM(CB202:CC202)</f>
        <v>0</v>
      </c>
      <c r="CB202" s="16">
        <v>0</v>
      </c>
      <c r="CC202" s="16">
        <v>0</v>
      </c>
      <c r="CD202" s="16">
        <f t="shared" si="319"/>
        <v>0</v>
      </c>
      <c r="CE202" s="16">
        <v>0</v>
      </c>
      <c r="CF202" s="16">
        <v>0</v>
      </c>
      <c r="CG202" s="16">
        <v>0</v>
      </c>
      <c r="CH202" s="16">
        <v>0</v>
      </c>
      <c r="CI202" s="16">
        <v>0</v>
      </c>
      <c r="CJ202" s="16">
        <f t="shared" si="320"/>
        <v>0</v>
      </c>
      <c r="CK202" s="16">
        <v>0</v>
      </c>
      <c r="CL202" s="16">
        <v>0</v>
      </c>
      <c r="CM202" s="16">
        <v>0</v>
      </c>
      <c r="CN202" s="16">
        <v>0</v>
      </c>
      <c r="CO202" s="16">
        <v>0</v>
      </c>
      <c r="CP202" s="16">
        <v>0</v>
      </c>
      <c r="CQ202" s="16">
        <v>0</v>
      </c>
      <c r="CR202" s="16">
        <f>SUM(CS202)</f>
        <v>0</v>
      </c>
      <c r="CS202" s="16">
        <f>SUM(CT202:CU202)</f>
        <v>0</v>
      </c>
      <c r="CT202" s="16">
        <v>0</v>
      </c>
      <c r="CU202" s="17">
        <v>0</v>
      </c>
      <c r="CV202" s="38"/>
    </row>
    <row r="203" spans="1:100" ht="15.75" x14ac:dyDescent="0.25">
      <c r="A203" s="13" t="s">
        <v>1</v>
      </c>
      <c r="B203" s="14" t="s">
        <v>1</v>
      </c>
      <c r="C203" s="14" t="s">
        <v>113</v>
      </c>
      <c r="D203" s="30" t="s">
        <v>537</v>
      </c>
      <c r="E203" s="15">
        <f t="shared" si="310"/>
        <v>1009567</v>
      </c>
      <c r="F203" s="16">
        <f t="shared" si="311"/>
        <v>995853</v>
      </c>
      <c r="G203" s="16">
        <f t="shared" si="312"/>
        <v>674805</v>
      </c>
      <c r="H203" s="16">
        <v>598377</v>
      </c>
      <c r="I203" s="16">
        <v>37698</v>
      </c>
      <c r="J203" s="16">
        <f t="shared" si="222"/>
        <v>8506</v>
      </c>
      <c r="K203" s="16">
        <v>0</v>
      </c>
      <c r="L203" s="16">
        <v>8506</v>
      </c>
      <c r="M203" s="16">
        <v>0</v>
      </c>
      <c r="N203" s="16">
        <v>0</v>
      </c>
      <c r="O203" s="16">
        <v>0</v>
      </c>
      <c r="P203" s="16">
        <v>0</v>
      </c>
      <c r="Q203" s="16">
        <f t="shared" si="223"/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f t="shared" si="313"/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f t="shared" si="314"/>
        <v>30224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6857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23367</v>
      </c>
      <c r="AX203" s="16">
        <v>0</v>
      </c>
      <c r="AY203" s="16">
        <v>0</v>
      </c>
      <c r="AZ203" s="16">
        <v>0</v>
      </c>
      <c r="BA203" s="16">
        <f t="shared" si="315"/>
        <v>321048</v>
      </c>
      <c r="BB203" s="16">
        <f t="shared" si="316"/>
        <v>0</v>
      </c>
      <c r="BC203" s="16">
        <v>0</v>
      </c>
      <c r="BD203" s="16">
        <v>0</v>
      </c>
      <c r="BE203" s="16">
        <v>0</v>
      </c>
      <c r="BF203" s="16">
        <f t="shared" si="224"/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f t="shared" si="225"/>
        <v>0</v>
      </c>
      <c r="BL203" s="16">
        <v>0</v>
      </c>
      <c r="BM203" s="16">
        <f t="shared" si="226"/>
        <v>321048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321048</v>
      </c>
      <c r="BY203" s="16">
        <f t="shared" si="317"/>
        <v>13714</v>
      </c>
      <c r="BZ203" s="16">
        <f t="shared" si="318"/>
        <v>13714</v>
      </c>
      <c r="CA203" s="16">
        <f t="shared" si="227"/>
        <v>13714</v>
      </c>
      <c r="CB203" s="16">
        <v>0</v>
      </c>
      <c r="CC203" s="16">
        <v>13714</v>
      </c>
      <c r="CD203" s="16">
        <f t="shared" si="319"/>
        <v>0</v>
      </c>
      <c r="CE203" s="16">
        <v>0</v>
      </c>
      <c r="CF203" s="16">
        <v>0</v>
      </c>
      <c r="CG203" s="16">
        <v>0</v>
      </c>
      <c r="CH203" s="16">
        <v>0</v>
      </c>
      <c r="CI203" s="16">
        <v>0</v>
      </c>
      <c r="CJ203" s="16">
        <f t="shared" si="320"/>
        <v>0</v>
      </c>
      <c r="CK203" s="16">
        <v>0</v>
      </c>
      <c r="CL203" s="16">
        <v>0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f t="shared" si="228"/>
        <v>0</v>
      </c>
      <c r="CS203" s="16">
        <f t="shared" si="229"/>
        <v>0</v>
      </c>
      <c r="CT203" s="16">
        <v>0</v>
      </c>
      <c r="CU203" s="17">
        <v>0</v>
      </c>
      <c r="CV203" s="38"/>
    </row>
    <row r="204" spans="1:100" ht="31.5" x14ac:dyDescent="0.25">
      <c r="A204" s="13" t="s">
        <v>209</v>
      </c>
      <c r="B204" s="14" t="s">
        <v>233</v>
      </c>
      <c r="C204" s="14" t="s">
        <v>1</v>
      </c>
      <c r="D204" s="30" t="s">
        <v>234</v>
      </c>
      <c r="E204" s="15">
        <f t="shared" ref="E204:AJ204" si="321">SUM(E205)</f>
        <v>61396038</v>
      </c>
      <c r="F204" s="16">
        <f t="shared" si="321"/>
        <v>61396038</v>
      </c>
      <c r="G204" s="16">
        <f t="shared" si="321"/>
        <v>61396038</v>
      </c>
      <c r="H204" s="16">
        <f t="shared" si="321"/>
        <v>0</v>
      </c>
      <c r="I204" s="16">
        <f t="shared" si="321"/>
        <v>0</v>
      </c>
      <c r="J204" s="16">
        <f t="shared" si="321"/>
        <v>0</v>
      </c>
      <c r="K204" s="16">
        <f t="shared" si="321"/>
        <v>0</v>
      </c>
      <c r="L204" s="16">
        <f t="shared" si="321"/>
        <v>0</v>
      </c>
      <c r="M204" s="16">
        <f t="shared" si="321"/>
        <v>0</v>
      </c>
      <c r="N204" s="16">
        <f t="shared" si="321"/>
        <v>0</v>
      </c>
      <c r="O204" s="16">
        <f t="shared" si="321"/>
        <v>0</v>
      </c>
      <c r="P204" s="16">
        <f t="shared" si="321"/>
        <v>0</v>
      </c>
      <c r="Q204" s="16">
        <f t="shared" si="321"/>
        <v>0</v>
      </c>
      <c r="R204" s="16">
        <f t="shared" si="321"/>
        <v>0</v>
      </c>
      <c r="S204" s="16">
        <f t="shared" si="321"/>
        <v>0</v>
      </c>
      <c r="T204" s="16">
        <f t="shared" si="321"/>
        <v>0</v>
      </c>
      <c r="U204" s="16">
        <f t="shared" si="321"/>
        <v>0</v>
      </c>
      <c r="V204" s="16">
        <f t="shared" si="321"/>
        <v>61396038</v>
      </c>
      <c r="W204" s="16">
        <f t="shared" si="321"/>
        <v>0</v>
      </c>
      <c r="X204" s="16">
        <f t="shared" si="321"/>
        <v>0</v>
      </c>
      <c r="Y204" s="16">
        <f t="shared" si="321"/>
        <v>0</v>
      </c>
      <c r="Z204" s="16">
        <f t="shared" si="321"/>
        <v>0</v>
      </c>
      <c r="AA204" s="16">
        <f t="shared" si="321"/>
        <v>0</v>
      </c>
      <c r="AB204" s="16">
        <f t="shared" si="321"/>
        <v>0</v>
      </c>
      <c r="AC204" s="16">
        <f t="shared" si="321"/>
        <v>61396038</v>
      </c>
      <c r="AD204" s="16">
        <f t="shared" si="321"/>
        <v>0</v>
      </c>
      <c r="AE204" s="16">
        <f t="shared" si="321"/>
        <v>0</v>
      </c>
      <c r="AF204" s="16">
        <f t="shared" si="321"/>
        <v>0</v>
      </c>
      <c r="AG204" s="16">
        <f t="shared" si="321"/>
        <v>0</v>
      </c>
      <c r="AH204" s="16">
        <f t="shared" si="321"/>
        <v>0</v>
      </c>
      <c r="AI204" s="16">
        <f t="shared" si="321"/>
        <v>0</v>
      </c>
      <c r="AJ204" s="16">
        <f t="shared" si="321"/>
        <v>0</v>
      </c>
      <c r="AK204" s="16">
        <f t="shared" ref="AK204:BR204" si="322">SUM(AK205)</f>
        <v>0</v>
      </c>
      <c r="AL204" s="16">
        <f t="shared" si="322"/>
        <v>0</v>
      </c>
      <c r="AM204" s="16">
        <f t="shared" si="322"/>
        <v>0</v>
      </c>
      <c r="AN204" s="16">
        <f t="shared" si="322"/>
        <v>0</v>
      </c>
      <c r="AO204" s="16">
        <f t="shared" si="322"/>
        <v>0</v>
      </c>
      <c r="AP204" s="16">
        <f t="shared" si="322"/>
        <v>0</v>
      </c>
      <c r="AQ204" s="16">
        <f t="shared" si="322"/>
        <v>0</v>
      </c>
      <c r="AR204" s="16">
        <f t="shared" si="322"/>
        <v>0</v>
      </c>
      <c r="AS204" s="16">
        <f t="shared" si="322"/>
        <v>0</v>
      </c>
      <c r="AT204" s="16">
        <f t="shared" si="322"/>
        <v>0</v>
      </c>
      <c r="AU204" s="16">
        <f t="shared" si="322"/>
        <v>0</v>
      </c>
      <c r="AV204" s="16">
        <f t="shared" si="322"/>
        <v>0</v>
      </c>
      <c r="AW204" s="16">
        <f t="shared" si="322"/>
        <v>0</v>
      </c>
      <c r="AX204" s="16">
        <f t="shared" si="322"/>
        <v>0</v>
      </c>
      <c r="AY204" s="16">
        <f t="shared" si="322"/>
        <v>0</v>
      </c>
      <c r="AZ204" s="16">
        <f t="shared" si="322"/>
        <v>0</v>
      </c>
      <c r="BA204" s="16">
        <f t="shared" si="322"/>
        <v>0</v>
      </c>
      <c r="BB204" s="16">
        <f t="shared" si="322"/>
        <v>0</v>
      </c>
      <c r="BC204" s="16">
        <f t="shared" si="322"/>
        <v>0</v>
      </c>
      <c r="BD204" s="16">
        <f t="shared" si="322"/>
        <v>0</v>
      </c>
      <c r="BE204" s="16">
        <f t="shared" si="322"/>
        <v>0</v>
      </c>
      <c r="BF204" s="16">
        <f t="shared" si="322"/>
        <v>0</v>
      </c>
      <c r="BG204" s="16">
        <f t="shared" si="322"/>
        <v>0</v>
      </c>
      <c r="BH204" s="16">
        <f t="shared" si="322"/>
        <v>0</v>
      </c>
      <c r="BI204" s="16">
        <f t="shared" si="322"/>
        <v>0</v>
      </c>
      <c r="BJ204" s="16">
        <f t="shared" si="322"/>
        <v>0</v>
      </c>
      <c r="BK204" s="16">
        <f t="shared" si="322"/>
        <v>0</v>
      </c>
      <c r="BL204" s="16">
        <f t="shared" si="322"/>
        <v>0</v>
      </c>
      <c r="BM204" s="16">
        <f t="shared" si="322"/>
        <v>0</v>
      </c>
      <c r="BN204" s="16">
        <f t="shared" si="322"/>
        <v>0</v>
      </c>
      <c r="BO204" s="16">
        <f t="shared" si="322"/>
        <v>0</v>
      </c>
      <c r="BP204" s="16">
        <f t="shared" si="322"/>
        <v>0</v>
      </c>
      <c r="BQ204" s="16">
        <f t="shared" si="322"/>
        <v>0</v>
      </c>
      <c r="BR204" s="16">
        <f t="shared" si="322"/>
        <v>0</v>
      </c>
      <c r="BS204" s="16">
        <f t="shared" ref="BS204:CU204" si="323">SUM(BS205)</f>
        <v>0</v>
      </c>
      <c r="BT204" s="16">
        <f t="shared" si="323"/>
        <v>0</v>
      </c>
      <c r="BU204" s="16">
        <f t="shared" si="323"/>
        <v>0</v>
      </c>
      <c r="BV204" s="16">
        <f t="shared" si="323"/>
        <v>0</v>
      </c>
      <c r="BW204" s="16">
        <f t="shared" si="323"/>
        <v>0</v>
      </c>
      <c r="BX204" s="16">
        <f t="shared" si="323"/>
        <v>0</v>
      </c>
      <c r="BY204" s="16">
        <f t="shared" si="323"/>
        <v>0</v>
      </c>
      <c r="BZ204" s="16">
        <f t="shared" si="323"/>
        <v>0</v>
      </c>
      <c r="CA204" s="16">
        <f t="shared" si="323"/>
        <v>0</v>
      </c>
      <c r="CB204" s="16">
        <f t="shared" si="323"/>
        <v>0</v>
      </c>
      <c r="CC204" s="16">
        <f t="shared" si="323"/>
        <v>0</v>
      </c>
      <c r="CD204" s="16">
        <f t="shared" si="323"/>
        <v>0</v>
      </c>
      <c r="CE204" s="16">
        <f t="shared" si="323"/>
        <v>0</v>
      </c>
      <c r="CF204" s="16">
        <f t="shared" si="323"/>
        <v>0</v>
      </c>
      <c r="CG204" s="16">
        <f t="shared" si="323"/>
        <v>0</v>
      </c>
      <c r="CH204" s="16">
        <f t="shared" si="323"/>
        <v>0</v>
      </c>
      <c r="CI204" s="16">
        <f t="shared" si="323"/>
        <v>0</v>
      </c>
      <c r="CJ204" s="16">
        <f t="shared" si="323"/>
        <v>0</v>
      </c>
      <c r="CK204" s="16">
        <f t="shared" si="323"/>
        <v>0</v>
      </c>
      <c r="CL204" s="16">
        <f t="shared" si="323"/>
        <v>0</v>
      </c>
      <c r="CM204" s="16">
        <f t="shared" si="323"/>
        <v>0</v>
      </c>
      <c r="CN204" s="16">
        <f t="shared" si="323"/>
        <v>0</v>
      </c>
      <c r="CO204" s="16">
        <f t="shared" si="323"/>
        <v>0</v>
      </c>
      <c r="CP204" s="16">
        <f t="shared" si="323"/>
        <v>0</v>
      </c>
      <c r="CQ204" s="16">
        <f t="shared" si="323"/>
        <v>0</v>
      </c>
      <c r="CR204" s="16">
        <f t="shared" si="323"/>
        <v>0</v>
      </c>
      <c r="CS204" s="16">
        <f t="shared" si="323"/>
        <v>0</v>
      </c>
      <c r="CT204" s="16">
        <f t="shared" si="323"/>
        <v>0</v>
      </c>
      <c r="CU204" s="17">
        <f t="shared" si="323"/>
        <v>0</v>
      </c>
      <c r="CV204" s="38"/>
    </row>
    <row r="205" spans="1:100" ht="31.5" x14ac:dyDescent="0.25">
      <c r="A205" s="13" t="s">
        <v>1</v>
      </c>
      <c r="B205" s="14" t="s">
        <v>1</v>
      </c>
      <c r="C205" s="14" t="s">
        <v>43</v>
      </c>
      <c r="D205" s="30" t="s">
        <v>234</v>
      </c>
      <c r="E205" s="15">
        <f>SUM(F205+BY205+CR205)</f>
        <v>61396038</v>
      </c>
      <c r="F205" s="16">
        <f>SUM(G205+BA205)</f>
        <v>61396038</v>
      </c>
      <c r="G205" s="16">
        <f>SUM(H205+I205+J205+Q205+T205+U205+V205+AE205)</f>
        <v>61396038</v>
      </c>
      <c r="H205" s="16">
        <v>0</v>
      </c>
      <c r="I205" s="16">
        <v>0</v>
      </c>
      <c r="J205" s="16">
        <f t="shared" si="222"/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f t="shared" si="223"/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f>SUM(W205:AD205)</f>
        <v>61396038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61396038</v>
      </c>
      <c r="AD205" s="16">
        <v>0</v>
      </c>
      <c r="AE205" s="16">
        <f>SUM(AF205:AZ205)</f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f>SUM(BB205+BF205+BI205+BK205+BM205)</f>
        <v>0</v>
      </c>
      <c r="BB205" s="16">
        <f>SUM(BC205:BE205)</f>
        <v>0</v>
      </c>
      <c r="BC205" s="16">
        <v>0</v>
      </c>
      <c r="BD205" s="16">
        <v>0</v>
      </c>
      <c r="BE205" s="16">
        <v>0</v>
      </c>
      <c r="BF205" s="16">
        <f t="shared" si="224"/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f t="shared" si="225"/>
        <v>0</v>
      </c>
      <c r="BL205" s="16">
        <v>0</v>
      </c>
      <c r="BM205" s="16">
        <f t="shared" si="226"/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f>SUM(BZ205+CQ205)</f>
        <v>0</v>
      </c>
      <c r="BZ205" s="16">
        <f>SUM(CA205+CD205+CJ205)</f>
        <v>0</v>
      </c>
      <c r="CA205" s="16">
        <f t="shared" si="227"/>
        <v>0</v>
      </c>
      <c r="CB205" s="16">
        <v>0</v>
      </c>
      <c r="CC205" s="16">
        <v>0</v>
      </c>
      <c r="CD205" s="16">
        <f>SUM(CE205:CH205)</f>
        <v>0</v>
      </c>
      <c r="CE205" s="16">
        <v>0</v>
      </c>
      <c r="CF205" s="16">
        <v>0</v>
      </c>
      <c r="CG205" s="16">
        <v>0</v>
      </c>
      <c r="CH205" s="16">
        <v>0</v>
      </c>
      <c r="CI205" s="16">
        <v>0</v>
      </c>
      <c r="CJ205" s="16">
        <f>SUM(CK205:CN205)</f>
        <v>0</v>
      </c>
      <c r="CK205" s="16">
        <v>0</v>
      </c>
      <c r="CL205" s="16">
        <v>0</v>
      </c>
      <c r="CM205" s="16">
        <v>0</v>
      </c>
      <c r="CN205" s="16">
        <v>0</v>
      </c>
      <c r="CO205" s="16">
        <v>0</v>
      </c>
      <c r="CP205" s="16">
        <v>0</v>
      </c>
      <c r="CQ205" s="16">
        <v>0</v>
      </c>
      <c r="CR205" s="16">
        <f t="shared" si="228"/>
        <v>0</v>
      </c>
      <c r="CS205" s="16">
        <f t="shared" si="229"/>
        <v>0</v>
      </c>
      <c r="CT205" s="16">
        <v>0</v>
      </c>
      <c r="CU205" s="17">
        <v>0</v>
      </c>
      <c r="CV205" s="38"/>
    </row>
    <row r="206" spans="1:100" ht="31.5" x14ac:dyDescent="0.25">
      <c r="A206" s="18" t="s">
        <v>235</v>
      </c>
      <c r="B206" s="19" t="s">
        <v>1</v>
      </c>
      <c r="C206" s="19" t="s">
        <v>1</v>
      </c>
      <c r="D206" s="31" t="s">
        <v>236</v>
      </c>
      <c r="E206" s="20">
        <f>SUM(E207)</f>
        <v>34500</v>
      </c>
      <c r="F206" s="21">
        <f t="shared" ref="F206:BS210" si="324">SUM(F207)</f>
        <v>0</v>
      </c>
      <c r="G206" s="21">
        <f t="shared" si="324"/>
        <v>0</v>
      </c>
      <c r="H206" s="21">
        <f t="shared" si="324"/>
        <v>0</v>
      </c>
      <c r="I206" s="21">
        <f t="shared" si="324"/>
        <v>0</v>
      </c>
      <c r="J206" s="21">
        <f t="shared" si="324"/>
        <v>0</v>
      </c>
      <c r="K206" s="21">
        <f t="shared" si="324"/>
        <v>0</v>
      </c>
      <c r="L206" s="21">
        <f t="shared" si="324"/>
        <v>0</v>
      </c>
      <c r="M206" s="21">
        <f t="shared" si="324"/>
        <v>0</v>
      </c>
      <c r="N206" s="21">
        <f t="shared" si="324"/>
        <v>0</v>
      </c>
      <c r="O206" s="21">
        <f t="shared" si="324"/>
        <v>0</v>
      </c>
      <c r="P206" s="21">
        <f t="shared" si="324"/>
        <v>0</v>
      </c>
      <c r="Q206" s="21">
        <f t="shared" si="324"/>
        <v>0</v>
      </c>
      <c r="R206" s="21">
        <f t="shared" si="324"/>
        <v>0</v>
      </c>
      <c r="S206" s="21">
        <f t="shared" si="324"/>
        <v>0</v>
      </c>
      <c r="T206" s="21">
        <f t="shared" si="324"/>
        <v>0</v>
      </c>
      <c r="U206" s="21">
        <f t="shared" si="324"/>
        <v>0</v>
      </c>
      <c r="V206" s="21">
        <f t="shared" si="324"/>
        <v>0</v>
      </c>
      <c r="W206" s="21">
        <f t="shared" si="324"/>
        <v>0</v>
      </c>
      <c r="X206" s="21">
        <f t="shared" si="324"/>
        <v>0</v>
      </c>
      <c r="Y206" s="21">
        <f t="shared" si="324"/>
        <v>0</v>
      </c>
      <c r="Z206" s="21">
        <f t="shared" si="324"/>
        <v>0</v>
      </c>
      <c r="AA206" s="21">
        <f t="shared" si="324"/>
        <v>0</v>
      </c>
      <c r="AB206" s="21">
        <f t="shared" si="324"/>
        <v>0</v>
      </c>
      <c r="AC206" s="21">
        <f t="shared" si="324"/>
        <v>0</v>
      </c>
      <c r="AD206" s="21">
        <f t="shared" ref="AD206:AD210" si="325">SUM(AD207)</f>
        <v>0</v>
      </c>
      <c r="AE206" s="21">
        <f t="shared" si="324"/>
        <v>0</v>
      </c>
      <c r="AF206" s="21">
        <f t="shared" si="324"/>
        <v>0</v>
      </c>
      <c r="AG206" s="21">
        <f t="shared" si="324"/>
        <v>0</v>
      </c>
      <c r="AH206" s="21">
        <f t="shared" si="324"/>
        <v>0</v>
      </c>
      <c r="AI206" s="21">
        <f t="shared" si="324"/>
        <v>0</v>
      </c>
      <c r="AJ206" s="21">
        <f t="shared" si="324"/>
        <v>0</v>
      </c>
      <c r="AK206" s="21">
        <f t="shared" si="324"/>
        <v>0</v>
      </c>
      <c r="AL206" s="21">
        <f t="shared" si="324"/>
        <v>0</v>
      </c>
      <c r="AM206" s="21">
        <f t="shared" si="324"/>
        <v>0</v>
      </c>
      <c r="AN206" s="21">
        <f t="shared" si="324"/>
        <v>0</v>
      </c>
      <c r="AO206" s="21">
        <f t="shared" si="324"/>
        <v>0</v>
      </c>
      <c r="AP206" s="21">
        <f>SUM(AP207)</f>
        <v>0</v>
      </c>
      <c r="AQ206" s="21">
        <f t="shared" si="324"/>
        <v>0</v>
      </c>
      <c r="AR206" s="21">
        <f t="shared" si="324"/>
        <v>0</v>
      </c>
      <c r="AS206" s="21">
        <f t="shared" si="324"/>
        <v>0</v>
      </c>
      <c r="AT206" s="21">
        <f t="shared" si="324"/>
        <v>0</v>
      </c>
      <c r="AU206" s="21">
        <f t="shared" si="324"/>
        <v>0</v>
      </c>
      <c r="AV206" s="21">
        <f t="shared" si="324"/>
        <v>0</v>
      </c>
      <c r="AW206" s="21">
        <f t="shared" si="324"/>
        <v>0</v>
      </c>
      <c r="AX206" s="21">
        <f t="shared" si="324"/>
        <v>0</v>
      </c>
      <c r="AY206" s="21">
        <f>SUM(AY207)</f>
        <v>0</v>
      </c>
      <c r="AZ206" s="21">
        <f t="shared" si="324"/>
        <v>0</v>
      </c>
      <c r="BA206" s="21">
        <f t="shared" si="324"/>
        <v>0</v>
      </c>
      <c r="BB206" s="21">
        <f t="shared" si="324"/>
        <v>0</v>
      </c>
      <c r="BC206" s="21">
        <f t="shared" si="324"/>
        <v>0</v>
      </c>
      <c r="BD206" s="21">
        <f t="shared" si="324"/>
        <v>0</v>
      </c>
      <c r="BE206" s="21">
        <f t="shared" si="324"/>
        <v>0</v>
      </c>
      <c r="BF206" s="21">
        <f t="shared" si="324"/>
        <v>0</v>
      </c>
      <c r="BG206" s="21">
        <f t="shared" si="324"/>
        <v>0</v>
      </c>
      <c r="BH206" s="21">
        <f t="shared" si="324"/>
        <v>0</v>
      </c>
      <c r="BI206" s="21">
        <f t="shared" si="324"/>
        <v>0</v>
      </c>
      <c r="BJ206" s="21">
        <f t="shared" si="324"/>
        <v>0</v>
      </c>
      <c r="BK206" s="21">
        <f t="shared" si="324"/>
        <v>0</v>
      </c>
      <c r="BL206" s="21">
        <f t="shared" si="324"/>
        <v>0</v>
      </c>
      <c r="BM206" s="21">
        <f t="shared" si="324"/>
        <v>0</v>
      </c>
      <c r="BN206" s="21">
        <f t="shared" si="324"/>
        <v>0</v>
      </c>
      <c r="BO206" s="21">
        <f t="shared" si="324"/>
        <v>0</v>
      </c>
      <c r="BP206" s="21">
        <f t="shared" si="324"/>
        <v>0</v>
      </c>
      <c r="BQ206" s="21">
        <f t="shared" si="324"/>
        <v>0</v>
      </c>
      <c r="BR206" s="21">
        <f t="shared" si="324"/>
        <v>0</v>
      </c>
      <c r="BS206" s="21">
        <f t="shared" si="324"/>
        <v>0</v>
      </c>
      <c r="BT206" s="21">
        <f t="shared" ref="BT206:CU210" si="326">SUM(BT207)</f>
        <v>0</v>
      </c>
      <c r="BU206" s="21">
        <f t="shared" si="326"/>
        <v>0</v>
      </c>
      <c r="BV206" s="21">
        <f t="shared" si="326"/>
        <v>0</v>
      </c>
      <c r="BW206" s="21">
        <f t="shared" si="326"/>
        <v>0</v>
      </c>
      <c r="BX206" s="21">
        <f t="shared" si="326"/>
        <v>0</v>
      </c>
      <c r="BY206" s="21">
        <f t="shared" si="326"/>
        <v>0</v>
      </c>
      <c r="BZ206" s="21">
        <f t="shared" si="326"/>
        <v>0</v>
      </c>
      <c r="CA206" s="21">
        <f t="shared" si="326"/>
        <v>0</v>
      </c>
      <c r="CB206" s="21">
        <f t="shared" si="326"/>
        <v>0</v>
      </c>
      <c r="CC206" s="21">
        <f t="shared" si="326"/>
        <v>0</v>
      </c>
      <c r="CD206" s="21">
        <f t="shared" si="326"/>
        <v>0</v>
      </c>
      <c r="CE206" s="21">
        <f t="shared" si="326"/>
        <v>0</v>
      </c>
      <c r="CF206" s="21">
        <f t="shared" si="326"/>
        <v>0</v>
      </c>
      <c r="CG206" s="21">
        <f t="shared" si="326"/>
        <v>0</v>
      </c>
      <c r="CH206" s="21">
        <f t="shared" si="326"/>
        <v>0</v>
      </c>
      <c r="CI206" s="21">
        <f t="shared" si="326"/>
        <v>0</v>
      </c>
      <c r="CJ206" s="21">
        <f t="shared" si="326"/>
        <v>0</v>
      </c>
      <c r="CK206" s="21">
        <f t="shared" si="326"/>
        <v>0</v>
      </c>
      <c r="CL206" s="21">
        <f t="shared" si="326"/>
        <v>0</v>
      </c>
      <c r="CM206" s="21">
        <f t="shared" si="326"/>
        <v>0</v>
      </c>
      <c r="CN206" s="21">
        <f t="shared" si="326"/>
        <v>0</v>
      </c>
      <c r="CO206" s="21">
        <f t="shared" si="326"/>
        <v>0</v>
      </c>
      <c r="CP206" s="21">
        <f t="shared" si="326"/>
        <v>0</v>
      </c>
      <c r="CQ206" s="21">
        <f t="shared" si="326"/>
        <v>0</v>
      </c>
      <c r="CR206" s="21">
        <f t="shared" si="326"/>
        <v>34500</v>
      </c>
      <c r="CS206" s="21">
        <f t="shared" si="326"/>
        <v>34500</v>
      </c>
      <c r="CT206" s="21">
        <f t="shared" si="326"/>
        <v>34500</v>
      </c>
      <c r="CU206" s="22">
        <f t="shared" si="326"/>
        <v>0</v>
      </c>
      <c r="CV206" s="38"/>
    </row>
    <row r="207" spans="1:100" ht="15.75" x14ac:dyDescent="0.25">
      <c r="A207" s="13" t="s">
        <v>237</v>
      </c>
      <c r="B207" s="14" t="s">
        <v>3</v>
      </c>
      <c r="C207" s="14" t="s">
        <v>1</v>
      </c>
      <c r="D207" s="30" t="s">
        <v>238</v>
      </c>
      <c r="E207" s="15">
        <f>SUM(E208)</f>
        <v>34500</v>
      </c>
      <c r="F207" s="16">
        <f t="shared" si="324"/>
        <v>0</v>
      </c>
      <c r="G207" s="16">
        <f t="shared" si="324"/>
        <v>0</v>
      </c>
      <c r="H207" s="16">
        <f t="shared" si="324"/>
        <v>0</v>
      </c>
      <c r="I207" s="16">
        <f t="shared" si="324"/>
        <v>0</v>
      </c>
      <c r="J207" s="16">
        <f t="shared" si="324"/>
        <v>0</v>
      </c>
      <c r="K207" s="16">
        <f t="shared" si="324"/>
        <v>0</v>
      </c>
      <c r="L207" s="16">
        <f t="shared" si="324"/>
        <v>0</v>
      </c>
      <c r="M207" s="16">
        <f t="shared" si="324"/>
        <v>0</v>
      </c>
      <c r="N207" s="16">
        <f t="shared" si="324"/>
        <v>0</v>
      </c>
      <c r="O207" s="16">
        <f t="shared" si="324"/>
        <v>0</v>
      </c>
      <c r="P207" s="16">
        <f t="shared" si="324"/>
        <v>0</v>
      </c>
      <c r="Q207" s="16">
        <f t="shared" si="324"/>
        <v>0</v>
      </c>
      <c r="R207" s="16">
        <f t="shared" si="324"/>
        <v>0</v>
      </c>
      <c r="S207" s="16">
        <f t="shared" si="324"/>
        <v>0</v>
      </c>
      <c r="T207" s="16">
        <f t="shared" si="324"/>
        <v>0</v>
      </c>
      <c r="U207" s="16">
        <f t="shared" si="324"/>
        <v>0</v>
      </c>
      <c r="V207" s="16">
        <f t="shared" si="324"/>
        <v>0</v>
      </c>
      <c r="W207" s="16">
        <f t="shared" si="324"/>
        <v>0</v>
      </c>
      <c r="X207" s="16">
        <f t="shared" si="324"/>
        <v>0</v>
      </c>
      <c r="Y207" s="16">
        <f t="shared" si="324"/>
        <v>0</v>
      </c>
      <c r="Z207" s="16">
        <f t="shared" si="324"/>
        <v>0</v>
      </c>
      <c r="AA207" s="16">
        <f t="shared" si="324"/>
        <v>0</v>
      </c>
      <c r="AB207" s="16">
        <f t="shared" si="324"/>
        <v>0</v>
      </c>
      <c r="AC207" s="16">
        <f t="shared" si="324"/>
        <v>0</v>
      </c>
      <c r="AD207" s="16">
        <f t="shared" si="325"/>
        <v>0</v>
      </c>
      <c r="AE207" s="16">
        <f t="shared" si="324"/>
        <v>0</v>
      </c>
      <c r="AF207" s="16">
        <f t="shared" si="324"/>
        <v>0</v>
      </c>
      <c r="AG207" s="16">
        <f t="shared" si="324"/>
        <v>0</v>
      </c>
      <c r="AH207" s="16">
        <f t="shared" si="324"/>
        <v>0</v>
      </c>
      <c r="AI207" s="16">
        <f t="shared" si="324"/>
        <v>0</v>
      </c>
      <c r="AJ207" s="16">
        <f t="shared" si="324"/>
        <v>0</v>
      </c>
      <c r="AK207" s="16">
        <f t="shared" si="324"/>
        <v>0</v>
      </c>
      <c r="AL207" s="16">
        <f t="shared" si="324"/>
        <v>0</v>
      </c>
      <c r="AM207" s="16">
        <f t="shared" si="324"/>
        <v>0</v>
      </c>
      <c r="AN207" s="16">
        <f t="shared" si="324"/>
        <v>0</v>
      </c>
      <c r="AO207" s="16">
        <f t="shared" si="324"/>
        <v>0</v>
      </c>
      <c r="AP207" s="16">
        <f>SUM(AP208)</f>
        <v>0</v>
      </c>
      <c r="AQ207" s="16">
        <f t="shared" si="324"/>
        <v>0</v>
      </c>
      <c r="AR207" s="16">
        <f t="shared" si="324"/>
        <v>0</v>
      </c>
      <c r="AS207" s="16">
        <f t="shared" si="324"/>
        <v>0</v>
      </c>
      <c r="AT207" s="16">
        <f t="shared" si="324"/>
        <v>0</v>
      </c>
      <c r="AU207" s="16">
        <f t="shared" si="324"/>
        <v>0</v>
      </c>
      <c r="AV207" s="16">
        <f t="shared" si="324"/>
        <v>0</v>
      </c>
      <c r="AW207" s="16">
        <f t="shared" si="324"/>
        <v>0</v>
      </c>
      <c r="AX207" s="16">
        <f t="shared" si="324"/>
        <v>0</v>
      </c>
      <c r="AY207" s="16">
        <f>SUM(AY208)</f>
        <v>0</v>
      </c>
      <c r="AZ207" s="16">
        <f t="shared" si="324"/>
        <v>0</v>
      </c>
      <c r="BA207" s="16">
        <f t="shared" si="324"/>
        <v>0</v>
      </c>
      <c r="BB207" s="16">
        <f t="shared" si="324"/>
        <v>0</v>
      </c>
      <c r="BC207" s="16">
        <f t="shared" si="324"/>
        <v>0</v>
      </c>
      <c r="BD207" s="16">
        <f t="shared" si="324"/>
        <v>0</v>
      </c>
      <c r="BE207" s="16">
        <f t="shared" si="324"/>
        <v>0</v>
      </c>
      <c r="BF207" s="16">
        <f t="shared" si="324"/>
        <v>0</v>
      </c>
      <c r="BG207" s="16">
        <f t="shared" si="324"/>
        <v>0</v>
      </c>
      <c r="BH207" s="16">
        <f t="shared" si="324"/>
        <v>0</v>
      </c>
      <c r="BI207" s="16">
        <f t="shared" si="324"/>
        <v>0</v>
      </c>
      <c r="BJ207" s="16">
        <f t="shared" si="324"/>
        <v>0</v>
      </c>
      <c r="BK207" s="16">
        <f t="shared" si="324"/>
        <v>0</v>
      </c>
      <c r="BL207" s="16">
        <f t="shared" si="324"/>
        <v>0</v>
      </c>
      <c r="BM207" s="16">
        <f t="shared" si="324"/>
        <v>0</v>
      </c>
      <c r="BN207" s="16">
        <f t="shared" si="324"/>
        <v>0</v>
      </c>
      <c r="BO207" s="16">
        <f t="shared" si="324"/>
        <v>0</v>
      </c>
      <c r="BP207" s="16">
        <f t="shared" si="324"/>
        <v>0</v>
      </c>
      <c r="BQ207" s="16">
        <f t="shared" si="324"/>
        <v>0</v>
      </c>
      <c r="BR207" s="16">
        <f t="shared" si="324"/>
        <v>0</v>
      </c>
      <c r="BS207" s="16">
        <f t="shared" si="324"/>
        <v>0</v>
      </c>
      <c r="BT207" s="16">
        <f t="shared" si="326"/>
        <v>0</v>
      </c>
      <c r="BU207" s="16">
        <f t="shared" si="326"/>
        <v>0</v>
      </c>
      <c r="BV207" s="16">
        <f t="shared" si="326"/>
        <v>0</v>
      </c>
      <c r="BW207" s="16">
        <f t="shared" si="326"/>
        <v>0</v>
      </c>
      <c r="BX207" s="16">
        <f t="shared" si="326"/>
        <v>0</v>
      </c>
      <c r="BY207" s="16">
        <f t="shared" si="326"/>
        <v>0</v>
      </c>
      <c r="BZ207" s="16">
        <f t="shared" si="326"/>
        <v>0</v>
      </c>
      <c r="CA207" s="16">
        <f t="shared" si="326"/>
        <v>0</v>
      </c>
      <c r="CB207" s="16">
        <f t="shared" si="326"/>
        <v>0</v>
      </c>
      <c r="CC207" s="16">
        <f t="shared" si="326"/>
        <v>0</v>
      </c>
      <c r="CD207" s="16">
        <f t="shared" si="326"/>
        <v>0</v>
      </c>
      <c r="CE207" s="16">
        <f t="shared" si="326"/>
        <v>0</v>
      </c>
      <c r="CF207" s="16">
        <f t="shared" si="326"/>
        <v>0</v>
      </c>
      <c r="CG207" s="16">
        <f t="shared" si="326"/>
        <v>0</v>
      </c>
      <c r="CH207" s="16">
        <f t="shared" si="326"/>
        <v>0</v>
      </c>
      <c r="CI207" s="16">
        <f t="shared" si="326"/>
        <v>0</v>
      </c>
      <c r="CJ207" s="16">
        <f t="shared" si="326"/>
        <v>0</v>
      </c>
      <c r="CK207" s="16">
        <f t="shared" si="326"/>
        <v>0</v>
      </c>
      <c r="CL207" s="16">
        <f t="shared" si="326"/>
        <v>0</v>
      </c>
      <c r="CM207" s="16">
        <f t="shared" si="326"/>
        <v>0</v>
      </c>
      <c r="CN207" s="16">
        <f t="shared" si="326"/>
        <v>0</v>
      </c>
      <c r="CO207" s="16">
        <f t="shared" si="326"/>
        <v>0</v>
      </c>
      <c r="CP207" s="16">
        <f t="shared" si="326"/>
        <v>0</v>
      </c>
      <c r="CQ207" s="16">
        <f t="shared" si="326"/>
        <v>0</v>
      </c>
      <c r="CR207" s="16">
        <f t="shared" si="326"/>
        <v>34500</v>
      </c>
      <c r="CS207" s="16">
        <f t="shared" si="326"/>
        <v>34500</v>
      </c>
      <c r="CT207" s="16">
        <f t="shared" si="326"/>
        <v>34500</v>
      </c>
      <c r="CU207" s="17">
        <f t="shared" si="326"/>
        <v>0</v>
      </c>
      <c r="CV207" s="38"/>
    </row>
    <row r="208" spans="1:100" ht="15.75" x14ac:dyDescent="0.25">
      <c r="A208" s="13" t="s">
        <v>1</v>
      </c>
      <c r="B208" s="14" t="s">
        <v>1</v>
      </c>
      <c r="C208" s="14" t="s">
        <v>43</v>
      </c>
      <c r="D208" s="30" t="s">
        <v>238</v>
      </c>
      <c r="E208" s="15">
        <f>SUM(F208+BY208+CR208)</f>
        <v>34500</v>
      </c>
      <c r="F208" s="16">
        <f>SUM(G208+BA208)</f>
        <v>0</v>
      </c>
      <c r="G208" s="16">
        <f>SUM(H208+I208+J208+Q208+T208+U208+V208+AE208)</f>
        <v>0</v>
      </c>
      <c r="H208" s="16">
        <v>0</v>
      </c>
      <c r="I208" s="16">
        <v>0</v>
      </c>
      <c r="J208" s="16">
        <f t="shared" si="222"/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f t="shared" si="223"/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f>SUM(W208:AD208)</f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16">
        <v>0</v>
      </c>
      <c r="AE208" s="16">
        <f>SUM(AF208:AZ208)</f>
        <v>0</v>
      </c>
      <c r="AF208" s="16">
        <v>0</v>
      </c>
      <c r="AG208" s="16">
        <v>0</v>
      </c>
      <c r="AH208" s="16">
        <v>0</v>
      </c>
      <c r="AI208" s="16">
        <v>0</v>
      </c>
      <c r="AJ208" s="16">
        <v>0</v>
      </c>
      <c r="AK208" s="16">
        <v>0</v>
      </c>
      <c r="AL208" s="16">
        <v>0</v>
      </c>
      <c r="AM208" s="16">
        <v>0</v>
      </c>
      <c r="AN208" s="16">
        <v>0</v>
      </c>
      <c r="AO208" s="16">
        <v>0</v>
      </c>
      <c r="AP208" s="16">
        <v>0</v>
      </c>
      <c r="AQ208" s="16">
        <v>0</v>
      </c>
      <c r="AR208" s="16">
        <v>0</v>
      </c>
      <c r="AS208" s="16">
        <v>0</v>
      </c>
      <c r="AT208" s="16">
        <v>0</v>
      </c>
      <c r="AU208" s="16">
        <v>0</v>
      </c>
      <c r="AV208" s="16">
        <v>0</v>
      </c>
      <c r="AW208" s="16">
        <v>0</v>
      </c>
      <c r="AX208" s="16">
        <v>0</v>
      </c>
      <c r="AY208" s="16">
        <v>0</v>
      </c>
      <c r="AZ208" s="16">
        <v>0</v>
      </c>
      <c r="BA208" s="16">
        <f>SUM(BB208+BF208+BI208+BK208+BM208)</f>
        <v>0</v>
      </c>
      <c r="BB208" s="16">
        <f>SUM(BC208:BE208)</f>
        <v>0</v>
      </c>
      <c r="BC208" s="16">
        <v>0</v>
      </c>
      <c r="BD208" s="16">
        <v>0</v>
      </c>
      <c r="BE208" s="16">
        <v>0</v>
      </c>
      <c r="BF208" s="16">
        <f t="shared" si="224"/>
        <v>0</v>
      </c>
      <c r="BG208" s="16">
        <v>0</v>
      </c>
      <c r="BH208" s="16">
        <v>0</v>
      </c>
      <c r="BI208" s="16">
        <v>0</v>
      </c>
      <c r="BJ208" s="16">
        <v>0</v>
      </c>
      <c r="BK208" s="16">
        <f t="shared" si="225"/>
        <v>0</v>
      </c>
      <c r="BL208" s="16">
        <v>0</v>
      </c>
      <c r="BM208" s="16">
        <f t="shared" si="226"/>
        <v>0</v>
      </c>
      <c r="BN208" s="16">
        <v>0</v>
      </c>
      <c r="BO208" s="16">
        <v>0</v>
      </c>
      <c r="BP208" s="16">
        <v>0</v>
      </c>
      <c r="BQ208" s="16">
        <v>0</v>
      </c>
      <c r="BR208" s="16">
        <v>0</v>
      </c>
      <c r="BS208" s="16">
        <v>0</v>
      </c>
      <c r="BT208" s="16">
        <v>0</v>
      </c>
      <c r="BU208" s="16">
        <v>0</v>
      </c>
      <c r="BV208" s="16">
        <v>0</v>
      </c>
      <c r="BW208" s="16">
        <v>0</v>
      </c>
      <c r="BX208" s="16">
        <v>0</v>
      </c>
      <c r="BY208" s="16">
        <f>SUM(BZ208+CQ208)</f>
        <v>0</v>
      </c>
      <c r="BZ208" s="16">
        <f>SUM(CA208+CD208+CJ208)</f>
        <v>0</v>
      </c>
      <c r="CA208" s="16">
        <f t="shared" si="227"/>
        <v>0</v>
      </c>
      <c r="CB208" s="16">
        <v>0</v>
      </c>
      <c r="CC208" s="16">
        <v>0</v>
      </c>
      <c r="CD208" s="16">
        <f>SUM(CE208:CH208)</f>
        <v>0</v>
      </c>
      <c r="CE208" s="16">
        <v>0</v>
      </c>
      <c r="CF208" s="16">
        <v>0</v>
      </c>
      <c r="CG208" s="16">
        <v>0</v>
      </c>
      <c r="CH208" s="16">
        <v>0</v>
      </c>
      <c r="CI208" s="16">
        <v>0</v>
      </c>
      <c r="CJ208" s="16">
        <f>SUM(CK208:CN208)</f>
        <v>0</v>
      </c>
      <c r="CK208" s="16">
        <v>0</v>
      </c>
      <c r="CL208" s="16">
        <v>0</v>
      </c>
      <c r="CM208" s="16">
        <v>0</v>
      </c>
      <c r="CN208" s="16">
        <v>0</v>
      </c>
      <c r="CO208" s="16">
        <v>0</v>
      </c>
      <c r="CP208" s="16">
        <v>0</v>
      </c>
      <c r="CQ208" s="16">
        <v>0</v>
      </c>
      <c r="CR208" s="16">
        <f t="shared" si="228"/>
        <v>34500</v>
      </c>
      <c r="CS208" s="16">
        <f t="shared" si="229"/>
        <v>34500</v>
      </c>
      <c r="CT208" s="16">
        <v>34500</v>
      </c>
      <c r="CU208" s="17">
        <v>0</v>
      </c>
      <c r="CV208" s="38"/>
    </row>
    <row r="209" spans="1:100" ht="31.5" x14ac:dyDescent="0.25">
      <c r="A209" s="18" t="s">
        <v>516</v>
      </c>
      <c r="B209" s="19" t="s">
        <v>1</v>
      </c>
      <c r="C209" s="19" t="s">
        <v>1</v>
      </c>
      <c r="D209" s="31" t="s">
        <v>519</v>
      </c>
      <c r="E209" s="20">
        <f>SUM(E210)</f>
        <v>3875517</v>
      </c>
      <c r="F209" s="21">
        <f t="shared" si="324"/>
        <v>0</v>
      </c>
      <c r="G209" s="21">
        <f t="shared" si="324"/>
        <v>0</v>
      </c>
      <c r="H209" s="21">
        <f t="shared" si="324"/>
        <v>0</v>
      </c>
      <c r="I209" s="21">
        <f t="shared" si="324"/>
        <v>0</v>
      </c>
      <c r="J209" s="21">
        <f t="shared" si="324"/>
        <v>0</v>
      </c>
      <c r="K209" s="21">
        <f t="shared" si="324"/>
        <v>0</v>
      </c>
      <c r="L209" s="21">
        <f t="shared" si="324"/>
        <v>0</v>
      </c>
      <c r="M209" s="21">
        <f t="shared" si="324"/>
        <v>0</v>
      </c>
      <c r="N209" s="21">
        <f t="shared" si="324"/>
        <v>0</v>
      </c>
      <c r="O209" s="21">
        <f t="shared" si="324"/>
        <v>0</v>
      </c>
      <c r="P209" s="21">
        <f t="shared" si="324"/>
        <v>0</v>
      </c>
      <c r="Q209" s="21">
        <f t="shared" si="324"/>
        <v>0</v>
      </c>
      <c r="R209" s="21">
        <f t="shared" si="324"/>
        <v>0</v>
      </c>
      <c r="S209" s="21">
        <f t="shared" si="324"/>
        <v>0</v>
      </c>
      <c r="T209" s="21">
        <f t="shared" si="324"/>
        <v>0</v>
      </c>
      <c r="U209" s="21">
        <f t="shared" si="324"/>
        <v>0</v>
      </c>
      <c r="V209" s="21">
        <f t="shared" si="324"/>
        <v>0</v>
      </c>
      <c r="W209" s="21">
        <f t="shared" si="324"/>
        <v>0</v>
      </c>
      <c r="X209" s="21">
        <f t="shared" si="324"/>
        <v>0</v>
      </c>
      <c r="Y209" s="21">
        <f t="shared" si="324"/>
        <v>0</v>
      </c>
      <c r="Z209" s="21">
        <f t="shared" si="324"/>
        <v>0</v>
      </c>
      <c r="AA209" s="21">
        <f t="shared" si="324"/>
        <v>0</v>
      </c>
      <c r="AB209" s="21">
        <f t="shared" si="324"/>
        <v>0</v>
      </c>
      <c r="AC209" s="21">
        <f t="shared" si="324"/>
        <v>0</v>
      </c>
      <c r="AD209" s="21">
        <f t="shared" si="325"/>
        <v>0</v>
      </c>
      <c r="AE209" s="21">
        <f t="shared" si="324"/>
        <v>0</v>
      </c>
      <c r="AF209" s="21">
        <f t="shared" si="324"/>
        <v>0</v>
      </c>
      <c r="AG209" s="21">
        <f t="shared" si="324"/>
        <v>0</v>
      </c>
      <c r="AH209" s="21">
        <f t="shared" si="324"/>
        <v>0</v>
      </c>
      <c r="AI209" s="21">
        <f t="shared" si="324"/>
        <v>0</v>
      </c>
      <c r="AJ209" s="21">
        <f t="shared" si="324"/>
        <v>0</v>
      </c>
      <c r="AK209" s="21">
        <f t="shared" si="324"/>
        <v>0</v>
      </c>
      <c r="AL209" s="21">
        <f t="shared" si="324"/>
        <v>0</v>
      </c>
      <c r="AM209" s="21">
        <f t="shared" si="324"/>
        <v>0</v>
      </c>
      <c r="AN209" s="21">
        <f t="shared" si="324"/>
        <v>0</v>
      </c>
      <c r="AO209" s="21">
        <f t="shared" si="324"/>
        <v>0</v>
      </c>
      <c r="AP209" s="21">
        <f>SUM(AP210)</f>
        <v>0</v>
      </c>
      <c r="AQ209" s="21">
        <f t="shared" si="324"/>
        <v>0</v>
      </c>
      <c r="AR209" s="21">
        <f t="shared" si="324"/>
        <v>0</v>
      </c>
      <c r="AS209" s="21">
        <f t="shared" si="324"/>
        <v>0</v>
      </c>
      <c r="AT209" s="21">
        <f t="shared" si="324"/>
        <v>0</v>
      </c>
      <c r="AU209" s="21">
        <f t="shared" si="324"/>
        <v>0</v>
      </c>
      <c r="AV209" s="21">
        <f t="shared" si="324"/>
        <v>0</v>
      </c>
      <c r="AW209" s="21">
        <f t="shared" si="324"/>
        <v>0</v>
      </c>
      <c r="AX209" s="21">
        <f t="shared" si="324"/>
        <v>0</v>
      </c>
      <c r="AY209" s="21">
        <f>SUM(AY210)</f>
        <v>0</v>
      </c>
      <c r="AZ209" s="21">
        <f t="shared" si="324"/>
        <v>0</v>
      </c>
      <c r="BA209" s="21">
        <f t="shared" si="324"/>
        <v>0</v>
      </c>
      <c r="BB209" s="21">
        <f t="shared" si="324"/>
        <v>0</v>
      </c>
      <c r="BC209" s="21">
        <f t="shared" si="324"/>
        <v>0</v>
      </c>
      <c r="BD209" s="21">
        <f t="shared" si="324"/>
        <v>0</v>
      </c>
      <c r="BE209" s="21">
        <f t="shared" si="324"/>
        <v>0</v>
      </c>
      <c r="BF209" s="21">
        <f t="shared" si="324"/>
        <v>0</v>
      </c>
      <c r="BG209" s="21">
        <f t="shared" si="324"/>
        <v>0</v>
      </c>
      <c r="BH209" s="21">
        <f t="shared" si="324"/>
        <v>0</v>
      </c>
      <c r="BI209" s="21">
        <f t="shared" si="324"/>
        <v>0</v>
      </c>
      <c r="BJ209" s="21">
        <f t="shared" si="324"/>
        <v>0</v>
      </c>
      <c r="BK209" s="21">
        <f t="shared" si="324"/>
        <v>0</v>
      </c>
      <c r="BL209" s="21">
        <f t="shared" si="324"/>
        <v>0</v>
      </c>
      <c r="BM209" s="21">
        <f t="shared" si="324"/>
        <v>0</v>
      </c>
      <c r="BN209" s="21">
        <f t="shared" si="324"/>
        <v>0</v>
      </c>
      <c r="BO209" s="21">
        <f t="shared" si="324"/>
        <v>0</v>
      </c>
      <c r="BP209" s="21">
        <f t="shared" si="324"/>
        <v>0</v>
      </c>
      <c r="BQ209" s="21">
        <f t="shared" si="324"/>
        <v>0</v>
      </c>
      <c r="BR209" s="21">
        <f t="shared" si="324"/>
        <v>0</v>
      </c>
      <c r="BS209" s="21">
        <f t="shared" si="324"/>
        <v>0</v>
      </c>
      <c r="BT209" s="21">
        <f t="shared" si="326"/>
        <v>0</v>
      </c>
      <c r="BU209" s="21">
        <f t="shared" si="326"/>
        <v>0</v>
      </c>
      <c r="BV209" s="21">
        <f t="shared" si="326"/>
        <v>0</v>
      </c>
      <c r="BW209" s="21">
        <f t="shared" si="326"/>
        <v>0</v>
      </c>
      <c r="BX209" s="21">
        <f t="shared" si="326"/>
        <v>0</v>
      </c>
      <c r="BY209" s="21">
        <f t="shared" si="326"/>
        <v>3875517</v>
      </c>
      <c r="BZ209" s="21">
        <f t="shared" si="326"/>
        <v>0</v>
      </c>
      <c r="CA209" s="21">
        <f t="shared" si="326"/>
        <v>0</v>
      </c>
      <c r="CB209" s="21">
        <f t="shared" si="326"/>
        <v>0</v>
      </c>
      <c r="CC209" s="21">
        <f t="shared" si="326"/>
        <v>0</v>
      </c>
      <c r="CD209" s="21">
        <f t="shared" si="326"/>
        <v>0</v>
      </c>
      <c r="CE209" s="21">
        <f t="shared" si="326"/>
        <v>0</v>
      </c>
      <c r="CF209" s="21">
        <f t="shared" si="326"/>
        <v>0</v>
      </c>
      <c r="CG209" s="21">
        <f t="shared" si="326"/>
        <v>0</v>
      </c>
      <c r="CH209" s="21">
        <f t="shared" si="326"/>
        <v>0</v>
      </c>
      <c r="CI209" s="21">
        <f t="shared" si="326"/>
        <v>0</v>
      </c>
      <c r="CJ209" s="21">
        <f t="shared" si="326"/>
        <v>0</v>
      </c>
      <c r="CK209" s="21">
        <f t="shared" si="326"/>
        <v>0</v>
      </c>
      <c r="CL209" s="21">
        <f t="shared" si="326"/>
        <v>0</v>
      </c>
      <c r="CM209" s="21">
        <f t="shared" si="326"/>
        <v>0</v>
      </c>
      <c r="CN209" s="21">
        <f t="shared" si="326"/>
        <v>0</v>
      </c>
      <c r="CO209" s="21">
        <f t="shared" si="326"/>
        <v>3875517</v>
      </c>
      <c r="CP209" s="21">
        <f t="shared" si="326"/>
        <v>3875517</v>
      </c>
      <c r="CQ209" s="21">
        <f t="shared" si="326"/>
        <v>0</v>
      </c>
      <c r="CR209" s="21">
        <f t="shared" si="326"/>
        <v>0</v>
      </c>
      <c r="CS209" s="21">
        <f t="shared" si="326"/>
        <v>0</v>
      </c>
      <c r="CT209" s="21">
        <f t="shared" si="326"/>
        <v>0</v>
      </c>
      <c r="CU209" s="22">
        <f t="shared" si="326"/>
        <v>0</v>
      </c>
      <c r="CV209" s="38"/>
    </row>
    <row r="210" spans="1:100" ht="15.75" x14ac:dyDescent="0.25">
      <c r="A210" s="13" t="s">
        <v>517</v>
      </c>
      <c r="B210" s="14" t="s">
        <v>15</v>
      </c>
      <c r="C210" s="14" t="s">
        <v>1</v>
      </c>
      <c r="D210" s="30" t="s">
        <v>518</v>
      </c>
      <c r="E210" s="15">
        <f>SUM(E211)</f>
        <v>3875517</v>
      </c>
      <c r="F210" s="16">
        <f t="shared" si="324"/>
        <v>0</v>
      </c>
      <c r="G210" s="16">
        <f t="shared" si="324"/>
        <v>0</v>
      </c>
      <c r="H210" s="16">
        <f t="shared" si="324"/>
        <v>0</v>
      </c>
      <c r="I210" s="16">
        <f t="shared" si="324"/>
        <v>0</v>
      </c>
      <c r="J210" s="16">
        <f t="shared" si="324"/>
        <v>0</v>
      </c>
      <c r="K210" s="16">
        <f t="shared" si="324"/>
        <v>0</v>
      </c>
      <c r="L210" s="16">
        <f t="shared" si="324"/>
        <v>0</v>
      </c>
      <c r="M210" s="16">
        <f t="shared" si="324"/>
        <v>0</v>
      </c>
      <c r="N210" s="16">
        <f t="shared" si="324"/>
        <v>0</v>
      </c>
      <c r="O210" s="16">
        <f t="shared" si="324"/>
        <v>0</v>
      </c>
      <c r="P210" s="16">
        <f t="shared" si="324"/>
        <v>0</v>
      </c>
      <c r="Q210" s="16">
        <f t="shared" si="324"/>
        <v>0</v>
      </c>
      <c r="R210" s="16">
        <f t="shared" si="324"/>
        <v>0</v>
      </c>
      <c r="S210" s="16">
        <f t="shared" si="324"/>
        <v>0</v>
      </c>
      <c r="T210" s="16">
        <f t="shared" si="324"/>
        <v>0</v>
      </c>
      <c r="U210" s="16">
        <f t="shared" si="324"/>
        <v>0</v>
      </c>
      <c r="V210" s="16">
        <f t="shared" si="324"/>
        <v>0</v>
      </c>
      <c r="W210" s="16">
        <f t="shared" si="324"/>
        <v>0</v>
      </c>
      <c r="X210" s="16">
        <f t="shared" si="324"/>
        <v>0</v>
      </c>
      <c r="Y210" s="16">
        <f t="shared" si="324"/>
        <v>0</v>
      </c>
      <c r="Z210" s="16">
        <f t="shared" si="324"/>
        <v>0</v>
      </c>
      <c r="AA210" s="16">
        <f t="shared" si="324"/>
        <v>0</v>
      </c>
      <c r="AB210" s="16">
        <f t="shared" si="324"/>
        <v>0</v>
      </c>
      <c r="AC210" s="16">
        <f t="shared" si="324"/>
        <v>0</v>
      </c>
      <c r="AD210" s="16">
        <f t="shared" si="325"/>
        <v>0</v>
      </c>
      <c r="AE210" s="16">
        <f t="shared" si="324"/>
        <v>0</v>
      </c>
      <c r="AF210" s="16">
        <f t="shared" si="324"/>
        <v>0</v>
      </c>
      <c r="AG210" s="16">
        <f t="shared" si="324"/>
        <v>0</v>
      </c>
      <c r="AH210" s="16">
        <f t="shared" si="324"/>
        <v>0</v>
      </c>
      <c r="AI210" s="16">
        <f t="shared" si="324"/>
        <v>0</v>
      </c>
      <c r="AJ210" s="16">
        <f t="shared" si="324"/>
        <v>0</v>
      </c>
      <c r="AK210" s="16">
        <f t="shared" si="324"/>
        <v>0</v>
      </c>
      <c r="AL210" s="16">
        <f t="shared" si="324"/>
        <v>0</v>
      </c>
      <c r="AM210" s="16">
        <f t="shared" si="324"/>
        <v>0</v>
      </c>
      <c r="AN210" s="16">
        <f t="shared" si="324"/>
        <v>0</v>
      </c>
      <c r="AO210" s="16">
        <f t="shared" si="324"/>
        <v>0</v>
      </c>
      <c r="AP210" s="16">
        <f>SUM(AP211)</f>
        <v>0</v>
      </c>
      <c r="AQ210" s="16">
        <f t="shared" si="324"/>
        <v>0</v>
      </c>
      <c r="AR210" s="16">
        <f t="shared" si="324"/>
        <v>0</v>
      </c>
      <c r="AS210" s="16">
        <f t="shared" si="324"/>
        <v>0</v>
      </c>
      <c r="AT210" s="16">
        <f t="shared" si="324"/>
        <v>0</v>
      </c>
      <c r="AU210" s="16">
        <f t="shared" si="324"/>
        <v>0</v>
      </c>
      <c r="AV210" s="16">
        <f t="shared" si="324"/>
        <v>0</v>
      </c>
      <c r="AW210" s="16">
        <f t="shared" si="324"/>
        <v>0</v>
      </c>
      <c r="AX210" s="16">
        <f t="shared" si="324"/>
        <v>0</v>
      </c>
      <c r="AY210" s="16">
        <f>SUM(AY211)</f>
        <v>0</v>
      </c>
      <c r="AZ210" s="16">
        <f t="shared" si="324"/>
        <v>0</v>
      </c>
      <c r="BA210" s="16">
        <f t="shared" si="324"/>
        <v>0</v>
      </c>
      <c r="BB210" s="16">
        <f t="shared" si="324"/>
        <v>0</v>
      </c>
      <c r="BC210" s="16">
        <f t="shared" si="324"/>
        <v>0</v>
      </c>
      <c r="BD210" s="16">
        <f t="shared" si="324"/>
        <v>0</v>
      </c>
      <c r="BE210" s="16">
        <f t="shared" si="324"/>
        <v>0</v>
      </c>
      <c r="BF210" s="16">
        <f t="shared" si="324"/>
        <v>0</v>
      </c>
      <c r="BG210" s="16">
        <f t="shared" si="324"/>
        <v>0</v>
      </c>
      <c r="BH210" s="16">
        <f t="shared" si="324"/>
        <v>0</v>
      </c>
      <c r="BI210" s="16">
        <f t="shared" si="324"/>
        <v>0</v>
      </c>
      <c r="BJ210" s="16">
        <f t="shared" si="324"/>
        <v>0</v>
      </c>
      <c r="BK210" s="16">
        <f t="shared" si="324"/>
        <v>0</v>
      </c>
      <c r="BL210" s="16">
        <f t="shared" si="324"/>
        <v>0</v>
      </c>
      <c r="BM210" s="16">
        <f t="shared" si="324"/>
        <v>0</v>
      </c>
      <c r="BN210" s="16">
        <f t="shared" si="324"/>
        <v>0</v>
      </c>
      <c r="BO210" s="16">
        <f t="shared" si="324"/>
        <v>0</v>
      </c>
      <c r="BP210" s="16">
        <f t="shared" si="324"/>
        <v>0</v>
      </c>
      <c r="BQ210" s="16">
        <f t="shared" si="324"/>
        <v>0</v>
      </c>
      <c r="BR210" s="16">
        <f t="shared" si="324"/>
        <v>0</v>
      </c>
      <c r="BS210" s="16">
        <f>SUM(BS211)</f>
        <v>0</v>
      </c>
      <c r="BT210" s="16">
        <f t="shared" si="326"/>
        <v>0</v>
      </c>
      <c r="BU210" s="16">
        <f t="shared" si="326"/>
        <v>0</v>
      </c>
      <c r="BV210" s="16">
        <f t="shared" si="326"/>
        <v>0</v>
      </c>
      <c r="BW210" s="16">
        <f t="shared" si="326"/>
        <v>0</v>
      </c>
      <c r="BX210" s="16">
        <f t="shared" si="326"/>
        <v>0</v>
      </c>
      <c r="BY210" s="16">
        <f t="shared" si="326"/>
        <v>3875517</v>
      </c>
      <c r="BZ210" s="16">
        <f t="shared" si="326"/>
        <v>0</v>
      </c>
      <c r="CA210" s="16">
        <f t="shared" si="326"/>
        <v>0</v>
      </c>
      <c r="CB210" s="16">
        <f t="shared" si="326"/>
        <v>0</v>
      </c>
      <c r="CC210" s="16">
        <f t="shared" si="326"/>
        <v>0</v>
      </c>
      <c r="CD210" s="16">
        <f t="shared" si="326"/>
        <v>0</v>
      </c>
      <c r="CE210" s="16">
        <f t="shared" si="326"/>
        <v>0</v>
      </c>
      <c r="CF210" s="16">
        <f t="shared" si="326"/>
        <v>0</v>
      </c>
      <c r="CG210" s="16">
        <f t="shared" si="326"/>
        <v>0</v>
      </c>
      <c r="CH210" s="16">
        <f t="shared" si="326"/>
        <v>0</v>
      </c>
      <c r="CI210" s="16">
        <f t="shared" si="326"/>
        <v>0</v>
      </c>
      <c r="CJ210" s="16">
        <f t="shared" si="326"/>
        <v>0</v>
      </c>
      <c r="CK210" s="16">
        <f t="shared" si="326"/>
        <v>0</v>
      </c>
      <c r="CL210" s="16">
        <f t="shared" si="326"/>
        <v>0</v>
      </c>
      <c r="CM210" s="16">
        <f t="shared" si="326"/>
        <v>0</v>
      </c>
      <c r="CN210" s="16">
        <f t="shared" si="326"/>
        <v>0</v>
      </c>
      <c r="CO210" s="16">
        <f t="shared" si="326"/>
        <v>3875517</v>
      </c>
      <c r="CP210" s="16">
        <f t="shared" si="326"/>
        <v>3875517</v>
      </c>
      <c r="CQ210" s="16">
        <f t="shared" si="326"/>
        <v>0</v>
      </c>
      <c r="CR210" s="16">
        <f t="shared" si="326"/>
        <v>0</v>
      </c>
      <c r="CS210" s="16">
        <f t="shared" si="326"/>
        <v>0</v>
      </c>
      <c r="CT210" s="16">
        <f t="shared" si="326"/>
        <v>0</v>
      </c>
      <c r="CU210" s="17">
        <f t="shared" si="326"/>
        <v>0</v>
      </c>
      <c r="CV210" s="38"/>
    </row>
    <row r="211" spans="1:100" ht="15.75" x14ac:dyDescent="0.25">
      <c r="A211" s="13" t="s">
        <v>1</v>
      </c>
      <c r="B211" s="14" t="s">
        <v>1</v>
      </c>
      <c r="C211" s="14" t="s">
        <v>41</v>
      </c>
      <c r="D211" s="30" t="s">
        <v>518</v>
      </c>
      <c r="E211" s="15">
        <f>SUM(F211+BY211+CR211)</f>
        <v>3875517</v>
      </c>
      <c r="F211" s="16">
        <f>SUM(G211+BA211)</f>
        <v>0</v>
      </c>
      <c r="G211" s="16">
        <f>SUM(H211+I211+J211+Q211+T211+U211+V211+AE211)</f>
        <v>0</v>
      </c>
      <c r="H211" s="16">
        <v>0</v>
      </c>
      <c r="I211" s="16">
        <v>0</v>
      </c>
      <c r="J211" s="16">
        <f>SUM(K211:P211)</f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6">
        <f>SUM(R211:S211)</f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f>SUM(W211:AD211)</f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f>SUM(AF211:AZ211)</f>
        <v>0</v>
      </c>
      <c r="AF211" s="16">
        <v>0</v>
      </c>
      <c r="AG211" s="16">
        <v>0</v>
      </c>
      <c r="AH211" s="16">
        <v>0</v>
      </c>
      <c r="AI211" s="16">
        <v>0</v>
      </c>
      <c r="AJ211" s="16">
        <v>0</v>
      </c>
      <c r="AK211" s="16">
        <v>0</v>
      </c>
      <c r="AL211" s="16">
        <v>0</v>
      </c>
      <c r="AM211" s="16">
        <v>0</v>
      </c>
      <c r="AN211" s="16">
        <v>0</v>
      </c>
      <c r="AO211" s="16">
        <v>0</v>
      </c>
      <c r="AP211" s="16">
        <v>0</v>
      </c>
      <c r="AQ211" s="16">
        <v>0</v>
      </c>
      <c r="AR211" s="16">
        <v>0</v>
      </c>
      <c r="AS211" s="16">
        <v>0</v>
      </c>
      <c r="AT211" s="16">
        <v>0</v>
      </c>
      <c r="AU211" s="16">
        <v>0</v>
      </c>
      <c r="AV211" s="16">
        <v>0</v>
      </c>
      <c r="AW211" s="16">
        <v>0</v>
      </c>
      <c r="AX211" s="16">
        <v>0</v>
      </c>
      <c r="AY211" s="16">
        <v>0</v>
      </c>
      <c r="AZ211" s="16"/>
      <c r="BA211" s="16">
        <f>SUM(BB211+BF211+BI211+BK211+BM211)</f>
        <v>0</v>
      </c>
      <c r="BB211" s="16">
        <f>SUM(BC211:BE211)</f>
        <v>0</v>
      </c>
      <c r="BC211" s="16">
        <v>0</v>
      </c>
      <c r="BD211" s="16">
        <v>0</v>
      </c>
      <c r="BE211" s="16">
        <v>0</v>
      </c>
      <c r="BF211" s="16">
        <f>SUM(BG211:BH211)</f>
        <v>0</v>
      </c>
      <c r="BG211" s="16">
        <v>0</v>
      </c>
      <c r="BH211" s="16">
        <v>0</v>
      </c>
      <c r="BI211" s="16">
        <v>0</v>
      </c>
      <c r="BJ211" s="16">
        <v>0</v>
      </c>
      <c r="BK211" s="16">
        <f>SUM(BL211)</f>
        <v>0</v>
      </c>
      <c r="BL211" s="16">
        <v>0</v>
      </c>
      <c r="BM211" s="16">
        <f>SUM(BN211:BX211)</f>
        <v>0</v>
      </c>
      <c r="BN211" s="16">
        <v>0</v>
      </c>
      <c r="BO211" s="16">
        <v>0</v>
      </c>
      <c r="BP211" s="16">
        <v>0</v>
      </c>
      <c r="BQ211" s="16">
        <v>0</v>
      </c>
      <c r="BR211" s="16">
        <v>0</v>
      </c>
      <c r="BS211" s="16">
        <v>0</v>
      </c>
      <c r="BT211" s="16">
        <v>0</v>
      </c>
      <c r="BU211" s="16">
        <v>0</v>
      </c>
      <c r="BV211" s="16">
        <v>0</v>
      </c>
      <c r="BW211" s="16">
        <v>0</v>
      </c>
      <c r="BX211" s="16">
        <v>0</v>
      </c>
      <c r="BY211" s="16">
        <f>SUM(BZ211+CQ211+CO211)</f>
        <v>3875517</v>
      </c>
      <c r="BZ211" s="16">
        <f>SUM(CA211+CD211+CJ211)</f>
        <v>0</v>
      </c>
      <c r="CA211" s="16">
        <f>SUM(CB211:CC211)</f>
        <v>0</v>
      </c>
      <c r="CB211" s="16">
        <v>0</v>
      </c>
      <c r="CC211" s="16">
        <v>0</v>
      </c>
      <c r="CD211" s="16">
        <f>SUM(CE211:CH211)</f>
        <v>0</v>
      </c>
      <c r="CE211" s="16">
        <v>0</v>
      </c>
      <c r="CF211" s="16">
        <v>0</v>
      </c>
      <c r="CG211" s="16">
        <v>0</v>
      </c>
      <c r="CH211" s="16">
        <v>0</v>
      </c>
      <c r="CI211" s="16">
        <v>0</v>
      </c>
      <c r="CJ211" s="16">
        <f>SUM(CK211:CN211)</f>
        <v>0</v>
      </c>
      <c r="CK211" s="16">
        <v>0</v>
      </c>
      <c r="CL211" s="16">
        <v>0</v>
      </c>
      <c r="CM211" s="16">
        <v>0</v>
      </c>
      <c r="CN211" s="16">
        <v>0</v>
      </c>
      <c r="CO211" s="16">
        <f>SUM(CP211)</f>
        <v>3875517</v>
      </c>
      <c r="CP211" s="16">
        <f>20110000+3875517-20110000</f>
        <v>3875517</v>
      </c>
      <c r="CQ211" s="16">
        <v>0</v>
      </c>
      <c r="CR211" s="16">
        <f>SUM(CS211)</f>
        <v>0</v>
      </c>
      <c r="CS211" s="16">
        <f>SUM(CT211:CU211)</f>
        <v>0</v>
      </c>
      <c r="CT211" s="16"/>
      <c r="CU211" s="17">
        <v>0</v>
      </c>
      <c r="CV211" s="38"/>
    </row>
    <row r="212" spans="1:100" ht="31.5" x14ac:dyDescent="0.25">
      <c r="A212" s="18" t="s">
        <v>239</v>
      </c>
      <c r="B212" s="19" t="s">
        <v>1</v>
      </c>
      <c r="C212" s="19" t="s">
        <v>1</v>
      </c>
      <c r="D212" s="31" t="s">
        <v>240</v>
      </c>
      <c r="E212" s="20">
        <f>SUM(E213)</f>
        <v>207308875</v>
      </c>
      <c r="F212" s="21">
        <f t="shared" ref="F212:BS212" si="327">SUM(F213)</f>
        <v>207308875</v>
      </c>
      <c r="G212" s="21">
        <f t="shared" si="327"/>
        <v>0</v>
      </c>
      <c r="H212" s="21">
        <f t="shared" si="327"/>
        <v>0</v>
      </c>
      <c r="I212" s="21">
        <f t="shared" si="327"/>
        <v>0</v>
      </c>
      <c r="J212" s="21">
        <f t="shared" si="327"/>
        <v>0</v>
      </c>
      <c r="K212" s="21">
        <f t="shared" si="327"/>
        <v>0</v>
      </c>
      <c r="L212" s="21">
        <f t="shared" si="327"/>
        <v>0</v>
      </c>
      <c r="M212" s="21">
        <f t="shared" si="327"/>
        <v>0</v>
      </c>
      <c r="N212" s="21">
        <f t="shared" si="327"/>
        <v>0</v>
      </c>
      <c r="O212" s="21">
        <f t="shared" si="327"/>
        <v>0</v>
      </c>
      <c r="P212" s="21">
        <f t="shared" si="327"/>
        <v>0</v>
      </c>
      <c r="Q212" s="21">
        <f t="shared" si="327"/>
        <v>0</v>
      </c>
      <c r="R212" s="21">
        <f t="shared" si="327"/>
        <v>0</v>
      </c>
      <c r="S212" s="21">
        <f t="shared" si="327"/>
        <v>0</v>
      </c>
      <c r="T212" s="21">
        <f t="shared" si="327"/>
        <v>0</v>
      </c>
      <c r="U212" s="21">
        <f t="shared" si="327"/>
        <v>0</v>
      </c>
      <c r="V212" s="21">
        <f t="shared" si="327"/>
        <v>0</v>
      </c>
      <c r="W212" s="21">
        <f t="shared" si="327"/>
        <v>0</v>
      </c>
      <c r="X212" s="21">
        <f t="shared" si="327"/>
        <v>0</v>
      </c>
      <c r="Y212" s="21">
        <f t="shared" si="327"/>
        <v>0</v>
      </c>
      <c r="Z212" s="21">
        <f t="shared" si="327"/>
        <v>0</v>
      </c>
      <c r="AA212" s="21">
        <f t="shared" si="327"/>
        <v>0</v>
      </c>
      <c r="AB212" s="21">
        <f t="shared" si="327"/>
        <v>0</v>
      </c>
      <c r="AC212" s="21">
        <f t="shared" si="327"/>
        <v>0</v>
      </c>
      <c r="AD212" s="21">
        <f t="shared" si="327"/>
        <v>0</v>
      </c>
      <c r="AE212" s="21">
        <f t="shared" si="327"/>
        <v>0</v>
      </c>
      <c r="AF212" s="21">
        <f t="shared" si="327"/>
        <v>0</v>
      </c>
      <c r="AG212" s="21">
        <f t="shared" si="327"/>
        <v>0</v>
      </c>
      <c r="AH212" s="21">
        <f t="shared" si="327"/>
        <v>0</v>
      </c>
      <c r="AI212" s="21">
        <f t="shared" si="327"/>
        <v>0</v>
      </c>
      <c r="AJ212" s="21">
        <f t="shared" si="327"/>
        <v>0</v>
      </c>
      <c r="AK212" s="21">
        <f t="shared" si="327"/>
        <v>0</v>
      </c>
      <c r="AL212" s="21">
        <f t="shared" si="327"/>
        <v>0</v>
      </c>
      <c r="AM212" s="21">
        <f t="shared" si="327"/>
        <v>0</v>
      </c>
      <c r="AN212" s="21">
        <f t="shared" si="327"/>
        <v>0</v>
      </c>
      <c r="AO212" s="21">
        <f t="shared" si="327"/>
        <v>0</v>
      </c>
      <c r="AP212" s="21">
        <f t="shared" si="327"/>
        <v>0</v>
      </c>
      <c r="AQ212" s="21">
        <f t="shared" si="327"/>
        <v>0</v>
      </c>
      <c r="AR212" s="21">
        <f t="shared" si="327"/>
        <v>0</v>
      </c>
      <c r="AS212" s="21">
        <f t="shared" si="327"/>
        <v>0</v>
      </c>
      <c r="AT212" s="21">
        <f t="shared" si="327"/>
        <v>0</v>
      </c>
      <c r="AU212" s="21">
        <f t="shared" si="327"/>
        <v>0</v>
      </c>
      <c r="AV212" s="21">
        <f t="shared" si="327"/>
        <v>0</v>
      </c>
      <c r="AW212" s="21">
        <f t="shared" si="327"/>
        <v>0</v>
      </c>
      <c r="AX212" s="21">
        <f t="shared" si="327"/>
        <v>0</v>
      </c>
      <c r="AY212" s="21">
        <f t="shared" si="327"/>
        <v>0</v>
      </c>
      <c r="AZ212" s="21">
        <f t="shared" si="327"/>
        <v>0</v>
      </c>
      <c r="BA212" s="21">
        <f t="shared" si="327"/>
        <v>207308875</v>
      </c>
      <c r="BB212" s="21">
        <f t="shared" si="327"/>
        <v>737394</v>
      </c>
      <c r="BC212" s="21">
        <f t="shared" si="327"/>
        <v>737394</v>
      </c>
      <c r="BD212" s="21">
        <f t="shared" si="327"/>
        <v>0</v>
      </c>
      <c r="BE212" s="21">
        <f t="shared" si="327"/>
        <v>0</v>
      </c>
      <c r="BF212" s="21">
        <f t="shared" si="327"/>
        <v>0</v>
      </c>
      <c r="BG212" s="21">
        <f t="shared" si="327"/>
        <v>0</v>
      </c>
      <c r="BH212" s="21">
        <f t="shared" si="327"/>
        <v>0</v>
      </c>
      <c r="BI212" s="21">
        <f t="shared" si="327"/>
        <v>206571481</v>
      </c>
      <c r="BJ212" s="21">
        <f t="shared" si="327"/>
        <v>0</v>
      </c>
      <c r="BK212" s="21">
        <f t="shared" si="327"/>
        <v>0</v>
      </c>
      <c r="BL212" s="21">
        <f t="shared" si="327"/>
        <v>0</v>
      </c>
      <c r="BM212" s="21">
        <f t="shared" si="327"/>
        <v>0</v>
      </c>
      <c r="BN212" s="21">
        <f t="shared" si="327"/>
        <v>0</v>
      </c>
      <c r="BO212" s="21">
        <f t="shared" si="327"/>
        <v>0</v>
      </c>
      <c r="BP212" s="21">
        <f t="shared" si="327"/>
        <v>0</v>
      </c>
      <c r="BQ212" s="21">
        <f t="shared" si="327"/>
        <v>0</v>
      </c>
      <c r="BR212" s="21">
        <f t="shared" si="327"/>
        <v>0</v>
      </c>
      <c r="BS212" s="21">
        <f t="shared" si="327"/>
        <v>0</v>
      </c>
      <c r="BT212" s="21">
        <f t="shared" ref="BT212:CU212" si="328">SUM(BT213)</f>
        <v>0</v>
      </c>
      <c r="BU212" s="21">
        <f t="shared" si="328"/>
        <v>0</v>
      </c>
      <c r="BV212" s="21">
        <f t="shared" si="328"/>
        <v>0</v>
      </c>
      <c r="BW212" s="21">
        <f t="shared" si="328"/>
        <v>0</v>
      </c>
      <c r="BX212" s="21">
        <f t="shared" si="328"/>
        <v>0</v>
      </c>
      <c r="BY212" s="21">
        <f t="shared" si="328"/>
        <v>0</v>
      </c>
      <c r="BZ212" s="21">
        <f t="shared" si="328"/>
        <v>0</v>
      </c>
      <c r="CA212" s="21">
        <f t="shared" si="328"/>
        <v>0</v>
      </c>
      <c r="CB212" s="21">
        <f t="shared" si="328"/>
        <v>0</v>
      </c>
      <c r="CC212" s="21">
        <f t="shared" si="328"/>
        <v>0</v>
      </c>
      <c r="CD212" s="21">
        <f t="shared" si="328"/>
        <v>0</v>
      </c>
      <c r="CE212" s="21">
        <f t="shared" si="328"/>
        <v>0</v>
      </c>
      <c r="CF212" s="21">
        <f t="shared" si="328"/>
        <v>0</v>
      </c>
      <c r="CG212" s="21">
        <f t="shared" si="328"/>
        <v>0</v>
      </c>
      <c r="CH212" s="21">
        <f t="shared" si="328"/>
        <v>0</v>
      </c>
      <c r="CI212" s="21">
        <f t="shared" si="328"/>
        <v>0</v>
      </c>
      <c r="CJ212" s="21">
        <f t="shared" si="328"/>
        <v>0</v>
      </c>
      <c r="CK212" s="21">
        <f t="shared" si="328"/>
        <v>0</v>
      </c>
      <c r="CL212" s="21">
        <f t="shared" si="328"/>
        <v>0</v>
      </c>
      <c r="CM212" s="21">
        <f t="shared" si="328"/>
        <v>0</v>
      </c>
      <c r="CN212" s="21">
        <f t="shared" si="328"/>
        <v>0</v>
      </c>
      <c r="CO212" s="21">
        <f t="shared" si="328"/>
        <v>0</v>
      </c>
      <c r="CP212" s="21">
        <f t="shared" si="328"/>
        <v>0</v>
      </c>
      <c r="CQ212" s="21">
        <f t="shared" si="328"/>
        <v>0</v>
      </c>
      <c r="CR212" s="21">
        <f t="shared" si="328"/>
        <v>0</v>
      </c>
      <c r="CS212" s="21">
        <f t="shared" si="328"/>
        <v>0</v>
      </c>
      <c r="CT212" s="21">
        <f t="shared" si="328"/>
        <v>0</v>
      </c>
      <c r="CU212" s="22">
        <f t="shared" si="328"/>
        <v>0</v>
      </c>
      <c r="CV212" s="38"/>
    </row>
    <row r="213" spans="1:100" ht="15.75" x14ac:dyDescent="0.25">
      <c r="A213" s="13" t="s">
        <v>241</v>
      </c>
      <c r="B213" s="14" t="s">
        <v>3</v>
      </c>
      <c r="C213" s="14" t="s">
        <v>1</v>
      </c>
      <c r="D213" s="30" t="s">
        <v>242</v>
      </c>
      <c r="E213" s="15">
        <f>SUM(E214:E215)</f>
        <v>207308875</v>
      </c>
      <c r="F213" s="16">
        <f t="shared" ref="F213:BS213" si="329">SUM(F214:F215)</f>
        <v>207308875</v>
      </c>
      <c r="G213" s="16">
        <f t="shared" si="329"/>
        <v>0</v>
      </c>
      <c r="H213" s="16">
        <f t="shared" si="329"/>
        <v>0</v>
      </c>
      <c r="I213" s="16">
        <f t="shared" si="329"/>
        <v>0</v>
      </c>
      <c r="J213" s="16">
        <f t="shared" si="329"/>
        <v>0</v>
      </c>
      <c r="K213" s="16">
        <f t="shared" si="329"/>
        <v>0</v>
      </c>
      <c r="L213" s="16">
        <f t="shared" si="329"/>
        <v>0</v>
      </c>
      <c r="M213" s="16">
        <f t="shared" si="329"/>
        <v>0</v>
      </c>
      <c r="N213" s="16">
        <f t="shared" si="329"/>
        <v>0</v>
      </c>
      <c r="O213" s="16">
        <f t="shared" si="329"/>
        <v>0</v>
      </c>
      <c r="P213" s="16">
        <f t="shared" si="329"/>
        <v>0</v>
      </c>
      <c r="Q213" s="16">
        <f t="shared" si="329"/>
        <v>0</v>
      </c>
      <c r="R213" s="16">
        <f t="shared" si="329"/>
        <v>0</v>
      </c>
      <c r="S213" s="16">
        <f t="shared" si="329"/>
        <v>0</v>
      </c>
      <c r="T213" s="16">
        <f t="shared" si="329"/>
        <v>0</v>
      </c>
      <c r="U213" s="16">
        <f t="shared" si="329"/>
        <v>0</v>
      </c>
      <c r="V213" s="16">
        <f t="shared" si="329"/>
        <v>0</v>
      </c>
      <c r="W213" s="16">
        <f t="shared" si="329"/>
        <v>0</v>
      </c>
      <c r="X213" s="16">
        <f t="shared" si="329"/>
        <v>0</v>
      </c>
      <c r="Y213" s="16">
        <f t="shared" si="329"/>
        <v>0</v>
      </c>
      <c r="Z213" s="16">
        <f t="shared" si="329"/>
        <v>0</v>
      </c>
      <c r="AA213" s="16">
        <f t="shared" si="329"/>
        <v>0</v>
      </c>
      <c r="AB213" s="16">
        <f t="shared" si="329"/>
        <v>0</v>
      </c>
      <c r="AC213" s="16">
        <f t="shared" si="329"/>
        <v>0</v>
      </c>
      <c r="AD213" s="16">
        <f t="shared" ref="AD213" si="330">SUM(AD214:AD215)</f>
        <v>0</v>
      </c>
      <c r="AE213" s="16">
        <f t="shared" si="329"/>
        <v>0</v>
      </c>
      <c r="AF213" s="16">
        <f t="shared" si="329"/>
        <v>0</v>
      </c>
      <c r="AG213" s="16">
        <f t="shared" si="329"/>
        <v>0</v>
      </c>
      <c r="AH213" s="16">
        <f t="shared" si="329"/>
        <v>0</v>
      </c>
      <c r="AI213" s="16">
        <f t="shared" si="329"/>
        <v>0</v>
      </c>
      <c r="AJ213" s="16">
        <f t="shared" si="329"/>
        <v>0</v>
      </c>
      <c r="AK213" s="16">
        <f t="shared" si="329"/>
        <v>0</v>
      </c>
      <c r="AL213" s="16">
        <f t="shared" si="329"/>
        <v>0</v>
      </c>
      <c r="AM213" s="16">
        <f t="shared" si="329"/>
        <v>0</v>
      </c>
      <c r="AN213" s="16">
        <f t="shared" si="329"/>
        <v>0</v>
      </c>
      <c r="AO213" s="16">
        <f t="shared" si="329"/>
        <v>0</v>
      </c>
      <c r="AP213" s="16">
        <f>SUM(AP214:AP215)</f>
        <v>0</v>
      </c>
      <c r="AQ213" s="16">
        <f t="shared" si="329"/>
        <v>0</v>
      </c>
      <c r="AR213" s="16">
        <f t="shared" si="329"/>
        <v>0</v>
      </c>
      <c r="AS213" s="16">
        <f t="shared" si="329"/>
        <v>0</v>
      </c>
      <c r="AT213" s="16">
        <f t="shared" si="329"/>
        <v>0</v>
      </c>
      <c r="AU213" s="16">
        <f t="shared" si="329"/>
        <v>0</v>
      </c>
      <c r="AV213" s="16">
        <f t="shared" si="329"/>
        <v>0</v>
      </c>
      <c r="AW213" s="16">
        <f t="shared" si="329"/>
        <v>0</v>
      </c>
      <c r="AX213" s="16">
        <f t="shared" si="329"/>
        <v>0</v>
      </c>
      <c r="AY213" s="16">
        <f t="shared" si="329"/>
        <v>0</v>
      </c>
      <c r="AZ213" s="16">
        <f t="shared" si="329"/>
        <v>0</v>
      </c>
      <c r="BA213" s="16">
        <f t="shared" si="329"/>
        <v>207308875</v>
      </c>
      <c r="BB213" s="16">
        <f t="shared" si="329"/>
        <v>737394</v>
      </c>
      <c r="BC213" s="16">
        <f t="shared" si="329"/>
        <v>737394</v>
      </c>
      <c r="BD213" s="16">
        <f t="shared" si="329"/>
        <v>0</v>
      </c>
      <c r="BE213" s="16">
        <f t="shared" si="329"/>
        <v>0</v>
      </c>
      <c r="BF213" s="16">
        <f t="shared" si="329"/>
        <v>0</v>
      </c>
      <c r="BG213" s="16">
        <f t="shared" si="329"/>
        <v>0</v>
      </c>
      <c r="BH213" s="16">
        <f t="shared" si="329"/>
        <v>0</v>
      </c>
      <c r="BI213" s="16">
        <f t="shared" si="329"/>
        <v>206571481</v>
      </c>
      <c r="BJ213" s="16">
        <f t="shared" si="329"/>
        <v>0</v>
      </c>
      <c r="BK213" s="16">
        <f t="shared" si="329"/>
        <v>0</v>
      </c>
      <c r="BL213" s="16">
        <f t="shared" si="329"/>
        <v>0</v>
      </c>
      <c r="BM213" s="16">
        <f t="shared" si="329"/>
        <v>0</v>
      </c>
      <c r="BN213" s="16">
        <f t="shared" si="329"/>
        <v>0</v>
      </c>
      <c r="BO213" s="16">
        <f t="shared" si="329"/>
        <v>0</v>
      </c>
      <c r="BP213" s="16">
        <f t="shared" si="329"/>
        <v>0</v>
      </c>
      <c r="BQ213" s="16">
        <f t="shared" si="329"/>
        <v>0</v>
      </c>
      <c r="BR213" s="16">
        <f t="shared" si="329"/>
        <v>0</v>
      </c>
      <c r="BS213" s="16">
        <f t="shared" si="329"/>
        <v>0</v>
      </c>
      <c r="BT213" s="16">
        <f t="shared" ref="BT213:CU213" si="331">SUM(BT214:BT215)</f>
        <v>0</v>
      </c>
      <c r="BU213" s="16">
        <f t="shared" si="331"/>
        <v>0</v>
      </c>
      <c r="BV213" s="16">
        <f t="shared" si="331"/>
        <v>0</v>
      </c>
      <c r="BW213" s="16">
        <f t="shared" si="331"/>
        <v>0</v>
      </c>
      <c r="BX213" s="16">
        <f t="shared" si="331"/>
        <v>0</v>
      </c>
      <c r="BY213" s="16">
        <f t="shared" si="331"/>
        <v>0</v>
      </c>
      <c r="BZ213" s="16">
        <f t="shared" si="331"/>
        <v>0</v>
      </c>
      <c r="CA213" s="16">
        <f t="shared" si="331"/>
        <v>0</v>
      </c>
      <c r="CB213" s="16">
        <f t="shared" si="331"/>
        <v>0</v>
      </c>
      <c r="CC213" s="16">
        <f t="shared" si="331"/>
        <v>0</v>
      </c>
      <c r="CD213" s="16">
        <f t="shared" si="331"/>
        <v>0</v>
      </c>
      <c r="CE213" s="16">
        <f t="shared" si="331"/>
        <v>0</v>
      </c>
      <c r="CF213" s="16">
        <f t="shared" si="331"/>
        <v>0</v>
      </c>
      <c r="CG213" s="16">
        <f t="shared" si="331"/>
        <v>0</v>
      </c>
      <c r="CH213" s="16">
        <f t="shared" si="331"/>
        <v>0</v>
      </c>
      <c r="CI213" s="16">
        <f t="shared" ref="CI213" si="332">SUM(CI214:CI215)</f>
        <v>0</v>
      </c>
      <c r="CJ213" s="16">
        <f t="shared" si="331"/>
        <v>0</v>
      </c>
      <c r="CK213" s="16">
        <f t="shared" si="331"/>
        <v>0</v>
      </c>
      <c r="CL213" s="16">
        <f t="shared" si="331"/>
        <v>0</v>
      </c>
      <c r="CM213" s="16">
        <f t="shared" si="331"/>
        <v>0</v>
      </c>
      <c r="CN213" s="16">
        <f t="shared" si="331"/>
        <v>0</v>
      </c>
      <c r="CO213" s="16">
        <f t="shared" si="331"/>
        <v>0</v>
      </c>
      <c r="CP213" s="16">
        <f t="shared" si="331"/>
        <v>0</v>
      </c>
      <c r="CQ213" s="16">
        <f t="shared" si="331"/>
        <v>0</v>
      </c>
      <c r="CR213" s="16">
        <f t="shared" si="331"/>
        <v>0</v>
      </c>
      <c r="CS213" s="16">
        <f t="shared" si="331"/>
        <v>0</v>
      </c>
      <c r="CT213" s="16">
        <f t="shared" si="331"/>
        <v>0</v>
      </c>
      <c r="CU213" s="17">
        <f t="shared" si="331"/>
        <v>0</v>
      </c>
      <c r="CV213" s="38"/>
    </row>
    <row r="214" spans="1:100" ht="31.5" x14ac:dyDescent="0.25">
      <c r="A214" s="13" t="s">
        <v>1</v>
      </c>
      <c r="B214" s="14" t="s">
        <v>1</v>
      </c>
      <c r="C214" s="14" t="s">
        <v>43</v>
      </c>
      <c r="D214" s="30" t="s">
        <v>243</v>
      </c>
      <c r="E214" s="15">
        <f>SUM(F214+BY214+CR214)</f>
        <v>206571481</v>
      </c>
      <c r="F214" s="16">
        <f>SUM(G214+BA214)</f>
        <v>206571481</v>
      </c>
      <c r="G214" s="16">
        <f>SUM(H214+I214+J214+Q214+T214+U214+V214+AE214)</f>
        <v>0</v>
      </c>
      <c r="H214" s="16">
        <v>0</v>
      </c>
      <c r="I214" s="16">
        <v>0</v>
      </c>
      <c r="J214" s="16">
        <f t="shared" si="222"/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0</v>
      </c>
      <c r="P214" s="16">
        <v>0</v>
      </c>
      <c r="Q214" s="16">
        <f t="shared" si="223"/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f>SUM(W214:AD214)</f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0</v>
      </c>
      <c r="AC214" s="16">
        <v>0</v>
      </c>
      <c r="AD214" s="16">
        <v>0</v>
      </c>
      <c r="AE214" s="16">
        <f>SUM(AF214:AZ214)</f>
        <v>0</v>
      </c>
      <c r="AF214" s="16">
        <v>0</v>
      </c>
      <c r="AG214" s="16">
        <v>0</v>
      </c>
      <c r="AH214" s="16">
        <v>0</v>
      </c>
      <c r="AI214" s="16">
        <v>0</v>
      </c>
      <c r="AJ214" s="16">
        <v>0</v>
      </c>
      <c r="AK214" s="16">
        <v>0</v>
      </c>
      <c r="AL214" s="16">
        <v>0</v>
      </c>
      <c r="AM214" s="16">
        <v>0</v>
      </c>
      <c r="AN214" s="16">
        <v>0</v>
      </c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16">
        <v>0</v>
      </c>
      <c r="AZ214" s="16">
        <v>0</v>
      </c>
      <c r="BA214" s="16">
        <f>SUM(BB214+BF214+BI214+BK214+BM214)</f>
        <v>206571481</v>
      </c>
      <c r="BB214" s="16">
        <f>SUM(BC214:BE214)</f>
        <v>0</v>
      </c>
      <c r="BC214" s="16">
        <v>0</v>
      </c>
      <c r="BD214" s="16">
        <v>0</v>
      </c>
      <c r="BE214" s="16">
        <v>0</v>
      </c>
      <c r="BF214" s="16">
        <f t="shared" si="224"/>
        <v>0</v>
      </c>
      <c r="BG214" s="16">
        <v>0</v>
      </c>
      <c r="BH214" s="16">
        <v>0</v>
      </c>
      <c r="BI214" s="16">
        <f>136083958+505829+39786709+30164682+30303</f>
        <v>206571481</v>
      </c>
      <c r="BJ214" s="16">
        <v>0</v>
      </c>
      <c r="BK214" s="16">
        <f t="shared" si="225"/>
        <v>0</v>
      </c>
      <c r="BL214" s="16">
        <v>0</v>
      </c>
      <c r="BM214" s="16">
        <f t="shared" si="226"/>
        <v>0</v>
      </c>
      <c r="BN214" s="16">
        <v>0</v>
      </c>
      <c r="BO214" s="16">
        <v>0</v>
      </c>
      <c r="BP214" s="16">
        <v>0</v>
      </c>
      <c r="BQ214" s="16">
        <v>0</v>
      </c>
      <c r="BR214" s="16">
        <v>0</v>
      </c>
      <c r="BS214" s="16">
        <v>0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f>SUM(BZ214+CQ214)</f>
        <v>0</v>
      </c>
      <c r="BZ214" s="16">
        <f>SUM(CA214+CD214+CJ214)</f>
        <v>0</v>
      </c>
      <c r="CA214" s="16">
        <f t="shared" si="227"/>
        <v>0</v>
      </c>
      <c r="CB214" s="16">
        <v>0</v>
      </c>
      <c r="CC214" s="16">
        <v>0</v>
      </c>
      <c r="CD214" s="16">
        <f>SUM(CE214:CH214)</f>
        <v>0</v>
      </c>
      <c r="CE214" s="16">
        <v>0</v>
      </c>
      <c r="CF214" s="16">
        <v>0</v>
      </c>
      <c r="CG214" s="16">
        <v>0</v>
      </c>
      <c r="CH214" s="16">
        <v>0</v>
      </c>
      <c r="CI214" s="16">
        <v>0</v>
      </c>
      <c r="CJ214" s="16">
        <f>SUM(CK214:CN214)</f>
        <v>0</v>
      </c>
      <c r="CK214" s="16">
        <v>0</v>
      </c>
      <c r="CL214" s="16">
        <v>0</v>
      </c>
      <c r="CM214" s="16">
        <v>0</v>
      </c>
      <c r="CN214" s="16">
        <v>0</v>
      </c>
      <c r="CO214" s="16">
        <v>0</v>
      </c>
      <c r="CP214" s="16">
        <v>0</v>
      </c>
      <c r="CQ214" s="16">
        <v>0</v>
      </c>
      <c r="CR214" s="16">
        <f t="shared" si="228"/>
        <v>0</v>
      </c>
      <c r="CS214" s="16">
        <f t="shared" si="229"/>
        <v>0</v>
      </c>
      <c r="CT214" s="16">
        <v>0</v>
      </c>
      <c r="CU214" s="17">
        <v>0</v>
      </c>
      <c r="CV214" s="38"/>
    </row>
    <row r="215" spans="1:100" ht="31.5" x14ac:dyDescent="0.25">
      <c r="A215" s="13" t="s">
        <v>1</v>
      </c>
      <c r="B215" s="14" t="s">
        <v>1</v>
      </c>
      <c r="C215" s="14" t="s">
        <v>43</v>
      </c>
      <c r="D215" s="30" t="s">
        <v>244</v>
      </c>
      <c r="E215" s="15">
        <f>SUM(F215+BY215+CR215)</f>
        <v>737394</v>
      </c>
      <c r="F215" s="16">
        <f>SUM(G215+BA215)</f>
        <v>737394</v>
      </c>
      <c r="G215" s="16">
        <f>SUM(H215+I215+J215+Q215+T215+U215+V215+AE215)</f>
        <v>0</v>
      </c>
      <c r="H215" s="16">
        <v>0</v>
      </c>
      <c r="I215" s="16">
        <v>0</v>
      </c>
      <c r="J215" s="16">
        <f t="shared" si="222"/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f t="shared" si="223"/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f>SUM(W215:AD215)</f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0</v>
      </c>
      <c r="AC215" s="16">
        <v>0</v>
      </c>
      <c r="AD215" s="16">
        <v>0</v>
      </c>
      <c r="AE215" s="16">
        <f>SUM(AF215:AZ215)</f>
        <v>0</v>
      </c>
      <c r="AF215" s="16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6">
        <v>0</v>
      </c>
      <c r="AM215" s="16">
        <v>0</v>
      </c>
      <c r="AN215" s="16">
        <v>0</v>
      </c>
      <c r="AO215" s="16">
        <v>0</v>
      </c>
      <c r="AP215" s="16">
        <v>0</v>
      </c>
      <c r="AQ215" s="16">
        <v>0</v>
      </c>
      <c r="AR215" s="16">
        <v>0</v>
      </c>
      <c r="AS215" s="16">
        <v>0</v>
      </c>
      <c r="AT215" s="16">
        <v>0</v>
      </c>
      <c r="AU215" s="16">
        <v>0</v>
      </c>
      <c r="AV215" s="16">
        <v>0</v>
      </c>
      <c r="AW215" s="16">
        <v>0</v>
      </c>
      <c r="AX215" s="16">
        <v>0</v>
      </c>
      <c r="AY215" s="16">
        <v>0</v>
      </c>
      <c r="AZ215" s="16">
        <v>0</v>
      </c>
      <c r="BA215" s="16">
        <f>SUM(BB215+BF215+BI215+BK215+BM215)</f>
        <v>737394</v>
      </c>
      <c r="BB215" s="16">
        <f>SUM(BC215:BE215)</f>
        <v>737394</v>
      </c>
      <c r="BC215" s="16">
        <v>737394</v>
      </c>
      <c r="BD215" s="16">
        <v>0</v>
      </c>
      <c r="BE215" s="16">
        <v>0</v>
      </c>
      <c r="BF215" s="16">
        <f t="shared" si="224"/>
        <v>0</v>
      </c>
      <c r="BG215" s="16">
        <v>0</v>
      </c>
      <c r="BH215" s="16">
        <v>0</v>
      </c>
      <c r="BI215" s="16">
        <v>0</v>
      </c>
      <c r="BJ215" s="16">
        <v>0</v>
      </c>
      <c r="BK215" s="16">
        <f t="shared" si="225"/>
        <v>0</v>
      </c>
      <c r="BL215" s="16">
        <v>0</v>
      </c>
      <c r="BM215" s="16">
        <f t="shared" si="226"/>
        <v>0</v>
      </c>
      <c r="BN215" s="16">
        <v>0</v>
      </c>
      <c r="BO215" s="16">
        <v>0</v>
      </c>
      <c r="BP215" s="16">
        <v>0</v>
      </c>
      <c r="BQ215" s="16">
        <v>0</v>
      </c>
      <c r="BR215" s="16">
        <v>0</v>
      </c>
      <c r="BS215" s="16">
        <v>0</v>
      </c>
      <c r="BT215" s="16">
        <v>0</v>
      </c>
      <c r="BU215" s="16">
        <v>0</v>
      </c>
      <c r="BV215" s="16">
        <v>0</v>
      </c>
      <c r="BW215" s="16">
        <v>0</v>
      </c>
      <c r="BX215" s="16">
        <v>0</v>
      </c>
      <c r="BY215" s="16">
        <f>SUM(BZ215+CQ215)</f>
        <v>0</v>
      </c>
      <c r="BZ215" s="16">
        <f>SUM(CA215+CD215+CJ215)</f>
        <v>0</v>
      </c>
      <c r="CA215" s="16">
        <f t="shared" si="227"/>
        <v>0</v>
      </c>
      <c r="CB215" s="16">
        <v>0</v>
      </c>
      <c r="CC215" s="16">
        <v>0</v>
      </c>
      <c r="CD215" s="16">
        <f>SUM(CE215:CH215)</f>
        <v>0</v>
      </c>
      <c r="CE215" s="16">
        <v>0</v>
      </c>
      <c r="CF215" s="16">
        <v>0</v>
      </c>
      <c r="CG215" s="16">
        <v>0</v>
      </c>
      <c r="CH215" s="16">
        <v>0</v>
      </c>
      <c r="CI215" s="16">
        <v>0</v>
      </c>
      <c r="CJ215" s="16">
        <f>SUM(CK215:CN215)</f>
        <v>0</v>
      </c>
      <c r="CK215" s="16">
        <v>0</v>
      </c>
      <c r="CL215" s="16">
        <v>0</v>
      </c>
      <c r="CM215" s="16">
        <v>0</v>
      </c>
      <c r="CN215" s="16">
        <v>0</v>
      </c>
      <c r="CO215" s="16">
        <v>0</v>
      </c>
      <c r="CP215" s="16">
        <v>0</v>
      </c>
      <c r="CQ215" s="16">
        <v>0</v>
      </c>
      <c r="CR215" s="16">
        <f t="shared" si="228"/>
        <v>0</v>
      </c>
      <c r="CS215" s="16">
        <f t="shared" si="229"/>
        <v>0</v>
      </c>
      <c r="CT215" s="16">
        <v>0</v>
      </c>
      <c r="CU215" s="17">
        <v>0</v>
      </c>
      <c r="CV215" s="38"/>
    </row>
    <row r="216" spans="1:100" ht="15.75" x14ac:dyDescent="0.25">
      <c r="A216" s="18" t="s">
        <v>245</v>
      </c>
      <c r="B216" s="19" t="s">
        <v>1</v>
      </c>
      <c r="C216" s="19" t="s">
        <v>1</v>
      </c>
      <c r="D216" s="31" t="s">
        <v>246</v>
      </c>
      <c r="E216" s="20">
        <f t="shared" ref="E216:AJ216" si="333">SUM(E217+E219+E222+E264+E278)</f>
        <v>755333412</v>
      </c>
      <c r="F216" s="21">
        <f t="shared" si="333"/>
        <v>457315322</v>
      </c>
      <c r="G216" s="21">
        <f t="shared" si="333"/>
        <v>297474965</v>
      </c>
      <c r="H216" s="21">
        <f t="shared" si="333"/>
        <v>97391867</v>
      </c>
      <c r="I216" s="21">
        <f t="shared" si="333"/>
        <v>19378417</v>
      </c>
      <c r="J216" s="21">
        <f t="shared" si="333"/>
        <v>49669655</v>
      </c>
      <c r="K216" s="21">
        <f t="shared" si="333"/>
        <v>15066346</v>
      </c>
      <c r="L216" s="21">
        <f t="shared" si="333"/>
        <v>2737489</v>
      </c>
      <c r="M216" s="21">
        <f t="shared" si="333"/>
        <v>4345236</v>
      </c>
      <c r="N216" s="21">
        <f t="shared" si="333"/>
        <v>4013</v>
      </c>
      <c r="O216" s="21">
        <f t="shared" si="333"/>
        <v>10743622</v>
      </c>
      <c r="P216" s="21">
        <f t="shared" si="333"/>
        <v>16772949</v>
      </c>
      <c r="Q216" s="21">
        <f t="shared" si="333"/>
        <v>801174</v>
      </c>
      <c r="R216" s="21">
        <f t="shared" si="333"/>
        <v>157396</v>
      </c>
      <c r="S216" s="21">
        <f t="shared" si="333"/>
        <v>643778</v>
      </c>
      <c r="T216" s="21">
        <f t="shared" si="333"/>
        <v>308024</v>
      </c>
      <c r="U216" s="21">
        <f t="shared" si="333"/>
        <v>1902389</v>
      </c>
      <c r="V216" s="21">
        <f t="shared" si="333"/>
        <v>33856326</v>
      </c>
      <c r="W216" s="21">
        <f t="shared" si="333"/>
        <v>2265401</v>
      </c>
      <c r="X216" s="21">
        <f t="shared" si="333"/>
        <v>4127884</v>
      </c>
      <c r="Y216" s="21">
        <f t="shared" si="333"/>
        <v>25126007</v>
      </c>
      <c r="Z216" s="21">
        <f t="shared" si="333"/>
        <v>1110773</v>
      </c>
      <c r="AA216" s="21">
        <f t="shared" si="333"/>
        <v>741987</v>
      </c>
      <c r="AB216" s="21">
        <f t="shared" si="333"/>
        <v>302713</v>
      </c>
      <c r="AC216" s="21">
        <f t="shared" si="333"/>
        <v>0</v>
      </c>
      <c r="AD216" s="21">
        <f t="shared" si="333"/>
        <v>181561</v>
      </c>
      <c r="AE216" s="21">
        <f t="shared" si="333"/>
        <v>94167113</v>
      </c>
      <c r="AF216" s="21">
        <f t="shared" si="333"/>
        <v>339000</v>
      </c>
      <c r="AG216" s="21">
        <f t="shared" si="333"/>
        <v>4885289</v>
      </c>
      <c r="AH216" s="21">
        <f t="shared" si="333"/>
        <v>9129210</v>
      </c>
      <c r="AI216" s="21">
        <f t="shared" si="333"/>
        <v>865379</v>
      </c>
      <c r="AJ216" s="21">
        <f t="shared" si="333"/>
        <v>1934243</v>
      </c>
      <c r="AK216" s="21">
        <f t="shared" ref="AK216:BP216" si="334">SUM(AK217+AK219+AK222+AK264+AK278)</f>
        <v>15380</v>
      </c>
      <c r="AL216" s="21">
        <f t="shared" si="334"/>
        <v>518030</v>
      </c>
      <c r="AM216" s="21">
        <f t="shared" si="334"/>
        <v>2843983</v>
      </c>
      <c r="AN216" s="21">
        <f t="shared" si="334"/>
        <v>34833</v>
      </c>
      <c r="AO216" s="21">
        <f t="shared" si="334"/>
        <v>22635</v>
      </c>
      <c r="AP216" s="21">
        <f t="shared" si="334"/>
        <v>974849</v>
      </c>
      <c r="AQ216" s="21">
        <f t="shared" si="334"/>
        <v>8055897</v>
      </c>
      <c r="AR216" s="21">
        <f t="shared" si="334"/>
        <v>837120</v>
      </c>
      <c r="AS216" s="21">
        <f t="shared" si="334"/>
        <v>436875</v>
      </c>
      <c r="AT216" s="21">
        <f t="shared" si="334"/>
        <v>0</v>
      </c>
      <c r="AU216" s="21">
        <f t="shared" si="334"/>
        <v>5888</v>
      </c>
      <c r="AV216" s="21">
        <f t="shared" si="334"/>
        <v>61706</v>
      </c>
      <c r="AW216" s="21">
        <f t="shared" si="334"/>
        <v>1600375</v>
      </c>
      <c r="AX216" s="21">
        <f t="shared" si="334"/>
        <v>0</v>
      </c>
      <c r="AY216" s="21">
        <f t="shared" si="334"/>
        <v>0</v>
      </c>
      <c r="AZ216" s="21">
        <f t="shared" si="334"/>
        <v>61606421</v>
      </c>
      <c r="BA216" s="21">
        <f t="shared" si="334"/>
        <v>159840357</v>
      </c>
      <c r="BB216" s="21">
        <f t="shared" si="334"/>
        <v>0</v>
      </c>
      <c r="BC216" s="21">
        <f t="shared" si="334"/>
        <v>0</v>
      </c>
      <c r="BD216" s="21">
        <f t="shared" si="334"/>
        <v>0</v>
      </c>
      <c r="BE216" s="21">
        <f t="shared" si="334"/>
        <v>0</v>
      </c>
      <c r="BF216" s="21">
        <f t="shared" si="334"/>
        <v>0</v>
      </c>
      <c r="BG216" s="21">
        <f t="shared" si="334"/>
        <v>0</v>
      </c>
      <c r="BH216" s="21">
        <f t="shared" si="334"/>
        <v>0</v>
      </c>
      <c r="BI216" s="21">
        <f t="shared" si="334"/>
        <v>159835357</v>
      </c>
      <c r="BJ216" s="21">
        <f t="shared" si="334"/>
        <v>4214513</v>
      </c>
      <c r="BK216" s="21">
        <f t="shared" si="334"/>
        <v>0</v>
      </c>
      <c r="BL216" s="21">
        <f t="shared" si="334"/>
        <v>0</v>
      </c>
      <c r="BM216" s="21">
        <f t="shared" si="334"/>
        <v>5000</v>
      </c>
      <c r="BN216" s="21">
        <f t="shared" si="334"/>
        <v>0</v>
      </c>
      <c r="BO216" s="21">
        <f t="shared" si="334"/>
        <v>0</v>
      </c>
      <c r="BP216" s="21">
        <f t="shared" si="334"/>
        <v>5000</v>
      </c>
      <c r="BQ216" s="21">
        <f t="shared" ref="BQ216:CU216" si="335">SUM(BQ217+BQ219+BQ222+BQ264+BQ278)</f>
        <v>0</v>
      </c>
      <c r="BR216" s="21">
        <f t="shared" si="335"/>
        <v>0</v>
      </c>
      <c r="BS216" s="21">
        <f t="shared" si="335"/>
        <v>0</v>
      </c>
      <c r="BT216" s="21">
        <f t="shared" si="335"/>
        <v>0</v>
      </c>
      <c r="BU216" s="21">
        <f t="shared" si="335"/>
        <v>0</v>
      </c>
      <c r="BV216" s="21">
        <f t="shared" si="335"/>
        <v>0</v>
      </c>
      <c r="BW216" s="21">
        <f t="shared" si="335"/>
        <v>0</v>
      </c>
      <c r="BX216" s="21">
        <f t="shared" si="335"/>
        <v>0</v>
      </c>
      <c r="BY216" s="21">
        <f t="shared" si="335"/>
        <v>298018090</v>
      </c>
      <c r="BZ216" s="21">
        <f t="shared" si="335"/>
        <v>25231087</v>
      </c>
      <c r="CA216" s="21">
        <f t="shared" si="335"/>
        <v>17603396</v>
      </c>
      <c r="CB216" s="21">
        <f t="shared" si="335"/>
        <v>2988565</v>
      </c>
      <c r="CC216" s="21">
        <f t="shared" si="335"/>
        <v>14614831</v>
      </c>
      <c r="CD216" s="21">
        <f t="shared" si="335"/>
        <v>800000</v>
      </c>
      <c r="CE216" s="21">
        <f t="shared" si="335"/>
        <v>0</v>
      </c>
      <c r="CF216" s="21">
        <f t="shared" si="335"/>
        <v>0</v>
      </c>
      <c r="CG216" s="21">
        <f t="shared" si="335"/>
        <v>800000</v>
      </c>
      <c r="CH216" s="21">
        <f t="shared" si="335"/>
        <v>0</v>
      </c>
      <c r="CI216" s="21">
        <f t="shared" si="335"/>
        <v>0</v>
      </c>
      <c r="CJ216" s="21">
        <f t="shared" si="335"/>
        <v>6827691</v>
      </c>
      <c r="CK216" s="21">
        <f t="shared" si="335"/>
        <v>0</v>
      </c>
      <c r="CL216" s="21">
        <f t="shared" si="335"/>
        <v>4863137</v>
      </c>
      <c r="CM216" s="21">
        <f t="shared" si="335"/>
        <v>1245122</v>
      </c>
      <c r="CN216" s="21">
        <f t="shared" si="335"/>
        <v>719432</v>
      </c>
      <c r="CO216" s="21">
        <f t="shared" si="335"/>
        <v>0</v>
      </c>
      <c r="CP216" s="21">
        <f t="shared" si="335"/>
        <v>0</v>
      </c>
      <c r="CQ216" s="21">
        <f t="shared" si="335"/>
        <v>272787003</v>
      </c>
      <c r="CR216" s="21">
        <f t="shared" si="335"/>
        <v>0</v>
      </c>
      <c r="CS216" s="21">
        <f t="shared" si="335"/>
        <v>0</v>
      </c>
      <c r="CT216" s="21">
        <f t="shared" si="335"/>
        <v>0</v>
      </c>
      <c r="CU216" s="22">
        <f t="shared" si="335"/>
        <v>0</v>
      </c>
      <c r="CV216" s="38"/>
    </row>
    <row r="217" spans="1:100" ht="15.75" x14ac:dyDescent="0.25">
      <c r="A217" s="13" t="s">
        <v>247</v>
      </c>
      <c r="B217" s="14" t="s">
        <v>3</v>
      </c>
      <c r="C217" s="14" t="s">
        <v>1</v>
      </c>
      <c r="D217" s="30" t="s">
        <v>248</v>
      </c>
      <c r="E217" s="15">
        <f>SUM(E218)</f>
        <v>4666223</v>
      </c>
      <c r="F217" s="16">
        <f t="shared" ref="F217:BS217" si="336">SUM(F218)</f>
        <v>0</v>
      </c>
      <c r="G217" s="16">
        <f t="shared" si="336"/>
        <v>0</v>
      </c>
      <c r="H217" s="16">
        <f t="shared" si="336"/>
        <v>0</v>
      </c>
      <c r="I217" s="16">
        <f t="shared" si="336"/>
        <v>0</v>
      </c>
      <c r="J217" s="16">
        <f t="shared" si="336"/>
        <v>0</v>
      </c>
      <c r="K217" s="16">
        <f t="shared" si="336"/>
        <v>0</v>
      </c>
      <c r="L217" s="16">
        <f t="shared" si="336"/>
        <v>0</v>
      </c>
      <c r="M217" s="16">
        <f t="shared" si="336"/>
        <v>0</v>
      </c>
      <c r="N217" s="16">
        <f t="shared" si="336"/>
        <v>0</v>
      </c>
      <c r="O217" s="16">
        <f t="shared" si="336"/>
        <v>0</v>
      </c>
      <c r="P217" s="16">
        <f t="shared" si="336"/>
        <v>0</v>
      </c>
      <c r="Q217" s="16">
        <f t="shared" si="336"/>
        <v>0</v>
      </c>
      <c r="R217" s="16">
        <f t="shared" si="336"/>
        <v>0</v>
      </c>
      <c r="S217" s="16">
        <f t="shared" si="336"/>
        <v>0</v>
      </c>
      <c r="T217" s="16">
        <f t="shared" si="336"/>
        <v>0</v>
      </c>
      <c r="U217" s="16">
        <f t="shared" si="336"/>
        <v>0</v>
      </c>
      <c r="V217" s="16">
        <f t="shared" si="336"/>
        <v>0</v>
      </c>
      <c r="W217" s="16">
        <f t="shared" si="336"/>
        <v>0</v>
      </c>
      <c r="X217" s="16">
        <f t="shared" si="336"/>
        <v>0</v>
      </c>
      <c r="Y217" s="16">
        <f t="shared" si="336"/>
        <v>0</v>
      </c>
      <c r="Z217" s="16">
        <f t="shared" si="336"/>
        <v>0</v>
      </c>
      <c r="AA217" s="16">
        <f t="shared" si="336"/>
        <v>0</v>
      </c>
      <c r="AB217" s="16">
        <f t="shared" si="336"/>
        <v>0</v>
      </c>
      <c r="AC217" s="16">
        <f t="shared" si="336"/>
        <v>0</v>
      </c>
      <c r="AD217" s="16">
        <f t="shared" si="336"/>
        <v>0</v>
      </c>
      <c r="AE217" s="16">
        <f t="shared" si="336"/>
        <v>0</v>
      </c>
      <c r="AF217" s="16">
        <f t="shared" si="336"/>
        <v>0</v>
      </c>
      <c r="AG217" s="16">
        <f t="shared" si="336"/>
        <v>0</v>
      </c>
      <c r="AH217" s="16">
        <f t="shared" si="336"/>
        <v>0</v>
      </c>
      <c r="AI217" s="16">
        <f t="shared" si="336"/>
        <v>0</v>
      </c>
      <c r="AJ217" s="16">
        <f t="shared" si="336"/>
        <v>0</v>
      </c>
      <c r="AK217" s="16">
        <f t="shared" si="336"/>
        <v>0</v>
      </c>
      <c r="AL217" s="16">
        <f t="shared" si="336"/>
        <v>0</v>
      </c>
      <c r="AM217" s="16">
        <f t="shared" si="336"/>
        <v>0</v>
      </c>
      <c r="AN217" s="16">
        <f t="shared" si="336"/>
        <v>0</v>
      </c>
      <c r="AO217" s="16">
        <f t="shared" si="336"/>
        <v>0</v>
      </c>
      <c r="AP217" s="16">
        <f t="shared" si="336"/>
        <v>0</v>
      </c>
      <c r="AQ217" s="16">
        <f t="shared" si="336"/>
        <v>0</v>
      </c>
      <c r="AR217" s="16">
        <f t="shared" si="336"/>
        <v>0</v>
      </c>
      <c r="AS217" s="16">
        <f t="shared" si="336"/>
        <v>0</v>
      </c>
      <c r="AT217" s="16">
        <f t="shared" si="336"/>
        <v>0</v>
      </c>
      <c r="AU217" s="16">
        <f t="shared" si="336"/>
        <v>0</v>
      </c>
      <c r="AV217" s="16">
        <f t="shared" si="336"/>
        <v>0</v>
      </c>
      <c r="AW217" s="16">
        <f t="shared" si="336"/>
        <v>0</v>
      </c>
      <c r="AX217" s="16">
        <f t="shared" si="336"/>
        <v>0</v>
      </c>
      <c r="AY217" s="16">
        <f t="shared" si="336"/>
        <v>0</v>
      </c>
      <c r="AZ217" s="16">
        <f t="shared" si="336"/>
        <v>0</v>
      </c>
      <c r="BA217" s="16">
        <f t="shared" si="336"/>
        <v>0</v>
      </c>
      <c r="BB217" s="16">
        <f t="shared" si="336"/>
        <v>0</v>
      </c>
      <c r="BC217" s="16">
        <f t="shared" si="336"/>
        <v>0</v>
      </c>
      <c r="BD217" s="16">
        <f t="shared" si="336"/>
        <v>0</v>
      </c>
      <c r="BE217" s="16">
        <f t="shared" si="336"/>
        <v>0</v>
      </c>
      <c r="BF217" s="16">
        <f t="shared" si="336"/>
        <v>0</v>
      </c>
      <c r="BG217" s="16">
        <f t="shared" si="336"/>
        <v>0</v>
      </c>
      <c r="BH217" s="16">
        <f t="shared" si="336"/>
        <v>0</v>
      </c>
      <c r="BI217" s="16">
        <f t="shared" si="336"/>
        <v>0</v>
      </c>
      <c r="BJ217" s="16">
        <f t="shared" si="336"/>
        <v>0</v>
      </c>
      <c r="BK217" s="16">
        <f t="shared" si="336"/>
        <v>0</v>
      </c>
      <c r="BL217" s="16">
        <f t="shared" si="336"/>
        <v>0</v>
      </c>
      <c r="BM217" s="16">
        <f t="shared" si="336"/>
        <v>0</v>
      </c>
      <c r="BN217" s="16">
        <f t="shared" si="336"/>
        <v>0</v>
      </c>
      <c r="BO217" s="16">
        <f t="shared" si="336"/>
        <v>0</v>
      </c>
      <c r="BP217" s="16">
        <f t="shared" si="336"/>
        <v>0</v>
      </c>
      <c r="BQ217" s="16">
        <f t="shared" si="336"/>
        <v>0</v>
      </c>
      <c r="BR217" s="16">
        <f t="shared" si="336"/>
        <v>0</v>
      </c>
      <c r="BS217" s="16">
        <f t="shared" si="336"/>
        <v>0</v>
      </c>
      <c r="BT217" s="16">
        <f t="shared" ref="BT217:CU217" si="337">SUM(BT218)</f>
        <v>0</v>
      </c>
      <c r="BU217" s="16">
        <f t="shared" si="337"/>
        <v>0</v>
      </c>
      <c r="BV217" s="16">
        <f t="shared" si="337"/>
        <v>0</v>
      </c>
      <c r="BW217" s="16">
        <f t="shared" si="337"/>
        <v>0</v>
      </c>
      <c r="BX217" s="16">
        <f t="shared" si="337"/>
        <v>0</v>
      </c>
      <c r="BY217" s="16">
        <f t="shared" si="337"/>
        <v>4666223</v>
      </c>
      <c r="BZ217" s="16">
        <f t="shared" si="337"/>
        <v>0</v>
      </c>
      <c r="CA217" s="16">
        <f t="shared" si="337"/>
        <v>0</v>
      </c>
      <c r="CB217" s="16">
        <f t="shared" si="337"/>
        <v>0</v>
      </c>
      <c r="CC217" s="16">
        <f t="shared" si="337"/>
        <v>0</v>
      </c>
      <c r="CD217" s="16">
        <f t="shared" si="337"/>
        <v>0</v>
      </c>
      <c r="CE217" s="16">
        <f t="shared" si="337"/>
        <v>0</v>
      </c>
      <c r="CF217" s="16">
        <f t="shared" si="337"/>
        <v>0</v>
      </c>
      <c r="CG217" s="16">
        <f t="shared" si="337"/>
        <v>0</v>
      </c>
      <c r="CH217" s="16">
        <f t="shared" si="337"/>
        <v>0</v>
      </c>
      <c r="CI217" s="16">
        <f t="shared" si="337"/>
        <v>0</v>
      </c>
      <c r="CJ217" s="16">
        <f t="shared" si="337"/>
        <v>0</v>
      </c>
      <c r="CK217" s="16">
        <f t="shared" si="337"/>
        <v>0</v>
      </c>
      <c r="CL217" s="16">
        <f t="shared" si="337"/>
        <v>0</v>
      </c>
      <c r="CM217" s="16">
        <f t="shared" si="337"/>
        <v>0</v>
      </c>
      <c r="CN217" s="16">
        <f t="shared" si="337"/>
        <v>0</v>
      </c>
      <c r="CO217" s="16">
        <f t="shared" si="337"/>
        <v>0</v>
      </c>
      <c r="CP217" s="16">
        <f t="shared" si="337"/>
        <v>0</v>
      </c>
      <c r="CQ217" s="16">
        <f t="shared" si="337"/>
        <v>4666223</v>
      </c>
      <c r="CR217" s="16">
        <f t="shared" si="337"/>
        <v>0</v>
      </c>
      <c r="CS217" s="16">
        <f t="shared" si="337"/>
        <v>0</v>
      </c>
      <c r="CT217" s="16">
        <f t="shared" si="337"/>
        <v>0</v>
      </c>
      <c r="CU217" s="17">
        <f t="shared" si="337"/>
        <v>0</v>
      </c>
      <c r="CV217" s="38"/>
    </row>
    <row r="218" spans="1:100" ht="15.75" x14ac:dyDescent="0.25">
      <c r="A218" s="13" t="s">
        <v>1</v>
      </c>
      <c r="B218" s="14" t="s">
        <v>1</v>
      </c>
      <c r="C218" s="14" t="s">
        <v>249</v>
      </c>
      <c r="D218" s="30" t="s">
        <v>248</v>
      </c>
      <c r="E218" s="15">
        <f>SUM(F218+BY218+CR218)</f>
        <v>4666223</v>
      </c>
      <c r="F218" s="16">
        <f>SUM(G218+BA218)</f>
        <v>0</v>
      </c>
      <c r="G218" s="16">
        <f>SUM(H218+I218+J218+Q218+T218+U218+V218+AE218)</f>
        <v>0</v>
      </c>
      <c r="H218" s="16">
        <v>0</v>
      </c>
      <c r="I218" s="16">
        <v>0</v>
      </c>
      <c r="J218" s="16">
        <f t="shared" si="222"/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f t="shared" si="223"/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f>SUM(W218:AD218)</f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f>SUM(AF218:AZ218)</f>
        <v>0</v>
      </c>
      <c r="AF218" s="16">
        <v>0</v>
      </c>
      <c r="AG218" s="16">
        <v>0</v>
      </c>
      <c r="AH218" s="16">
        <v>0</v>
      </c>
      <c r="AI218" s="16">
        <v>0</v>
      </c>
      <c r="AJ218" s="16">
        <v>0</v>
      </c>
      <c r="AK218" s="16">
        <v>0</v>
      </c>
      <c r="AL218" s="16">
        <v>0</v>
      </c>
      <c r="AM218" s="16">
        <v>0</v>
      </c>
      <c r="AN218" s="16">
        <v>0</v>
      </c>
      <c r="AO218" s="16">
        <v>0</v>
      </c>
      <c r="AP218" s="16">
        <v>0</v>
      </c>
      <c r="AQ218" s="16">
        <v>0</v>
      </c>
      <c r="AR218" s="16">
        <v>0</v>
      </c>
      <c r="AS218" s="16">
        <v>0</v>
      </c>
      <c r="AT218" s="16">
        <v>0</v>
      </c>
      <c r="AU218" s="16">
        <v>0</v>
      </c>
      <c r="AV218" s="16">
        <v>0</v>
      </c>
      <c r="AW218" s="16">
        <v>0</v>
      </c>
      <c r="AX218" s="16">
        <v>0</v>
      </c>
      <c r="AY218" s="16">
        <v>0</v>
      </c>
      <c r="AZ218" s="16">
        <v>0</v>
      </c>
      <c r="BA218" s="16">
        <f>SUM(BB218+BF218+BI218+BK218+BM218)</f>
        <v>0</v>
      </c>
      <c r="BB218" s="16">
        <f>SUM(BC218:BE218)</f>
        <v>0</v>
      </c>
      <c r="BC218" s="16">
        <v>0</v>
      </c>
      <c r="BD218" s="16">
        <v>0</v>
      </c>
      <c r="BE218" s="16">
        <v>0</v>
      </c>
      <c r="BF218" s="16">
        <f t="shared" si="224"/>
        <v>0</v>
      </c>
      <c r="BG218" s="16">
        <v>0</v>
      </c>
      <c r="BH218" s="16">
        <v>0</v>
      </c>
      <c r="BI218" s="16">
        <v>0</v>
      </c>
      <c r="BJ218" s="16">
        <v>0</v>
      </c>
      <c r="BK218" s="16">
        <f t="shared" si="225"/>
        <v>0</v>
      </c>
      <c r="BL218" s="16">
        <v>0</v>
      </c>
      <c r="BM218" s="16">
        <f t="shared" si="226"/>
        <v>0</v>
      </c>
      <c r="BN218" s="16">
        <v>0</v>
      </c>
      <c r="BO218" s="16">
        <v>0</v>
      </c>
      <c r="BP218" s="16">
        <v>0</v>
      </c>
      <c r="BQ218" s="16">
        <v>0</v>
      </c>
      <c r="BR218" s="16">
        <v>0</v>
      </c>
      <c r="BS218" s="16">
        <v>0</v>
      </c>
      <c r="BT218" s="16">
        <v>0</v>
      </c>
      <c r="BU218" s="16">
        <v>0</v>
      </c>
      <c r="BV218" s="16">
        <v>0</v>
      </c>
      <c r="BW218" s="16">
        <v>0</v>
      </c>
      <c r="BX218" s="16">
        <v>0</v>
      </c>
      <c r="BY218" s="16">
        <f>SUM(BZ218+CQ218)</f>
        <v>4666223</v>
      </c>
      <c r="BZ218" s="16">
        <f>SUM(CA218+CD218+CJ218)</f>
        <v>0</v>
      </c>
      <c r="CA218" s="16">
        <f t="shared" si="227"/>
        <v>0</v>
      </c>
      <c r="CB218" s="16">
        <v>0</v>
      </c>
      <c r="CC218" s="16">
        <v>0</v>
      </c>
      <c r="CD218" s="16">
        <f>SUM(CE218:CH218)</f>
        <v>0</v>
      </c>
      <c r="CE218" s="16">
        <v>0</v>
      </c>
      <c r="CF218" s="16">
        <v>0</v>
      </c>
      <c r="CG218" s="16">
        <v>0</v>
      </c>
      <c r="CH218" s="16">
        <v>0</v>
      </c>
      <c r="CI218" s="16">
        <v>0</v>
      </c>
      <c r="CJ218" s="16">
        <f>SUM(CK218:CN218)</f>
        <v>0</v>
      </c>
      <c r="CK218" s="16">
        <v>0</v>
      </c>
      <c r="CL218" s="16">
        <v>0</v>
      </c>
      <c r="CM218" s="16">
        <v>0</v>
      </c>
      <c r="CN218" s="16">
        <v>0</v>
      </c>
      <c r="CO218" s="16">
        <v>0</v>
      </c>
      <c r="CP218" s="16">
        <v>0</v>
      </c>
      <c r="CQ218" s="16">
        <f>6000000-1160-490267+1000000-1842350</f>
        <v>4666223</v>
      </c>
      <c r="CR218" s="16">
        <f t="shared" si="228"/>
        <v>0</v>
      </c>
      <c r="CS218" s="16">
        <f t="shared" si="229"/>
        <v>0</v>
      </c>
      <c r="CT218" s="16">
        <v>0</v>
      </c>
      <c r="CU218" s="17">
        <v>0</v>
      </c>
      <c r="CV218" s="38"/>
    </row>
    <row r="219" spans="1:100" ht="15.75" x14ac:dyDescent="0.25">
      <c r="A219" s="13" t="s">
        <v>247</v>
      </c>
      <c r="B219" s="14" t="s">
        <v>50</v>
      </c>
      <c r="C219" s="14" t="s">
        <v>1</v>
      </c>
      <c r="D219" s="30" t="s">
        <v>250</v>
      </c>
      <c r="E219" s="15">
        <f>SUM(E220:E221)</f>
        <v>10698569</v>
      </c>
      <c r="F219" s="16">
        <f t="shared" ref="F219:BS219" si="338">SUM(F220:F221)</f>
        <v>10635643</v>
      </c>
      <c r="G219" s="16">
        <f t="shared" si="338"/>
        <v>10635643</v>
      </c>
      <c r="H219" s="16">
        <f t="shared" si="338"/>
        <v>717293</v>
      </c>
      <c r="I219" s="16">
        <f t="shared" si="338"/>
        <v>173320</v>
      </c>
      <c r="J219" s="16">
        <f t="shared" si="338"/>
        <v>90655</v>
      </c>
      <c r="K219" s="16">
        <f t="shared" si="338"/>
        <v>0</v>
      </c>
      <c r="L219" s="16">
        <f t="shared" si="338"/>
        <v>0</v>
      </c>
      <c r="M219" s="16">
        <f t="shared" si="338"/>
        <v>0</v>
      </c>
      <c r="N219" s="16">
        <f t="shared" si="338"/>
        <v>0</v>
      </c>
      <c r="O219" s="16">
        <f t="shared" si="338"/>
        <v>80300</v>
      </c>
      <c r="P219" s="16">
        <f t="shared" si="338"/>
        <v>10355</v>
      </c>
      <c r="Q219" s="16">
        <f t="shared" si="338"/>
        <v>16246</v>
      </c>
      <c r="R219" s="16">
        <f t="shared" si="338"/>
        <v>0</v>
      </c>
      <c r="S219" s="16">
        <f t="shared" si="338"/>
        <v>16246</v>
      </c>
      <c r="T219" s="16">
        <f t="shared" si="338"/>
        <v>0</v>
      </c>
      <c r="U219" s="16">
        <f t="shared" si="338"/>
        <v>31943</v>
      </c>
      <c r="V219" s="16">
        <f t="shared" si="338"/>
        <v>21253</v>
      </c>
      <c r="W219" s="16">
        <f t="shared" si="338"/>
        <v>0</v>
      </c>
      <c r="X219" s="16">
        <f t="shared" si="338"/>
        <v>15054</v>
      </c>
      <c r="Y219" s="16">
        <f t="shared" si="338"/>
        <v>5594</v>
      </c>
      <c r="Z219" s="16">
        <f t="shared" si="338"/>
        <v>605</v>
      </c>
      <c r="AA219" s="16">
        <f t="shared" si="338"/>
        <v>0</v>
      </c>
      <c r="AB219" s="16">
        <f t="shared" si="338"/>
        <v>0</v>
      </c>
      <c r="AC219" s="16">
        <f t="shared" si="338"/>
        <v>0</v>
      </c>
      <c r="AD219" s="16">
        <f t="shared" ref="AD219" si="339">SUM(AD220:AD221)</f>
        <v>0</v>
      </c>
      <c r="AE219" s="16">
        <f t="shared" si="338"/>
        <v>9584933</v>
      </c>
      <c r="AF219" s="16">
        <f t="shared" si="338"/>
        <v>0</v>
      </c>
      <c r="AG219" s="16">
        <f t="shared" si="338"/>
        <v>1616</v>
      </c>
      <c r="AH219" s="16">
        <f t="shared" si="338"/>
        <v>3854</v>
      </c>
      <c r="AI219" s="16">
        <f t="shared" si="338"/>
        <v>0</v>
      </c>
      <c r="AJ219" s="16">
        <f t="shared" si="338"/>
        <v>1591</v>
      </c>
      <c r="AK219" s="16">
        <f t="shared" si="338"/>
        <v>0</v>
      </c>
      <c r="AL219" s="16">
        <f t="shared" si="338"/>
        <v>540</v>
      </c>
      <c r="AM219" s="16">
        <f t="shared" si="338"/>
        <v>0</v>
      </c>
      <c r="AN219" s="16">
        <f t="shared" si="338"/>
        <v>19833</v>
      </c>
      <c r="AO219" s="16">
        <f t="shared" si="338"/>
        <v>0</v>
      </c>
      <c r="AP219" s="16">
        <f>SUM(AP220:AP221)</f>
        <v>0</v>
      </c>
      <c r="AQ219" s="16">
        <f t="shared" si="338"/>
        <v>0</v>
      </c>
      <c r="AR219" s="16">
        <f t="shared" si="338"/>
        <v>84873</v>
      </c>
      <c r="AS219" s="16">
        <f t="shared" si="338"/>
        <v>1760</v>
      </c>
      <c r="AT219" s="16">
        <f t="shared" si="338"/>
        <v>0</v>
      </c>
      <c r="AU219" s="16">
        <f t="shared" si="338"/>
        <v>0</v>
      </c>
      <c r="AV219" s="16">
        <f t="shared" si="338"/>
        <v>0</v>
      </c>
      <c r="AW219" s="16">
        <f t="shared" si="338"/>
        <v>0</v>
      </c>
      <c r="AX219" s="16">
        <f t="shared" si="338"/>
        <v>0</v>
      </c>
      <c r="AY219" s="16">
        <f t="shared" si="338"/>
        <v>0</v>
      </c>
      <c r="AZ219" s="16">
        <f t="shared" si="338"/>
        <v>9470866</v>
      </c>
      <c r="BA219" s="16">
        <f t="shared" si="338"/>
        <v>0</v>
      </c>
      <c r="BB219" s="16">
        <f t="shared" si="338"/>
        <v>0</v>
      </c>
      <c r="BC219" s="16">
        <f t="shared" si="338"/>
        <v>0</v>
      </c>
      <c r="BD219" s="16">
        <f t="shared" si="338"/>
        <v>0</v>
      </c>
      <c r="BE219" s="16">
        <f t="shared" si="338"/>
        <v>0</v>
      </c>
      <c r="BF219" s="16">
        <f t="shared" si="338"/>
        <v>0</v>
      </c>
      <c r="BG219" s="16">
        <f t="shared" si="338"/>
        <v>0</v>
      </c>
      <c r="BH219" s="16">
        <f t="shared" si="338"/>
        <v>0</v>
      </c>
      <c r="BI219" s="16">
        <f t="shared" si="338"/>
        <v>0</v>
      </c>
      <c r="BJ219" s="16">
        <f t="shared" si="338"/>
        <v>0</v>
      </c>
      <c r="BK219" s="16">
        <f t="shared" si="338"/>
        <v>0</v>
      </c>
      <c r="BL219" s="16">
        <f t="shared" si="338"/>
        <v>0</v>
      </c>
      <c r="BM219" s="16">
        <f t="shared" si="338"/>
        <v>0</v>
      </c>
      <c r="BN219" s="16">
        <f t="shared" si="338"/>
        <v>0</v>
      </c>
      <c r="BO219" s="16">
        <f t="shared" si="338"/>
        <v>0</v>
      </c>
      <c r="BP219" s="16">
        <f t="shared" si="338"/>
        <v>0</v>
      </c>
      <c r="BQ219" s="16">
        <f t="shared" si="338"/>
        <v>0</v>
      </c>
      <c r="BR219" s="16">
        <f t="shared" si="338"/>
        <v>0</v>
      </c>
      <c r="BS219" s="16">
        <f t="shared" si="338"/>
        <v>0</v>
      </c>
      <c r="BT219" s="16">
        <f t="shared" ref="BT219:CU219" si="340">SUM(BT220:BT221)</f>
        <v>0</v>
      </c>
      <c r="BU219" s="16">
        <f t="shared" si="340"/>
        <v>0</v>
      </c>
      <c r="BV219" s="16">
        <f t="shared" si="340"/>
        <v>0</v>
      </c>
      <c r="BW219" s="16">
        <f t="shared" si="340"/>
        <v>0</v>
      </c>
      <c r="BX219" s="16">
        <f t="shared" si="340"/>
        <v>0</v>
      </c>
      <c r="BY219" s="16">
        <f t="shared" si="340"/>
        <v>62926</v>
      </c>
      <c r="BZ219" s="16">
        <f t="shared" si="340"/>
        <v>62926</v>
      </c>
      <c r="CA219" s="16">
        <f t="shared" si="340"/>
        <v>62926</v>
      </c>
      <c r="CB219" s="16">
        <f t="shared" si="340"/>
        <v>0</v>
      </c>
      <c r="CC219" s="16">
        <f t="shared" si="340"/>
        <v>62926</v>
      </c>
      <c r="CD219" s="16">
        <f t="shared" si="340"/>
        <v>0</v>
      </c>
      <c r="CE219" s="16">
        <f t="shared" si="340"/>
        <v>0</v>
      </c>
      <c r="CF219" s="16">
        <f t="shared" si="340"/>
        <v>0</v>
      </c>
      <c r="CG219" s="16">
        <f t="shared" si="340"/>
        <v>0</v>
      </c>
      <c r="CH219" s="16">
        <f t="shared" si="340"/>
        <v>0</v>
      </c>
      <c r="CI219" s="16">
        <f t="shared" ref="CI219" si="341">SUM(CI220:CI221)</f>
        <v>0</v>
      </c>
      <c r="CJ219" s="16">
        <f t="shared" si="340"/>
        <v>0</v>
      </c>
      <c r="CK219" s="16">
        <f t="shared" si="340"/>
        <v>0</v>
      </c>
      <c r="CL219" s="16">
        <f t="shared" si="340"/>
        <v>0</v>
      </c>
      <c r="CM219" s="16">
        <f t="shared" si="340"/>
        <v>0</v>
      </c>
      <c r="CN219" s="16">
        <f t="shared" si="340"/>
        <v>0</v>
      </c>
      <c r="CO219" s="16">
        <f t="shared" si="340"/>
        <v>0</v>
      </c>
      <c r="CP219" s="16">
        <f t="shared" si="340"/>
        <v>0</v>
      </c>
      <c r="CQ219" s="16">
        <f t="shared" si="340"/>
        <v>0</v>
      </c>
      <c r="CR219" s="16">
        <f t="shared" si="340"/>
        <v>0</v>
      </c>
      <c r="CS219" s="16">
        <f t="shared" si="340"/>
        <v>0</v>
      </c>
      <c r="CT219" s="16">
        <f t="shared" si="340"/>
        <v>0</v>
      </c>
      <c r="CU219" s="17">
        <f t="shared" si="340"/>
        <v>0</v>
      </c>
      <c r="CV219" s="38"/>
    </row>
    <row r="220" spans="1:100" ht="15.75" x14ac:dyDescent="0.25">
      <c r="A220" s="13" t="s">
        <v>1</v>
      </c>
      <c r="B220" s="14" t="s">
        <v>1</v>
      </c>
      <c r="C220" s="14" t="s">
        <v>251</v>
      </c>
      <c r="D220" s="30" t="s">
        <v>252</v>
      </c>
      <c r="E220" s="15">
        <f>SUM(F220+BY220+CR220)</f>
        <v>9470468</v>
      </c>
      <c r="F220" s="16">
        <f>SUM(G220+BA220)</f>
        <v>9470468</v>
      </c>
      <c r="G220" s="16">
        <f>SUM(H220+I220+J220+Q220+T220+U220+V220+AE220)</f>
        <v>9470468</v>
      </c>
      <c r="H220" s="16">
        <v>0</v>
      </c>
      <c r="I220" s="16">
        <v>0</v>
      </c>
      <c r="J220" s="16">
        <f t="shared" ref="J220:J282" si="342">SUM(K220:P220)</f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0</v>
      </c>
      <c r="Q220" s="16">
        <f t="shared" ref="Q220:Q282" si="343">SUM(R220:S220)</f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f>SUM(W220:AD220)</f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0</v>
      </c>
      <c r="AC220" s="16">
        <v>0</v>
      </c>
      <c r="AD220" s="16">
        <v>0</v>
      </c>
      <c r="AE220" s="16">
        <f>SUM(AF220:AZ220)</f>
        <v>9470468</v>
      </c>
      <c r="AF220" s="16">
        <v>0</v>
      </c>
      <c r="AG220" s="16">
        <v>0</v>
      </c>
      <c r="AH220" s="16">
        <v>0</v>
      </c>
      <c r="AI220" s="16">
        <v>0</v>
      </c>
      <c r="AJ220" s="16">
        <v>0</v>
      </c>
      <c r="AK220" s="16">
        <v>0</v>
      </c>
      <c r="AL220" s="16">
        <v>0</v>
      </c>
      <c r="AM220" s="16">
        <v>0</v>
      </c>
      <c r="AN220" s="16">
        <v>0</v>
      </c>
      <c r="AO220" s="16">
        <v>0</v>
      </c>
      <c r="AP220" s="16">
        <v>0</v>
      </c>
      <c r="AQ220" s="16">
        <v>0</v>
      </c>
      <c r="AR220" s="16">
        <v>0</v>
      </c>
      <c r="AS220" s="16">
        <v>0</v>
      </c>
      <c r="AT220" s="16">
        <v>0</v>
      </c>
      <c r="AU220" s="16">
        <v>0</v>
      </c>
      <c r="AV220" s="16">
        <v>0</v>
      </c>
      <c r="AW220" s="16">
        <v>0</v>
      </c>
      <c r="AX220" s="16">
        <v>0</v>
      </c>
      <c r="AY220" s="16">
        <v>0</v>
      </c>
      <c r="AZ220" s="16">
        <v>9470468</v>
      </c>
      <c r="BA220" s="16">
        <f>SUM(BB220+BF220+BI220+BK220+BM220)</f>
        <v>0</v>
      </c>
      <c r="BB220" s="16">
        <f>SUM(BC220:BE220)</f>
        <v>0</v>
      </c>
      <c r="BC220" s="16">
        <v>0</v>
      </c>
      <c r="BD220" s="16">
        <v>0</v>
      </c>
      <c r="BE220" s="16">
        <v>0</v>
      </c>
      <c r="BF220" s="16">
        <f t="shared" ref="BF220:BF282" si="344">SUM(BG220:BH220)</f>
        <v>0</v>
      </c>
      <c r="BG220" s="16">
        <v>0</v>
      </c>
      <c r="BH220" s="16">
        <v>0</v>
      </c>
      <c r="BI220" s="16">
        <v>0</v>
      </c>
      <c r="BJ220" s="16">
        <v>0</v>
      </c>
      <c r="BK220" s="16">
        <f t="shared" ref="BK220:BK282" si="345">SUM(BL220)</f>
        <v>0</v>
      </c>
      <c r="BL220" s="16">
        <v>0</v>
      </c>
      <c r="BM220" s="16">
        <f t="shared" ref="BM220:BM282" si="346">SUM(BN220:BX220)</f>
        <v>0</v>
      </c>
      <c r="BN220" s="16">
        <v>0</v>
      </c>
      <c r="BO220" s="16">
        <v>0</v>
      </c>
      <c r="BP220" s="16">
        <v>0</v>
      </c>
      <c r="BQ220" s="16">
        <v>0</v>
      </c>
      <c r="BR220" s="16">
        <v>0</v>
      </c>
      <c r="BS220" s="16">
        <v>0</v>
      </c>
      <c r="BT220" s="16">
        <v>0</v>
      </c>
      <c r="BU220" s="16">
        <v>0</v>
      </c>
      <c r="BV220" s="16">
        <v>0</v>
      </c>
      <c r="BW220" s="16">
        <v>0</v>
      </c>
      <c r="BX220" s="16">
        <v>0</v>
      </c>
      <c r="BY220" s="16">
        <f>SUM(BZ220+CQ220)</f>
        <v>0</v>
      </c>
      <c r="BZ220" s="16">
        <f>SUM(CA220+CD220+CJ220)</f>
        <v>0</v>
      </c>
      <c r="CA220" s="16">
        <f t="shared" ref="CA220:CA282" si="347">SUM(CB220:CC220)</f>
        <v>0</v>
      </c>
      <c r="CB220" s="16">
        <v>0</v>
      </c>
      <c r="CC220" s="16">
        <v>0</v>
      </c>
      <c r="CD220" s="16">
        <f>SUM(CE220:CH220)</f>
        <v>0</v>
      </c>
      <c r="CE220" s="16">
        <v>0</v>
      </c>
      <c r="CF220" s="16">
        <v>0</v>
      </c>
      <c r="CG220" s="16">
        <v>0</v>
      </c>
      <c r="CH220" s="16">
        <v>0</v>
      </c>
      <c r="CI220" s="16">
        <v>0</v>
      </c>
      <c r="CJ220" s="16">
        <f>SUM(CK220:CN220)</f>
        <v>0</v>
      </c>
      <c r="CK220" s="16">
        <v>0</v>
      </c>
      <c r="CL220" s="16">
        <v>0</v>
      </c>
      <c r="CM220" s="16">
        <v>0</v>
      </c>
      <c r="CN220" s="16">
        <v>0</v>
      </c>
      <c r="CO220" s="16">
        <v>0</v>
      </c>
      <c r="CP220" s="16">
        <v>0</v>
      </c>
      <c r="CQ220" s="16">
        <v>0</v>
      </c>
      <c r="CR220" s="16">
        <f t="shared" ref="CR220:CR282" si="348">SUM(CS220)</f>
        <v>0</v>
      </c>
      <c r="CS220" s="16">
        <f t="shared" ref="CS220:CS282" si="349">SUM(CT220:CU220)</f>
        <v>0</v>
      </c>
      <c r="CT220" s="16">
        <v>0</v>
      </c>
      <c r="CU220" s="17">
        <v>0</v>
      </c>
      <c r="CV220" s="38"/>
    </row>
    <row r="221" spans="1:100" ht="15.75" x14ac:dyDescent="0.25">
      <c r="A221" s="13" t="s">
        <v>1</v>
      </c>
      <c r="B221" s="14" t="s">
        <v>1</v>
      </c>
      <c r="C221" s="14" t="s">
        <v>251</v>
      </c>
      <c r="D221" s="30" t="s">
        <v>253</v>
      </c>
      <c r="E221" s="15">
        <f>SUM(F221+BY221+CR221)</f>
        <v>1228101</v>
      </c>
      <c r="F221" s="16">
        <f>SUM(G221+BA221)</f>
        <v>1165175</v>
      </c>
      <c r="G221" s="16">
        <f>SUM(H221+I221+J221+Q221+T221+U221+V221+AE221)</f>
        <v>1165175</v>
      </c>
      <c r="H221" s="16">
        <f>723925-6632</f>
        <v>717293</v>
      </c>
      <c r="I221" s="16">
        <v>173320</v>
      </c>
      <c r="J221" s="16">
        <f t="shared" si="342"/>
        <v>90655</v>
      </c>
      <c r="K221" s="16">
        <v>0</v>
      </c>
      <c r="L221" s="16">
        <v>0</v>
      </c>
      <c r="M221" s="16">
        <v>0</v>
      </c>
      <c r="N221" s="16">
        <v>0</v>
      </c>
      <c r="O221" s="16">
        <v>80300</v>
      </c>
      <c r="P221" s="16">
        <f>7355+3000</f>
        <v>10355</v>
      </c>
      <c r="Q221" s="16">
        <f t="shared" si="343"/>
        <v>16246</v>
      </c>
      <c r="R221" s="16">
        <v>0</v>
      </c>
      <c r="S221" s="16">
        <v>16246</v>
      </c>
      <c r="T221" s="16">
        <v>0</v>
      </c>
      <c r="U221" s="16">
        <v>31943</v>
      </c>
      <c r="V221" s="16">
        <f>SUM(W221:AD221)</f>
        <v>21253</v>
      </c>
      <c r="W221" s="16">
        <v>0</v>
      </c>
      <c r="X221" s="16">
        <f>13068+1986</f>
        <v>15054</v>
      </c>
      <c r="Y221" s="16">
        <f>3069+1048+1193+284</f>
        <v>5594</v>
      </c>
      <c r="Z221" s="16">
        <v>605</v>
      </c>
      <c r="AA221" s="16">
        <v>0</v>
      </c>
      <c r="AB221" s="16">
        <v>0</v>
      </c>
      <c r="AC221" s="16">
        <v>0</v>
      </c>
      <c r="AD221" s="16">
        <v>0</v>
      </c>
      <c r="AE221" s="16">
        <f>SUM(AF221:AZ221)</f>
        <v>114465</v>
      </c>
      <c r="AF221" s="16">
        <v>0</v>
      </c>
      <c r="AG221" s="16">
        <v>1616</v>
      </c>
      <c r="AH221" s="16">
        <v>3854</v>
      </c>
      <c r="AI221" s="16">
        <v>0</v>
      </c>
      <c r="AJ221" s="16">
        <v>1591</v>
      </c>
      <c r="AK221" s="16">
        <v>0</v>
      </c>
      <c r="AL221" s="16">
        <f>6358-3284-2534</f>
        <v>540</v>
      </c>
      <c r="AM221" s="16">
        <v>0</v>
      </c>
      <c r="AN221" s="16">
        <f>6833+13000</f>
        <v>19833</v>
      </c>
      <c r="AO221" s="16">
        <v>0</v>
      </c>
      <c r="AP221" s="16">
        <v>0</v>
      </c>
      <c r="AQ221" s="16">
        <v>0</v>
      </c>
      <c r="AR221" s="39">
        <f>56196+28677</f>
        <v>84873</v>
      </c>
      <c r="AS221" s="39">
        <v>1760</v>
      </c>
      <c r="AT221" s="39">
        <v>0</v>
      </c>
      <c r="AU221" s="39">
        <v>0</v>
      </c>
      <c r="AV221" s="39">
        <v>0</v>
      </c>
      <c r="AW221" s="39">
        <f>0</f>
        <v>0</v>
      </c>
      <c r="AX221" s="16">
        <v>0</v>
      </c>
      <c r="AY221" s="16">
        <v>0</v>
      </c>
      <c r="AZ221" s="16">
        <v>398</v>
      </c>
      <c r="BA221" s="16">
        <f>SUM(BB221+BF221+BI221+BK221+BM221)</f>
        <v>0</v>
      </c>
      <c r="BB221" s="16">
        <f>SUM(BC221:BE221)</f>
        <v>0</v>
      </c>
      <c r="BC221" s="16">
        <v>0</v>
      </c>
      <c r="BD221" s="16">
        <v>0</v>
      </c>
      <c r="BE221" s="16">
        <v>0</v>
      </c>
      <c r="BF221" s="16">
        <f t="shared" si="344"/>
        <v>0</v>
      </c>
      <c r="BG221" s="16">
        <v>0</v>
      </c>
      <c r="BH221" s="16">
        <v>0</v>
      </c>
      <c r="BI221" s="16">
        <v>0</v>
      </c>
      <c r="BJ221" s="16">
        <v>0</v>
      </c>
      <c r="BK221" s="16">
        <f t="shared" si="345"/>
        <v>0</v>
      </c>
      <c r="BL221" s="16">
        <v>0</v>
      </c>
      <c r="BM221" s="16">
        <f t="shared" si="346"/>
        <v>0</v>
      </c>
      <c r="BN221" s="16">
        <v>0</v>
      </c>
      <c r="BO221" s="16">
        <v>0</v>
      </c>
      <c r="BP221" s="16">
        <v>0</v>
      </c>
      <c r="BQ221" s="16">
        <v>0</v>
      </c>
      <c r="BR221" s="16">
        <v>0</v>
      </c>
      <c r="BS221" s="16">
        <v>0</v>
      </c>
      <c r="BT221" s="16">
        <v>0</v>
      </c>
      <c r="BU221" s="16">
        <v>0</v>
      </c>
      <c r="BV221" s="16">
        <v>0</v>
      </c>
      <c r="BW221" s="16">
        <f>3834-3834</f>
        <v>0</v>
      </c>
      <c r="BX221" s="16">
        <v>0</v>
      </c>
      <c r="BY221" s="16">
        <f>SUM(BZ221+CQ221)</f>
        <v>62926</v>
      </c>
      <c r="BZ221" s="16">
        <f>SUM(CA221+CD221+CJ221)</f>
        <v>62926</v>
      </c>
      <c r="CA221" s="16">
        <f t="shared" si="347"/>
        <v>62926</v>
      </c>
      <c r="CB221" s="16">
        <v>0</v>
      </c>
      <c r="CC221" s="16">
        <v>62926</v>
      </c>
      <c r="CD221" s="16">
        <f>SUM(CE221:CH221)</f>
        <v>0</v>
      </c>
      <c r="CE221" s="16">
        <v>0</v>
      </c>
      <c r="CF221" s="16">
        <v>0</v>
      </c>
      <c r="CG221" s="16">
        <v>0</v>
      </c>
      <c r="CH221" s="16">
        <v>0</v>
      </c>
      <c r="CI221" s="16">
        <v>0</v>
      </c>
      <c r="CJ221" s="16">
        <f>SUM(CK221:CN221)</f>
        <v>0</v>
      </c>
      <c r="CK221" s="16">
        <v>0</v>
      </c>
      <c r="CL221" s="16">
        <v>0</v>
      </c>
      <c r="CM221" s="16">
        <v>0</v>
      </c>
      <c r="CN221" s="16">
        <v>0</v>
      </c>
      <c r="CO221" s="16">
        <v>0</v>
      </c>
      <c r="CP221" s="16">
        <v>0</v>
      </c>
      <c r="CQ221" s="16">
        <v>0</v>
      </c>
      <c r="CR221" s="16">
        <f t="shared" si="348"/>
        <v>0</v>
      </c>
      <c r="CS221" s="16">
        <f t="shared" si="349"/>
        <v>0</v>
      </c>
      <c r="CT221" s="16">
        <v>0</v>
      </c>
      <c r="CU221" s="17">
        <v>0</v>
      </c>
      <c r="CV221" s="38"/>
    </row>
    <row r="222" spans="1:100" ht="15.75" x14ac:dyDescent="0.25">
      <c r="A222" s="13" t="s">
        <v>247</v>
      </c>
      <c r="B222" s="14" t="s">
        <v>100</v>
      </c>
      <c r="C222" s="14" t="s">
        <v>1</v>
      </c>
      <c r="D222" s="30" t="s">
        <v>254</v>
      </c>
      <c r="E222" s="15">
        <f t="shared" ref="E222:AJ222" si="350">SUM(E223:E236)</f>
        <v>470501540</v>
      </c>
      <c r="F222" s="16">
        <f t="shared" si="350"/>
        <v>445333379</v>
      </c>
      <c r="G222" s="16">
        <f t="shared" si="350"/>
        <v>285493022</v>
      </c>
      <c r="H222" s="16">
        <f t="shared" si="350"/>
        <v>96674574</v>
      </c>
      <c r="I222" s="16">
        <f t="shared" si="350"/>
        <v>19205097</v>
      </c>
      <c r="J222" s="16">
        <f t="shared" si="350"/>
        <v>49579000</v>
      </c>
      <c r="K222" s="16">
        <f t="shared" si="350"/>
        <v>15066346</v>
      </c>
      <c r="L222" s="16">
        <f t="shared" si="350"/>
        <v>2737489</v>
      </c>
      <c r="M222" s="16">
        <f t="shared" si="350"/>
        <v>4345236</v>
      </c>
      <c r="N222" s="16">
        <f t="shared" si="350"/>
        <v>4013</v>
      </c>
      <c r="O222" s="16">
        <f t="shared" si="350"/>
        <v>10663322</v>
      </c>
      <c r="P222" s="16">
        <f t="shared" si="350"/>
        <v>16762594</v>
      </c>
      <c r="Q222" s="16">
        <f t="shared" si="350"/>
        <v>784928</v>
      </c>
      <c r="R222" s="16">
        <f t="shared" si="350"/>
        <v>157396</v>
      </c>
      <c r="S222" s="16">
        <f t="shared" si="350"/>
        <v>627532</v>
      </c>
      <c r="T222" s="16">
        <f t="shared" si="350"/>
        <v>308024</v>
      </c>
      <c r="U222" s="16">
        <f t="shared" si="350"/>
        <v>1870446</v>
      </c>
      <c r="V222" s="16">
        <f t="shared" si="350"/>
        <v>33835073</v>
      </c>
      <c r="W222" s="16">
        <f t="shared" si="350"/>
        <v>2265401</v>
      </c>
      <c r="X222" s="16">
        <f t="shared" si="350"/>
        <v>4112830</v>
      </c>
      <c r="Y222" s="16">
        <f t="shared" si="350"/>
        <v>25120413</v>
      </c>
      <c r="Z222" s="16">
        <f t="shared" si="350"/>
        <v>1110168</v>
      </c>
      <c r="AA222" s="16">
        <f t="shared" si="350"/>
        <v>741987</v>
      </c>
      <c r="AB222" s="16">
        <f t="shared" si="350"/>
        <v>302713</v>
      </c>
      <c r="AC222" s="16">
        <f t="shared" si="350"/>
        <v>0</v>
      </c>
      <c r="AD222" s="16">
        <f t="shared" si="350"/>
        <v>181561</v>
      </c>
      <c r="AE222" s="16">
        <f t="shared" si="350"/>
        <v>83235880</v>
      </c>
      <c r="AF222" s="16">
        <f t="shared" si="350"/>
        <v>339000</v>
      </c>
      <c r="AG222" s="16">
        <f t="shared" si="350"/>
        <v>4883673</v>
      </c>
      <c r="AH222" s="16">
        <f t="shared" si="350"/>
        <v>9125356</v>
      </c>
      <c r="AI222" s="16">
        <f t="shared" si="350"/>
        <v>865379</v>
      </c>
      <c r="AJ222" s="16">
        <f t="shared" si="350"/>
        <v>1932652</v>
      </c>
      <c r="AK222" s="16">
        <f t="shared" ref="AK222:BP222" si="351">SUM(AK223:AK236)</f>
        <v>15380</v>
      </c>
      <c r="AL222" s="16">
        <f t="shared" si="351"/>
        <v>517490</v>
      </c>
      <c r="AM222" s="16">
        <f t="shared" si="351"/>
        <v>2843983</v>
      </c>
      <c r="AN222" s="16">
        <f t="shared" si="351"/>
        <v>15000</v>
      </c>
      <c r="AO222" s="16">
        <f t="shared" si="351"/>
        <v>22635</v>
      </c>
      <c r="AP222" s="16">
        <f t="shared" si="351"/>
        <v>974849</v>
      </c>
      <c r="AQ222" s="16">
        <f t="shared" si="351"/>
        <v>8055897</v>
      </c>
      <c r="AR222" s="16">
        <f t="shared" si="351"/>
        <v>752247</v>
      </c>
      <c r="AS222" s="16">
        <f t="shared" si="351"/>
        <v>435115</v>
      </c>
      <c r="AT222" s="16">
        <f t="shared" si="351"/>
        <v>0</v>
      </c>
      <c r="AU222" s="16">
        <f t="shared" si="351"/>
        <v>5888</v>
      </c>
      <c r="AV222" s="16">
        <f t="shared" si="351"/>
        <v>61706</v>
      </c>
      <c r="AW222" s="16">
        <f t="shared" si="351"/>
        <v>1600375</v>
      </c>
      <c r="AX222" s="16">
        <f t="shared" si="351"/>
        <v>0</v>
      </c>
      <c r="AY222" s="16">
        <f t="shared" si="351"/>
        <v>0</v>
      </c>
      <c r="AZ222" s="16">
        <f t="shared" si="351"/>
        <v>50789255</v>
      </c>
      <c r="BA222" s="16">
        <f t="shared" si="351"/>
        <v>159840357</v>
      </c>
      <c r="BB222" s="16">
        <f t="shared" si="351"/>
        <v>0</v>
      </c>
      <c r="BC222" s="16">
        <f t="shared" si="351"/>
        <v>0</v>
      </c>
      <c r="BD222" s="16">
        <f t="shared" si="351"/>
        <v>0</v>
      </c>
      <c r="BE222" s="16">
        <f t="shared" si="351"/>
        <v>0</v>
      </c>
      <c r="BF222" s="16">
        <f t="shared" si="351"/>
        <v>0</v>
      </c>
      <c r="BG222" s="16">
        <f t="shared" si="351"/>
        <v>0</v>
      </c>
      <c r="BH222" s="16">
        <f t="shared" si="351"/>
        <v>0</v>
      </c>
      <c r="BI222" s="16">
        <f t="shared" si="351"/>
        <v>159835357</v>
      </c>
      <c r="BJ222" s="16">
        <f t="shared" si="351"/>
        <v>4214513</v>
      </c>
      <c r="BK222" s="16">
        <f t="shared" si="351"/>
        <v>0</v>
      </c>
      <c r="BL222" s="16">
        <f t="shared" si="351"/>
        <v>0</v>
      </c>
      <c r="BM222" s="16">
        <f t="shared" si="351"/>
        <v>5000</v>
      </c>
      <c r="BN222" s="16">
        <f t="shared" si="351"/>
        <v>0</v>
      </c>
      <c r="BO222" s="16">
        <f t="shared" si="351"/>
        <v>0</v>
      </c>
      <c r="BP222" s="16">
        <f t="shared" si="351"/>
        <v>5000</v>
      </c>
      <c r="BQ222" s="16">
        <f t="shared" ref="BQ222:CU222" si="352">SUM(BQ223:BQ236)</f>
        <v>0</v>
      </c>
      <c r="BR222" s="16">
        <f t="shared" si="352"/>
        <v>0</v>
      </c>
      <c r="BS222" s="16">
        <f t="shared" si="352"/>
        <v>0</v>
      </c>
      <c r="BT222" s="16">
        <f t="shared" si="352"/>
        <v>0</v>
      </c>
      <c r="BU222" s="16">
        <f t="shared" si="352"/>
        <v>0</v>
      </c>
      <c r="BV222" s="16">
        <f t="shared" si="352"/>
        <v>0</v>
      </c>
      <c r="BW222" s="16">
        <f t="shared" si="352"/>
        <v>0</v>
      </c>
      <c r="BX222" s="16">
        <f t="shared" si="352"/>
        <v>0</v>
      </c>
      <c r="BY222" s="16">
        <f t="shared" si="352"/>
        <v>25168161</v>
      </c>
      <c r="BZ222" s="16">
        <f t="shared" si="352"/>
        <v>25168161</v>
      </c>
      <c r="CA222" s="16">
        <f t="shared" si="352"/>
        <v>17540470</v>
      </c>
      <c r="CB222" s="16">
        <f t="shared" si="352"/>
        <v>2988565</v>
      </c>
      <c r="CC222" s="16">
        <f t="shared" si="352"/>
        <v>14551905</v>
      </c>
      <c r="CD222" s="16">
        <f t="shared" si="352"/>
        <v>800000</v>
      </c>
      <c r="CE222" s="16">
        <f t="shared" si="352"/>
        <v>0</v>
      </c>
      <c r="CF222" s="16">
        <f t="shared" si="352"/>
        <v>0</v>
      </c>
      <c r="CG222" s="16">
        <f t="shared" si="352"/>
        <v>800000</v>
      </c>
      <c r="CH222" s="16">
        <f t="shared" si="352"/>
        <v>0</v>
      </c>
      <c r="CI222" s="16">
        <f t="shared" si="352"/>
        <v>0</v>
      </c>
      <c r="CJ222" s="16">
        <f t="shared" si="352"/>
        <v>6827691</v>
      </c>
      <c r="CK222" s="16">
        <f t="shared" si="352"/>
        <v>0</v>
      </c>
      <c r="CL222" s="16">
        <f t="shared" si="352"/>
        <v>4863137</v>
      </c>
      <c r="CM222" s="16">
        <f t="shared" si="352"/>
        <v>1245122</v>
      </c>
      <c r="CN222" s="16">
        <f t="shared" si="352"/>
        <v>719432</v>
      </c>
      <c r="CO222" s="16">
        <f t="shared" si="352"/>
        <v>0</v>
      </c>
      <c r="CP222" s="16">
        <f t="shared" si="352"/>
        <v>0</v>
      </c>
      <c r="CQ222" s="16">
        <f t="shared" si="352"/>
        <v>0</v>
      </c>
      <c r="CR222" s="16">
        <f t="shared" si="352"/>
        <v>0</v>
      </c>
      <c r="CS222" s="16">
        <f t="shared" si="352"/>
        <v>0</v>
      </c>
      <c r="CT222" s="16">
        <f t="shared" si="352"/>
        <v>0</v>
      </c>
      <c r="CU222" s="17">
        <f t="shared" si="352"/>
        <v>0</v>
      </c>
      <c r="CV222" s="38"/>
    </row>
    <row r="223" spans="1:100" ht="15.75" x14ac:dyDescent="0.25">
      <c r="A223" s="13" t="s">
        <v>1</v>
      </c>
      <c r="B223" s="14" t="s">
        <v>1</v>
      </c>
      <c r="C223" s="14" t="s">
        <v>5</v>
      </c>
      <c r="D223" s="30" t="s">
        <v>255</v>
      </c>
      <c r="E223" s="15">
        <f t="shared" ref="E223:E235" si="353">SUM(F223+BY223+CR223)</f>
        <v>7954590</v>
      </c>
      <c r="F223" s="16">
        <f t="shared" ref="F223:F235" si="354">SUM(G223+BA223)</f>
        <v>7954590</v>
      </c>
      <c r="G223" s="16">
        <f t="shared" ref="G223:G235" si="355">SUM(H223+I223+J223+Q223+T223+U223+V223+AE223)</f>
        <v>7954590</v>
      </c>
      <c r="H223" s="16">
        <v>0</v>
      </c>
      <c r="I223" s="16">
        <v>0</v>
      </c>
      <c r="J223" s="16">
        <f t="shared" si="342"/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f t="shared" si="343"/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f t="shared" ref="V223:V235" si="356">SUM(W223:AD223)</f>
        <v>0</v>
      </c>
      <c r="W223" s="16">
        <v>0</v>
      </c>
      <c r="X223" s="16">
        <v>0</v>
      </c>
      <c r="Y223" s="16">
        <v>0</v>
      </c>
      <c r="Z223" s="16">
        <v>0</v>
      </c>
      <c r="AA223" s="16">
        <v>0</v>
      </c>
      <c r="AB223" s="16">
        <v>0</v>
      </c>
      <c r="AC223" s="16">
        <v>0</v>
      </c>
      <c r="AD223" s="16">
        <v>0</v>
      </c>
      <c r="AE223" s="16">
        <f t="shared" ref="AE223:AE235" si="357">SUM(AF223:AZ223)</f>
        <v>7954590</v>
      </c>
      <c r="AF223" s="16">
        <v>0</v>
      </c>
      <c r="AG223" s="16">
        <v>0</v>
      </c>
      <c r="AH223" s="16">
        <v>0</v>
      </c>
      <c r="AI223" s="16">
        <v>0</v>
      </c>
      <c r="AJ223" s="16">
        <v>0</v>
      </c>
      <c r="AK223" s="16">
        <v>0</v>
      </c>
      <c r="AL223" s="16">
        <v>0</v>
      </c>
      <c r="AM223" s="16">
        <v>0</v>
      </c>
      <c r="AN223" s="16">
        <v>0</v>
      </c>
      <c r="AO223" s="16">
        <v>0</v>
      </c>
      <c r="AP223" s="16">
        <v>0</v>
      </c>
      <c r="AQ223" s="16">
        <f>8804590-850000</f>
        <v>7954590</v>
      </c>
      <c r="AR223" s="16">
        <v>0</v>
      </c>
      <c r="AS223" s="16">
        <v>0</v>
      </c>
      <c r="AT223" s="16">
        <v>0</v>
      </c>
      <c r="AU223" s="16">
        <v>0</v>
      </c>
      <c r="AV223" s="16">
        <v>0</v>
      </c>
      <c r="AW223" s="16">
        <v>0</v>
      </c>
      <c r="AX223" s="16">
        <v>0</v>
      </c>
      <c r="AY223" s="16">
        <v>0</v>
      </c>
      <c r="AZ223" s="16">
        <v>0</v>
      </c>
      <c r="BA223" s="16">
        <f t="shared" ref="BA223:BA235" si="358">SUM(BB223+BF223+BI223+BK223+BM223)</f>
        <v>0</v>
      </c>
      <c r="BB223" s="16">
        <f t="shared" ref="BB223:BB235" si="359">SUM(BC223:BE223)</f>
        <v>0</v>
      </c>
      <c r="BC223" s="16">
        <v>0</v>
      </c>
      <c r="BD223" s="16">
        <v>0</v>
      </c>
      <c r="BE223" s="16">
        <v>0</v>
      </c>
      <c r="BF223" s="16">
        <f t="shared" si="344"/>
        <v>0</v>
      </c>
      <c r="BG223" s="16">
        <v>0</v>
      </c>
      <c r="BH223" s="16">
        <v>0</v>
      </c>
      <c r="BI223" s="16">
        <v>0</v>
      </c>
      <c r="BJ223" s="16">
        <v>0</v>
      </c>
      <c r="BK223" s="16">
        <f t="shared" si="345"/>
        <v>0</v>
      </c>
      <c r="BL223" s="16">
        <v>0</v>
      </c>
      <c r="BM223" s="16">
        <f t="shared" si="346"/>
        <v>0</v>
      </c>
      <c r="BN223" s="16">
        <v>0</v>
      </c>
      <c r="BO223" s="16">
        <v>0</v>
      </c>
      <c r="BP223" s="16">
        <v>0</v>
      </c>
      <c r="BQ223" s="16">
        <v>0</v>
      </c>
      <c r="BR223" s="16">
        <v>0</v>
      </c>
      <c r="BS223" s="16">
        <v>0</v>
      </c>
      <c r="BT223" s="16">
        <v>0</v>
      </c>
      <c r="BU223" s="16">
        <v>0</v>
      </c>
      <c r="BV223" s="16">
        <v>0</v>
      </c>
      <c r="BW223" s="16">
        <v>0</v>
      </c>
      <c r="BX223" s="16">
        <v>0</v>
      </c>
      <c r="BY223" s="16">
        <f t="shared" ref="BY223:BY235" si="360">SUM(BZ223+CQ223)</f>
        <v>0</v>
      </c>
      <c r="BZ223" s="16">
        <f t="shared" ref="BZ223:BZ235" si="361">SUM(CA223+CD223+CJ223)</f>
        <v>0</v>
      </c>
      <c r="CA223" s="16">
        <f t="shared" si="347"/>
        <v>0</v>
      </c>
      <c r="CB223" s="16">
        <v>0</v>
      </c>
      <c r="CC223" s="16">
        <v>0</v>
      </c>
      <c r="CD223" s="16">
        <f t="shared" ref="CD223:CD235" si="362">SUM(CE223:CH223)</f>
        <v>0</v>
      </c>
      <c r="CE223" s="16">
        <v>0</v>
      </c>
      <c r="CF223" s="16">
        <v>0</v>
      </c>
      <c r="CG223" s="16">
        <v>0</v>
      </c>
      <c r="CH223" s="16">
        <v>0</v>
      </c>
      <c r="CI223" s="16">
        <v>0</v>
      </c>
      <c r="CJ223" s="16">
        <f t="shared" ref="CJ223:CJ235" si="363">SUM(CK223:CN223)</f>
        <v>0</v>
      </c>
      <c r="CK223" s="16">
        <v>0</v>
      </c>
      <c r="CL223" s="16">
        <v>0</v>
      </c>
      <c r="CM223" s="16">
        <v>0</v>
      </c>
      <c r="CN223" s="16">
        <v>0</v>
      </c>
      <c r="CO223" s="16">
        <v>0</v>
      </c>
      <c r="CP223" s="16">
        <v>0</v>
      </c>
      <c r="CQ223" s="16">
        <v>0</v>
      </c>
      <c r="CR223" s="16">
        <f t="shared" si="348"/>
        <v>0</v>
      </c>
      <c r="CS223" s="16">
        <f t="shared" si="349"/>
        <v>0</v>
      </c>
      <c r="CT223" s="16">
        <v>0</v>
      </c>
      <c r="CU223" s="17">
        <v>0</v>
      </c>
      <c r="CV223" s="38"/>
    </row>
    <row r="224" spans="1:100" s="47" customFormat="1" ht="15.75" x14ac:dyDescent="0.25">
      <c r="A224" s="13" t="s">
        <v>1</v>
      </c>
      <c r="B224" s="14" t="s">
        <v>1</v>
      </c>
      <c r="C224" s="14" t="s">
        <v>17</v>
      </c>
      <c r="D224" s="30" t="s">
        <v>256</v>
      </c>
      <c r="E224" s="15">
        <f t="shared" si="353"/>
        <v>400000</v>
      </c>
      <c r="F224" s="16">
        <f t="shared" si="354"/>
        <v>0</v>
      </c>
      <c r="G224" s="16">
        <f t="shared" si="355"/>
        <v>0</v>
      </c>
      <c r="H224" s="16">
        <v>0</v>
      </c>
      <c r="I224" s="16">
        <v>0</v>
      </c>
      <c r="J224" s="16">
        <f t="shared" si="342"/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f t="shared" si="343"/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f t="shared" si="356"/>
        <v>0</v>
      </c>
      <c r="W224" s="16">
        <v>0</v>
      </c>
      <c r="X224" s="16">
        <v>0</v>
      </c>
      <c r="Y224" s="16">
        <v>0</v>
      </c>
      <c r="Z224" s="16">
        <v>0</v>
      </c>
      <c r="AA224" s="16">
        <v>0</v>
      </c>
      <c r="AB224" s="16">
        <v>0</v>
      </c>
      <c r="AC224" s="16">
        <v>0</v>
      </c>
      <c r="AD224" s="16">
        <v>0</v>
      </c>
      <c r="AE224" s="16">
        <f t="shared" si="357"/>
        <v>0</v>
      </c>
      <c r="AF224" s="16">
        <v>0</v>
      </c>
      <c r="AG224" s="16">
        <v>0</v>
      </c>
      <c r="AH224" s="16">
        <v>0</v>
      </c>
      <c r="AI224" s="16">
        <v>0</v>
      </c>
      <c r="AJ224" s="16">
        <v>0</v>
      </c>
      <c r="AK224" s="16">
        <v>0</v>
      </c>
      <c r="AL224" s="16">
        <v>0</v>
      </c>
      <c r="AM224" s="16">
        <v>0</v>
      </c>
      <c r="AN224" s="16">
        <v>0</v>
      </c>
      <c r="AO224" s="16">
        <v>0</v>
      </c>
      <c r="AP224" s="16">
        <v>0</v>
      </c>
      <c r="AQ224" s="16">
        <v>0</v>
      </c>
      <c r="AR224" s="16">
        <v>0</v>
      </c>
      <c r="AS224" s="16">
        <v>0</v>
      </c>
      <c r="AT224" s="16">
        <v>0</v>
      </c>
      <c r="AU224" s="16">
        <v>0</v>
      </c>
      <c r="AV224" s="16">
        <v>0</v>
      </c>
      <c r="AW224" s="16">
        <v>0</v>
      </c>
      <c r="AX224" s="16">
        <v>0</v>
      </c>
      <c r="AY224" s="16">
        <v>0</v>
      </c>
      <c r="AZ224" s="16">
        <v>0</v>
      </c>
      <c r="BA224" s="16">
        <f t="shared" si="358"/>
        <v>0</v>
      </c>
      <c r="BB224" s="16">
        <f t="shared" si="359"/>
        <v>0</v>
      </c>
      <c r="BC224" s="16">
        <v>0</v>
      </c>
      <c r="BD224" s="16">
        <v>0</v>
      </c>
      <c r="BE224" s="16">
        <v>0</v>
      </c>
      <c r="BF224" s="16">
        <f t="shared" si="344"/>
        <v>0</v>
      </c>
      <c r="BG224" s="16">
        <v>0</v>
      </c>
      <c r="BH224" s="16">
        <v>0</v>
      </c>
      <c r="BI224" s="16">
        <v>0</v>
      </c>
      <c r="BJ224" s="16">
        <v>0</v>
      </c>
      <c r="BK224" s="16">
        <f t="shared" si="345"/>
        <v>0</v>
      </c>
      <c r="BL224" s="16">
        <v>0</v>
      </c>
      <c r="BM224" s="16">
        <f t="shared" si="346"/>
        <v>0</v>
      </c>
      <c r="BN224" s="16">
        <v>0</v>
      </c>
      <c r="BO224" s="16">
        <v>0</v>
      </c>
      <c r="BP224" s="16">
        <v>0</v>
      </c>
      <c r="BQ224" s="16">
        <v>0</v>
      </c>
      <c r="BR224" s="16">
        <v>0</v>
      </c>
      <c r="BS224" s="16">
        <v>0</v>
      </c>
      <c r="BT224" s="16">
        <v>0</v>
      </c>
      <c r="BU224" s="16">
        <v>0</v>
      </c>
      <c r="BV224" s="16">
        <v>0</v>
      </c>
      <c r="BW224" s="16">
        <v>0</v>
      </c>
      <c r="BX224" s="16">
        <v>0</v>
      </c>
      <c r="BY224" s="16">
        <f t="shared" si="360"/>
        <v>400000</v>
      </c>
      <c r="BZ224" s="16">
        <f t="shared" si="361"/>
        <v>400000</v>
      </c>
      <c r="CA224" s="16">
        <f t="shared" si="347"/>
        <v>400000</v>
      </c>
      <c r="CB224" s="16">
        <v>0</v>
      </c>
      <c r="CC224" s="16">
        <v>400000</v>
      </c>
      <c r="CD224" s="16">
        <f t="shared" si="362"/>
        <v>0</v>
      </c>
      <c r="CE224" s="16">
        <v>0</v>
      </c>
      <c r="CF224" s="16">
        <v>0</v>
      </c>
      <c r="CG224" s="16">
        <v>0</v>
      </c>
      <c r="CH224" s="16">
        <v>0</v>
      </c>
      <c r="CI224" s="16">
        <v>0</v>
      </c>
      <c r="CJ224" s="16">
        <f t="shared" si="363"/>
        <v>0</v>
      </c>
      <c r="CK224" s="16">
        <v>0</v>
      </c>
      <c r="CL224" s="16">
        <v>0</v>
      </c>
      <c r="CM224" s="16">
        <v>0</v>
      </c>
      <c r="CN224" s="16">
        <v>0</v>
      </c>
      <c r="CO224" s="16">
        <v>0</v>
      </c>
      <c r="CP224" s="16">
        <v>0</v>
      </c>
      <c r="CQ224" s="16">
        <v>0</v>
      </c>
      <c r="CR224" s="16">
        <f t="shared" si="348"/>
        <v>0</v>
      </c>
      <c r="CS224" s="16">
        <f t="shared" si="349"/>
        <v>0</v>
      </c>
      <c r="CT224" s="16">
        <v>0</v>
      </c>
      <c r="CU224" s="17">
        <v>0</v>
      </c>
      <c r="CV224" s="38"/>
    </row>
    <row r="225" spans="1:100" s="47" customFormat="1" ht="15.75" x14ac:dyDescent="0.25">
      <c r="A225" s="40" t="s">
        <v>1</v>
      </c>
      <c r="B225" s="41" t="s">
        <v>1</v>
      </c>
      <c r="C225" s="41" t="s">
        <v>17</v>
      </c>
      <c r="D225" s="48" t="s">
        <v>257</v>
      </c>
      <c r="E225" s="44">
        <f t="shared" si="353"/>
        <v>2798223</v>
      </c>
      <c r="F225" s="39">
        <f t="shared" si="354"/>
        <v>2798223</v>
      </c>
      <c r="G225" s="39">
        <f t="shared" si="355"/>
        <v>2798223</v>
      </c>
      <c r="H225" s="39">
        <v>0</v>
      </c>
      <c r="I225" s="39">
        <v>0</v>
      </c>
      <c r="J225" s="39">
        <f t="shared" si="342"/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f t="shared" si="343"/>
        <v>0</v>
      </c>
      <c r="R225" s="39">
        <v>0</v>
      </c>
      <c r="S225" s="39">
        <v>0</v>
      </c>
      <c r="T225" s="39">
        <v>0</v>
      </c>
      <c r="U225" s="39">
        <v>0</v>
      </c>
      <c r="V225" s="39">
        <f t="shared" si="356"/>
        <v>0</v>
      </c>
      <c r="W225" s="39">
        <v>0</v>
      </c>
      <c r="X225" s="39">
        <v>0</v>
      </c>
      <c r="Y225" s="39">
        <v>0</v>
      </c>
      <c r="Z225" s="39">
        <v>0</v>
      </c>
      <c r="AA225" s="39">
        <v>0</v>
      </c>
      <c r="AB225" s="39">
        <v>0</v>
      </c>
      <c r="AC225" s="39">
        <v>0</v>
      </c>
      <c r="AD225" s="39">
        <v>0</v>
      </c>
      <c r="AE225" s="39">
        <f t="shared" si="357"/>
        <v>2798223</v>
      </c>
      <c r="AF225" s="39">
        <v>0</v>
      </c>
      <c r="AG225" s="39">
        <v>0</v>
      </c>
      <c r="AH225" s="39">
        <v>0</v>
      </c>
      <c r="AI225" s="39">
        <v>0</v>
      </c>
      <c r="AJ225" s="39">
        <v>0</v>
      </c>
      <c r="AK225" s="39">
        <v>0</v>
      </c>
      <c r="AL225" s="39">
        <v>0</v>
      </c>
      <c r="AM225" s="39">
        <v>0</v>
      </c>
      <c r="AN225" s="39">
        <v>0</v>
      </c>
      <c r="AO225" s="39">
        <v>0</v>
      </c>
      <c r="AP225" s="39">
        <v>0</v>
      </c>
      <c r="AQ225" s="39">
        <v>0</v>
      </c>
      <c r="AR225" s="39">
        <v>0</v>
      </c>
      <c r="AS225" s="39">
        <v>0</v>
      </c>
      <c r="AT225" s="39">
        <v>0</v>
      </c>
      <c r="AU225" s="39">
        <v>0</v>
      </c>
      <c r="AV225" s="39">
        <v>0</v>
      </c>
      <c r="AW225" s="39">
        <v>0</v>
      </c>
      <c r="AX225" s="39">
        <v>0</v>
      </c>
      <c r="AY225" s="39">
        <v>0</v>
      </c>
      <c r="AZ225" s="39">
        <v>2798223</v>
      </c>
      <c r="BA225" s="39">
        <f t="shared" si="358"/>
        <v>0</v>
      </c>
      <c r="BB225" s="39">
        <f t="shared" si="359"/>
        <v>0</v>
      </c>
      <c r="BC225" s="39">
        <v>0</v>
      </c>
      <c r="BD225" s="39">
        <v>0</v>
      </c>
      <c r="BE225" s="39">
        <v>0</v>
      </c>
      <c r="BF225" s="39">
        <f t="shared" si="344"/>
        <v>0</v>
      </c>
      <c r="BG225" s="39">
        <v>0</v>
      </c>
      <c r="BH225" s="39">
        <v>0</v>
      </c>
      <c r="BI225" s="39">
        <v>0</v>
      </c>
      <c r="BJ225" s="39">
        <v>0</v>
      </c>
      <c r="BK225" s="39">
        <f t="shared" si="345"/>
        <v>0</v>
      </c>
      <c r="BL225" s="39">
        <v>0</v>
      </c>
      <c r="BM225" s="39">
        <f t="shared" si="346"/>
        <v>0</v>
      </c>
      <c r="BN225" s="39">
        <v>0</v>
      </c>
      <c r="BO225" s="39">
        <v>0</v>
      </c>
      <c r="BP225" s="39">
        <v>0</v>
      </c>
      <c r="BQ225" s="39">
        <v>0</v>
      </c>
      <c r="BR225" s="39">
        <v>0</v>
      </c>
      <c r="BS225" s="39">
        <v>0</v>
      </c>
      <c r="BT225" s="39">
        <v>0</v>
      </c>
      <c r="BU225" s="39">
        <v>0</v>
      </c>
      <c r="BV225" s="39">
        <v>0</v>
      </c>
      <c r="BW225" s="39">
        <v>0</v>
      </c>
      <c r="BX225" s="39">
        <v>0</v>
      </c>
      <c r="BY225" s="39">
        <f t="shared" si="360"/>
        <v>0</v>
      </c>
      <c r="BZ225" s="39">
        <f t="shared" si="361"/>
        <v>0</v>
      </c>
      <c r="CA225" s="39">
        <f t="shared" si="347"/>
        <v>0</v>
      </c>
      <c r="CB225" s="39">
        <v>0</v>
      </c>
      <c r="CC225" s="39">
        <v>0</v>
      </c>
      <c r="CD225" s="39">
        <f t="shared" si="362"/>
        <v>0</v>
      </c>
      <c r="CE225" s="39">
        <v>0</v>
      </c>
      <c r="CF225" s="39">
        <v>0</v>
      </c>
      <c r="CG225" s="39">
        <v>0</v>
      </c>
      <c r="CH225" s="39">
        <v>0</v>
      </c>
      <c r="CI225" s="39">
        <v>0</v>
      </c>
      <c r="CJ225" s="39">
        <f t="shared" si="363"/>
        <v>0</v>
      </c>
      <c r="CK225" s="39">
        <v>0</v>
      </c>
      <c r="CL225" s="39">
        <v>0</v>
      </c>
      <c r="CM225" s="39">
        <v>0</v>
      </c>
      <c r="CN225" s="39">
        <v>0</v>
      </c>
      <c r="CO225" s="39">
        <v>0</v>
      </c>
      <c r="CP225" s="39">
        <v>0</v>
      </c>
      <c r="CQ225" s="39">
        <v>0</v>
      </c>
      <c r="CR225" s="39">
        <f t="shared" si="348"/>
        <v>0</v>
      </c>
      <c r="CS225" s="39">
        <f t="shared" si="349"/>
        <v>0</v>
      </c>
      <c r="CT225" s="39">
        <v>0</v>
      </c>
      <c r="CU225" s="45">
        <v>0</v>
      </c>
      <c r="CV225" s="46"/>
    </row>
    <row r="226" spans="1:100" ht="15.75" x14ac:dyDescent="0.25">
      <c r="A226" s="40"/>
      <c r="B226" s="41"/>
      <c r="C226" s="42" t="s">
        <v>17</v>
      </c>
      <c r="D226" s="43" t="s">
        <v>538</v>
      </c>
      <c r="E226" s="44">
        <f t="shared" si="353"/>
        <v>11536817</v>
      </c>
      <c r="F226" s="39">
        <f t="shared" si="354"/>
        <v>11536817</v>
      </c>
      <c r="G226" s="39">
        <f t="shared" si="355"/>
        <v>11536817</v>
      </c>
      <c r="H226" s="39"/>
      <c r="I226" s="39"/>
      <c r="J226" s="39">
        <f t="shared" si="342"/>
        <v>0</v>
      </c>
      <c r="K226" s="39">
        <v>0</v>
      </c>
      <c r="L226" s="39"/>
      <c r="M226" s="39">
        <v>0</v>
      </c>
      <c r="N226" s="39">
        <v>0</v>
      </c>
      <c r="O226" s="39"/>
      <c r="P226" s="39"/>
      <c r="Q226" s="39">
        <f t="shared" si="343"/>
        <v>0</v>
      </c>
      <c r="R226" s="39"/>
      <c r="S226" s="39"/>
      <c r="T226" s="39">
        <v>0</v>
      </c>
      <c r="U226" s="39"/>
      <c r="V226" s="39">
        <f t="shared" si="356"/>
        <v>0</v>
      </c>
      <c r="W226" s="39"/>
      <c r="X226" s="39"/>
      <c r="Y226" s="39"/>
      <c r="Z226" s="39"/>
      <c r="AA226" s="39"/>
      <c r="AB226" s="39">
        <v>0</v>
      </c>
      <c r="AC226" s="39">
        <v>0</v>
      </c>
      <c r="AD226" s="39"/>
      <c r="AE226" s="39">
        <f>SUM(AF226:AZ226)</f>
        <v>11536817</v>
      </c>
      <c r="AF226" s="39">
        <v>0</v>
      </c>
      <c r="AG226" s="39"/>
      <c r="AH226" s="39"/>
      <c r="AI226" s="39">
        <v>0</v>
      </c>
      <c r="AJ226" s="39"/>
      <c r="AK226" s="39"/>
      <c r="AL226" s="39"/>
      <c r="AM226" s="39"/>
      <c r="AN226" s="39"/>
      <c r="AO226" s="39"/>
      <c r="AP226" s="39"/>
      <c r="AQ226" s="39">
        <v>0</v>
      </c>
      <c r="AR226" s="39">
        <v>0</v>
      </c>
      <c r="AS226" s="39"/>
      <c r="AT226" s="39">
        <v>0</v>
      </c>
      <c r="AU226" s="39">
        <v>0</v>
      </c>
      <c r="AV226" s="39">
        <v>0</v>
      </c>
      <c r="AW226" s="39">
        <v>0</v>
      </c>
      <c r="AX226" s="39">
        <v>0</v>
      </c>
      <c r="AY226" s="39"/>
      <c r="AZ226" s="39">
        <f>0+11536817</f>
        <v>11536817</v>
      </c>
      <c r="BA226" s="39">
        <f t="shared" si="358"/>
        <v>0</v>
      </c>
      <c r="BB226" s="39">
        <f t="shared" si="359"/>
        <v>0</v>
      </c>
      <c r="BC226" s="39">
        <v>0</v>
      </c>
      <c r="BD226" s="39">
        <v>0</v>
      </c>
      <c r="BE226" s="39">
        <v>0</v>
      </c>
      <c r="BF226" s="39">
        <f t="shared" si="344"/>
        <v>0</v>
      </c>
      <c r="BG226" s="39">
        <v>0</v>
      </c>
      <c r="BH226" s="39">
        <v>0</v>
      </c>
      <c r="BI226" s="39">
        <v>0</v>
      </c>
      <c r="BJ226" s="39">
        <v>0</v>
      </c>
      <c r="BK226" s="39">
        <f t="shared" si="345"/>
        <v>0</v>
      </c>
      <c r="BL226" s="39">
        <v>0</v>
      </c>
      <c r="BM226" s="39">
        <f t="shared" si="346"/>
        <v>0</v>
      </c>
      <c r="BN226" s="39">
        <v>0</v>
      </c>
      <c r="BO226" s="39">
        <v>0</v>
      </c>
      <c r="BP226" s="39">
        <v>0</v>
      </c>
      <c r="BQ226" s="39">
        <v>0</v>
      </c>
      <c r="BR226" s="39">
        <v>0</v>
      </c>
      <c r="BS226" s="39">
        <v>0</v>
      </c>
      <c r="BT226" s="39">
        <v>0</v>
      </c>
      <c r="BU226" s="39">
        <v>0</v>
      </c>
      <c r="BV226" s="39">
        <v>0</v>
      </c>
      <c r="BW226" s="39"/>
      <c r="BX226" s="39">
        <v>0</v>
      </c>
      <c r="BY226" s="39">
        <f t="shared" si="360"/>
        <v>0</v>
      </c>
      <c r="BZ226" s="39">
        <f t="shared" si="361"/>
        <v>0</v>
      </c>
      <c r="CA226" s="39">
        <f t="shared" si="347"/>
        <v>0</v>
      </c>
      <c r="CB226" s="39">
        <v>0</v>
      </c>
      <c r="CC226" s="39"/>
      <c r="CD226" s="39">
        <f t="shared" si="362"/>
        <v>0</v>
      </c>
      <c r="CE226" s="39">
        <v>0</v>
      </c>
      <c r="CF226" s="39">
        <v>0</v>
      </c>
      <c r="CG226" s="39">
        <v>0</v>
      </c>
      <c r="CH226" s="39">
        <v>0</v>
      </c>
      <c r="CI226" s="39">
        <v>0</v>
      </c>
      <c r="CJ226" s="39">
        <f t="shared" si="363"/>
        <v>0</v>
      </c>
      <c r="CK226" s="39">
        <v>0</v>
      </c>
      <c r="CL226" s="39">
        <v>0</v>
      </c>
      <c r="CM226" s="39"/>
      <c r="CN226" s="39">
        <v>0</v>
      </c>
      <c r="CO226" s="39">
        <f>SUM(CP226)</f>
        <v>0</v>
      </c>
      <c r="CP226" s="39"/>
      <c r="CQ226" s="39">
        <v>0</v>
      </c>
      <c r="CR226" s="39">
        <f t="shared" ref="CR226" si="364">SUM(CS226)</f>
        <v>0</v>
      </c>
      <c r="CS226" s="39">
        <f t="shared" si="349"/>
        <v>0</v>
      </c>
      <c r="CT226" s="39">
        <v>0</v>
      </c>
      <c r="CU226" s="45">
        <v>0</v>
      </c>
      <c r="CV226" s="46"/>
    </row>
    <row r="227" spans="1:100" ht="15.75" x14ac:dyDescent="0.25">
      <c r="A227" s="13" t="s">
        <v>1</v>
      </c>
      <c r="B227" s="14" t="s">
        <v>1</v>
      </c>
      <c r="C227" s="14" t="s">
        <v>17</v>
      </c>
      <c r="D227" s="30" t="s">
        <v>524</v>
      </c>
      <c r="E227" s="15">
        <f t="shared" si="353"/>
        <v>1988565</v>
      </c>
      <c r="F227" s="16">
        <f t="shared" si="354"/>
        <v>0</v>
      </c>
      <c r="G227" s="16">
        <f t="shared" si="355"/>
        <v>0</v>
      </c>
      <c r="H227" s="16">
        <v>0</v>
      </c>
      <c r="I227" s="16">
        <v>0</v>
      </c>
      <c r="J227" s="16">
        <f t="shared" si="342"/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f t="shared" si="343"/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f t="shared" si="356"/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0</v>
      </c>
      <c r="AC227" s="16">
        <v>0</v>
      </c>
      <c r="AD227" s="16">
        <v>0</v>
      </c>
      <c r="AE227" s="16">
        <f t="shared" si="357"/>
        <v>0</v>
      </c>
      <c r="AF227" s="16">
        <v>0</v>
      </c>
      <c r="AG227" s="16">
        <v>0</v>
      </c>
      <c r="AH227" s="16">
        <v>0</v>
      </c>
      <c r="AI227" s="16">
        <v>0</v>
      </c>
      <c r="AJ227" s="16">
        <v>0</v>
      </c>
      <c r="AK227" s="16">
        <v>0</v>
      </c>
      <c r="AL227" s="16">
        <v>0</v>
      </c>
      <c r="AM227" s="16">
        <v>0</v>
      </c>
      <c r="AN227" s="16">
        <v>0</v>
      </c>
      <c r="AO227" s="16">
        <v>0</v>
      </c>
      <c r="AP227" s="16">
        <v>0</v>
      </c>
      <c r="AQ227" s="16">
        <v>0</v>
      </c>
      <c r="AR227" s="16">
        <v>0</v>
      </c>
      <c r="AS227" s="16">
        <v>0</v>
      </c>
      <c r="AT227" s="16">
        <v>0</v>
      </c>
      <c r="AU227" s="16">
        <v>0</v>
      </c>
      <c r="AV227" s="16">
        <v>0</v>
      </c>
      <c r="AW227" s="16">
        <v>0</v>
      </c>
      <c r="AX227" s="16">
        <v>0</v>
      </c>
      <c r="AY227" s="16">
        <v>0</v>
      </c>
      <c r="AZ227" s="16">
        <v>0</v>
      </c>
      <c r="BA227" s="16">
        <f t="shared" si="358"/>
        <v>0</v>
      </c>
      <c r="BB227" s="16">
        <f t="shared" si="359"/>
        <v>0</v>
      </c>
      <c r="BC227" s="16">
        <v>0</v>
      </c>
      <c r="BD227" s="16">
        <v>0</v>
      </c>
      <c r="BE227" s="16">
        <v>0</v>
      </c>
      <c r="BF227" s="16">
        <f t="shared" si="344"/>
        <v>0</v>
      </c>
      <c r="BG227" s="16">
        <v>0</v>
      </c>
      <c r="BH227" s="16">
        <v>0</v>
      </c>
      <c r="BI227" s="16">
        <v>0</v>
      </c>
      <c r="BJ227" s="16">
        <v>0</v>
      </c>
      <c r="BK227" s="16">
        <f t="shared" si="345"/>
        <v>0</v>
      </c>
      <c r="BL227" s="16">
        <v>0</v>
      </c>
      <c r="BM227" s="16">
        <f t="shared" si="346"/>
        <v>0</v>
      </c>
      <c r="BN227" s="16">
        <v>0</v>
      </c>
      <c r="BO227" s="16">
        <v>0</v>
      </c>
      <c r="BP227" s="16">
        <v>0</v>
      </c>
      <c r="BQ227" s="16">
        <v>0</v>
      </c>
      <c r="BR227" s="16">
        <v>0</v>
      </c>
      <c r="BS227" s="16">
        <v>0</v>
      </c>
      <c r="BT227" s="16">
        <v>0</v>
      </c>
      <c r="BU227" s="16">
        <v>0</v>
      </c>
      <c r="BV227" s="16">
        <v>0</v>
      </c>
      <c r="BW227" s="16">
        <v>0</v>
      </c>
      <c r="BX227" s="16">
        <v>0</v>
      </c>
      <c r="BY227" s="16">
        <f t="shared" si="360"/>
        <v>1988565</v>
      </c>
      <c r="BZ227" s="16">
        <f t="shared" si="361"/>
        <v>1988565</v>
      </c>
      <c r="CA227" s="16">
        <f t="shared" si="347"/>
        <v>1988565</v>
      </c>
      <c r="CB227" s="16">
        <f>2937707-949142</f>
        <v>1988565</v>
      </c>
      <c r="CC227" s="16">
        <v>0</v>
      </c>
      <c r="CD227" s="16">
        <f t="shared" si="362"/>
        <v>0</v>
      </c>
      <c r="CE227" s="16">
        <v>0</v>
      </c>
      <c r="CF227" s="16">
        <v>0</v>
      </c>
      <c r="CG227" s="16">
        <v>0</v>
      </c>
      <c r="CH227" s="16">
        <v>0</v>
      </c>
      <c r="CI227" s="16">
        <v>0</v>
      </c>
      <c r="CJ227" s="16">
        <f t="shared" si="363"/>
        <v>0</v>
      </c>
      <c r="CK227" s="16">
        <v>0</v>
      </c>
      <c r="CL227" s="16">
        <v>0</v>
      </c>
      <c r="CM227" s="16">
        <v>0</v>
      </c>
      <c r="CN227" s="16">
        <v>0</v>
      </c>
      <c r="CO227" s="16">
        <v>0</v>
      </c>
      <c r="CP227" s="16">
        <v>0</v>
      </c>
      <c r="CQ227" s="16">
        <v>0</v>
      </c>
      <c r="CR227" s="16">
        <f t="shared" si="348"/>
        <v>0</v>
      </c>
      <c r="CS227" s="16">
        <f t="shared" si="349"/>
        <v>0</v>
      </c>
      <c r="CT227" s="16">
        <v>0</v>
      </c>
      <c r="CU227" s="17">
        <v>0</v>
      </c>
      <c r="CV227" s="46"/>
    </row>
    <row r="228" spans="1:100" ht="15.75" x14ac:dyDescent="0.25">
      <c r="A228" s="13" t="s">
        <v>1</v>
      </c>
      <c r="B228" s="14" t="s">
        <v>1</v>
      </c>
      <c r="C228" s="14" t="s">
        <v>23</v>
      </c>
      <c r="D228" s="30" t="s">
        <v>265</v>
      </c>
      <c r="E228" s="15">
        <f t="shared" si="353"/>
        <v>6630</v>
      </c>
      <c r="F228" s="16">
        <f t="shared" si="354"/>
        <v>6630</v>
      </c>
      <c r="G228" s="16">
        <f t="shared" si="355"/>
        <v>6630</v>
      </c>
      <c r="H228" s="16">
        <v>0</v>
      </c>
      <c r="I228" s="16">
        <v>0</v>
      </c>
      <c r="J228" s="16">
        <f t="shared" ref="J228:J235" si="365">SUM(K228:P228)</f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f t="shared" ref="Q228:Q235" si="366">SUM(R228:S228)</f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f t="shared" si="356"/>
        <v>0</v>
      </c>
      <c r="W228" s="16">
        <v>0</v>
      </c>
      <c r="X228" s="16">
        <v>0</v>
      </c>
      <c r="Y228" s="16">
        <v>0</v>
      </c>
      <c r="Z228" s="16">
        <v>0</v>
      </c>
      <c r="AA228" s="16">
        <v>0</v>
      </c>
      <c r="AB228" s="16">
        <v>0</v>
      </c>
      <c r="AC228" s="16">
        <v>0</v>
      </c>
      <c r="AD228" s="16">
        <v>0</v>
      </c>
      <c r="AE228" s="16">
        <f t="shared" si="357"/>
        <v>6630</v>
      </c>
      <c r="AF228" s="16">
        <v>0</v>
      </c>
      <c r="AG228" s="16">
        <v>0</v>
      </c>
      <c r="AH228" s="16">
        <v>0</v>
      </c>
      <c r="AI228" s="16">
        <v>6630</v>
      </c>
      <c r="AJ228" s="16">
        <v>0</v>
      </c>
      <c r="AK228" s="16">
        <v>0</v>
      </c>
      <c r="AL228" s="16">
        <v>0</v>
      </c>
      <c r="AM228" s="16">
        <v>0</v>
      </c>
      <c r="AN228" s="16">
        <v>0</v>
      </c>
      <c r="AO228" s="16">
        <v>0</v>
      </c>
      <c r="AP228" s="16">
        <v>0</v>
      </c>
      <c r="AQ228" s="16">
        <v>0</v>
      </c>
      <c r="AR228" s="16">
        <v>0</v>
      </c>
      <c r="AS228" s="16">
        <v>0</v>
      </c>
      <c r="AT228" s="16">
        <v>0</v>
      </c>
      <c r="AU228" s="16">
        <v>0</v>
      </c>
      <c r="AV228" s="16">
        <v>0</v>
      </c>
      <c r="AW228" s="16">
        <v>0</v>
      </c>
      <c r="AX228" s="16">
        <v>0</v>
      </c>
      <c r="AY228" s="16">
        <v>0</v>
      </c>
      <c r="AZ228" s="16">
        <v>0</v>
      </c>
      <c r="BA228" s="16">
        <f t="shared" si="358"/>
        <v>0</v>
      </c>
      <c r="BB228" s="16">
        <f t="shared" si="359"/>
        <v>0</v>
      </c>
      <c r="BC228" s="16">
        <v>0</v>
      </c>
      <c r="BD228" s="16">
        <v>0</v>
      </c>
      <c r="BE228" s="16">
        <v>0</v>
      </c>
      <c r="BF228" s="16">
        <f t="shared" ref="BF228:BF235" si="367">SUM(BG228:BH228)</f>
        <v>0</v>
      </c>
      <c r="BG228" s="16">
        <v>0</v>
      </c>
      <c r="BH228" s="16">
        <v>0</v>
      </c>
      <c r="BI228" s="16">
        <v>0</v>
      </c>
      <c r="BJ228" s="16">
        <v>0</v>
      </c>
      <c r="BK228" s="16">
        <f t="shared" ref="BK228:BK235" si="368">SUM(BL228)</f>
        <v>0</v>
      </c>
      <c r="BL228" s="16">
        <v>0</v>
      </c>
      <c r="BM228" s="16">
        <f t="shared" ref="BM228:BM235" si="369">SUM(BN228:BX228)</f>
        <v>0</v>
      </c>
      <c r="BN228" s="16">
        <v>0</v>
      </c>
      <c r="BO228" s="16">
        <v>0</v>
      </c>
      <c r="BP228" s="16">
        <v>0</v>
      </c>
      <c r="BQ228" s="16">
        <v>0</v>
      </c>
      <c r="BR228" s="16">
        <v>0</v>
      </c>
      <c r="BS228" s="16">
        <v>0</v>
      </c>
      <c r="BT228" s="16">
        <v>0</v>
      </c>
      <c r="BU228" s="16">
        <v>0</v>
      </c>
      <c r="BV228" s="16">
        <v>0</v>
      </c>
      <c r="BW228" s="16">
        <v>0</v>
      </c>
      <c r="BX228" s="16">
        <v>0</v>
      </c>
      <c r="BY228" s="16">
        <f t="shared" si="360"/>
        <v>0</v>
      </c>
      <c r="BZ228" s="16">
        <f t="shared" si="361"/>
        <v>0</v>
      </c>
      <c r="CA228" s="16">
        <f t="shared" ref="CA228:CA235" si="370">SUM(CB228:CC228)</f>
        <v>0</v>
      </c>
      <c r="CB228" s="16">
        <v>0</v>
      </c>
      <c r="CC228" s="16">
        <v>0</v>
      </c>
      <c r="CD228" s="16">
        <f t="shared" si="362"/>
        <v>0</v>
      </c>
      <c r="CE228" s="16">
        <v>0</v>
      </c>
      <c r="CF228" s="16">
        <v>0</v>
      </c>
      <c r="CG228" s="16">
        <v>0</v>
      </c>
      <c r="CH228" s="16">
        <v>0</v>
      </c>
      <c r="CI228" s="16">
        <v>0</v>
      </c>
      <c r="CJ228" s="16">
        <f t="shared" si="363"/>
        <v>0</v>
      </c>
      <c r="CK228" s="16">
        <v>0</v>
      </c>
      <c r="CL228" s="16">
        <v>0</v>
      </c>
      <c r="CM228" s="16">
        <v>0</v>
      </c>
      <c r="CN228" s="16">
        <v>0</v>
      </c>
      <c r="CO228" s="16">
        <v>0</v>
      </c>
      <c r="CP228" s="16">
        <v>0</v>
      </c>
      <c r="CQ228" s="16">
        <v>0</v>
      </c>
      <c r="CR228" s="16">
        <f t="shared" ref="CR228:CR235" si="371">SUM(CS228)</f>
        <v>0</v>
      </c>
      <c r="CS228" s="16">
        <f t="shared" ref="CS228:CS235" si="372">SUM(CT228:CU228)</f>
        <v>0</v>
      </c>
      <c r="CT228" s="16">
        <v>0</v>
      </c>
      <c r="CU228" s="17">
        <v>0</v>
      </c>
      <c r="CV228" s="46"/>
    </row>
    <row r="229" spans="1:100" ht="31.5" x14ac:dyDescent="0.25">
      <c r="A229" s="13" t="s">
        <v>1</v>
      </c>
      <c r="B229" s="14" t="s">
        <v>1</v>
      </c>
      <c r="C229" s="14" t="s">
        <v>23</v>
      </c>
      <c r="D229" s="30" t="s">
        <v>264</v>
      </c>
      <c r="E229" s="15">
        <f t="shared" si="353"/>
        <v>1015600</v>
      </c>
      <c r="F229" s="16">
        <f t="shared" si="354"/>
        <v>1015600</v>
      </c>
      <c r="G229" s="16">
        <f t="shared" si="355"/>
        <v>1015600</v>
      </c>
      <c r="H229" s="16">
        <v>0</v>
      </c>
      <c r="I229" s="16">
        <v>0</v>
      </c>
      <c r="J229" s="16">
        <f t="shared" si="365"/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f t="shared" si="366"/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f t="shared" si="356"/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f t="shared" si="357"/>
        <v>1015600</v>
      </c>
      <c r="AF229" s="16">
        <v>0</v>
      </c>
      <c r="AG229" s="16">
        <v>0</v>
      </c>
      <c r="AH229" s="16">
        <v>0</v>
      </c>
      <c r="AI229" s="16">
        <v>0</v>
      </c>
      <c r="AJ229" s="16">
        <v>1015600</v>
      </c>
      <c r="AK229" s="16">
        <v>0</v>
      </c>
      <c r="AL229" s="16">
        <v>0</v>
      </c>
      <c r="AM229" s="16">
        <v>0</v>
      </c>
      <c r="AN229" s="16">
        <v>0</v>
      </c>
      <c r="AO229" s="16">
        <v>0</v>
      </c>
      <c r="AP229" s="16">
        <v>0</v>
      </c>
      <c r="AQ229" s="16">
        <v>0</v>
      </c>
      <c r="AR229" s="16">
        <v>0</v>
      </c>
      <c r="AS229" s="16">
        <v>0</v>
      </c>
      <c r="AT229" s="16">
        <v>0</v>
      </c>
      <c r="AU229" s="16">
        <v>0</v>
      </c>
      <c r="AV229" s="16">
        <v>0</v>
      </c>
      <c r="AW229" s="16">
        <v>0</v>
      </c>
      <c r="AX229" s="16">
        <v>0</v>
      </c>
      <c r="AY229" s="16">
        <v>0</v>
      </c>
      <c r="AZ229" s="16">
        <v>0</v>
      </c>
      <c r="BA229" s="16">
        <f t="shared" si="358"/>
        <v>0</v>
      </c>
      <c r="BB229" s="16">
        <f t="shared" si="359"/>
        <v>0</v>
      </c>
      <c r="BC229" s="16">
        <v>0</v>
      </c>
      <c r="BD229" s="16">
        <v>0</v>
      </c>
      <c r="BE229" s="16">
        <v>0</v>
      </c>
      <c r="BF229" s="16">
        <f t="shared" si="367"/>
        <v>0</v>
      </c>
      <c r="BG229" s="16">
        <v>0</v>
      </c>
      <c r="BH229" s="16">
        <v>0</v>
      </c>
      <c r="BI229" s="16">
        <v>0</v>
      </c>
      <c r="BJ229" s="16">
        <v>0</v>
      </c>
      <c r="BK229" s="16">
        <f t="shared" si="368"/>
        <v>0</v>
      </c>
      <c r="BL229" s="16">
        <v>0</v>
      </c>
      <c r="BM229" s="16">
        <f t="shared" si="369"/>
        <v>0</v>
      </c>
      <c r="BN229" s="16">
        <v>0</v>
      </c>
      <c r="BO229" s="16">
        <v>0</v>
      </c>
      <c r="BP229" s="16">
        <v>0</v>
      </c>
      <c r="BQ229" s="16">
        <v>0</v>
      </c>
      <c r="BR229" s="16">
        <v>0</v>
      </c>
      <c r="BS229" s="16">
        <v>0</v>
      </c>
      <c r="BT229" s="16">
        <v>0</v>
      </c>
      <c r="BU229" s="16">
        <v>0</v>
      </c>
      <c r="BV229" s="16">
        <v>0</v>
      </c>
      <c r="BW229" s="16">
        <v>0</v>
      </c>
      <c r="BX229" s="16">
        <v>0</v>
      </c>
      <c r="BY229" s="16">
        <f t="shared" si="360"/>
        <v>0</v>
      </c>
      <c r="BZ229" s="16">
        <f t="shared" si="361"/>
        <v>0</v>
      </c>
      <c r="CA229" s="16">
        <f t="shared" si="370"/>
        <v>0</v>
      </c>
      <c r="CB229" s="16">
        <v>0</v>
      </c>
      <c r="CC229" s="16">
        <v>0</v>
      </c>
      <c r="CD229" s="16">
        <f t="shared" si="362"/>
        <v>0</v>
      </c>
      <c r="CE229" s="16">
        <v>0</v>
      </c>
      <c r="CF229" s="16">
        <v>0</v>
      </c>
      <c r="CG229" s="16">
        <v>0</v>
      </c>
      <c r="CH229" s="16">
        <v>0</v>
      </c>
      <c r="CI229" s="16">
        <v>0</v>
      </c>
      <c r="CJ229" s="16">
        <f t="shared" si="363"/>
        <v>0</v>
      </c>
      <c r="CK229" s="16">
        <v>0</v>
      </c>
      <c r="CL229" s="16">
        <v>0</v>
      </c>
      <c r="CM229" s="16">
        <v>0</v>
      </c>
      <c r="CN229" s="16">
        <v>0</v>
      </c>
      <c r="CO229" s="16">
        <v>0</v>
      </c>
      <c r="CP229" s="16">
        <v>0</v>
      </c>
      <c r="CQ229" s="16">
        <v>0</v>
      </c>
      <c r="CR229" s="16">
        <f t="shared" si="371"/>
        <v>0</v>
      </c>
      <c r="CS229" s="16">
        <f t="shared" si="372"/>
        <v>0</v>
      </c>
      <c r="CT229" s="16">
        <v>0</v>
      </c>
      <c r="CU229" s="17">
        <v>0</v>
      </c>
      <c r="CV229" s="38"/>
    </row>
    <row r="230" spans="1:100" s="47" customFormat="1" ht="31.5" x14ac:dyDescent="0.25">
      <c r="A230" s="40"/>
      <c r="B230" s="41"/>
      <c r="C230" s="42" t="s">
        <v>29</v>
      </c>
      <c r="D230" s="43" t="s">
        <v>540</v>
      </c>
      <c r="E230" s="44">
        <f>SUM(F230+BY230+CR230)</f>
        <v>1000000</v>
      </c>
      <c r="F230" s="39">
        <f>SUM(G230+BA230)</f>
        <v>1000000</v>
      </c>
      <c r="G230" s="39">
        <f>SUM(H230+I230+J230+Q230+T230+U230+V230+AE230)</f>
        <v>1000000</v>
      </c>
      <c r="H230" s="39"/>
      <c r="I230" s="39"/>
      <c r="J230" s="39">
        <f>SUM(K230:P230)</f>
        <v>0</v>
      </c>
      <c r="K230" s="39">
        <v>0</v>
      </c>
      <c r="L230" s="39"/>
      <c r="M230" s="39">
        <v>0</v>
      </c>
      <c r="N230" s="39">
        <v>0</v>
      </c>
      <c r="O230" s="39"/>
      <c r="P230" s="39"/>
      <c r="Q230" s="39">
        <f>SUM(R230:S230)</f>
        <v>0</v>
      </c>
      <c r="R230" s="39"/>
      <c r="S230" s="39"/>
      <c r="T230" s="39">
        <v>0</v>
      </c>
      <c r="U230" s="39"/>
      <c r="V230" s="39">
        <f>SUM(W230:AD230)</f>
        <v>0</v>
      </c>
      <c r="W230" s="39"/>
      <c r="X230" s="39"/>
      <c r="Y230" s="39"/>
      <c r="Z230" s="39"/>
      <c r="AA230" s="39"/>
      <c r="AB230" s="39">
        <v>0</v>
      </c>
      <c r="AC230" s="39">
        <v>0</v>
      </c>
      <c r="AD230" s="39"/>
      <c r="AE230" s="39">
        <f>SUM(AF230:AZ230)</f>
        <v>1000000</v>
      </c>
      <c r="AF230" s="39">
        <v>0</v>
      </c>
      <c r="AG230" s="39"/>
      <c r="AH230" s="39"/>
      <c r="AI230" s="39">
        <v>0</v>
      </c>
      <c r="AJ230" s="39"/>
      <c r="AK230" s="39"/>
      <c r="AL230" s="39"/>
      <c r="AM230" s="39"/>
      <c r="AN230" s="39"/>
      <c r="AO230" s="39"/>
      <c r="AP230" s="39"/>
      <c r="AQ230" s="39">
        <v>0</v>
      </c>
      <c r="AR230" s="39">
        <v>0</v>
      </c>
      <c r="AS230" s="39"/>
      <c r="AT230" s="39">
        <v>0</v>
      </c>
      <c r="AU230" s="39">
        <v>0</v>
      </c>
      <c r="AV230" s="39">
        <v>0</v>
      </c>
      <c r="AW230" s="39">
        <v>0</v>
      </c>
      <c r="AX230" s="39">
        <v>0</v>
      </c>
      <c r="AY230" s="39"/>
      <c r="AZ230" s="39">
        <f>0+1000000</f>
        <v>1000000</v>
      </c>
      <c r="BA230" s="39">
        <f>SUM(BB230+BF230+BI230+BK230+BM230)</f>
        <v>0</v>
      </c>
      <c r="BB230" s="39">
        <f>SUM(BC230:BE230)</f>
        <v>0</v>
      </c>
      <c r="BC230" s="39">
        <v>0</v>
      </c>
      <c r="BD230" s="39">
        <v>0</v>
      </c>
      <c r="BE230" s="39">
        <v>0</v>
      </c>
      <c r="BF230" s="39">
        <f>SUM(BG230:BH230)</f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>SUM(BL230)</f>
        <v>0</v>
      </c>
      <c r="BL230" s="39">
        <v>0</v>
      </c>
      <c r="BM230" s="39">
        <f>SUM(BN230:BX230)</f>
        <v>0</v>
      </c>
      <c r="BN230" s="39"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/>
      <c r="BX230" s="39">
        <v>0</v>
      </c>
      <c r="BY230" s="39">
        <f>SUM(BZ230+CQ230)</f>
        <v>0</v>
      </c>
      <c r="BZ230" s="39">
        <f>SUM(CA230+CD230+CJ230)</f>
        <v>0</v>
      </c>
      <c r="CA230" s="39">
        <f>SUM(CB230:CC230)</f>
        <v>0</v>
      </c>
      <c r="CB230" s="39">
        <v>0</v>
      </c>
      <c r="CC230" s="39"/>
      <c r="CD230" s="39">
        <f>SUM(CE230:CH230)</f>
        <v>0</v>
      </c>
      <c r="CE230" s="39"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f>SUM(CK230:CN230)</f>
        <v>0</v>
      </c>
      <c r="CK230" s="39">
        <v>0</v>
      </c>
      <c r="CL230" s="39">
        <v>0</v>
      </c>
      <c r="CM230" s="39"/>
      <c r="CN230" s="39">
        <v>0</v>
      </c>
      <c r="CO230" s="39">
        <f>SUM(CP230)</f>
        <v>0</v>
      </c>
      <c r="CP230" s="39"/>
      <c r="CQ230" s="39">
        <v>0</v>
      </c>
      <c r="CR230" s="39">
        <f t="shared" ref="CR230" si="373">SUM(CS230)</f>
        <v>0</v>
      </c>
      <c r="CS230" s="39">
        <f>SUM(CT230:CU230)</f>
        <v>0</v>
      </c>
      <c r="CT230" s="39">
        <v>0</v>
      </c>
      <c r="CU230" s="45">
        <v>0</v>
      </c>
      <c r="CV230" s="38"/>
    </row>
    <row r="231" spans="1:100" s="47" customFormat="1" ht="31.5" x14ac:dyDescent="0.25">
      <c r="A231" s="13" t="s">
        <v>1</v>
      </c>
      <c r="B231" s="14" t="s">
        <v>1</v>
      </c>
      <c r="C231" s="14" t="s">
        <v>29</v>
      </c>
      <c r="D231" s="30" t="s">
        <v>269</v>
      </c>
      <c r="E231" s="15">
        <f>SUM(F231+BY231+CR231)</f>
        <v>2000000</v>
      </c>
      <c r="F231" s="16">
        <f>SUM(G231+BA231)</f>
        <v>2000000</v>
      </c>
      <c r="G231" s="16">
        <f>SUM(H231+I231+J231+Q231+T231+U231+V231+AE231)</f>
        <v>2000000</v>
      </c>
      <c r="H231" s="16">
        <v>0</v>
      </c>
      <c r="I231" s="16">
        <v>0</v>
      </c>
      <c r="J231" s="16">
        <f>SUM(K231:P231)</f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f>SUM(R231:S231)</f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f>SUM(W231:AD231)</f>
        <v>0</v>
      </c>
      <c r="W231" s="16">
        <v>0</v>
      </c>
      <c r="X231" s="16">
        <v>0</v>
      </c>
      <c r="Y231" s="16">
        <v>0</v>
      </c>
      <c r="Z231" s="16">
        <v>0</v>
      </c>
      <c r="AA231" s="16">
        <v>0</v>
      </c>
      <c r="AB231" s="16">
        <v>0</v>
      </c>
      <c r="AC231" s="16">
        <v>0</v>
      </c>
      <c r="AD231" s="16">
        <v>0</v>
      </c>
      <c r="AE231" s="16">
        <f>SUM(AF231:AZ231)</f>
        <v>2000000</v>
      </c>
      <c r="AF231" s="16">
        <v>0</v>
      </c>
      <c r="AG231" s="16">
        <v>0</v>
      </c>
      <c r="AH231" s="16">
        <v>0</v>
      </c>
      <c r="AI231" s="16">
        <v>0</v>
      </c>
      <c r="AJ231" s="16">
        <v>0</v>
      </c>
      <c r="AK231" s="16">
        <v>0</v>
      </c>
      <c r="AL231" s="16">
        <v>0</v>
      </c>
      <c r="AM231" s="16">
        <v>0</v>
      </c>
      <c r="AN231" s="16">
        <v>0</v>
      </c>
      <c r="AO231" s="16">
        <v>0</v>
      </c>
      <c r="AP231" s="16">
        <v>0</v>
      </c>
      <c r="AQ231" s="16">
        <v>0</v>
      </c>
      <c r="AR231" s="16">
        <v>0</v>
      </c>
      <c r="AS231" s="16">
        <v>0</v>
      </c>
      <c r="AT231" s="16">
        <v>0</v>
      </c>
      <c r="AU231" s="16">
        <v>0</v>
      </c>
      <c r="AV231" s="16">
        <v>0</v>
      </c>
      <c r="AW231" s="16">
        <v>0</v>
      </c>
      <c r="AX231" s="16">
        <v>0</v>
      </c>
      <c r="AY231" s="16">
        <v>0</v>
      </c>
      <c r="AZ231" s="16">
        <v>2000000</v>
      </c>
      <c r="BA231" s="16">
        <f>SUM(BB231+BF231+BI231+BK231+BM231)</f>
        <v>0</v>
      </c>
      <c r="BB231" s="16">
        <f>SUM(BC231:BE231)</f>
        <v>0</v>
      </c>
      <c r="BC231" s="16">
        <v>0</v>
      </c>
      <c r="BD231" s="16">
        <v>0</v>
      </c>
      <c r="BE231" s="16">
        <v>0</v>
      </c>
      <c r="BF231" s="16">
        <f>SUM(BG231:BH231)</f>
        <v>0</v>
      </c>
      <c r="BG231" s="16">
        <v>0</v>
      </c>
      <c r="BH231" s="16">
        <v>0</v>
      </c>
      <c r="BI231" s="16">
        <v>0</v>
      </c>
      <c r="BJ231" s="16">
        <v>0</v>
      </c>
      <c r="BK231" s="16">
        <f>SUM(BL231)</f>
        <v>0</v>
      </c>
      <c r="BL231" s="16">
        <v>0</v>
      </c>
      <c r="BM231" s="16">
        <f>SUM(BN231:BX231)</f>
        <v>0</v>
      </c>
      <c r="BN231" s="16">
        <v>0</v>
      </c>
      <c r="BO231" s="16">
        <v>0</v>
      </c>
      <c r="BP231" s="16">
        <v>0</v>
      </c>
      <c r="BQ231" s="16">
        <v>0</v>
      </c>
      <c r="BR231" s="16">
        <v>0</v>
      </c>
      <c r="BS231" s="16">
        <v>0</v>
      </c>
      <c r="BT231" s="16">
        <v>0</v>
      </c>
      <c r="BU231" s="16">
        <v>0</v>
      </c>
      <c r="BV231" s="16">
        <v>0</v>
      </c>
      <c r="BW231" s="16">
        <v>0</v>
      </c>
      <c r="BX231" s="16">
        <v>0</v>
      </c>
      <c r="BY231" s="16">
        <f>SUM(BZ231+CQ231)</f>
        <v>0</v>
      </c>
      <c r="BZ231" s="16">
        <f>SUM(CA231+CD231+CJ231)</f>
        <v>0</v>
      </c>
      <c r="CA231" s="16">
        <f>SUM(CB231:CC231)</f>
        <v>0</v>
      </c>
      <c r="CB231" s="16">
        <v>0</v>
      </c>
      <c r="CC231" s="16">
        <v>0</v>
      </c>
      <c r="CD231" s="16">
        <f>SUM(CE231:CH231)</f>
        <v>0</v>
      </c>
      <c r="CE231" s="16">
        <v>0</v>
      </c>
      <c r="CF231" s="16">
        <v>0</v>
      </c>
      <c r="CG231" s="16">
        <v>0</v>
      </c>
      <c r="CH231" s="16">
        <v>0</v>
      </c>
      <c r="CI231" s="16">
        <v>0</v>
      </c>
      <c r="CJ231" s="16">
        <f>SUM(CK231:CN231)</f>
        <v>0</v>
      </c>
      <c r="CK231" s="16">
        <v>0</v>
      </c>
      <c r="CL231" s="16">
        <v>0</v>
      </c>
      <c r="CM231" s="16">
        <v>0</v>
      </c>
      <c r="CN231" s="16">
        <v>0</v>
      </c>
      <c r="CO231" s="16">
        <v>0</v>
      </c>
      <c r="CP231" s="16">
        <v>0</v>
      </c>
      <c r="CQ231" s="16">
        <v>0</v>
      </c>
      <c r="CR231" s="16">
        <f>SUM(CS231)</f>
        <v>0</v>
      </c>
      <c r="CS231" s="16">
        <f>SUM(CT231:CU231)</f>
        <v>0</v>
      </c>
      <c r="CT231" s="16">
        <v>0</v>
      </c>
      <c r="CU231" s="17">
        <v>0</v>
      </c>
      <c r="CV231" s="38"/>
    </row>
    <row r="232" spans="1:100" s="47" customFormat="1" ht="31.5" x14ac:dyDescent="0.25">
      <c r="A232" s="40" t="s">
        <v>1</v>
      </c>
      <c r="B232" s="41" t="s">
        <v>1</v>
      </c>
      <c r="C232" s="41" t="s">
        <v>43</v>
      </c>
      <c r="D232" s="48" t="s">
        <v>499</v>
      </c>
      <c r="E232" s="44">
        <f t="shared" si="353"/>
        <v>4214513</v>
      </c>
      <c r="F232" s="39">
        <f t="shared" si="354"/>
        <v>4214513</v>
      </c>
      <c r="G232" s="39">
        <f t="shared" si="355"/>
        <v>0</v>
      </c>
      <c r="H232" s="39">
        <v>0</v>
      </c>
      <c r="I232" s="39">
        <v>0</v>
      </c>
      <c r="J232" s="39">
        <f t="shared" si="365"/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f t="shared" si="366"/>
        <v>0</v>
      </c>
      <c r="R232" s="39">
        <v>0</v>
      </c>
      <c r="S232" s="39">
        <v>0</v>
      </c>
      <c r="T232" s="39">
        <v>0</v>
      </c>
      <c r="U232" s="39">
        <v>0</v>
      </c>
      <c r="V232" s="39">
        <f t="shared" si="356"/>
        <v>0</v>
      </c>
      <c r="W232" s="39">
        <v>0</v>
      </c>
      <c r="X232" s="39">
        <v>0</v>
      </c>
      <c r="Y232" s="39">
        <v>0</v>
      </c>
      <c r="Z232" s="39">
        <v>0</v>
      </c>
      <c r="AA232" s="39">
        <v>0</v>
      </c>
      <c r="AB232" s="39">
        <v>0</v>
      </c>
      <c r="AC232" s="39">
        <v>0</v>
      </c>
      <c r="AD232" s="39">
        <v>0</v>
      </c>
      <c r="AE232" s="39">
        <f t="shared" si="357"/>
        <v>0</v>
      </c>
      <c r="AF232" s="39">
        <v>0</v>
      </c>
      <c r="AG232" s="39">
        <v>0</v>
      </c>
      <c r="AH232" s="39">
        <v>0</v>
      </c>
      <c r="AI232" s="39">
        <v>0</v>
      </c>
      <c r="AJ232" s="39">
        <v>0</v>
      </c>
      <c r="AK232" s="39">
        <v>0</v>
      </c>
      <c r="AL232" s="39">
        <v>0</v>
      </c>
      <c r="AM232" s="39">
        <v>0</v>
      </c>
      <c r="AN232" s="39">
        <v>0</v>
      </c>
      <c r="AO232" s="39">
        <v>0</v>
      </c>
      <c r="AP232" s="39">
        <v>0</v>
      </c>
      <c r="AQ232" s="39">
        <v>0</v>
      </c>
      <c r="AR232" s="39">
        <v>0</v>
      </c>
      <c r="AS232" s="39">
        <v>0</v>
      </c>
      <c r="AT232" s="39">
        <v>0</v>
      </c>
      <c r="AU232" s="39">
        <v>0</v>
      </c>
      <c r="AV232" s="39">
        <v>0</v>
      </c>
      <c r="AW232" s="39">
        <v>0</v>
      </c>
      <c r="AX232" s="39">
        <v>0</v>
      </c>
      <c r="AY232" s="39">
        <v>0</v>
      </c>
      <c r="AZ232" s="39">
        <v>0</v>
      </c>
      <c r="BA232" s="39">
        <f t="shared" si="358"/>
        <v>4214513</v>
      </c>
      <c r="BB232" s="39">
        <f t="shared" si="359"/>
        <v>0</v>
      </c>
      <c r="BC232" s="39">
        <v>0</v>
      </c>
      <c r="BD232" s="39">
        <v>0</v>
      </c>
      <c r="BE232" s="39">
        <v>0</v>
      </c>
      <c r="BF232" s="39">
        <f t="shared" si="367"/>
        <v>0</v>
      </c>
      <c r="BG232" s="39">
        <v>0</v>
      </c>
      <c r="BH232" s="39">
        <v>0</v>
      </c>
      <c r="BI232" s="39">
        <f>1770000+2444513</f>
        <v>4214513</v>
      </c>
      <c r="BJ232" s="39">
        <f>1770000+2444513</f>
        <v>4214513</v>
      </c>
      <c r="BK232" s="39">
        <f t="shared" si="368"/>
        <v>0</v>
      </c>
      <c r="BL232" s="39">
        <v>0</v>
      </c>
      <c r="BM232" s="39">
        <f t="shared" si="369"/>
        <v>0</v>
      </c>
      <c r="BN232" s="39">
        <v>0</v>
      </c>
      <c r="BO232" s="39">
        <v>0</v>
      </c>
      <c r="BP232" s="39">
        <v>0</v>
      </c>
      <c r="BQ232" s="39">
        <v>0</v>
      </c>
      <c r="BR232" s="39">
        <v>0</v>
      </c>
      <c r="BS232" s="39">
        <v>0</v>
      </c>
      <c r="BT232" s="39">
        <v>0</v>
      </c>
      <c r="BU232" s="39">
        <v>0</v>
      </c>
      <c r="BV232" s="39">
        <v>0</v>
      </c>
      <c r="BW232" s="39">
        <v>0</v>
      </c>
      <c r="BX232" s="39">
        <v>0</v>
      </c>
      <c r="BY232" s="39">
        <f t="shared" si="360"/>
        <v>0</v>
      </c>
      <c r="BZ232" s="39">
        <f t="shared" si="361"/>
        <v>0</v>
      </c>
      <c r="CA232" s="39">
        <f t="shared" si="370"/>
        <v>0</v>
      </c>
      <c r="CB232" s="39">
        <v>0</v>
      </c>
      <c r="CC232" s="39">
        <v>0</v>
      </c>
      <c r="CD232" s="39">
        <f t="shared" si="362"/>
        <v>0</v>
      </c>
      <c r="CE232" s="39">
        <v>0</v>
      </c>
      <c r="CF232" s="39">
        <v>0</v>
      </c>
      <c r="CG232" s="39">
        <v>0</v>
      </c>
      <c r="CH232" s="39">
        <v>0</v>
      </c>
      <c r="CI232" s="39">
        <v>0</v>
      </c>
      <c r="CJ232" s="39">
        <f t="shared" si="363"/>
        <v>0</v>
      </c>
      <c r="CK232" s="39">
        <v>0</v>
      </c>
      <c r="CL232" s="39">
        <v>0</v>
      </c>
      <c r="CM232" s="39">
        <v>0</v>
      </c>
      <c r="CN232" s="39">
        <v>0</v>
      </c>
      <c r="CO232" s="39">
        <v>0</v>
      </c>
      <c r="CP232" s="39">
        <v>0</v>
      </c>
      <c r="CQ232" s="39">
        <v>0</v>
      </c>
      <c r="CR232" s="39">
        <f t="shared" si="371"/>
        <v>0</v>
      </c>
      <c r="CS232" s="39">
        <f t="shared" si="372"/>
        <v>0</v>
      </c>
      <c r="CT232" s="39">
        <v>0</v>
      </c>
      <c r="CU232" s="45">
        <v>0</v>
      </c>
      <c r="CV232" s="38"/>
    </row>
    <row r="233" spans="1:100" s="47" customFormat="1" ht="31.5" x14ac:dyDescent="0.25">
      <c r="A233" s="40"/>
      <c r="B233" s="41"/>
      <c r="C233" s="42" t="s">
        <v>43</v>
      </c>
      <c r="D233" s="43" t="s">
        <v>541</v>
      </c>
      <c r="E233" s="44">
        <f t="shared" si="353"/>
        <v>5549486</v>
      </c>
      <c r="F233" s="39">
        <f t="shared" si="354"/>
        <v>5549486</v>
      </c>
      <c r="G233" s="39">
        <f t="shared" si="355"/>
        <v>5549486</v>
      </c>
      <c r="H233" s="39"/>
      <c r="I233" s="39"/>
      <c r="J233" s="39">
        <f t="shared" si="365"/>
        <v>0</v>
      </c>
      <c r="K233" s="39">
        <v>0</v>
      </c>
      <c r="L233" s="39"/>
      <c r="M233" s="39">
        <v>0</v>
      </c>
      <c r="N233" s="39">
        <v>0</v>
      </c>
      <c r="O233" s="39"/>
      <c r="P233" s="39"/>
      <c r="Q233" s="39">
        <f t="shared" si="366"/>
        <v>0</v>
      </c>
      <c r="R233" s="39"/>
      <c r="S233" s="39"/>
      <c r="T233" s="39">
        <v>0</v>
      </c>
      <c r="U233" s="39"/>
      <c r="V233" s="39">
        <f t="shared" si="356"/>
        <v>0</v>
      </c>
      <c r="W233" s="39"/>
      <c r="X233" s="39"/>
      <c r="Y233" s="39"/>
      <c r="Z233" s="39"/>
      <c r="AA233" s="39"/>
      <c r="AB233" s="39">
        <v>0</v>
      </c>
      <c r="AC233" s="39">
        <v>0</v>
      </c>
      <c r="AD233" s="39"/>
      <c r="AE233" s="39">
        <f>SUM(AF233:AZ233)</f>
        <v>5549486</v>
      </c>
      <c r="AF233" s="39">
        <v>0</v>
      </c>
      <c r="AG233" s="39"/>
      <c r="AH233" s="39"/>
      <c r="AI233" s="39">
        <v>0</v>
      </c>
      <c r="AJ233" s="39"/>
      <c r="AK233" s="39"/>
      <c r="AL233" s="39"/>
      <c r="AM233" s="39"/>
      <c r="AN233" s="39"/>
      <c r="AO233" s="39"/>
      <c r="AP233" s="39"/>
      <c r="AQ233" s="39">
        <v>0</v>
      </c>
      <c r="AR233" s="39">
        <v>0</v>
      </c>
      <c r="AS233" s="39"/>
      <c r="AT233" s="39">
        <v>0</v>
      </c>
      <c r="AU233" s="39">
        <v>0</v>
      </c>
      <c r="AV233" s="39">
        <v>0</v>
      </c>
      <c r="AW233" s="39">
        <v>0</v>
      </c>
      <c r="AX233" s="39">
        <v>0</v>
      </c>
      <c r="AY233" s="39"/>
      <c r="AZ233" s="39">
        <f>0+5549486</f>
        <v>5549486</v>
      </c>
      <c r="BA233" s="39">
        <f t="shared" si="358"/>
        <v>0</v>
      </c>
      <c r="BB233" s="39">
        <f t="shared" si="359"/>
        <v>0</v>
      </c>
      <c r="BC233" s="39">
        <v>0</v>
      </c>
      <c r="BD233" s="39">
        <v>0</v>
      </c>
      <c r="BE233" s="39">
        <v>0</v>
      </c>
      <c r="BF233" s="39">
        <f t="shared" si="367"/>
        <v>0</v>
      </c>
      <c r="BG233" s="39">
        <v>0</v>
      </c>
      <c r="BH233" s="39">
        <v>0</v>
      </c>
      <c r="BI233" s="39">
        <v>0</v>
      </c>
      <c r="BJ233" s="39">
        <v>0</v>
      </c>
      <c r="BK233" s="39">
        <f t="shared" si="368"/>
        <v>0</v>
      </c>
      <c r="BL233" s="39">
        <v>0</v>
      </c>
      <c r="BM233" s="39">
        <f t="shared" si="369"/>
        <v>0</v>
      </c>
      <c r="BN233" s="39">
        <v>0</v>
      </c>
      <c r="BO233" s="39">
        <v>0</v>
      </c>
      <c r="BP233" s="39">
        <v>0</v>
      </c>
      <c r="BQ233" s="39">
        <v>0</v>
      </c>
      <c r="BR233" s="39">
        <v>0</v>
      </c>
      <c r="BS233" s="39">
        <v>0</v>
      </c>
      <c r="BT233" s="39">
        <v>0</v>
      </c>
      <c r="BU233" s="39">
        <v>0</v>
      </c>
      <c r="BV233" s="39">
        <v>0</v>
      </c>
      <c r="BW233" s="39"/>
      <c r="BX233" s="39">
        <v>0</v>
      </c>
      <c r="BY233" s="39">
        <f t="shared" si="360"/>
        <v>0</v>
      </c>
      <c r="BZ233" s="39">
        <f t="shared" si="361"/>
        <v>0</v>
      </c>
      <c r="CA233" s="39">
        <f t="shared" si="370"/>
        <v>0</v>
      </c>
      <c r="CB233" s="39">
        <v>0</v>
      </c>
      <c r="CC233" s="39"/>
      <c r="CD233" s="39">
        <f t="shared" si="362"/>
        <v>0</v>
      </c>
      <c r="CE233" s="39">
        <v>0</v>
      </c>
      <c r="CF233" s="39">
        <v>0</v>
      </c>
      <c r="CG233" s="39">
        <v>0</v>
      </c>
      <c r="CH233" s="39">
        <v>0</v>
      </c>
      <c r="CI233" s="39">
        <v>0</v>
      </c>
      <c r="CJ233" s="39">
        <f t="shared" si="363"/>
        <v>0</v>
      </c>
      <c r="CK233" s="39">
        <v>0</v>
      </c>
      <c r="CL233" s="39">
        <v>0</v>
      </c>
      <c r="CM233" s="39"/>
      <c r="CN233" s="39">
        <v>0</v>
      </c>
      <c r="CO233" s="39">
        <f>SUM(CP233)</f>
        <v>0</v>
      </c>
      <c r="CP233" s="39"/>
      <c r="CQ233" s="39">
        <v>0</v>
      </c>
      <c r="CR233" s="39">
        <f t="shared" ref="CR233" si="374">SUM(CS233)</f>
        <v>0</v>
      </c>
      <c r="CS233" s="39">
        <f t="shared" si="372"/>
        <v>0</v>
      </c>
      <c r="CT233" s="39">
        <v>0</v>
      </c>
      <c r="CU233" s="45">
        <v>0</v>
      </c>
      <c r="CV233" s="38"/>
    </row>
    <row r="234" spans="1:100" ht="31.5" x14ac:dyDescent="0.25">
      <c r="A234" s="13" t="s">
        <v>1</v>
      </c>
      <c r="B234" s="14" t="s">
        <v>1</v>
      </c>
      <c r="C234" s="14" t="s">
        <v>43</v>
      </c>
      <c r="D234" s="30" t="s">
        <v>498</v>
      </c>
      <c r="E234" s="15">
        <f t="shared" si="353"/>
        <v>400000</v>
      </c>
      <c r="F234" s="16">
        <f t="shared" si="354"/>
        <v>0</v>
      </c>
      <c r="G234" s="16">
        <f t="shared" si="355"/>
        <v>0</v>
      </c>
      <c r="H234" s="16">
        <v>0</v>
      </c>
      <c r="I234" s="16">
        <v>0</v>
      </c>
      <c r="J234" s="16">
        <f t="shared" si="365"/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f t="shared" si="366"/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f t="shared" si="356"/>
        <v>0</v>
      </c>
      <c r="W234" s="16">
        <v>0</v>
      </c>
      <c r="X234" s="16">
        <v>0</v>
      </c>
      <c r="Y234" s="16">
        <v>0</v>
      </c>
      <c r="Z234" s="16">
        <v>0</v>
      </c>
      <c r="AA234" s="16">
        <v>0</v>
      </c>
      <c r="AB234" s="16">
        <v>0</v>
      </c>
      <c r="AC234" s="16">
        <v>0</v>
      </c>
      <c r="AD234" s="16">
        <v>0</v>
      </c>
      <c r="AE234" s="16">
        <f t="shared" si="357"/>
        <v>0</v>
      </c>
      <c r="AF234" s="16">
        <v>0</v>
      </c>
      <c r="AG234" s="16">
        <v>0</v>
      </c>
      <c r="AH234" s="16">
        <v>0</v>
      </c>
      <c r="AI234" s="16">
        <v>0</v>
      </c>
      <c r="AJ234" s="16">
        <v>0</v>
      </c>
      <c r="AK234" s="16">
        <v>0</v>
      </c>
      <c r="AL234" s="16">
        <v>0</v>
      </c>
      <c r="AM234" s="16">
        <v>0</v>
      </c>
      <c r="AN234" s="16">
        <v>0</v>
      </c>
      <c r="AO234" s="16">
        <v>0</v>
      </c>
      <c r="AP234" s="16">
        <v>0</v>
      </c>
      <c r="AQ234" s="16">
        <v>0</v>
      </c>
      <c r="AR234" s="16">
        <v>0</v>
      </c>
      <c r="AS234" s="16">
        <v>0</v>
      </c>
      <c r="AT234" s="16">
        <v>0</v>
      </c>
      <c r="AU234" s="16">
        <v>0</v>
      </c>
      <c r="AV234" s="16">
        <v>0</v>
      </c>
      <c r="AW234" s="16">
        <v>0</v>
      </c>
      <c r="AX234" s="16">
        <v>0</v>
      </c>
      <c r="AY234" s="16">
        <v>0</v>
      </c>
      <c r="AZ234" s="16">
        <v>0</v>
      </c>
      <c r="BA234" s="16">
        <f t="shared" si="358"/>
        <v>0</v>
      </c>
      <c r="BB234" s="16">
        <f t="shared" si="359"/>
        <v>0</v>
      </c>
      <c r="BC234" s="16">
        <v>0</v>
      </c>
      <c r="BD234" s="16">
        <v>0</v>
      </c>
      <c r="BE234" s="16">
        <v>0</v>
      </c>
      <c r="BF234" s="16">
        <f t="shared" si="367"/>
        <v>0</v>
      </c>
      <c r="BG234" s="16">
        <v>0</v>
      </c>
      <c r="BH234" s="16">
        <v>0</v>
      </c>
      <c r="BI234" s="16">
        <v>0</v>
      </c>
      <c r="BJ234" s="16">
        <v>0</v>
      </c>
      <c r="BK234" s="16">
        <f t="shared" si="368"/>
        <v>0</v>
      </c>
      <c r="BL234" s="16">
        <v>0</v>
      </c>
      <c r="BM234" s="16">
        <f t="shared" si="369"/>
        <v>0</v>
      </c>
      <c r="BN234" s="16">
        <v>0</v>
      </c>
      <c r="BO234" s="16">
        <v>0</v>
      </c>
      <c r="BP234" s="16">
        <v>0</v>
      </c>
      <c r="BQ234" s="16">
        <v>0</v>
      </c>
      <c r="BR234" s="16">
        <v>0</v>
      </c>
      <c r="BS234" s="16">
        <v>0</v>
      </c>
      <c r="BT234" s="16">
        <v>0</v>
      </c>
      <c r="BU234" s="16">
        <v>0</v>
      </c>
      <c r="BV234" s="16">
        <v>0</v>
      </c>
      <c r="BW234" s="16">
        <v>0</v>
      </c>
      <c r="BX234" s="16">
        <v>0</v>
      </c>
      <c r="BY234" s="16">
        <f t="shared" si="360"/>
        <v>400000</v>
      </c>
      <c r="BZ234" s="16">
        <f t="shared" si="361"/>
        <v>400000</v>
      </c>
      <c r="CA234" s="16">
        <f t="shared" si="370"/>
        <v>400000</v>
      </c>
      <c r="CB234" s="16">
        <v>0</v>
      </c>
      <c r="CC234" s="16">
        <v>400000</v>
      </c>
      <c r="CD234" s="16">
        <f t="shared" si="362"/>
        <v>0</v>
      </c>
      <c r="CE234" s="16">
        <v>0</v>
      </c>
      <c r="CF234" s="16">
        <v>0</v>
      </c>
      <c r="CG234" s="16">
        <v>0</v>
      </c>
      <c r="CH234" s="16">
        <v>0</v>
      </c>
      <c r="CI234" s="16">
        <v>0</v>
      </c>
      <c r="CJ234" s="16">
        <f t="shared" si="363"/>
        <v>0</v>
      </c>
      <c r="CK234" s="16">
        <v>0</v>
      </c>
      <c r="CL234" s="16">
        <v>0</v>
      </c>
      <c r="CM234" s="16">
        <v>0</v>
      </c>
      <c r="CN234" s="16">
        <v>0</v>
      </c>
      <c r="CO234" s="16">
        <v>0</v>
      </c>
      <c r="CP234" s="16">
        <v>0</v>
      </c>
      <c r="CQ234" s="16">
        <v>0</v>
      </c>
      <c r="CR234" s="16">
        <f t="shared" si="371"/>
        <v>0</v>
      </c>
      <c r="CS234" s="16">
        <f t="shared" si="372"/>
        <v>0</v>
      </c>
      <c r="CT234" s="16">
        <v>0</v>
      </c>
      <c r="CU234" s="17">
        <v>0</v>
      </c>
      <c r="CV234" s="38"/>
    </row>
    <row r="235" spans="1:100" ht="15.75" x14ac:dyDescent="0.25">
      <c r="A235" s="13" t="s">
        <v>1</v>
      </c>
      <c r="B235" s="14" t="s">
        <v>1</v>
      </c>
      <c r="C235" s="14" t="s">
        <v>43</v>
      </c>
      <c r="D235" s="30" t="s">
        <v>287</v>
      </c>
      <c r="E235" s="15">
        <f t="shared" si="353"/>
        <v>155620844</v>
      </c>
      <c r="F235" s="16">
        <f t="shared" si="354"/>
        <v>155620844</v>
      </c>
      <c r="G235" s="16">
        <f t="shared" si="355"/>
        <v>0</v>
      </c>
      <c r="H235" s="16">
        <v>0</v>
      </c>
      <c r="I235" s="16">
        <v>0</v>
      </c>
      <c r="J235" s="16">
        <f t="shared" si="365"/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f t="shared" si="366"/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f t="shared" si="356"/>
        <v>0</v>
      </c>
      <c r="W235" s="16">
        <v>0</v>
      </c>
      <c r="X235" s="16">
        <v>0</v>
      </c>
      <c r="Y235" s="16">
        <v>0</v>
      </c>
      <c r="Z235" s="16">
        <v>0</v>
      </c>
      <c r="AA235" s="16">
        <v>0</v>
      </c>
      <c r="AB235" s="16">
        <v>0</v>
      </c>
      <c r="AC235" s="16">
        <v>0</v>
      </c>
      <c r="AD235" s="16">
        <v>0</v>
      </c>
      <c r="AE235" s="16">
        <f t="shared" si="357"/>
        <v>0</v>
      </c>
      <c r="AF235" s="16">
        <v>0</v>
      </c>
      <c r="AG235" s="16">
        <v>0</v>
      </c>
      <c r="AH235" s="16">
        <v>0</v>
      </c>
      <c r="AI235" s="16">
        <v>0</v>
      </c>
      <c r="AJ235" s="16">
        <v>0</v>
      </c>
      <c r="AK235" s="16">
        <v>0</v>
      </c>
      <c r="AL235" s="16">
        <v>0</v>
      </c>
      <c r="AM235" s="16">
        <v>0</v>
      </c>
      <c r="AN235" s="16">
        <v>0</v>
      </c>
      <c r="AO235" s="16">
        <v>0</v>
      </c>
      <c r="AP235" s="16">
        <v>0</v>
      </c>
      <c r="AQ235" s="16">
        <v>0</v>
      </c>
      <c r="AR235" s="16">
        <v>0</v>
      </c>
      <c r="AS235" s="16">
        <v>0</v>
      </c>
      <c r="AT235" s="16">
        <v>0</v>
      </c>
      <c r="AU235" s="16">
        <v>0</v>
      </c>
      <c r="AV235" s="16">
        <v>0</v>
      </c>
      <c r="AW235" s="16">
        <v>0</v>
      </c>
      <c r="AX235" s="16">
        <v>0</v>
      </c>
      <c r="AY235" s="16">
        <v>0</v>
      </c>
      <c r="AZ235" s="16">
        <v>0</v>
      </c>
      <c r="BA235" s="16">
        <f t="shared" si="358"/>
        <v>155620844</v>
      </c>
      <c r="BB235" s="16">
        <f t="shared" si="359"/>
        <v>0</v>
      </c>
      <c r="BC235" s="16">
        <v>0</v>
      </c>
      <c r="BD235" s="16">
        <v>0</v>
      </c>
      <c r="BE235" s="16">
        <v>0</v>
      </c>
      <c r="BF235" s="16">
        <f t="shared" si="367"/>
        <v>0</v>
      </c>
      <c r="BG235" s="16">
        <v>0</v>
      </c>
      <c r="BH235" s="16">
        <v>0</v>
      </c>
      <c r="BI235" s="16">
        <f>184190878+6235844-34805878</f>
        <v>155620844</v>
      </c>
      <c r="BJ235" s="16">
        <v>0</v>
      </c>
      <c r="BK235" s="16">
        <f t="shared" si="368"/>
        <v>0</v>
      </c>
      <c r="BL235" s="16">
        <v>0</v>
      </c>
      <c r="BM235" s="16">
        <f t="shared" si="369"/>
        <v>0</v>
      </c>
      <c r="BN235" s="16">
        <v>0</v>
      </c>
      <c r="BO235" s="16">
        <v>0</v>
      </c>
      <c r="BP235" s="16">
        <v>0</v>
      </c>
      <c r="BQ235" s="16">
        <v>0</v>
      </c>
      <c r="BR235" s="16">
        <v>0</v>
      </c>
      <c r="BS235" s="16">
        <v>0</v>
      </c>
      <c r="BT235" s="16">
        <v>0</v>
      </c>
      <c r="BU235" s="16">
        <v>0</v>
      </c>
      <c r="BV235" s="16">
        <v>0</v>
      </c>
      <c r="BW235" s="16">
        <v>0</v>
      </c>
      <c r="BX235" s="16">
        <v>0</v>
      </c>
      <c r="BY235" s="16">
        <f t="shared" si="360"/>
        <v>0</v>
      </c>
      <c r="BZ235" s="16">
        <f t="shared" si="361"/>
        <v>0</v>
      </c>
      <c r="CA235" s="16">
        <f t="shared" si="370"/>
        <v>0</v>
      </c>
      <c r="CB235" s="16">
        <v>0</v>
      </c>
      <c r="CC235" s="16">
        <v>0</v>
      </c>
      <c r="CD235" s="16">
        <f t="shared" si="362"/>
        <v>0</v>
      </c>
      <c r="CE235" s="16">
        <v>0</v>
      </c>
      <c r="CF235" s="16">
        <v>0</v>
      </c>
      <c r="CG235" s="16">
        <v>0</v>
      </c>
      <c r="CH235" s="16">
        <v>0</v>
      </c>
      <c r="CI235" s="16">
        <v>0</v>
      </c>
      <c r="CJ235" s="16">
        <f t="shared" si="363"/>
        <v>0</v>
      </c>
      <c r="CK235" s="16">
        <v>0</v>
      </c>
      <c r="CL235" s="16">
        <v>0</v>
      </c>
      <c r="CM235" s="16">
        <v>0</v>
      </c>
      <c r="CN235" s="16">
        <v>0</v>
      </c>
      <c r="CO235" s="16">
        <v>0</v>
      </c>
      <c r="CP235" s="16">
        <v>0</v>
      </c>
      <c r="CQ235" s="16">
        <v>0</v>
      </c>
      <c r="CR235" s="16">
        <f t="shared" si="371"/>
        <v>0</v>
      </c>
      <c r="CS235" s="16">
        <f t="shared" si="372"/>
        <v>0</v>
      </c>
      <c r="CT235" s="16">
        <v>0</v>
      </c>
      <c r="CU235" s="17">
        <v>0</v>
      </c>
      <c r="CV235" s="46"/>
    </row>
    <row r="236" spans="1:100" ht="15.75" x14ac:dyDescent="0.25">
      <c r="A236" s="13"/>
      <c r="B236" s="14"/>
      <c r="C236" s="14"/>
      <c r="D236" s="30" t="s">
        <v>483</v>
      </c>
      <c r="E236" s="15">
        <f>SUM(E237:E263)</f>
        <v>276016272</v>
      </c>
      <c r="F236" s="15">
        <f t="shared" ref="F236:BS236" si="375">SUM(F237:F263)</f>
        <v>253636676</v>
      </c>
      <c r="G236" s="15">
        <f t="shared" si="375"/>
        <v>253631676</v>
      </c>
      <c r="H236" s="15">
        <f t="shared" si="375"/>
        <v>96674574</v>
      </c>
      <c r="I236" s="15">
        <f t="shared" si="375"/>
        <v>19205097</v>
      </c>
      <c r="J236" s="15">
        <f t="shared" si="375"/>
        <v>49579000</v>
      </c>
      <c r="K236" s="15">
        <f t="shared" si="375"/>
        <v>15066346</v>
      </c>
      <c r="L236" s="15">
        <f t="shared" si="375"/>
        <v>2737489</v>
      </c>
      <c r="M236" s="15">
        <f t="shared" si="375"/>
        <v>4345236</v>
      </c>
      <c r="N236" s="15">
        <f t="shared" si="375"/>
        <v>4013</v>
      </c>
      <c r="O236" s="15">
        <f t="shared" si="375"/>
        <v>10663322</v>
      </c>
      <c r="P236" s="15">
        <f t="shared" si="375"/>
        <v>16762594</v>
      </c>
      <c r="Q236" s="15">
        <f t="shared" si="375"/>
        <v>784928</v>
      </c>
      <c r="R236" s="15">
        <f t="shared" si="375"/>
        <v>157396</v>
      </c>
      <c r="S236" s="15">
        <f t="shared" si="375"/>
        <v>627532</v>
      </c>
      <c r="T236" s="15">
        <f t="shared" si="375"/>
        <v>308024</v>
      </c>
      <c r="U236" s="15">
        <f t="shared" si="375"/>
        <v>1870446</v>
      </c>
      <c r="V236" s="15">
        <f t="shared" si="375"/>
        <v>33835073</v>
      </c>
      <c r="W236" s="15">
        <f t="shared" si="375"/>
        <v>2265401</v>
      </c>
      <c r="X236" s="15">
        <f t="shared" si="375"/>
        <v>4112830</v>
      </c>
      <c r="Y236" s="15">
        <f t="shared" si="375"/>
        <v>25120413</v>
      </c>
      <c r="Z236" s="15">
        <f t="shared" si="375"/>
        <v>1110168</v>
      </c>
      <c r="AA236" s="15">
        <f t="shared" si="375"/>
        <v>741987</v>
      </c>
      <c r="AB236" s="15">
        <f t="shared" si="375"/>
        <v>302713</v>
      </c>
      <c r="AC236" s="15">
        <f t="shared" si="375"/>
        <v>0</v>
      </c>
      <c r="AD236" s="15">
        <f t="shared" ref="AD236" si="376">SUM(AD237:AD263)</f>
        <v>181561</v>
      </c>
      <c r="AE236" s="15">
        <f t="shared" si="375"/>
        <v>51374534</v>
      </c>
      <c r="AF236" s="15">
        <f t="shared" si="375"/>
        <v>339000</v>
      </c>
      <c r="AG236" s="15">
        <f t="shared" si="375"/>
        <v>4883673</v>
      </c>
      <c r="AH236" s="15">
        <f t="shared" si="375"/>
        <v>9125356</v>
      </c>
      <c r="AI236" s="15">
        <f t="shared" si="375"/>
        <v>858749</v>
      </c>
      <c r="AJ236" s="15">
        <f t="shared" si="375"/>
        <v>917052</v>
      </c>
      <c r="AK236" s="15">
        <f t="shared" si="375"/>
        <v>15380</v>
      </c>
      <c r="AL236" s="15">
        <f t="shared" si="375"/>
        <v>517490</v>
      </c>
      <c r="AM236" s="15">
        <f t="shared" si="375"/>
        <v>2843983</v>
      </c>
      <c r="AN236" s="15">
        <f t="shared" si="375"/>
        <v>15000</v>
      </c>
      <c r="AO236" s="15">
        <f t="shared" si="375"/>
        <v>22635</v>
      </c>
      <c r="AP236" s="15">
        <f>SUM(AP237:AP263)</f>
        <v>974849</v>
      </c>
      <c r="AQ236" s="15">
        <f t="shared" si="375"/>
        <v>101307</v>
      </c>
      <c r="AR236" s="15">
        <f t="shared" si="375"/>
        <v>752247</v>
      </c>
      <c r="AS236" s="15">
        <f t="shared" si="375"/>
        <v>435115</v>
      </c>
      <c r="AT236" s="15">
        <f t="shared" si="375"/>
        <v>0</v>
      </c>
      <c r="AU236" s="15">
        <f t="shared" si="375"/>
        <v>5888</v>
      </c>
      <c r="AV236" s="15">
        <f t="shared" si="375"/>
        <v>61706</v>
      </c>
      <c r="AW236" s="15">
        <f t="shared" si="375"/>
        <v>1600375</v>
      </c>
      <c r="AX236" s="15">
        <f t="shared" si="375"/>
        <v>0</v>
      </c>
      <c r="AY236" s="15">
        <f t="shared" si="375"/>
        <v>0</v>
      </c>
      <c r="AZ236" s="15">
        <f t="shared" si="375"/>
        <v>27904729</v>
      </c>
      <c r="BA236" s="15">
        <f t="shared" si="375"/>
        <v>5000</v>
      </c>
      <c r="BB236" s="15">
        <f t="shared" si="375"/>
        <v>0</v>
      </c>
      <c r="BC236" s="15">
        <f t="shared" si="375"/>
        <v>0</v>
      </c>
      <c r="BD236" s="15">
        <f t="shared" si="375"/>
        <v>0</v>
      </c>
      <c r="BE236" s="15">
        <f t="shared" si="375"/>
        <v>0</v>
      </c>
      <c r="BF236" s="15">
        <f t="shared" si="375"/>
        <v>0</v>
      </c>
      <c r="BG236" s="15">
        <f t="shared" si="375"/>
        <v>0</v>
      </c>
      <c r="BH236" s="15">
        <f t="shared" si="375"/>
        <v>0</v>
      </c>
      <c r="BI236" s="15">
        <f t="shared" si="375"/>
        <v>0</v>
      </c>
      <c r="BJ236" s="15">
        <f t="shared" si="375"/>
        <v>0</v>
      </c>
      <c r="BK236" s="15">
        <f t="shared" si="375"/>
        <v>0</v>
      </c>
      <c r="BL236" s="15">
        <f t="shared" si="375"/>
        <v>0</v>
      </c>
      <c r="BM236" s="15">
        <f t="shared" si="375"/>
        <v>5000</v>
      </c>
      <c r="BN236" s="15">
        <f t="shared" si="375"/>
        <v>0</v>
      </c>
      <c r="BO236" s="15">
        <f t="shared" si="375"/>
        <v>0</v>
      </c>
      <c r="BP236" s="15">
        <f t="shared" si="375"/>
        <v>5000</v>
      </c>
      <c r="BQ236" s="15">
        <f t="shared" si="375"/>
        <v>0</v>
      </c>
      <c r="BR236" s="15">
        <f t="shared" si="375"/>
        <v>0</v>
      </c>
      <c r="BS236" s="15">
        <f t="shared" si="375"/>
        <v>0</v>
      </c>
      <c r="BT236" s="15">
        <f t="shared" ref="BT236:CU236" si="377">SUM(BT237:BT263)</f>
        <v>0</v>
      </c>
      <c r="BU236" s="15">
        <f t="shared" si="377"/>
        <v>0</v>
      </c>
      <c r="BV236" s="15">
        <f t="shared" si="377"/>
        <v>0</v>
      </c>
      <c r="BW236" s="15">
        <f t="shared" si="377"/>
        <v>0</v>
      </c>
      <c r="BX236" s="15">
        <f t="shared" si="377"/>
        <v>0</v>
      </c>
      <c r="BY236" s="15">
        <f t="shared" si="377"/>
        <v>22379596</v>
      </c>
      <c r="BZ236" s="15">
        <f t="shared" si="377"/>
        <v>22379596</v>
      </c>
      <c r="CA236" s="15">
        <f t="shared" si="377"/>
        <v>14751905</v>
      </c>
      <c r="CB236" s="15">
        <f t="shared" si="377"/>
        <v>1000000</v>
      </c>
      <c r="CC236" s="15">
        <f t="shared" si="377"/>
        <v>13751905</v>
      </c>
      <c r="CD236" s="15">
        <f t="shared" si="377"/>
        <v>800000</v>
      </c>
      <c r="CE236" s="15">
        <f t="shared" si="377"/>
        <v>0</v>
      </c>
      <c r="CF236" s="15">
        <f t="shared" si="377"/>
        <v>0</v>
      </c>
      <c r="CG236" s="15">
        <f t="shared" si="377"/>
        <v>800000</v>
      </c>
      <c r="CH236" s="15">
        <f t="shared" si="377"/>
        <v>0</v>
      </c>
      <c r="CI236" s="15">
        <f t="shared" ref="CI236" si="378">SUM(CI237:CI263)</f>
        <v>0</v>
      </c>
      <c r="CJ236" s="15">
        <f t="shared" si="377"/>
        <v>6827691</v>
      </c>
      <c r="CK236" s="15">
        <f t="shared" si="377"/>
        <v>0</v>
      </c>
      <c r="CL236" s="15">
        <f t="shared" si="377"/>
        <v>4863137</v>
      </c>
      <c r="CM236" s="15">
        <f t="shared" si="377"/>
        <v>1245122</v>
      </c>
      <c r="CN236" s="15">
        <f t="shared" si="377"/>
        <v>719432</v>
      </c>
      <c r="CO236" s="15">
        <f t="shared" si="377"/>
        <v>0</v>
      </c>
      <c r="CP236" s="15">
        <f t="shared" si="377"/>
        <v>0</v>
      </c>
      <c r="CQ236" s="15">
        <f t="shared" si="377"/>
        <v>0</v>
      </c>
      <c r="CR236" s="15">
        <f t="shared" si="377"/>
        <v>0</v>
      </c>
      <c r="CS236" s="15">
        <f t="shared" si="377"/>
        <v>0</v>
      </c>
      <c r="CT236" s="15">
        <f t="shared" si="377"/>
        <v>0</v>
      </c>
      <c r="CU236" s="23">
        <f t="shared" si="377"/>
        <v>0</v>
      </c>
      <c r="CV236" s="46"/>
    </row>
    <row r="237" spans="1:100" ht="31.5" x14ac:dyDescent="0.25">
      <c r="A237" s="13" t="s">
        <v>1</v>
      </c>
      <c r="B237" s="14" t="s">
        <v>1</v>
      </c>
      <c r="C237" s="14" t="s">
        <v>17</v>
      </c>
      <c r="D237" s="30" t="s">
        <v>258</v>
      </c>
      <c r="E237" s="15">
        <f t="shared" ref="E237:E263" si="379">SUM(F237+BY237+CR237)</f>
        <v>102355</v>
      </c>
      <c r="F237" s="16">
        <f t="shared" ref="F237:F263" si="380">SUM(G237+BA237)</f>
        <v>102355</v>
      </c>
      <c r="G237" s="16">
        <f t="shared" ref="G237:G263" si="381">SUM(H237+I237+J237+Q237+T237+U237+V237+AE237)</f>
        <v>102355</v>
      </c>
      <c r="H237" s="16">
        <v>0</v>
      </c>
      <c r="I237" s="16">
        <v>0</v>
      </c>
      <c r="J237" s="16">
        <f t="shared" si="342"/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f t="shared" si="343"/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f t="shared" ref="V237:V263" si="382">SUM(W237:AD237)</f>
        <v>0</v>
      </c>
      <c r="W237" s="16">
        <v>0</v>
      </c>
      <c r="X237" s="16">
        <v>0</v>
      </c>
      <c r="Y237" s="16">
        <v>0</v>
      </c>
      <c r="Z237" s="16">
        <v>0</v>
      </c>
      <c r="AA237" s="16">
        <v>0</v>
      </c>
      <c r="AB237" s="16">
        <v>0</v>
      </c>
      <c r="AC237" s="16">
        <v>0</v>
      </c>
      <c r="AD237" s="16">
        <v>0</v>
      </c>
      <c r="AE237" s="16">
        <f t="shared" ref="AE237:AE263" si="383">SUM(AF237:AZ237)</f>
        <v>102355</v>
      </c>
      <c r="AF237" s="16">
        <v>0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6">
        <v>0</v>
      </c>
      <c r="AM237" s="16">
        <v>80000</v>
      </c>
      <c r="AN237" s="16">
        <v>0</v>
      </c>
      <c r="AO237" s="16">
        <v>0</v>
      </c>
      <c r="AP237" s="16">
        <v>0</v>
      </c>
      <c r="AQ237" s="16">
        <v>0</v>
      </c>
      <c r="AR237" s="16">
        <v>0</v>
      </c>
      <c r="AS237" s="16">
        <v>0</v>
      </c>
      <c r="AT237" s="16">
        <v>0</v>
      </c>
      <c r="AU237" s="16">
        <v>0</v>
      </c>
      <c r="AV237" s="16">
        <v>0</v>
      </c>
      <c r="AW237" s="16">
        <v>0</v>
      </c>
      <c r="AX237" s="16">
        <v>0</v>
      </c>
      <c r="AY237" s="16">
        <v>0</v>
      </c>
      <c r="AZ237" s="16">
        <f>22000+355</f>
        <v>22355</v>
      </c>
      <c r="BA237" s="16">
        <f t="shared" ref="BA237:BA263" si="384">SUM(BB237+BF237+BI237+BK237+BM237)</f>
        <v>0</v>
      </c>
      <c r="BB237" s="16">
        <f t="shared" ref="BB237:BB263" si="385">SUM(BC237:BE237)</f>
        <v>0</v>
      </c>
      <c r="BC237" s="16">
        <v>0</v>
      </c>
      <c r="BD237" s="16">
        <v>0</v>
      </c>
      <c r="BE237" s="16">
        <v>0</v>
      </c>
      <c r="BF237" s="16">
        <f t="shared" si="344"/>
        <v>0</v>
      </c>
      <c r="BG237" s="16">
        <v>0</v>
      </c>
      <c r="BH237" s="16">
        <v>0</v>
      </c>
      <c r="BI237" s="16">
        <v>0</v>
      </c>
      <c r="BJ237" s="16">
        <v>0</v>
      </c>
      <c r="BK237" s="16">
        <f t="shared" si="345"/>
        <v>0</v>
      </c>
      <c r="BL237" s="16">
        <v>0</v>
      </c>
      <c r="BM237" s="16">
        <f t="shared" si="346"/>
        <v>0</v>
      </c>
      <c r="BN237" s="16">
        <v>0</v>
      </c>
      <c r="BO237" s="16">
        <v>0</v>
      </c>
      <c r="BP237" s="16">
        <v>0</v>
      </c>
      <c r="BQ237" s="16">
        <v>0</v>
      </c>
      <c r="BR237" s="16">
        <v>0</v>
      </c>
      <c r="BS237" s="16">
        <v>0</v>
      </c>
      <c r="BT237" s="16">
        <v>0</v>
      </c>
      <c r="BU237" s="16">
        <v>0</v>
      </c>
      <c r="BV237" s="16">
        <v>0</v>
      </c>
      <c r="BW237" s="16">
        <v>0</v>
      </c>
      <c r="BX237" s="16">
        <v>0</v>
      </c>
      <c r="BY237" s="16">
        <f t="shared" ref="BY237:BY263" si="386">SUM(BZ237+CQ237)</f>
        <v>0</v>
      </c>
      <c r="BZ237" s="16">
        <f t="shared" ref="BZ237:BZ263" si="387">SUM(CA237+CD237+CJ237)</f>
        <v>0</v>
      </c>
      <c r="CA237" s="16">
        <f t="shared" si="347"/>
        <v>0</v>
      </c>
      <c r="CB237" s="16">
        <v>0</v>
      </c>
      <c r="CC237" s="16">
        <v>0</v>
      </c>
      <c r="CD237" s="16">
        <f t="shared" ref="CD237:CD263" si="388">SUM(CE237:CH237)</f>
        <v>0</v>
      </c>
      <c r="CE237" s="16">
        <v>0</v>
      </c>
      <c r="CF237" s="16">
        <v>0</v>
      </c>
      <c r="CG237" s="16">
        <v>0</v>
      </c>
      <c r="CH237" s="16">
        <v>0</v>
      </c>
      <c r="CI237" s="16">
        <v>0</v>
      </c>
      <c r="CJ237" s="16">
        <f t="shared" ref="CJ237:CJ263" si="389">SUM(CK237:CN237)</f>
        <v>0</v>
      </c>
      <c r="CK237" s="16">
        <v>0</v>
      </c>
      <c r="CL237" s="16">
        <v>0</v>
      </c>
      <c r="CM237" s="16">
        <v>0</v>
      </c>
      <c r="CN237" s="16">
        <v>0</v>
      </c>
      <c r="CO237" s="16">
        <v>0</v>
      </c>
      <c r="CP237" s="16">
        <v>0</v>
      </c>
      <c r="CQ237" s="16">
        <v>0</v>
      </c>
      <c r="CR237" s="16">
        <f t="shared" si="348"/>
        <v>0</v>
      </c>
      <c r="CS237" s="16">
        <f t="shared" si="349"/>
        <v>0</v>
      </c>
      <c r="CT237" s="16">
        <v>0</v>
      </c>
      <c r="CU237" s="17">
        <v>0</v>
      </c>
      <c r="CV237" s="46"/>
    </row>
    <row r="238" spans="1:100" ht="31.5" x14ac:dyDescent="0.25">
      <c r="A238" s="13" t="s">
        <v>1</v>
      </c>
      <c r="B238" s="14" t="s">
        <v>1</v>
      </c>
      <c r="C238" s="14" t="s">
        <v>19</v>
      </c>
      <c r="D238" s="30" t="s">
        <v>259</v>
      </c>
      <c r="E238" s="15">
        <f t="shared" si="379"/>
        <v>307734</v>
      </c>
      <c r="F238" s="16">
        <f t="shared" si="380"/>
        <v>307734</v>
      </c>
      <c r="G238" s="16">
        <f t="shared" si="381"/>
        <v>307734</v>
      </c>
      <c r="H238" s="16">
        <v>0</v>
      </c>
      <c r="I238" s="16">
        <v>0</v>
      </c>
      <c r="J238" s="16">
        <f t="shared" si="342"/>
        <v>95300</v>
      </c>
      <c r="K238" s="16">
        <v>0</v>
      </c>
      <c r="L238" s="16">
        <v>0</v>
      </c>
      <c r="M238" s="16">
        <v>46000</v>
      </c>
      <c r="N238" s="16">
        <v>0</v>
      </c>
      <c r="O238" s="16">
        <v>13000</v>
      </c>
      <c r="P238" s="16">
        <v>36300</v>
      </c>
      <c r="Q238" s="16">
        <f t="shared" si="343"/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f t="shared" si="382"/>
        <v>0</v>
      </c>
      <c r="W238" s="16">
        <v>0</v>
      </c>
      <c r="X238" s="16">
        <v>0</v>
      </c>
      <c r="Y238" s="16">
        <v>0</v>
      </c>
      <c r="Z238" s="16">
        <v>0</v>
      </c>
      <c r="AA238" s="16">
        <v>0</v>
      </c>
      <c r="AB238" s="16">
        <v>0</v>
      </c>
      <c r="AC238" s="16">
        <v>0</v>
      </c>
      <c r="AD238" s="16">
        <v>0</v>
      </c>
      <c r="AE238" s="16">
        <f t="shared" si="383"/>
        <v>212434</v>
      </c>
      <c r="AF238" s="16">
        <v>0</v>
      </c>
      <c r="AG238" s="16">
        <v>2750</v>
      </c>
      <c r="AH238" s="16">
        <v>2750</v>
      </c>
      <c r="AI238" s="16">
        <v>0</v>
      </c>
      <c r="AJ238" s="16">
        <v>0</v>
      </c>
      <c r="AK238" s="16">
        <v>0</v>
      </c>
      <c r="AL238" s="16">
        <v>0</v>
      </c>
      <c r="AM238" s="16">
        <v>0</v>
      </c>
      <c r="AN238" s="16">
        <v>0</v>
      </c>
      <c r="AO238" s="16">
        <v>0</v>
      </c>
      <c r="AP238" s="16">
        <v>0</v>
      </c>
      <c r="AQ238" s="16">
        <v>0</v>
      </c>
      <c r="AR238" s="16">
        <v>0</v>
      </c>
      <c r="AS238" s="16">
        <v>0</v>
      </c>
      <c r="AT238" s="16">
        <v>0</v>
      </c>
      <c r="AU238" s="16">
        <v>0</v>
      </c>
      <c r="AV238" s="16">
        <v>0</v>
      </c>
      <c r="AW238" s="16">
        <v>0</v>
      </c>
      <c r="AX238" s="16">
        <v>0</v>
      </c>
      <c r="AY238" s="16">
        <v>0</v>
      </c>
      <c r="AZ238" s="16">
        <f>110842+96092</f>
        <v>206934</v>
      </c>
      <c r="BA238" s="16">
        <f t="shared" si="384"/>
        <v>0</v>
      </c>
      <c r="BB238" s="16">
        <f t="shared" si="385"/>
        <v>0</v>
      </c>
      <c r="BC238" s="16">
        <v>0</v>
      </c>
      <c r="BD238" s="16">
        <v>0</v>
      </c>
      <c r="BE238" s="16">
        <v>0</v>
      </c>
      <c r="BF238" s="16">
        <f t="shared" si="344"/>
        <v>0</v>
      </c>
      <c r="BG238" s="16">
        <v>0</v>
      </c>
      <c r="BH238" s="16">
        <v>0</v>
      </c>
      <c r="BI238" s="16">
        <v>0</v>
      </c>
      <c r="BJ238" s="16">
        <v>0</v>
      </c>
      <c r="BK238" s="16">
        <f t="shared" si="345"/>
        <v>0</v>
      </c>
      <c r="BL238" s="16">
        <v>0</v>
      </c>
      <c r="BM238" s="16">
        <f t="shared" si="346"/>
        <v>0</v>
      </c>
      <c r="BN238" s="16">
        <v>0</v>
      </c>
      <c r="BO238" s="16">
        <v>0</v>
      </c>
      <c r="BP238" s="16">
        <v>0</v>
      </c>
      <c r="BQ238" s="16">
        <v>0</v>
      </c>
      <c r="BR238" s="16">
        <v>0</v>
      </c>
      <c r="BS238" s="16">
        <v>0</v>
      </c>
      <c r="BT238" s="16">
        <v>0</v>
      </c>
      <c r="BU238" s="16">
        <v>0</v>
      </c>
      <c r="BV238" s="16">
        <v>0</v>
      </c>
      <c r="BW238" s="16">
        <v>0</v>
      </c>
      <c r="BX238" s="16">
        <v>0</v>
      </c>
      <c r="BY238" s="16">
        <f t="shared" si="386"/>
        <v>0</v>
      </c>
      <c r="BZ238" s="16">
        <f t="shared" si="387"/>
        <v>0</v>
      </c>
      <c r="CA238" s="16">
        <f t="shared" si="347"/>
        <v>0</v>
      </c>
      <c r="CB238" s="16">
        <v>0</v>
      </c>
      <c r="CC238" s="16">
        <v>0</v>
      </c>
      <c r="CD238" s="16">
        <f t="shared" si="388"/>
        <v>0</v>
      </c>
      <c r="CE238" s="16">
        <v>0</v>
      </c>
      <c r="CF238" s="16">
        <v>0</v>
      </c>
      <c r="CG238" s="16">
        <v>0</v>
      </c>
      <c r="CH238" s="16">
        <v>0</v>
      </c>
      <c r="CI238" s="16">
        <v>0</v>
      </c>
      <c r="CJ238" s="16">
        <f t="shared" si="389"/>
        <v>0</v>
      </c>
      <c r="CK238" s="16">
        <v>0</v>
      </c>
      <c r="CL238" s="16">
        <v>0</v>
      </c>
      <c r="CM238" s="16">
        <v>0</v>
      </c>
      <c r="CN238" s="16">
        <v>0</v>
      </c>
      <c r="CO238" s="16">
        <v>0</v>
      </c>
      <c r="CP238" s="16">
        <v>0</v>
      </c>
      <c r="CQ238" s="16">
        <v>0</v>
      </c>
      <c r="CR238" s="16">
        <f t="shared" si="348"/>
        <v>0</v>
      </c>
      <c r="CS238" s="16">
        <f t="shared" si="349"/>
        <v>0</v>
      </c>
      <c r="CT238" s="16">
        <v>0</v>
      </c>
      <c r="CU238" s="17">
        <v>0</v>
      </c>
      <c r="CV238" s="46"/>
    </row>
    <row r="239" spans="1:100" ht="31.5" x14ac:dyDescent="0.25">
      <c r="A239" s="13" t="s">
        <v>1</v>
      </c>
      <c r="B239" s="14" t="s">
        <v>1</v>
      </c>
      <c r="C239" s="14" t="s">
        <v>21</v>
      </c>
      <c r="D239" s="30" t="s">
        <v>261</v>
      </c>
      <c r="E239" s="15">
        <f t="shared" si="379"/>
        <v>6029622</v>
      </c>
      <c r="F239" s="16">
        <f t="shared" si="380"/>
        <v>5989622</v>
      </c>
      <c r="G239" s="16">
        <f t="shared" si="381"/>
        <v>5989622</v>
      </c>
      <c r="H239" s="16">
        <v>3909509</v>
      </c>
      <c r="I239" s="16">
        <v>930232</v>
      </c>
      <c r="J239" s="16">
        <f>SUM(K239:P239)</f>
        <v>276137</v>
      </c>
      <c r="K239" s="16">
        <v>2000</v>
      </c>
      <c r="L239" s="16">
        <v>3340</v>
      </c>
      <c r="M239" s="16">
        <v>114690</v>
      </c>
      <c r="N239" s="16">
        <v>0</v>
      </c>
      <c r="O239" s="16">
        <v>21809</v>
      </c>
      <c r="P239" s="16">
        <v>134298</v>
      </c>
      <c r="Q239" s="16">
        <f>SUM(R239:S239)</f>
        <v>7720</v>
      </c>
      <c r="R239" s="16">
        <v>4120</v>
      </c>
      <c r="S239" s="16">
        <v>3600</v>
      </c>
      <c r="T239" s="16">
        <v>0</v>
      </c>
      <c r="U239" s="16">
        <v>35732</v>
      </c>
      <c r="V239" s="16">
        <f t="shared" si="382"/>
        <v>355563</v>
      </c>
      <c r="W239" s="16">
        <v>11250</v>
      </c>
      <c r="X239" s="16">
        <f>237697+9295</f>
        <v>246992</v>
      </c>
      <c r="Y239" s="16">
        <f>66516+3971</f>
        <v>70487</v>
      </c>
      <c r="Z239" s="16">
        <f>16746+2920</f>
        <v>19666</v>
      </c>
      <c r="AA239" s="16">
        <v>7168</v>
      </c>
      <c r="AB239" s="16">
        <v>0</v>
      </c>
      <c r="AC239" s="16">
        <v>0</v>
      </c>
      <c r="AD239" s="16">
        <v>0</v>
      </c>
      <c r="AE239" s="16">
        <f t="shared" si="383"/>
        <v>474729</v>
      </c>
      <c r="AF239" s="16">
        <v>0</v>
      </c>
      <c r="AG239" s="16">
        <f>15955+17000</f>
        <v>32955</v>
      </c>
      <c r="AH239" s="16">
        <f>105000+75000</f>
        <v>180000</v>
      </c>
      <c r="AI239" s="16">
        <v>2880</v>
      </c>
      <c r="AJ239" s="16">
        <v>22460</v>
      </c>
      <c r="AK239" s="16">
        <v>0</v>
      </c>
      <c r="AL239" s="16">
        <v>2480</v>
      </c>
      <c r="AM239" s="16">
        <v>21240</v>
      </c>
      <c r="AN239" s="16">
        <v>0</v>
      </c>
      <c r="AO239" s="16">
        <v>0</v>
      </c>
      <c r="AP239" s="16">
        <v>0</v>
      </c>
      <c r="AQ239" s="16">
        <v>0</v>
      </c>
      <c r="AR239" s="16">
        <v>0</v>
      </c>
      <c r="AS239" s="16">
        <f>24000+19325</f>
        <v>43325</v>
      </c>
      <c r="AT239" s="16">
        <v>0</v>
      </c>
      <c r="AU239" s="16">
        <v>0</v>
      </c>
      <c r="AV239" s="16">
        <v>0</v>
      </c>
      <c r="AW239" s="16">
        <v>0</v>
      </c>
      <c r="AX239" s="16">
        <v>0</v>
      </c>
      <c r="AY239" s="16">
        <v>0</v>
      </c>
      <c r="AZ239" s="16">
        <f>94103+75286</f>
        <v>169389</v>
      </c>
      <c r="BA239" s="16">
        <f t="shared" si="384"/>
        <v>0</v>
      </c>
      <c r="BB239" s="16">
        <f t="shared" si="385"/>
        <v>0</v>
      </c>
      <c r="BC239" s="16">
        <v>0</v>
      </c>
      <c r="BD239" s="16">
        <v>0</v>
      </c>
      <c r="BE239" s="16">
        <v>0</v>
      </c>
      <c r="BF239" s="16">
        <f>SUM(BG239:BH239)</f>
        <v>0</v>
      </c>
      <c r="BG239" s="16">
        <v>0</v>
      </c>
      <c r="BH239" s="16">
        <v>0</v>
      </c>
      <c r="BI239" s="16">
        <v>0</v>
      </c>
      <c r="BJ239" s="16">
        <v>0</v>
      </c>
      <c r="BK239" s="16">
        <f>SUM(BL239)</f>
        <v>0</v>
      </c>
      <c r="BL239" s="16">
        <v>0</v>
      </c>
      <c r="BM239" s="16">
        <f>SUM(BN239:BX239)</f>
        <v>0</v>
      </c>
      <c r="BN239" s="16">
        <v>0</v>
      </c>
      <c r="BO239" s="16">
        <v>0</v>
      </c>
      <c r="BP239" s="16">
        <v>0</v>
      </c>
      <c r="BQ239" s="16">
        <v>0</v>
      </c>
      <c r="BR239" s="16">
        <v>0</v>
      </c>
      <c r="BS239" s="16">
        <v>0</v>
      </c>
      <c r="BT239" s="16">
        <v>0</v>
      </c>
      <c r="BU239" s="16">
        <v>0</v>
      </c>
      <c r="BV239" s="16">
        <v>0</v>
      </c>
      <c r="BW239" s="16">
        <v>0</v>
      </c>
      <c r="BX239" s="16">
        <v>0</v>
      </c>
      <c r="BY239" s="16">
        <f t="shared" si="386"/>
        <v>40000</v>
      </c>
      <c r="BZ239" s="16">
        <f t="shared" si="387"/>
        <v>40000</v>
      </c>
      <c r="CA239" s="16">
        <f>SUM(CB239:CC239)</f>
        <v>40000</v>
      </c>
      <c r="CB239" s="16">
        <v>0</v>
      </c>
      <c r="CC239" s="16">
        <v>40000</v>
      </c>
      <c r="CD239" s="16">
        <f t="shared" si="388"/>
        <v>0</v>
      </c>
      <c r="CE239" s="16">
        <v>0</v>
      </c>
      <c r="CF239" s="16">
        <v>0</v>
      </c>
      <c r="CG239" s="16">
        <v>0</v>
      </c>
      <c r="CH239" s="16">
        <v>0</v>
      </c>
      <c r="CI239" s="16">
        <v>0</v>
      </c>
      <c r="CJ239" s="16">
        <f t="shared" si="389"/>
        <v>0</v>
      </c>
      <c r="CK239" s="16">
        <v>0</v>
      </c>
      <c r="CL239" s="16">
        <v>0</v>
      </c>
      <c r="CM239" s="16">
        <v>0</v>
      </c>
      <c r="CN239" s="16">
        <v>0</v>
      </c>
      <c r="CO239" s="16">
        <v>0</v>
      </c>
      <c r="CP239" s="16">
        <v>0</v>
      </c>
      <c r="CQ239" s="16">
        <v>0</v>
      </c>
      <c r="CR239" s="16">
        <f>SUM(CS239)</f>
        <v>0</v>
      </c>
      <c r="CS239" s="16">
        <f>SUM(CT239:CU239)</f>
        <v>0</v>
      </c>
      <c r="CT239" s="16">
        <v>0</v>
      </c>
      <c r="CU239" s="17">
        <v>0</v>
      </c>
      <c r="CV239" s="46"/>
    </row>
    <row r="240" spans="1:100" ht="31.5" x14ac:dyDescent="0.25">
      <c r="A240" s="13" t="s">
        <v>1</v>
      </c>
      <c r="B240" s="14" t="s">
        <v>1</v>
      </c>
      <c r="C240" s="14" t="s">
        <v>21</v>
      </c>
      <c r="D240" s="30" t="s">
        <v>260</v>
      </c>
      <c r="E240" s="15">
        <f t="shared" si="379"/>
        <v>32987440</v>
      </c>
      <c r="F240" s="16">
        <f t="shared" si="380"/>
        <v>30469362</v>
      </c>
      <c r="G240" s="16">
        <f t="shared" si="381"/>
        <v>30469362</v>
      </c>
      <c r="H240" s="16">
        <f>9950832+18000</f>
        <v>9968832</v>
      </c>
      <c r="I240" s="16">
        <f>2487648+4500</f>
        <v>2492148</v>
      </c>
      <c r="J240" s="16">
        <f t="shared" si="342"/>
        <v>11021339</v>
      </c>
      <c r="K240" s="16">
        <f>6731749+1000</f>
        <v>6732749</v>
      </c>
      <c r="L240" s="16">
        <f>251252+42000</f>
        <v>293252</v>
      </c>
      <c r="M240" s="16">
        <f>246092</f>
        <v>246092</v>
      </c>
      <c r="N240" s="16">
        <v>0</v>
      </c>
      <c r="O240" s="16">
        <f>912768+50000</f>
        <v>962768</v>
      </c>
      <c r="P240" s="16">
        <f>2444377+342101</f>
        <v>2786478</v>
      </c>
      <c r="Q240" s="16">
        <f t="shared" si="343"/>
        <v>64279</v>
      </c>
      <c r="R240" s="16">
        <v>10511</v>
      </c>
      <c r="S240" s="16">
        <v>53768</v>
      </c>
      <c r="T240" s="16">
        <v>6295</v>
      </c>
      <c r="U240" s="16">
        <f>175315+3000</f>
        <v>178315</v>
      </c>
      <c r="V240" s="16">
        <f t="shared" si="382"/>
        <v>1860441</v>
      </c>
      <c r="W240" s="16">
        <f>767266+80827</f>
        <v>848093</v>
      </c>
      <c r="X240" s="16">
        <f>346304+4350</f>
        <v>350654</v>
      </c>
      <c r="Y240" s="16">
        <f>195538+28811</f>
        <v>224349</v>
      </c>
      <c r="Z240" s="16">
        <f>170191+30688</f>
        <v>200879</v>
      </c>
      <c r="AA240" s="16">
        <v>226278</v>
      </c>
      <c r="AB240" s="16">
        <v>0</v>
      </c>
      <c r="AC240" s="16">
        <v>0</v>
      </c>
      <c r="AD240" s="16">
        <f>9306+882</f>
        <v>10188</v>
      </c>
      <c r="AE240" s="16">
        <f t="shared" si="383"/>
        <v>4877713</v>
      </c>
      <c r="AF240" s="16">
        <v>0</v>
      </c>
      <c r="AG240" s="16">
        <f>1237499+1000</f>
        <v>1238499</v>
      </c>
      <c r="AH240" s="16">
        <f>1293026+54055</f>
        <v>1347081</v>
      </c>
      <c r="AI240" s="16">
        <v>0</v>
      </c>
      <c r="AJ240" s="16">
        <f>106294+2000</f>
        <v>108294</v>
      </c>
      <c r="AK240" s="16">
        <v>0</v>
      </c>
      <c r="AL240" s="16">
        <f>63041+3000</f>
        <v>66041</v>
      </c>
      <c r="AM240" s="16">
        <f>662212+2900</f>
        <v>665112</v>
      </c>
      <c r="AN240" s="16">
        <v>0</v>
      </c>
      <c r="AO240" s="16">
        <v>0</v>
      </c>
      <c r="AP240" s="16">
        <v>0</v>
      </c>
      <c r="AQ240" s="16">
        <v>0</v>
      </c>
      <c r="AR240" s="16">
        <v>535767</v>
      </c>
      <c r="AS240" s="16">
        <f>35235+14250</f>
        <v>49485</v>
      </c>
      <c r="AT240" s="16">
        <v>0</v>
      </c>
      <c r="AU240" s="16">
        <v>5888</v>
      </c>
      <c r="AV240" s="16">
        <v>41060</v>
      </c>
      <c r="AW240" s="16">
        <v>0</v>
      </c>
      <c r="AX240" s="16">
        <v>0</v>
      </c>
      <c r="AY240" s="16">
        <v>0</v>
      </c>
      <c r="AZ240" s="16">
        <f>798955+21531</f>
        <v>820486</v>
      </c>
      <c r="BA240" s="16">
        <f t="shared" si="384"/>
        <v>0</v>
      </c>
      <c r="BB240" s="16">
        <f t="shared" si="385"/>
        <v>0</v>
      </c>
      <c r="BC240" s="16">
        <v>0</v>
      </c>
      <c r="BD240" s="16">
        <v>0</v>
      </c>
      <c r="BE240" s="16">
        <v>0</v>
      </c>
      <c r="BF240" s="16">
        <f t="shared" si="344"/>
        <v>0</v>
      </c>
      <c r="BG240" s="16">
        <v>0</v>
      </c>
      <c r="BH240" s="16">
        <v>0</v>
      </c>
      <c r="BI240" s="16">
        <v>0</v>
      </c>
      <c r="BJ240" s="16">
        <v>0</v>
      </c>
      <c r="BK240" s="16">
        <f t="shared" si="345"/>
        <v>0</v>
      </c>
      <c r="BL240" s="16">
        <v>0</v>
      </c>
      <c r="BM240" s="16">
        <f t="shared" si="346"/>
        <v>0</v>
      </c>
      <c r="BN240" s="16">
        <v>0</v>
      </c>
      <c r="BO240" s="16">
        <v>0</v>
      </c>
      <c r="BP240" s="16">
        <v>0</v>
      </c>
      <c r="BQ240" s="16">
        <v>0</v>
      </c>
      <c r="BR240" s="16">
        <v>0</v>
      </c>
      <c r="BS240" s="16">
        <v>0</v>
      </c>
      <c r="BT240" s="16">
        <v>0</v>
      </c>
      <c r="BU240" s="16">
        <v>0</v>
      </c>
      <c r="BV240" s="16">
        <v>0</v>
      </c>
      <c r="BW240" s="16">
        <v>0</v>
      </c>
      <c r="BX240" s="16">
        <v>0</v>
      </c>
      <c r="BY240" s="16">
        <f t="shared" si="386"/>
        <v>2518078</v>
      </c>
      <c r="BZ240" s="16">
        <f t="shared" si="387"/>
        <v>2518078</v>
      </c>
      <c r="CA240" s="16">
        <f t="shared" si="347"/>
        <v>2046484</v>
      </c>
      <c r="CB240" s="16">
        <v>0</v>
      </c>
      <c r="CC240" s="16">
        <f>1666417+380067</f>
        <v>2046484</v>
      </c>
      <c r="CD240" s="16">
        <f t="shared" si="388"/>
        <v>0</v>
      </c>
      <c r="CE240" s="16">
        <v>0</v>
      </c>
      <c r="CF240" s="16">
        <v>0</v>
      </c>
      <c r="CG240" s="16">
        <v>0</v>
      </c>
      <c r="CH240" s="16">
        <v>0</v>
      </c>
      <c r="CI240" s="16">
        <v>0</v>
      </c>
      <c r="CJ240" s="16">
        <f t="shared" si="389"/>
        <v>471594</v>
      </c>
      <c r="CK240" s="16">
        <v>0</v>
      </c>
      <c r="CL240" s="16">
        <v>471594</v>
      </c>
      <c r="CM240" s="16">
        <v>0</v>
      </c>
      <c r="CN240" s="16">
        <v>0</v>
      </c>
      <c r="CO240" s="16">
        <v>0</v>
      </c>
      <c r="CP240" s="16">
        <v>0</v>
      </c>
      <c r="CQ240" s="16">
        <v>0</v>
      </c>
      <c r="CR240" s="16">
        <f t="shared" si="348"/>
        <v>0</v>
      </c>
      <c r="CS240" s="16">
        <f t="shared" si="349"/>
        <v>0</v>
      </c>
      <c r="CT240" s="16">
        <v>0</v>
      </c>
      <c r="CU240" s="17">
        <v>0</v>
      </c>
      <c r="CV240" s="38"/>
    </row>
    <row r="241" spans="1:100" ht="31.5" x14ac:dyDescent="0.25">
      <c r="A241" s="13" t="s">
        <v>1</v>
      </c>
      <c r="B241" s="14" t="s">
        <v>1</v>
      </c>
      <c r="C241" s="14" t="s">
        <v>21</v>
      </c>
      <c r="D241" s="30" t="s">
        <v>262</v>
      </c>
      <c r="E241" s="15">
        <f t="shared" si="379"/>
        <v>26005156</v>
      </c>
      <c r="F241" s="16">
        <f t="shared" si="380"/>
        <v>23330802</v>
      </c>
      <c r="G241" s="16">
        <f t="shared" si="381"/>
        <v>23330802</v>
      </c>
      <c r="H241" s="16">
        <v>7572198</v>
      </c>
      <c r="I241" s="16">
        <v>1893051</v>
      </c>
      <c r="J241" s="16">
        <f t="shared" si="342"/>
        <v>8713503</v>
      </c>
      <c r="K241" s="16">
        <v>6019041</v>
      </c>
      <c r="L241" s="16">
        <v>95217</v>
      </c>
      <c r="M241" s="16">
        <v>13000</v>
      </c>
      <c r="N241" s="16">
        <v>1500</v>
      </c>
      <c r="O241" s="16">
        <f>327530+3392</f>
        <v>330922</v>
      </c>
      <c r="P241" s="16">
        <f>1897394+356429</f>
        <v>2253823</v>
      </c>
      <c r="Q241" s="16">
        <f t="shared" si="343"/>
        <v>6345</v>
      </c>
      <c r="R241" s="16">
        <v>5745</v>
      </c>
      <c r="S241" s="16">
        <v>600</v>
      </c>
      <c r="T241" s="16">
        <v>43200</v>
      </c>
      <c r="U241" s="16">
        <f>119645+6915</f>
        <v>126560</v>
      </c>
      <c r="V241" s="16">
        <f t="shared" si="382"/>
        <v>1316266</v>
      </c>
      <c r="W241" s="16">
        <v>530276</v>
      </c>
      <c r="X241" s="16">
        <f>311559+16572</f>
        <v>328131</v>
      </c>
      <c r="Y241" s="16">
        <f>170636+25618</f>
        <v>196254</v>
      </c>
      <c r="Z241" s="16">
        <f>80437+15974</f>
        <v>96411</v>
      </c>
      <c r="AA241" s="16">
        <f>84886+5000</f>
        <v>89886</v>
      </c>
      <c r="AB241" s="16">
        <v>70000</v>
      </c>
      <c r="AC241" s="16">
        <v>0</v>
      </c>
      <c r="AD241" s="16">
        <f>5267+41</f>
        <v>5308</v>
      </c>
      <c r="AE241" s="16">
        <f t="shared" si="383"/>
        <v>3659679</v>
      </c>
      <c r="AF241" s="16">
        <v>0</v>
      </c>
      <c r="AG241" s="16">
        <v>432496</v>
      </c>
      <c r="AH241" s="16">
        <f>1248233+326637</f>
        <v>1574870</v>
      </c>
      <c r="AI241" s="16">
        <v>0</v>
      </c>
      <c r="AJ241" s="16">
        <f>78910+150</f>
        <v>79060</v>
      </c>
      <c r="AK241" s="16">
        <v>0</v>
      </c>
      <c r="AL241" s="16">
        <v>28900</v>
      </c>
      <c r="AM241" s="16">
        <f>322400+2310</f>
        <v>324710</v>
      </c>
      <c r="AN241" s="16">
        <v>0</v>
      </c>
      <c r="AO241" s="16">
        <v>2000</v>
      </c>
      <c r="AP241" s="16"/>
      <c r="AQ241" s="16">
        <v>0</v>
      </c>
      <c r="AR241" s="16">
        <v>68306</v>
      </c>
      <c r="AS241" s="16">
        <f>105845+10000</f>
        <v>115845</v>
      </c>
      <c r="AT241" s="16">
        <v>0</v>
      </c>
      <c r="AU241" s="16">
        <v>0</v>
      </c>
      <c r="AV241" s="16">
        <v>20646</v>
      </c>
      <c r="AW241" s="16">
        <v>0</v>
      </c>
      <c r="AX241" s="16">
        <v>0</v>
      </c>
      <c r="AY241" s="16"/>
      <c r="AZ241" s="16">
        <f>848689+164157</f>
        <v>1012846</v>
      </c>
      <c r="BA241" s="16">
        <f t="shared" si="384"/>
        <v>0</v>
      </c>
      <c r="BB241" s="16">
        <f t="shared" si="385"/>
        <v>0</v>
      </c>
      <c r="BC241" s="16">
        <v>0</v>
      </c>
      <c r="BD241" s="16">
        <v>0</v>
      </c>
      <c r="BE241" s="16">
        <v>0</v>
      </c>
      <c r="BF241" s="16">
        <f t="shared" si="344"/>
        <v>0</v>
      </c>
      <c r="BG241" s="16">
        <v>0</v>
      </c>
      <c r="BH241" s="16">
        <v>0</v>
      </c>
      <c r="BI241" s="16">
        <v>0</v>
      </c>
      <c r="BJ241" s="16">
        <v>0</v>
      </c>
      <c r="BK241" s="16">
        <f t="shared" si="345"/>
        <v>0</v>
      </c>
      <c r="BL241" s="16">
        <v>0</v>
      </c>
      <c r="BM241" s="16">
        <f t="shared" si="346"/>
        <v>0</v>
      </c>
      <c r="BN241" s="16">
        <v>0</v>
      </c>
      <c r="BO241" s="16">
        <v>0</v>
      </c>
      <c r="BP241" s="16">
        <v>0</v>
      </c>
      <c r="BQ241" s="16">
        <v>0</v>
      </c>
      <c r="BR241" s="16">
        <v>0</v>
      </c>
      <c r="BS241" s="16">
        <v>0</v>
      </c>
      <c r="BT241" s="16">
        <v>0</v>
      </c>
      <c r="BU241" s="16">
        <v>0</v>
      </c>
      <c r="BV241" s="16">
        <v>0</v>
      </c>
      <c r="BW241" s="16">
        <v>0</v>
      </c>
      <c r="BX241" s="16">
        <v>0</v>
      </c>
      <c r="BY241" s="16">
        <f t="shared" si="386"/>
        <v>2674354</v>
      </c>
      <c r="BZ241" s="16">
        <f t="shared" si="387"/>
        <v>2674354</v>
      </c>
      <c r="CA241" s="16">
        <f t="shared" si="347"/>
        <v>2658354</v>
      </c>
      <c r="CB241" s="16">
        <v>0</v>
      </c>
      <c r="CC241" s="16">
        <f>1736965+921389</f>
        <v>2658354</v>
      </c>
      <c r="CD241" s="16">
        <f t="shared" si="388"/>
        <v>0</v>
      </c>
      <c r="CE241" s="16">
        <v>0</v>
      </c>
      <c r="CF241" s="16">
        <v>0</v>
      </c>
      <c r="CG241" s="16">
        <v>0</v>
      </c>
      <c r="CH241" s="16">
        <v>0</v>
      </c>
      <c r="CI241" s="16">
        <v>0</v>
      </c>
      <c r="CJ241" s="16">
        <f t="shared" si="389"/>
        <v>16000</v>
      </c>
      <c r="CK241" s="16">
        <v>0</v>
      </c>
      <c r="CL241" s="16">
        <v>16000</v>
      </c>
      <c r="CM241" s="16">
        <v>0</v>
      </c>
      <c r="CN241" s="16">
        <v>0</v>
      </c>
      <c r="CO241" s="16"/>
      <c r="CP241" s="16"/>
      <c r="CQ241" s="16">
        <v>0</v>
      </c>
      <c r="CR241" s="16">
        <f t="shared" si="348"/>
        <v>0</v>
      </c>
      <c r="CS241" s="16">
        <f t="shared" si="349"/>
        <v>0</v>
      </c>
      <c r="CT241" s="16">
        <v>0</v>
      </c>
      <c r="CU241" s="17">
        <v>0</v>
      </c>
      <c r="CV241" s="38"/>
    </row>
    <row r="242" spans="1:100" ht="15.75" x14ac:dyDescent="0.25">
      <c r="A242" s="13" t="s">
        <v>1</v>
      </c>
      <c r="B242" s="14" t="s">
        <v>1</v>
      </c>
      <c r="C242" s="14" t="s">
        <v>21</v>
      </c>
      <c r="D242" s="30" t="s">
        <v>263</v>
      </c>
      <c r="E242" s="15">
        <f t="shared" si="379"/>
        <v>4518750</v>
      </c>
      <c r="F242" s="16">
        <f t="shared" si="380"/>
        <v>4132904</v>
      </c>
      <c r="G242" s="16">
        <f t="shared" si="381"/>
        <v>4132904</v>
      </c>
      <c r="H242" s="16">
        <f>1171057+3642</f>
        <v>1174699</v>
      </c>
      <c r="I242" s="16">
        <f>292764+910</f>
        <v>293674</v>
      </c>
      <c r="J242" s="16">
        <f t="shared" si="342"/>
        <v>1392500</v>
      </c>
      <c r="K242" s="16">
        <f>503769+23000</f>
        <v>526769</v>
      </c>
      <c r="L242" s="16">
        <v>34492</v>
      </c>
      <c r="M242" s="16">
        <v>68680</v>
      </c>
      <c r="N242" s="16">
        <v>0</v>
      </c>
      <c r="O242" s="16">
        <f>169370+30000</f>
        <v>199370</v>
      </c>
      <c r="P242" s="16">
        <f>346964+216225</f>
        <v>563189</v>
      </c>
      <c r="Q242" s="16">
        <f t="shared" si="343"/>
        <v>31296</v>
      </c>
      <c r="R242" s="16">
        <v>26736</v>
      </c>
      <c r="S242" s="16">
        <v>4560</v>
      </c>
      <c r="T242" s="16">
        <v>0</v>
      </c>
      <c r="U242" s="16">
        <v>40606</v>
      </c>
      <c r="V242" s="16">
        <f t="shared" si="382"/>
        <v>301970</v>
      </c>
      <c r="W242" s="16">
        <v>29360</v>
      </c>
      <c r="X242" s="16">
        <f>75384+1384</f>
        <v>76768</v>
      </c>
      <c r="Y242" s="16">
        <f>135225+8073</f>
        <v>143298</v>
      </c>
      <c r="Z242" s="16">
        <f>33857+5904</f>
        <v>39761</v>
      </c>
      <c r="AA242" s="16">
        <v>8629</v>
      </c>
      <c r="AB242" s="16">
        <v>0</v>
      </c>
      <c r="AC242" s="16">
        <v>0</v>
      </c>
      <c r="AD242" s="16">
        <f>3967+187</f>
        <v>4154</v>
      </c>
      <c r="AE242" s="16">
        <f t="shared" si="383"/>
        <v>898159</v>
      </c>
      <c r="AF242" s="16">
        <v>0</v>
      </c>
      <c r="AG242" s="16">
        <v>70238</v>
      </c>
      <c r="AH242" s="16">
        <f>245938+50000</f>
        <v>295938</v>
      </c>
      <c r="AI242" s="16">
        <v>0</v>
      </c>
      <c r="AJ242" s="16">
        <v>43388</v>
      </c>
      <c r="AK242" s="16">
        <v>0</v>
      </c>
      <c r="AL242" s="16">
        <v>1848</v>
      </c>
      <c r="AM242" s="16">
        <v>22400</v>
      </c>
      <c r="AN242" s="16">
        <v>0</v>
      </c>
      <c r="AO242" s="16">
        <v>0</v>
      </c>
      <c r="AP242" s="16"/>
      <c r="AQ242" s="16">
        <v>0</v>
      </c>
      <c r="AR242" s="16">
        <v>5000</v>
      </c>
      <c r="AS242" s="16">
        <v>78000</v>
      </c>
      <c r="AT242" s="16">
        <v>0</v>
      </c>
      <c r="AU242" s="16">
        <v>0</v>
      </c>
      <c r="AV242" s="16">
        <v>0</v>
      </c>
      <c r="AW242" s="16">
        <v>0</v>
      </c>
      <c r="AX242" s="16">
        <v>0</v>
      </c>
      <c r="AY242" s="16"/>
      <c r="AZ242" s="16">
        <f>254907+126440</f>
        <v>381347</v>
      </c>
      <c r="BA242" s="16">
        <f t="shared" si="384"/>
        <v>0</v>
      </c>
      <c r="BB242" s="16">
        <f t="shared" si="385"/>
        <v>0</v>
      </c>
      <c r="BC242" s="16">
        <v>0</v>
      </c>
      <c r="BD242" s="16">
        <v>0</v>
      </c>
      <c r="BE242" s="16">
        <v>0</v>
      </c>
      <c r="BF242" s="16">
        <f t="shared" si="344"/>
        <v>0</v>
      </c>
      <c r="BG242" s="16">
        <v>0</v>
      </c>
      <c r="BH242" s="16">
        <v>0</v>
      </c>
      <c r="BI242" s="16">
        <v>0</v>
      </c>
      <c r="BJ242" s="16">
        <v>0</v>
      </c>
      <c r="BK242" s="16">
        <f t="shared" si="345"/>
        <v>0</v>
      </c>
      <c r="BL242" s="16">
        <v>0</v>
      </c>
      <c r="BM242" s="16">
        <f t="shared" si="346"/>
        <v>0</v>
      </c>
      <c r="BN242" s="16">
        <v>0</v>
      </c>
      <c r="BO242" s="16">
        <v>0</v>
      </c>
      <c r="BP242" s="16">
        <v>0</v>
      </c>
      <c r="BQ242" s="16">
        <v>0</v>
      </c>
      <c r="BR242" s="16">
        <v>0</v>
      </c>
      <c r="BS242" s="16">
        <v>0</v>
      </c>
      <c r="BT242" s="16">
        <v>0</v>
      </c>
      <c r="BU242" s="16">
        <v>0</v>
      </c>
      <c r="BV242" s="16">
        <v>0</v>
      </c>
      <c r="BW242" s="16">
        <v>0</v>
      </c>
      <c r="BX242" s="16">
        <v>0</v>
      </c>
      <c r="BY242" s="16">
        <f t="shared" si="386"/>
        <v>385846</v>
      </c>
      <c r="BZ242" s="16">
        <f t="shared" si="387"/>
        <v>385846</v>
      </c>
      <c r="CA242" s="16">
        <f t="shared" si="347"/>
        <v>385846</v>
      </c>
      <c r="CB242" s="16">
        <v>0</v>
      </c>
      <c r="CC242" s="16">
        <f>209311+176535</f>
        <v>385846</v>
      </c>
      <c r="CD242" s="16">
        <f t="shared" si="388"/>
        <v>0</v>
      </c>
      <c r="CE242" s="16">
        <v>0</v>
      </c>
      <c r="CF242" s="16">
        <v>0</v>
      </c>
      <c r="CG242" s="16">
        <v>0</v>
      </c>
      <c r="CH242" s="16">
        <v>0</v>
      </c>
      <c r="CI242" s="16">
        <v>0</v>
      </c>
      <c r="CJ242" s="16">
        <f t="shared" si="389"/>
        <v>0</v>
      </c>
      <c r="CK242" s="16">
        <v>0</v>
      </c>
      <c r="CL242" s="16">
        <v>0</v>
      </c>
      <c r="CM242" s="16">
        <v>0</v>
      </c>
      <c r="CN242" s="16">
        <v>0</v>
      </c>
      <c r="CO242" s="16"/>
      <c r="CP242" s="16"/>
      <c r="CQ242" s="16">
        <v>0</v>
      </c>
      <c r="CR242" s="16">
        <f t="shared" si="348"/>
        <v>0</v>
      </c>
      <c r="CS242" s="16">
        <f t="shared" si="349"/>
        <v>0</v>
      </c>
      <c r="CT242" s="16">
        <v>0</v>
      </c>
      <c r="CU242" s="17">
        <v>0</v>
      </c>
      <c r="CV242" s="38"/>
    </row>
    <row r="243" spans="1:100" ht="31.5" x14ac:dyDescent="0.25">
      <c r="A243" s="13" t="s">
        <v>1</v>
      </c>
      <c r="B243" s="14" t="s">
        <v>1</v>
      </c>
      <c r="C243" s="14" t="s">
        <v>23</v>
      </c>
      <c r="D243" s="30" t="s">
        <v>266</v>
      </c>
      <c r="E243" s="15">
        <f t="shared" si="379"/>
        <v>10239290</v>
      </c>
      <c r="F243" s="16">
        <f t="shared" si="380"/>
        <v>9767597</v>
      </c>
      <c r="G243" s="16">
        <f t="shared" si="381"/>
        <v>9767597</v>
      </c>
      <c r="H243" s="16">
        <f>3201919-87022</f>
        <v>3114897</v>
      </c>
      <c r="I243" s="16">
        <f>785595-21756</f>
        <v>763839</v>
      </c>
      <c r="J243" s="16">
        <f t="shared" si="342"/>
        <v>2614417</v>
      </c>
      <c r="K243" s="16">
        <v>22772</v>
      </c>
      <c r="L243" s="16">
        <v>64233</v>
      </c>
      <c r="M243" s="16">
        <v>1170842</v>
      </c>
      <c r="N243" s="16">
        <v>0</v>
      </c>
      <c r="O243" s="16">
        <f>656316-20000</f>
        <v>636316</v>
      </c>
      <c r="P243" s="16">
        <f>813679-47160-46265</f>
        <v>720254</v>
      </c>
      <c r="Q243" s="16">
        <f t="shared" si="343"/>
        <v>34044</v>
      </c>
      <c r="R243" s="16">
        <f>35894-1850</f>
        <v>34044</v>
      </c>
      <c r="S243" s="16">
        <v>0</v>
      </c>
      <c r="T243" s="16">
        <v>0</v>
      </c>
      <c r="U243" s="16">
        <f>223302-10080</f>
        <v>213222</v>
      </c>
      <c r="V243" s="16">
        <f t="shared" si="382"/>
        <v>1866858</v>
      </c>
      <c r="W243" s="16">
        <f>39783-3142</f>
        <v>36641</v>
      </c>
      <c r="X243" s="16">
        <f>971707-71062+34247</f>
        <v>934892</v>
      </c>
      <c r="Y243" s="16">
        <f>545053+1549+16</f>
        <v>546618</v>
      </c>
      <c r="Z243" s="16">
        <f>221669+13109+12002</f>
        <v>246780</v>
      </c>
      <c r="AA243" s="16">
        <f>100678-1436</f>
        <v>99242</v>
      </c>
      <c r="AB243" s="16">
        <v>0</v>
      </c>
      <c r="AC243" s="16">
        <v>0</v>
      </c>
      <c r="AD243" s="16">
        <f>2671+14</f>
        <v>2685</v>
      </c>
      <c r="AE243" s="16">
        <f t="shared" si="383"/>
        <v>1160320</v>
      </c>
      <c r="AF243" s="16">
        <v>0</v>
      </c>
      <c r="AG243" s="16">
        <f>47708-6500</f>
        <v>41208</v>
      </c>
      <c r="AH243" s="16">
        <v>310338</v>
      </c>
      <c r="AI243" s="16">
        <v>60048</v>
      </c>
      <c r="AJ243" s="16">
        <f>117612-7208</f>
        <v>110404</v>
      </c>
      <c r="AK243" s="16">
        <v>0</v>
      </c>
      <c r="AL243" s="16">
        <f>17009-1000</f>
        <v>16009</v>
      </c>
      <c r="AM243" s="16">
        <f>52987-5000</f>
        <v>47987</v>
      </c>
      <c r="AN243" s="16">
        <v>0</v>
      </c>
      <c r="AO243" s="16">
        <v>1076</v>
      </c>
      <c r="AP243" s="16"/>
      <c r="AQ243" s="16">
        <v>0</v>
      </c>
      <c r="AR243" s="16">
        <v>0</v>
      </c>
      <c r="AS243" s="16">
        <v>0</v>
      </c>
      <c r="AT243" s="16">
        <v>0</v>
      </c>
      <c r="AU243" s="16">
        <v>0</v>
      </c>
      <c r="AV243" s="16">
        <v>0</v>
      </c>
      <c r="AW243" s="16">
        <v>0</v>
      </c>
      <c r="AX243" s="16">
        <v>0</v>
      </c>
      <c r="AY243" s="16"/>
      <c r="AZ243" s="16">
        <f>610507-37257</f>
        <v>573250</v>
      </c>
      <c r="BA243" s="16">
        <f t="shared" si="384"/>
        <v>0</v>
      </c>
      <c r="BB243" s="16">
        <f t="shared" si="385"/>
        <v>0</v>
      </c>
      <c r="BC243" s="16">
        <v>0</v>
      </c>
      <c r="BD243" s="16">
        <v>0</v>
      </c>
      <c r="BE243" s="16">
        <v>0</v>
      </c>
      <c r="BF243" s="16">
        <f t="shared" si="344"/>
        <v>0</v>
      </c>
      <c r="BG243" s="16">
        <v>0</v>
      </c>
      <c r="BH243" s="16">
        <v>0</v>
      </c>
      <c r="BI243" s="16">
        <v>0</v>
      </c>
      <c r="BJ243" s="16">
        <v>0</v>
      </c>
      <c r="BK243" s="16">
        <f t="shared" si="345"/>
        <v>0</v>
      </c>
      <c r="BL243" s="16">
        <v>0</v>
      </c>
      <c r="BM243" s="16">
        <f t="shared" si="346"/>
        <v>0</v>
      </c>
      <c r="BN243" s="16">
        <v>0</v>
      </c>
      <c r="BO243" s="16">
        <v>0</v>
      </c>
      <c r="BP243" s="16">
        <v>0</v>
      </c>
      <c r="BQ243" s="16">
        <v>0</v>
      </c>
      <c r="BR243" s="16">
        <v>0</v>
      </c>
      <c r="BS243" s="16">
        <v>0</v>
      </c>
      <c r="BT243" s="16">
        <v>0</v>
      </c>
      <c r="BU243" s="16">
        <v>0</v>
      </c>
      <c r="BV243" s="16">
        <v>0</v>
      </c>
      <c r="BW243" s="16">
        <v>0</v>
      </c>
      <c r="BX243" s="16">
        <v>0</v>
      </c>
      <c r="BY243" s="16">
        <f t="shared" si="386"/>
        <v>471693</v>
      </c>
      <c r="BZ243" s="16">
        <f t="shared" si="387"/>
        <v>471693</v>
      </c>
      <c r="CA243" s="16">
        <f t="shared" si="347"/>
        <v>330420</v>
      </c>
      <c r="CB243" s="16">
        <v>0</v>
      </c>
      <c r="CC243" s="16">
        <v>330420</v>
      </c>
      <c r="CD243" s="16">
        <f t="shared" si="388"/>
        <v>0</v>
      </c>
      <c r="CE243" s="16">
        <v>0</v>
      </c>
      <c r="CF243" s="16">
        <v>0</v>
      </c>
      <c r="CG243" s="16">
        <v>0</v>
      </c>
      <c r="CH243" s="16">
        <v>0</v>
      </c>
      <c r="CI243" s="16">
        <v>0</v>
      </c>
      <c r="CJ243" s="16">
        <f t="shared" si="389"/>
        <v>141273</v>
      </c>
      <c r="CK243" s="16">
        <v>0</v>
      </c>
      <c r="CL243" s="16">
        <f>156273-15000</f>
        <v>141273</v>
      </c>
      <c r="CM243" s="16">
        <v>0</v>
      </c>
      <c r="CN243" s="16">
        <v>0</v>
      </c>
      <c r="CO243" s="16"/>
      <c r="CP243" s="16"/>
      <c r="CQ243" s="16">
        <v>0</v>
      </c>
      <c r="CR243" s="16">
        <f t="shared" si="348"/>
        <v>0</v>
      </c>
      <c r="CS243" s="16">
        <f t="shared" si="349"/>
        <v>0</v>
      </c>
      <c r="CT243" s="16">
        <v>0</v>
      </c>
      <c r="CU243" s="17">
        <v>0</v>
      </c>
      <c r="CV243" s="38"/>
    </row>
    <row r="244" spans="1:100" ht="31.5" x14ac:dyDescent="0.25">
      <c r="A244" s="13" t="s">
        <v>1</v>
      </c>
      <c r="B244" s="14" t="s">
        <v>1</v>
      </c>
      <c r="C244" s="14" t="s">
        <v>25</v>
      </c>
      <c r="D244" s="30" t="s">
        <v>267</v>
      </c>
      <c r="E244" s="15">
        <f t="shared" si="379"/>
        <v>1250000</v>
      </c>
      <c r="F244" s="16">
        <f t="shared" si="380"/>
        <v>1222651</v>
      </c>
      <c r="G244" s="16">
        <f t="shared" si="381"/>
        <v>1222651</v>
      </c>
      <c r="H244" s="16">
        <v>309757</v>
      </c>
      <c r="I244" s="16">
        <v>73246</v>
      </c>
      <c r="J244" s="16">
        <f t="shared" si="342"/>
        <v>3057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f>3235-178</f>
        <v>3057</v>
      </c>
      <c r="Q244" s="16">
        <f t="shared" si="343"/>
        <v>0</v>
      </c>
      <c r="R244" s="16">
        <v>0</v>
      </c>
      <c r="S244" s="16">
        <v>0</v>
      </c>
      <c r="T244" s="16">
        <v>0</v>
      </c>
      <c r="U244" s="16">
        <v>8860</v>
      </c>
      <c r="V244" s="16">
        <f t="shared" si="382"/>
        <v>5082</v>
      </c>
      <c r="W244" s="16">
        <v>688</v>
      </c>
      <c r="X244" s="16">
        <f>2133+24</f>
        <v>2157</v>
      </c>
      <c r="Y244" s="16">
        <f>1821+109</f>
        <v>1930</v>
      </c>
      <c r="Z244" s="16">
        <f>262+45</f>
        <v>307</v>
      </c>
      <c r="AA244" s="16">
        <v>0</v>
      </c>
      <c r="AB244" s="16">
        <v>0</v>
      </c>
      <c r="AC244" s="16">
        <v>0</v>
      </c>
      <c r="AD244" s="16">
        <v>0</v>
      </c>
      <c r="AE244" s="16">
        <f t="shared" si="383"/>
        <v>822649</v>
      </c>
      <c r="AF244" s="16">
        <v>0</v>
      </c>
      <c r="AG244" s="16">
        <v>0</v>
      </c>
      <c r="AH244" s="16">
        <v>322</v>
      </c>
      <c r="AI244" s="16">
        <v>0</v>
      </c>
      <c r="AJ244" s="16">
        <v>0</v>
      </c>
      <c r="AK244" s="16">
        <v>0</v>
      </c>
      <c r="AL244" s="16">
        <v>1585</v>
      </c>
      <c r="AM244" s="16">
        <v>820582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160</v>
      </c>
      <c r="AT244" s="16">
        <v>0</v>
      </c>
      <c r="AU244" s="16">
        <v>0</v>
      </c>
      <c r="AV244" s="16">
        <v>0</v>
      </c>
      <c r="AW244" s="16">
        <v>0</v>
      </c>
      <c r="AX244" s="16">
        <v>0</v>
      </c>
      <c r="AY244" s="16">
        <v>0</v>
      </c>
      <c r="AZ244" s="16">
        <v>0</v>
      </c>
      <c r="BA244" s="16">
        <f t="shared" si="384"/>
        <v>0</v>
      </c>
      <c r="BB244" s="16">
        <f t="shared" si="385"/>
        <v>0</v>
      </c>
      <c r="BC244" s="16">
        <v>0</v>
      </c>
      <c r="BD244" s="16">
        <v>0</v>
      </c>
      <c r="BE244" s="16">
        <v>0</v>
      </c>
      <c r="BF244" s="16">
        <f t="shared" si="344"/>
        <v>0</v>
      </c>
      <c r="BG244" s="16">
        <v>0</v>
      </c>
      <c r="BH244" s="16">
        <v>0</v>
      </c>
      <c r="BI244" s="16">
        <v>0</v>
      </c>
      <c r="BJ244" s="16">
        <v>0</v>
      </c>
      <c r="BK244" s="16">
        <f t="shared" si="345"/>
        <v>0</v>
      </c>
      <c r="BL244" s="16">
        <v>0</v>
      </c>
      <c r="BM244" s="16">
        <f t="shared" si="346"/>
        <v>0</v>
      </c>
      <c r="BN244" s="16">
        <v>0</v>
      </c>
      <c r="BO244" s="16">
        <v>0</v>
      </c>
      <c r="BP244" s="16">
        <v>0</v>
      </c>
      <c r="BQ244" s="16">
        <v>0</v>
      </c>
      <c r="BR244" s="16">
        <v>0</v>
      </c>
      <c r="BS244" s="16">
        <v>0</v>
      </c>
      <c r="BT244" s="16">
        <v>0</v>
      </c>
      <c r="BU244" s="16">
        <v>0</v>
      </c>
      <c r="BV244" s="16">
        <v>0</v>
      </c>
      <c r="BW244" s="16">
        <v>0</v>
      </c>
      <c r="BX244" s="16">
        <v>0</v>
      </c>
      <c r="BY244" s="16">
        <f t="shared" si="386"/>
        <v>27349</v>
      </c>
      <c r="BZ244" s="16">
        <f t="shared" si="387"/>
        <v>27349</v>
      </c>
      <c r="CA244" s="16">
        <f t="shared" si="347"/>
        <v>27349</v>
      </c>
      <c r="CB244" s="16">
        <v>0</v>
      </c>
      <c r="CC244" s="16">
        <v>27349</v>
      </c>
      <c r="CD244" s="16">
        <f t="shared" si="388"/>
        <v>0</v>
      </c>
      <c r="CE244" s="16">
        <v>0</v>
      </c>
      <c r="CF244" s="16">
        <v>0</v>
      </c>
      <c r="CG244" s="16">
        <v>0</v>
      </c>
      <c r="CH244" s="16">
        <v>0</v>
      </c>
      <c r="CI244" s="16">
        <v>0</v>
      </c>
      <c r="CJ244" s="16">
        <f t="shared" si="389"/>
        <v>0</v>
      </c>
      <c r="CK244" s="16">
        <v>0</v>
      </c>
      <c r="CL244" s="16">
        <v>0</v>
      </c>
      <c r="CM244" s="16">
        <v>0</v>
      </c>
      <c r="CN244" s="16">
        <v>0</v>
      </c>
      <c r="CO244" s="16">
        <v>0</v>
      </c>
      <c r="CP244" s="16">
        <v>0</v>
      </c>
      <c r="CQ244" s="16">
        <v>0</v>
      </c>
      <c r="CR244" s="16">
        <f t="shared" si="348"/>
        <v>0</v>
      </c>
      <c r="CS244" s="16">
        <f t="shared" si="349"/>
        <v>0</v>
      </c>
      <c r="CT244" s="16">
        <v>0</v>
      </c>
      <c r="CU244" s="17">
        <v>0</v>
      </c>
      <c r="CV244" s="38"/>
    </row>
    <row r="245" spans="1:100" ht="15.75" x14ac:dyDescent="0.25">
      <c r="A245" s="13" t="s">
        <v>1</v>
      </c>
      <c r="B245" s="14" t="s">
        <v>1</v>
      </c>
      <c r="C245" s="14" t="s">
        <v>91</v>
      </c>
      <c r="D245" s="30" t="s">
        <v>268</v>
      </c>
      <c r="E245" s="15">
        <f t="shared" si="379"/>
        <v>51741867</v>
      </c>
      <c r="F245" s="16">
        <f t="shared" si="380"/>
        <v>47882995</v>
      </c>
      <c r="G245" s="16">
        <f t="shared" si="381"/>
        <v>47882995</v>
      </c>
      <c r="H245" s="16">
        <f>30643991+470263</f>
        <v>31114254</v>
      </c>
      <c r="I245" s="16">
        <f>2871781+128195</f>
        <v>2999976</v>
      </c>
      <c r="J245" s="16">
        <f t="shared" si="342"/>
        <v>8523757</v>
      </c>
      <c r="K245" s="16">
        <f>111332+50000</f>
        <v>161332</v>
      </c>
      <c r="L245" s="16">
        <f>1681337+30000+100000+20000</f>
        <v>1831337</v>
      </c>
      <c r="M245" s="16">
        <f>410434+100000</f>
        <v>510434</v>
      </c>
      <c r="N245" s="16">
        <v>0</v>
      </c>
      <c r="O245" s="16">
        <f>2630665-14082</f>
        <v>2616583</v>
      </c>
      <c r="P245" s="16">
        <f>3082387+21684+100000+200000</f>
        <v>3404071</v>
      </c>
      <c r="Q245" s="16">
        <f t="shared" si="343"/>
        <v>151230</v>
      </c>
      <c r="R245" s="16">
        <v>31230</v>
      </c>
      <c r="S245" s="16">
        <v>120000</v>
      </c>
      <c r="T245" s="16">
        <v>0</v>
      </c>
      <c r="U245" s="16">
        <f>367942+50000</f>
        <v>417942</v>
      </c>
      <c r="V245" s="16">
        <f t="shared" si="382"/>
        <v>499610</v>
      </c>
      <c r="W245" s="16">
        <f>68156+6000</f>
        <v>74156</v>
      </c>
      <c r="X245" s="16">
        <f>193659-62552</f>
        <v>131107</v>
      </c>
      <c r="Y245" s="16">
        <f>146584-3011</f>
        <v>143573</v>
      </c>
      <c r="Z245" s="16">
        <f>81199+14207</f>
        <v>95406</v>
      </c>
      <c r="AA245" s="16">
        <v>26040</v>
      </c>
      <c r="AB245" s="16">
        <v>16724</v>
      </c>
      <c r="AC245" s="16">
        <v>0</v>
      </c>
      <c r="AD245" s="16">
        <f>8536+4068</f>
        <v>12604</v>
      </c>
      <c r="AE245" s="16">
        <f t="shared" si="383"/>
        <v>4176226</v>
      </c>
      <c r="AF245" s="16">
        <v>0</v>
      </c>
      <c r="AG245" s="16">
        <f>225498+40000+30000</f>
        <v>295498</v>
      </c>
      <c r="AH245" s="16">
        <f>701512+589106</f>
        <v>1290618</v>
      </c>
      <c r="AI245" s="16">
        <v>49914</v>
      </c>
      <c r="AJ245" s="16">
        <f>46162+13776</f>
        <v>59938</v>
      </c>
      <c r="AK245" s="16">
        <v>7380</v>
      </c>
      <c r="AL245" s="16">
        <v>8868</v>
      </c>
      <c r="AM245" s="16">
        <v>34163</v>
      </c>
      <c r="AN245" s="16">
        <v>0</v>
      </c>
      <c r="AO245" s="16">
        <v>0</v>
      </c>
      <c r="AP245" s="16">
        <v>0</v>
      </c>
      <c r="AQ245" s="16">
        <f>72307+17000</f>
        <v>89307</v>
      </c>
      <c r="AR245" s="16">
        <v>0</v>
      </c>
      <c r="AS245" s="16">
        <f>109300+10000</f>
        <v>119300</v>
      </c>
      <c r="AT245" s="16">
        <v>0</v>
      </c>
      <c r="AU245" s="16">
        <v>0</v>
      </c>
      <c r="AV245" s="16">
        <v>0</v>
      </c>
      <c r="AW245" s="16">
        <v>1588691</v>
      </c>
      <c r="AX245" s="16">
        <v>0</v>
      </c>
      <c r="AY245" s="16">
        <v>0</v>
      </c>
      <c r="AZ245" s="16">
        <f>532526+20023+30000+50000</f>
        <v>632549</v>
      </c>
      <c r="BA245" s="16">
        <f t="shared" si="384"/>
        <v>0</v>
      </c>
      <c r="BB245" s="16">
        <f t="shared" si="385"/>
        <v>0</v>
      </c>
      <c r="BC245" s="16">
        <v>0</v>
      </c>
      <c r="BD245" s="16">
        <v>0</v>
      </c>
      <c r="BE245" s="16">
        <v>0</v>
      </c>
      <c r="BF245" s="16">
        <f t="shared" si="344"/>
        <v>0</v>
      </c>
      <c r="BG245" s="16">
        <v>0</v>
      </c>
      <c r="BH245" s="16">
        <v>0</v>
      </c>
      <c r="BI245" s="16">
        <v>0</v>
      </c>
      <c r="BJ245" s="16">
        <v>0</v>
      </c>
      <c r="BK245" s="16">
        <f t="shared" si="345"/>
        <v>0</v>
      </c>
      <c r="BL245" s="16">
        <v>0</v>
      </c>
      <c r="BM245" s="16">
        <f t="shared" si="346"/>
        <v>0</v>
      </c>
      <c r="BN245" s="16">
        <v>0</v>
      </c>
      <c r="BO245" s="16">
        <v>0</v>
      </c>
      <c r="BP245" s="16">
        <v>0</v>
      </c>
      <c r="BQ245" s="16">
        <v>0</v>
      </c>
      <c r="BR245" s="16">
        <v>0</v>
      </c>
      <c r="BS245" s="16">
        <v>0</v>
      </c>
      <c r="BT245" s="16">
        <v>0</v>
      </c>
      <c r="BU245" s="16">
        <v>0</v>
      </c>
      <c r="BV245" s="16">
        <v>0</v>
      </c>
      <c r="BW245" s="16">
        <v>0</v>
      </c>
      <c r="BX245" s="16">
        <v>0</v>
      </c>
      <c r="BY245" s="16">
        <f t="shared" si="386"/>
        <v>3858872</v>
      </c>
      <c r="BZ245" s="16">
        <f t="shared" si="387"/>
        <v>3858872</v>
      </c>
      <c r="CA245" s="16">
        <f t="shared" si="347"/>
        <v>1813750</v>
      </c>
      <c r="CB245" s="16">
        <v>0</v>
      </c>
      <c r="CC245" s="16">
        <f>1228526+585224</f>
        <v>1813750</v>
      </c>
      <c r="CD245" s="16">
        <f t="shared" si="388"/>
        <v>800000</v>
      </c>
      <c r="CE245" s="16">
        <v>0</v>
      </c>
      <c r="CF245" s="16">
        <v>0</v>
      </c>
      <c r="CG245" s="16">
        <v>800000</v>
      </c>
      <c r="CH245" s="16">
        <v>0</v>
      </c>
      <c r="CI245" s="16">
        <v>0</v>
      </c>
      <c r="CJ245" s="16">
        <f t="shared" si="389"/>
        <v>1245122</v>
      </c>
      <c r="CK245" s="16">
        <v>0</v>
      </c>
      <c r="CL245" s="16">
        <v>0</v>
      </c>
      <c r="CM245" s="16">
        <f>987827-12705+270000</f>
        <v>1245122</v>
      </c>
      <c r="CN245" s="16">
        <v>0</v>
      </c>
      <c r="CO245" s="16">
        <v>0</v>
      </c>
      <c r="CP245" s="16">
        <v>0</v>
      </c>
      <c r="CQ245" s="16">
        <v>0</v>
      </c>
      <c r="CR245" s="16">
        <f t="shared" si="348"/>
        <v>0</v>
      </c>
      <c r="CS245" s="16">
        <f t="shared" si="349"/>
        <v>0</v>
      </c>
      <c r="CT245" s="16">
        <v>0</v>
      </c>
      <c r="CU245" s="17">
        <v>0</v>
      </c>
      <c r="CV245" s="38"/>
    </row>
    <row r="246" spans="1:100" ht="31.5" x14ac:dyDescent="0.25">
      <c r="A246" s="13" t="s">
        <v>1</v>
      </c>
      <c r="B246" s="14" t="s">
        <v>1</v>
      </c>
      <c r="C246" s="14" t="s">
        <v>29</v>
      </c>
      <c r="D246" s="30" t="s">
        <v>272</v>
      </c>
      <c r="E246" s="15">
        <f t="shared" si="379"/>
        <v>3140489</v>
      </c>
      <c r="F246" s="16">
        <f t="shared" si="380"/>
        <v>3050489</v>
      </c>
      <c r="G246" s="16">
        <f t="shared" si="381"/>
        <v>3050489</v>
      </c>
      <c r="H246" s="16">
        <f>899765+77314</f>
        <v>977079</v>
      </c>
      <c r="I246" s="16">
        <f>224941+19328</f>
        <v>244269</v>
      </c>
      <c r="J246" s="16">
        <f>SUM(K246:P246)</f>
        <v>793444</v>
      </c>
      <c r="K246" s="16">
        <v>0</v>
      </c>
      <c r="L246" s="16">
        <v>0</v>
      </c>
      <c r="M246" s="16">
        <v>0</v>
      </c>
      <c r="N246" s="16">
        <v>0</v>
      </c>
      <c r="O246" s="16">
        <f>480000+5000</f>
        <v>485000</v>
      </c>
      <c r="P246" s="16">
        <f>259500+48944</f>
        <v>308444</v>
      </c>
      <c r="Q246" s="16">
        <f>SUM(R246:S246)</f>
        <v>55000</v>
      </c>
      <c r="R246" s="16">
        <v>0</v>
      </c>
      <c r="S246" s="16">
        <v>55000</v>
      </c>
      <c r="T246" s="16">
        <f>25000+1800</f>
        <v>26800</v>
      </c>
      <c r="U246" s="16">
        <v>32000</v>
      </c>
      <c r="V246" s="16">
        <f t="shared" si="382"/>
        <v>51821</v>
      </c>
      <c r="W246" s="16">
        <v>0</v>
      </c>
      <c r="X246" s="16">
        <v>0</v>
      </c>
      <c r="Y246" s="16">
        <f>0+10000</f>
        <v>10000</v>
      </c>
      <c r="Z246" s="16">
        <f>0+11500</f>
        <v>11500</v>
      </c>
      <c r="AA246" s="16">
        <v>23200</v>
      </c>
      <c r="AB246" s="16">
        <f>2000+2400</f>
        <v>4400</v>
      </c>
      <c r="AC246" s="16">
        <v>0</v>
      </c>
      <c r="AD246" s="16">
        <f>2178+543</f>
        <v>2721</v>
      </c>
      <c r="AE246" s="16">
        <f>SUM(AF246:AZ246)</f>
        <v>870076</v>
      </c>
      <c r="AF246" s="16">
        <v>335000</v>
      </c>
      <c r="AG246" s="16">
        <f>12300+11320</f>
        <v>23620</v>
      </c>
      <c r="AH246" s="16">
        <f>55200+30000</f>
        <v>85200</v>
      </c>
      <c r="AI246" s="16">
        <v>0</v>
      </c>
      <c r="AJ246" s="16">
        <v>20268</v>
      </c>
      <c r="AK246" s="16">
        <v>0</v>
      </c>
      <c r="AL246" s="16">
        <f>13400+1500</f>
        <v>14900</v>
      </c>
      <c r="AM246" s="16">
        <v>23000</v>
      </c>
      <c r="AN246" s="16">
        <v>0</v>
      </c>
      <c r="AO246" s="16">
        <v>0</v>
      </c>
      <c r="AP246" s="16">
        <v>0</v>
      </c>
      <c r="AQ246" s="16">
        <v>0</v>
      </c>
      <c r="AR246" s="16">
        <v>0</v>
      </c>
      <c r="AS246" s="16">
        <f>0+4000</f>
        <v>4000</v>
      </c>
      <c r="AT246" s="16">
        <v>0</v>
      </c>
      <c r="AU246" s="16">
        <v>0</v>
      </c>
      <c r="AV246" s="16">
        <v>0</v>
      </c>
      <c r="AW246" s="16">
        <v>0</v>
      </c>
      <c r="AX246" s="16">
        <v>0</v>
      </c>
      <c r="AY246" s="16">
        <v>0</v>
      </c>
      <c r="AZ246" s="16">
        <f>354088+10000</f>
        <v>364088</v>
      </c>
      <c r="BA246" s="16">
        <f t="shared" si="384"/>
        <v>0</v>
      </c>
      <c r="BB246" s="16">
        <f t="shared" si="385"/>
        <v>0</v>
      </c>
      <c r="BC246" s="16">
        <v>0</v>
      </c>
      <c r="BD246" s="16">
        <v>0</v>
      </c>
      <c r="BE246" s="16">
        <v>0</v>
      </c>
      <c r="BF246" s="16">
        <f>SUM(BG246:BH246)</f>
        <v>0</v>
      </c>
      <c r="BG246" s="16">
        <v>0</v>
      </c>
      <c r="BH246" s="16">
        <v>0</v>
      </c>
      <c r="BI246" s="16">
        <v>0</v>
      </c>
      <c r="BJ246" s="16">
        <v>0</v>
      </c>
      <c r="BK246" s="16">
        <f>SUM(BL246)</f>
        <v>0</v>
      </c>
      <c r="BL246" s="16">
        <v>0</v>
      </c>
      <c r="BM246" s="16">
        <f>SUM(BN246:BX246)</f>
        <v>0</v>
      </c>
      <c r="BN246" s="16">
        <v>0</v>
      </c>
      <c r="BO246" s="16">
        <v>0</v>
      </c>
      <c r="BP246" s="16">
        <v>0</v>
      </c>
      <c r="BQ246" s="16">
        <v>0</v>
      </c>
      <c r="BR246" s="16">
        <v>0</v>
      </c>
      <c r="BS246" s="16">
        <v>0</v>
      </c>
      <c r="BT246" s="16">
        <v>0</v>
      </c>
      <c r="BU246" s="16">
        <v>0</v>
      </c>
      <c r="BV246" s="16">
        <v>0</v>
      </c>
      <c r="BW246" s="16">
        <v>0</v>
      </c>
      <c r="BX246" s="16">
        <v>0</v>
      </c>
      <c r="BY246" s="16">
        <f t="shared" si="386"/>
        <v>90000</v>
      </c>
      <c r="BZ246" s="16">
        <f t="shared" si="387"/>
        <v>90000</v>
      </c>
      <c r="CA246" s="16">
        <f>SUM(CB246:CC246)</f>
        <v>90000</v>
      </c>
      <c r="CB246" s="16">
        <v>0</v>
      </c>
      <c r="CC246" s="16">
        <f>60000+30000</f>
        <v>90000</v>
      </c>
      <c r="CD246" s="16">
        <f t="shared" si="388"/>
        <v>0</v>
      </c>
      <c r="CE246" s="16">
        <v>0</v>
      </c>
      <c r="CF246" s="16">
        <v>0</v>
      </c>
      <c r="CG246" s="16">
        <v>0</v>
      </c>
      <c r="CH246" s="16">
        <v>0</v>
      </c>
      <c r="CI246" s="16">
        <v>0</v>
      </c>
      <c r="CJ246" s="16">
        <f t="shared" si="389"/>
        <v>0</v>
      </c>
      <c r="CK246" s="16">
        <v>0</v>
      </c>
      <c r="CL246" s="16">
        <v>0</v>
      </c>
      <c r="CM246" s="16">
        <v>0</v>
      </c>
      <c r="CN246" s="16">
        <v>0</v>
      </c>
      <c r="CO246" s="16">
        <v>0</v>
      </c>
      <c r="CP246" s="16">
        <v>0</v>
      </c>
      <c r="CQ246" s="16">
        <v>0</v>
      </c>
      <c r="CR246" s="16">
        <f>SUM(CS246)</f>
        <v>0</v>
      </c>
      <c r="CS246" s="16">
        <f>SUM(CT246:CU246)</f>
        <v>0</v>
      </c>
      <c r="CT246" s="16">
        <v>0</v>
      </c>
      <c r="CU246" s="17">
        <v>0</v>
      </c>
      <c r="CV246" s="38"/>
    </row>
    <row r="247" spans="1:100" ht="31.5" x14ac:dyDescent="0.25">
      <c r="A247" s="13" t="s">
        <v>1</v>
      </c>
      <c r="B247" s="14" t="s">
        <v>1</v>
      </c>
      <c r="C247" s="14" t="s">
        <v>29</v>
      </c>
      <c r="D247" s="30" t="s">
        <v>273</v>
      </c>
      <c r="E247" s="15">
        <f t="shared" si="379"/>
        <v>35721167</v>
      </c>
      <c r="F247" s="16">
        <f t="shared" si="380"/>
        <v>32981735</v>
      </c>
      <c r="G247" s="16">
        <f t="shared" si="381"/>
        <v>32981735</v>
      </c>
      <c r="H247" s="16">
        <f>2500000+1134995</f>
        <v>3634995</v>
      </c>
      <c r="I247" s="16">
        <f>625000+283748</f>
        <v>908748</v>
      </c>
      <c r="J247" s="16">
        <f>SUM(K247:P247)</f>
        <v>2507226</v>
      </c>
      <c r="K247" s="16">
        <v>0</v>
      </c>
      <c r="L247" s="16">
        <v>200000</v>
      </c>
      <c r="M247" s="16">
        <v>0</v>
      </c>
      <c r="N247" s="16">
        <v>0</v>
      </c>
      <c r="O247" s="16">
        <f>952226+350000</f>
        <v>1302226</v>
      </c>
      <c r="P247" s="16">
        <f>705000+300000</f>
        <v>1005000</v>
      </c>
      <c r="Q247" s="16">
        <f>SUM(R247:S247)</f>
        <v>0</v>
      </c>
      <c r="R247" s="16">
        <v>0</v>
      </c>
      <c r="S247" s="16">
        <v>0</v>
      </c>
      <c r="T247" s="16">
        <v>0</v>
      </c>
      <c r="U247" s="16">
        <f>80853+10000</f>
        <v>90853</v>
      </c>
      <c r="V247" s="16">
        <f t="shared" si="382"/>
        <v>22676332</v>
      </c>
      <c r="W247" s="16">
        <v>0</v>
      </c>
      <c r="X247" s="16">
        <f>12473+144</f>
        <v>12617</v>
      </c>
      <c r="Y247" s="16">
        <f>7011562+2000500+6791730+6850000</f>
        <v>22653792</v>
      </c>
      <c r="Z247" s="16">
        <f>2668+463</f>
        <v>3131</v>
      </c>
      <c r="AA247" s="16">
        <v>3348</v>
      </c>
      <c r="AB247" s="16">
        <v>0</v>
      </c>
      <c r="AC247" s="16">
        <v>0</v>
      </c>
      <c r="AD247" s="16">
        <f>3289+155</f>
        <v>3444</v>
      </c>
      <c r="AE247" s="16">
        <f>SUM(AF247:AZ247)</f>
        <v>3163581</v>
      </c>
      <c r="AF247" s="16">
        <v>0</v>
      </c>
      <c r="AG247" s="16">
        <f>353062+1250000</f>
        <v>1603062</v>
      </c>
      <c r="AH247" s="16">
        <v>693395</v>
      </c>
      <c r="AI247" s="16">
        <v>0</v>
      </c>
      <c r="AJ247" s="16">
        <v>12729</v>
      </c>
      <c r="AK247" s="16">
        <v>0</v>
      </c>
      <c r="AL247" s="16">
        <f>15099+15000</f>
        <v>30099</v>
      </c>
      <c r="AM247" s="16">
        <v>0</v>
      </c>
      <c r="AN247" s="16">
        <v>0</v>
      </c>
      <c r="AO247" s="16">
        <v>0</v>
      </c>
      <c r="AP247" s="16">
        <v>0</v>
      </c>
      <c r="AQ247" s="16">
        <v>0</v>
      </c>
      <c r="AR247" s="16">
        <v>0</v>
      </c>
      <c r="AS247" s="16">
        <v>0</v>
      </c>
      <c r="AT247" s="16">
        <v>0</v>
      </c>
      <c r="AU247" s="16">
        <v>0</v>
      </c>
      <c r="AV247" s="16">
        <v>0</v>
      </c>
      <c r="AW247" s="16">
        <v>0</v>
      </c>
      <c r="AX247" s="16">
        <v>0</v>
      </c>
      <c r="AY247" s="16">
        <v>0</v>
      </c>
      <c r="AZ247" s="16">
        <f>929296-355000+250000</f>
        <v>824296</v>
      </c>
      <c r="BA247" s="16">
        <f t="shared" si="384"/>
        <v>0</v>
      </c>
      <c r="BB247" s="16">
        <f t="shared" si="385"/>
        <v>0</v>
      </c>
      <c r="BC247" s="16">
        <v>0</v>
      </c>
      <c r="BD247" s="16">
        <v>0</v>
      </c>
      <c r="BE247" s="16">
        <v>0</v>
      </c>
      <c r="BF247" s="16">
        <f>SUM(BG247:BH247)</f>
        <v>0</v>
      </c>
      <c r="BG247" s="16">
        <v>0</v>
      </c>
      <c r="BH247" s="16">
        <v>0</v>
      </c>
      <c r="BI247" s="16">
        <v>0</v>
      </c>
      <c r="BJ247" s="16">
        <v>0</v>
      </c>
      <c r="BK247" s="16">
        <f>SUM(BL247)</f>
        <v>0</v>
      </c>
      <c r="BL247" s="16">
        <v>0</v>
      </c>
      <c r="BM247" s="16">
        <f>SUM(BN247:BX247)</f>
        <v>0</v>
      </c>
      <c r="BN247" s="16">
        <v>0</v>
      </c>
      <c r="BO247" s="16">
        <v>0</v>
      </c>
      <c r="BP247" s="16">
        <v>0</v>
      </c>
      <c r="BQ247" s="16">
        <v>0</v>
      </c>
      <c r="BR247" s="16">
        <v>0</v>
      </c>
      <c r="BS247" s="16">
        <v>0</v>
      </c>
      <c r="BT247" s="16">
        <v>0</v>
      </c>
      <c r="BU247" s="16">
        <v>0</v>
      </c>
      <c r="BV247" s="16">
        <v>0</v>
      </c>
      <c r="BW247" s="16">
        <v>0</v>
      </c>
      <c r="BX247" s="16">
        <v>0</v>
      </c>
      <c r="BY247" s="16">
        <f t="shared" si="386"/>
        <v>2739432</v>
      </c>
      <c r="BZ247" s="16">
        <f t="shared" si="387"/>
        <v>2739432</v>
      </c>
      <c r="CA247" s="16">
        <f>SUM(CB247:CC247)</f>
        <v>1400000</v>
      </c>
      <c r="CB247" s="16">
        <f>0+1000000</f>
        <v>1000000</v>
      </c>
      <c r="CC247" s="16">
        <v>400000</v>
      </c>
      <c r="CD247" s="16">
        <f t="shared" si="388"/>
        <v>0</v>
      </c>
      <c r="CE247" s="16">
        <v>0</v>
      </c>
      <c r="CF247" s="16">
        <v>0</v>
      </c>
      <c r="CG247" s="16">
        <v>0</v>
      </c>
      <c r="CH247" s="16">
        <v>0</v>
      </c>
      <c r="CI247" s="16">
        <v>0</v>
      </c>
      <c r="CJ247" s="16">
        <f t="shared" si="389"/>
        <v>1339432</v>
      </c>
      <c r="CK247" s="16">
        <v>0</v>
      </c>
      <c r="CL247" s="16">
        <f>0+355000+265000</f>
        <v>620000</v>
      </c>
      <c r="CM247" s="16">
        <v>0</v>
      </c>
      <c r="CN247" s="16">
        <f>0+719432</f>
        <v>719432</v>
      </c>
      <c r="CO247" s="16">
        <v>0</v>
      </c>
      <c r="CP247" s="16">
        <v>0</v>
      </c>
      <c r="CQ247" s="16">
        <v>0</v>
      </c>
      <c r="CR247" s="16">
        <f>SUM(CS247)</f>
        <v>0</v>
      </c>
      <c r="CS247" s="16">
        <f>SUM(CT247:CU247)</f>
        <v>0</v>
      </c>
      <c r="CT247" s="16">
        <v>0</v>
      </c>
      <c r="CU247" s="17">
        <v>0</v>
      </c>
      <c r="CV247" s="38"/>
    </row>
    <row r="248" spans="1:100" ht="31.5" x14ac:dyDescent="0.25">
      <c r="A248" s="13" t="s">
        <v>1</v>
      </c>
      <c r="B248" s="14" t="s">
        <v>1</v>
      </c>
      <c r="C248" s="14" t="s">
        <v>29</v>
      </c>
      <c r="D248" s="30" t="s">
        <v>271</v>
      </c>
      <c r="E248" s="15">
        <f t="shared" si="379"/>
        <v>14296150</v>
      </c>
      <c r="F248" s="16">
        <f t="shared" si="380"/>
        <v>13257331</v>
      </c>
      <c r="G248" s="16">
        <f t="shared" si="381"/>
        <v>13257331</v>
      </c>
      <c r="H248" s="16">
        <f>4216619+641490</f>
        <v>4858109</v>
      </c>
      <c r="I248" s="16">
        <f>1054155+160372</f>
        <v>1214527</v>
      </c>
      <c r="J248" s="16">
        <f t="shared" si="342"/>
        <v>3649943</v>
      </c>
      <c r="K248" s="16">
        <v>1500000</v>
      </c>
      <c r="L248" s="16">
        <v>0</v>
      </c>
      <c r="M248" s="16">
        <v>5000</v>
      </c>
      <c r="N248" s="16">
        <v>0</v>
      </c>
      <c r="O248" s="16">
        <f>863921+350000</f>
        <v>1213921</v>
      </c>
      <c r="P248" s="16">
        <f>572022+359000</f>
        <v>931022</v>
      </c>
      <c r="Q248" s="16">
        <f t="shared" si="343"/>
        <v>41526</v>
      </c>
      <c r="R248" s="16">
        <v>400</v>
      </c>
      <c r="S248" s="16">
        <v>41126</v>
      </c>
      <c r="T248" s="16">
        <v>0</v>
      </c>
      <c r="U248" s="16">
        <v>116016</v>
      </c>
      <c r="V248" s="16">
        <f t="shared" si="382"/>
        <v>299415</v>
      </c>
      <c r="W248" s="16">
        <v>0</v>
      </c>
      <c r="X248" s="16">
        <f>77845+13814</f>
        <v>91659</v>
      </c>
      <c r="Y248" s="16">
        <f>91975+30491</f>
        <v>122466</v>
      </c>
      <c r="Z248" s="16">
        <f>5832+15015</f>
        <v>20847</v>
      </c>
      <c r="AA248" s="16">
        <v>26818</v>
      </c>
      <c r="AB248" s="16">
        <v>2000</v>
      </c>
      <c r="AC248" s="16">
        <v>0</v>
      </c>
      <c r="AD248" s="16">
        <f>20128+15497</f>
        <v>35625</v>
      </c>
      <c r="AE248" s="16">
        <f t="shared" si="383"/>
        <v>3077795</v>
      </c>
      <c r="AF248" s="16">
        <v>0</v>
      </c>
      <c r="AG248" s="16">
        <f>50600+50000</f>
        <v>100600</v>
      </c>
      <c r="AH248" s="16">
        <f>999956+700000</f>
        <v>1699956</v>
      </c>
      <c r="AI248" s="16">
        <v>0</v>
      </c>
      <c r="AJ248" s="16">
        <f>31562+20000</f>
        <v>51562</v>
      </c>
      <c r="AK248" s="16">
        <v>0</v>
      </c>
      <c r="AL248" s="16">
        <v>41126</v>
      </c>
      <c r="AM248" s="16">
        <v>200000</v>
      </c>
      <c r="AN248" s="16">
        <v>0</v>
      </c>
      <c r="AO248" s="16">
        <v>0</v>
      </c>
      <c r="AP248" s="16">
        <v>0</v>
      </c>
      <c r="AQ248" s="16">
        <v>0</v>
      </c>
      <c r="AR248" s="16">
        <f>46774+21000</f>
        <v>67774</v>
      </c>
      <c r="AS248" s="16">
        <v>0</v>
      </c>
      <c r="AT248" s="16">
        <v>0</v>
      </c>
      <c r="AU248" s="16">
        <v>0</v>
      </c>
      <c r="AV248" s="16">
        <v>0</v>
      </c>
      <c r="AW248" s="16">
        <v>0</v>
      </c>
      <c r="AX248" s="16">
        <v>0</v>
      </c>
      <c r="AY248" s="16">
        <v>0</v>
      </c>
      <c r="AZ248" s="16">
        <f>2716777-1800000</f>
        <v>916777</v>
      </c>
      <c r="BA248" s="16">
        <f t="shared" si="384"/>
        <v>0</v>
      </c>
      <c r="BB248" s="16">
        <f t="shared" si="385"/>
        <v>0</v>
      </c>
      <c r="BC248" s="16">
        <v>0</v>
      </c>
      <c r="BD248" s="16">
        <v>0</v>
      </c>
      <c r="BE248" s="16">
        <v>0</v>
      </c>
      <c r="BF248" s="16">
        <f t="shared" si="344"/>
        <v>0</v>
      </c>
      <c r="BG248" s="16">
        <v>0</v>
      </c>
      <c r="BH248" s="16">
        <v>0</v>
      </c>
      <c r="BI248" s="16">
        <v>0</v>
      </c>
      <c r="BJ248" s="16">
        <v>0</v>
      </c>
      <c r="BK248" s="16">
        <f t="shared" si="345"/>
        <v>0</v>
      </c>
      <c r="BL248" s="16">
        <v>0</v>
      </c>
      <c r="BM248" s="16">
        <f t="shared" si="346"/>
        <v>0</v>
      </c>
      <c r="BN248" s="16">
        <v>0</v>
      </c>
      <c r="BO248" s="16">
        <v>0</v>
      </c>
      <c r="BP248" s="16">
        <v>0</v>
      </c>
      <c r="BQ248" s="16">
        <v>0</v>
      </c>
      <c r="BR248" s="16">
        <v>0</v>
      </c>
      <c r="BS248" s="16">
        <v>0</v>
      </c>
      <c r="BT248" s="16">
        <v>0</v>
      </c>
      <c r="BU248" s="16">
        <v>0</v>
      </c>
      <c r="BV248" s="16">
        <v>0</v>
      </c>
      <c r="BW248" s="16">
        <v>0</v>
      </c>
      <c r="BX248" s="16">
        <v>0</v>
      </c>
      <c r="BY248" s="16">
        <f t="shared" si="386"/>
        <v>1038819</v>
      </c>
      <c r="BZ248" s="16">
        <f t="shared" si="387"/>
        <v>1038819</v>
      </c>
      <c r="CA248" s="16">
        <f t="shared" si="347"/>
        <v>1038819</v>
      </c>
      <c r="CB248" s="16">
        <v>0</v>
      </c>
      <c r="CC248" s="16">
        <f>496284+242535+300000</f>
        <v>1038819</v>
      </c>
      <c r="CD248" s="16">
        <f t="shared" si="388"/>
        <v>0</v>
      </c>
      <c r="CE248" s="16">
        <v>0</v>
      </c>
      <c r="CF248" s="16">
        <v>0</v>
      </c>
      <c r="CG248" s="16">
        <v>0</v>
      </c>
      <c r="CH248" s="16">
        <v>0</v>
      </c>
      <c r="CI248" s="16">
        <v>0</v>
      </c>
      <c r="CJ248" s="16">
        <f t="shared" si="389"/>
        <v>0</v>
      </c>
      <c r="CK248" s="16">
        <v>0</v>
      </c>
      <c r="CL248" s="16">
        <v>0</v>
      </c>
      <c r="CM248" s="16">
        <v>0</v>
      </c>
      <c r="CN248" s="16">
        <v>0</v>
      </c>
      <c r="CO248" s="16">
        <v>0</v>
      </c>
      <c r="CP248" s="16">
        <v>0</v>
      </c>
      <c r="CQ248" s="16">
        <v>0</v>
      </c>
      <c r="CR248" s="16">
        <f t="shared" si="348"/>
        <v>0</v>
      </c>
      <c r="CS248" s="16">
        <f t="shared" si="349"/>
        <v>0</v>
      </c>
      <c r="CT248" s="16">
        <v>0</v>
      </c>
      <c r="CU248" s="17">
        <v>0</v>
      </c>
      <c r="CV248" s="38"/>
    </row>
    <row r="249" spans="1:100" ht="31.5" x14ac:dyDescent="0.25">
      <c r="A249" s="13" t="s">
        <v>1</v>
      </c>
      <c r="B249" s="14" t="s">
        <v>1</v>
      </c>
      <c r="C249" s="14" t="s">
        <v>29</v>
      </c>
      <c r="D249" s="30" t="s">
        <v>270</v>
      </c>
      <c r="E249" s="15">
        <f t="shared" si="379"/>
        <v>158264</v>
      </c>
      <c r="F249" s="16">
        <f t="shared" si="380"/>
        <v>147489</v>
      </c>
      <c r="G249" s="16">
        <f t="shared" si="381"/>
        <v>147489</v>
      </c>
      <c r="H249" s="16">
        <v>8000</v>
      </c>
      <c r="I249" s="16">
        <v>2000</v>
      </c>
      <c r="J249" s="16">
        <f>SUM(K249:P249)</f>
        <v>88743</v>
      </c>
      <c r="K249" s="16">
        <v>0</v>
      </c>
      <c r="L249" s="16">
        <v>5478</v>
      </c>
      <c r="M249" s="16">
        <v>9502</v>
      </c>
      <c r="N249" s="16">
        <v>2513</v>
      </c>
      <c r="O249" s="16">
        <f>22026+8000</f>
        <v>30026</v>
      </c>
      <c r="P249" s="16">
        <f>37224+4000</f>
        <v>41224</v>
      </c>
      <c r="Q249" s="16">
        <f>SUM(R249:S249)</f>
        <v>2071</v>
      </c>
      <c r="R249" s="16">
        <v>2071</v>
      </c>
      <c r="S249" s="16">
        <v>0</v>
      </c>
      <c r="T249" s="16">
        <v>0</v>
      </c>
      <c r="U249" s="16">
        <v>9788</v>
      </c>
      <c r="V249" s="16">
        <f t="shared" si="382"/>
        <v>12691</v>
      </c>
      <c r="W249" s="16">
        <f>2000+1000</f>
        <v>3000</v>
      </c>
      <c r="X249" s="16">
        <v>0</v>
      </c>
      <c r="Y249" s="16">
        <v>0</v>
      </c>
      <c r="Z249" s="16">
        <f>3008+524</f>
        <v>3532</v>
      </c>
      <c r="AA249" s="16">
        <v>1507</v>
      </c>
      <c r="AB249" s="16">
        <v>1440</v>
      </c>
      <c r="AC249" s="16">
        <v>0</v>
      </c>
      <c r="AD249" s="16">
        <f>3027+185</f>
        <v>3212</v>
      </c>
      <c r="AE249" s="16">
        <f>SUM(AF249:AZ249)</f>
        <v>24196</v>
      </c>
      <c r="AF249" s="16">
        <v>0</v>
      </c>
      <c r="AG249" s="16">
        <v>98</v>
      </c>
      <c r="AH249" s="16">
        <v>0</v>
      </c>
      <c r="AI249" s="16">
        <v>0</v>
      </c>
      <c r="AJ249" s="16">
        <v>2004</v>
      </c>
      <c r="AK249" s="16">
        <v>0</v>
      </c>
      <c r="AL249" s="16">
        <v>1300</v>
      </c>
      <c r="AM249" s="16">
        <v>0</v>
      </c>
      <c r="AN249" s="16">
        <v>0</v>
      </c>
      <c r="AO249" s="16">
        <v>0</v>
      </c>
      <c r="AP249" s="16">
        <v>0</v>
      </c>
      <c r="AQ249" s="16">
        <v>0</v>
      </c>
      <c r="AR249" s="16">
        <v>0</v>
      </c>
      <c r="AS249" s="16">
        <v>0</v>
      </c>
      <c r="AT249" s="16">
        <v>0</v>
      </c>
      <c r="AU249" s="16">
        <v>0</v>
      </c>
      <c r="AV249" s="16">
        <v>0</v>
      </c>
      <c r="AW249" s="16">
        <v>0</v>
      </c>
      <c r="AX249" s="16">
        <v>0</v>
      </c>
      <c r="AY249" s="16">
        <v>0</v>
      </c>
      <c r="AZ249" s="16">
        <f>8684+12110</f>
        <v>20794</v>
      </c>
      <c r="BA249" s="16">
        <f t="shared" si="384"/>
        <v>0</v>
      </c>
      <c r="BB249" s="16">
        <f t="shared" si="385"/>
        <v>0</v>
      </c>
      <c r="BC249" s="16">
        <v>0</v>
      </c>
      <c r="BD249" s="16">
        <v>0</v>
      </c>
      <c r="BE249" s="16">
        <v>0</v>
      </c>
      <c r="BF249" s="16">
        <f>SUM(BG249:BH249)</f>
        <v>0</v>
      </c>
      <c r="BG249" s="16">
        <v>0</v>
      </c>
      <c r="BH249" s="16">
        <v>0</v>
      </c>
      <c r="BI249" s="16">
        <v>0</v>
      </c>
      <c r="BJ249" s="16">
        <v>0</v>
      </c>
      <c r="BK249" s="16">
        <f>SUM(BL249)</f>
        <v>0</v>
      </c>
      <c r="BL249" s="16">
        <v>0</v>
      </c>
      <c r="BM249" s="16">
        <f>SUM(BN249:BX249)</f>
        <v>0</v>
      </c>
      <c r="BN249" s="16">
        <v>0</v>
      </c>
      <c r="BO249" s="16">
        <v>0</v>
      </c>
      <c r="BP249" s="16">
        <v>0</v>
      </c>
      <c r="BQ249" s="16">
        <v>0</v>
      </c>
      <c r="BR249" s="16">
        <v>0</v>
      </c>
      <c r="BS249" s="16">
        <v>0</v>
      </c>
      <c r="BT249" s="16">
        <v>0</v>
      </c>
      <c r="BU249" s="16">
        <v>0</v>
      </c>
      <c r="BV249" s="16">
        <v>0</v>
      </c>
      <c r="BW249" s="16">
        <v>0</v>
      </c>
      <c r="BX249" s="16">
        <v>0</v>
      </c>
      <c r="BY249" s="16">
        <f t="shared" si="386"/>
        <v>10775</v>
      </c>
      <c r="BZ249" s="16">
        <f t="shared" si="387"/>
        <v>10775</v>
      </c>
      <c r="CA249" s="16">
        <f>SUM(CB249:CC249)</f>
        <v>10775</v>
      </c>
      <c r="CB249" s="16">
        <v>0</v>
      </c>
      <c r="CC249" s="16">
        <f>7775+3000</f>
        <v>10775</v>
      </c>
      <c r="CD249" s="16">
        <f t="shared" si="388"/>
        <v>0</v>
      </c>
      <c r="CE249" s="16">
        <v>0</v>
      </c>
      <c r="CF249" s="16">
        <v>0</v>
      </c>
      <c r="CG249" s="16">
        <v>0</v>
      </c>
      <c r="CH249" s="16">
        <v>0</v>
      </c>
      <c r="CI249" s="16">
        <v>0</v>
      </c>
      <c r="CJ249" s="16">
        <f t="shared" si="389"/>
        <v>0</v>
      </c>
      <c r="CK249" s="16">
        <v>0</v>
      </c>
      <c r="CL249" s="16">
        <v>0</v>
      </c>
      <c r="CM249" s="16">
        <v>0</v>
      </c>
      <c r="CN249" s="16">
        <v>0</v>
      </c>
      <c r="CO249" s="16">
        <v>0</v>
      </c>
      <c r="CP249" s="16">
        <v>0</v>
      </c>
      <c r="CQ249" s="16">
        <v>0</v>
      </c>
      <c r="CR249" s="16">
        <f>SUM(CS249)</f>
        <v>0</v>
      </c>
      <c r="CS249" s="16">
        <f>SUM(CT249:CU249)</f>
        <v>0</v>
      </c>
      <c r="CT249" s="16">
        <v>0</v>
      </c>
      <c r="CU249" s="17">
        <v>0</v>
      </c>
      <c r="CV249" s="38"/>
    </row>
    <row r="250" spans="1:100" ht="15.75" x14ac:dyDescent="0.25">
      <c r="A250" s="13" t="s">
        <v>1</v>
      </c>
      <c r="B250" s="14" t="s">
        <v>1</v>
      </c>
      <c r="C250" s="14" t="s">
        <v>274</v>
      </c>
      <c r="D250" s="30" t="s">
        <v>275</v>
      </c>
      <c r="E250" s="15">
        <f t="shared" si="379"/>
        <v>3510616</v>
      </c>
      <c r="F250" s="16">
        <f t="shared" si="380"/>
        <v>2892061</v>
      </c>
      <c r="G250" s="16">
        <f t="shared" si="381"/>
        <v>2892061</v>
      </c>
      <c r="H250" s="16">
        <v>1633226</v>
      </c>
      <c r="I250" s="16">
        <v>386622</v>
      </c>
      <c r="J250" s="16">
        <f t="shared" si="342"/>
        <v>370000</v>
      </c>
      <c r="K250" s="16">
        <v>0</v>
      </c>
      <c r="L250" s="16">
        <v>0</v>
      </c>
      <c r="M250" s="16">
        <v>0</v>
      </c>
      <c r="N250" s="16">
        <v>0</v>
      </c>
      <c r="O250" s="16">
        <v>120000</v>
      </c>
      <c r="P250" s="16">
        <v>250000</v>
      </c>
      <c r="Q250" s="16">
        <f t="shared" si="343"/>
        <v>10000</v>
      </c>
      <c r="R250" s="16">
        <v>0</v>
      </c>
      <c r="S250" s="16">
        <v>10000</v>
      </c>
      <c r="T250" s="16">
        <v>0</v>
      </c>
      <c r="U250" s="16">
        <v>30800</v>
      </c>
      <c r="V250" s="16">
        <f t="shared" si="382"/>
        <v>81193</v>
      </c>
      <c r="W250" s="16">
        <v>0</v>
      </c>
      <c r="X250" s="16">
        <f>48841+563</f>
        <v>49404</v>
      </c>
      <c r="Y250" s="16">
        <f>21861+446</f>
        <v>22307</v>
      </c>
      <c r="Z250" s="16">
        <f>2965+517</f>
        <v>3482</v>
      </c>
      <c r="AA250" s="16">
        <v>6000</v>
      </c>
      <c r="AB250" s="16">
        <v>0</v>
      </c>
      <c r="AC250" s="16">
        <v>0</v>
      </c>
      <c r="AD250" s="16">
        <v>0</v>
      </c>
      <c r="AE250" s="16">
        <f t="shared" si="383"/>
        <v>380220</v>
      </c>
      <c r="AF250" s="16">
        <v>0</v>
      </c>
      <c r="AG250" s="16">
        <f>60000+135340</f>
        <v>195340</v>
      </c>
      <c r="AH250" s="16">
        <v>100880</v>
      </c>
      <c r="AI250" s="16">
        <v>0</v>
      </c>
      <c r="AJ250" s="16">
        <v>4000</v>
      </c>
      <c r="AK250" s="16">
        <v>0</v>
      </c>
      <c r="AL250" s="16">
        <v>20000</v>
      </c>
      <c r="AM250" s="16">
        <v>0</v>
      </c>
      <c r="AN250" s="16">
        <v>0</v>
      </c>
      <c r="AO250" s="16">
        <v>0</v>
      </c>
      <c r="AP250" s="16">
        <v>0</v>
      </c>
      <c r="AQ250" s="16">
        <v>0</v>
      </c>
      <c r="AR250" s="16">
        <v>0</v>
      </c>
      <c r="AS250" s="16">
        <v>10000</v>
      </c>
      <c r="AT250" s="16">
        <v>0</v>
      </c>
      <c r="AU250" s="16">
        <v>0</v>
      </c>
      <c r="AV250" s="16">
        <v>0</v>
      </c>
      <c r="AW250" s="16">
        <v>0</v>
      </c>
      <c r="AX250" s="16">
        <v>0</v>
      </c>
      <c r="AY250" s="16">
        <v>0</v>
      </c>
      <c r="AZ250" s="16">
        <v>50000</v>
      </c>
      <c r="BA250" s="16">
        <f t="shared" si="384"/>
        <v>0</v>
      </c>
      <c r="BB250" s="16">
        <f t="shared" si="385"/>
        <v>0</v>
      </c>
      <c r="BC250" s="16">
        <v>0</v>
      </c>
      <c r="BD250" s="16">
        <v>0</v>
      </c>
      <c r="BE250" s="16">
        <v>0</v>
      </c>
      <c r="BF250" s="16">
        <f t="shared" si="344"/>
        <v>0</v>
      </c>
      <c r="BG250" s="16">
        <v>0</v>
      </c>
      <c r="BH250" s="16">
        <v>0</v>
      </c>
      <c r="BI250" s="16">
        <v>0</v>
      </c>
      <c r="BJ250" s="16">
        <v>0</v>
      </c>
      <c r="BK250" s="16">
        <f t="shared" si="345"/>
        <v>0</v>
      </c>
      <c r="BL250" s="16">
        <v>0</v>
      </c>
      <c r="BM250" s="16">
        <f t="shared" si="346"/>
        <v>0</v>
      </c>
      <c r="BN250" s="16">
        <v>0</v>
      </c>
      <c r="BO250" s="16">
        <v>0</v>
      </c>
      <c r="BP250" s="16">
        <v>0</v>
      </c>
      <c r="BQ250" s="16">
        <v>0</v>
      </c>
      <c r="BR250" s="16">
        <v>0</v>
      </c>
      <c r="BS250" s="16">
        <v>0</v>
      </c>
      <c r="BT250" s="16">
        <v>0</v>
      </c>
      <c r="BU250" s="16">
        <v>0</v>
      </c>
      <c r="BV250" s="16">
        <v>0</v>
      </c>
      <c r="BW250" s="16">
        <v>0</v>
      </c>
      <c r="BX250" s="16">
        <v>0</v>
      </c>
      <c r="BY250" s="16">
        <f t="shared" si="386"/>
        <v>618555</v>
      </c>
      <c r="BZ250" s="16">
        <f t="shared" si="387"/>
        <v>618555</v>
      </c>
      <c r="CA250" s="16">
        <f t="shared" si="347"/>
        <v>618555</v>
      </c>
      <c r="CB250" s="16">
        <v>0</v>
      </c>
      <c r="CC250" s="16">
        <f>218555+400000</f>
        <v>618555</v>
      </c>
      <c r="CD250" s="16">
        <f t="shared" si="388"/>
        <v>0</v>
      </c>
      <c r="CE250" s="16">
        <v>0</v>
      </c>
      <c r="CF250" s="16">
        <v>0</v>
      </c>
      <c r="CG250" s="16">
        <v>0</v>
      </c>
      <c r="CH250" s="16">
        <v>0</v>
      </c>
      <c r="CI250" s="16">
        <v>0</v>
      </c>
      <c r="CJ250" s="16">
        <f t="shared" si="389"/>
        <v>0</v>
      </c>
      <c r="CK250" s="16">
        <v>0</v>
      </c>
      <c r="CL250" s="16">
        <v>0</v>
      </c>
      <c r="CM250" s="16">
        <v>0</v>
      </c>
      <c r="CN250" s="16">
        <v>0</v>
      </c>
      <c r="CO250" s="16">
        <v>0</v>
      </c>
      <c r="CP250" s="16">
        <v>0</v>
      </c>
      <c r="CQ250" s="16">
        <v>0</v>
      </c>
      <c r="CR250" s="16">
        <f t="shared" si="348"/>
        <v>0</v>
      </c>
      <c r="CS250" s="16">
        <f t="shared" si="349"/>
        <v>0</v>
      </c>
      <c r="CT250" s="16">
        <v>0</v>
      </c>
      <c r="CU250" s="17">
        <v>0</v>
      </c>
      <c r="CV250" s="38"/>
    </row>
    <row r="251" spans="1:100" ht="15.75" x14ac:dyDescent="0.25">
      <c r="A251" s="13" t="s">
        <v>1</v>
      </c>
      <c r="B251" s="14" t="s">
        <v>1</v>
      </c>
      <c r="C251" s="14" t="s">
        <v>122</v>
      </c>
      <c r="D251" s="30" t="s">
        <v>529</v>
      </c>
      <c r="E251" s="15">
        <f t="shared" si="379"/>
        <v>7749506</v>
      </c>
      <c r="F251" s="16">
        <f t="shared" si="380"/>
        <v>7749506</v>
      </c>
      <c r="G251" s="16">
        <f t="shared" si="381"/>
        <v>7749506</v>
      </c>
      <c r="H251" s="16">
        <v>0</v>
      </c>
      <c r="I251" s="16">
        <v>0</v>
      </c>
      <c r="J251" s="16">
        <f>SUM(K251:P251)</f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16">
        <f>SUM(R251:S251)</f>
        <v>0</v>
      </c>
      <c r="R251" s="16">
        <v>0</v>
      </c>
      <c r="S251" s="16">
        <v>0</v>
      </c>
      <c r="T251" s="16">
        <v>0</v>
      </c>
      <c r="U251" s="16">
        <v>0</v>
      </c>
      <c r="V251" s="16">
        <f t="shared" si="382"/>
        <v>0</v>
      </c>
      <c r="W251" s="16">
        <v>0</v>
      </c>
      <c r="X251" s="16">
        <v>0</v>
      </c>
      <c r="Y251" s="16">
        <v>0</v>
      </c>
      <c r="Z251" s="16">
        <v>0</v>
      </c>
      <c r="AA251" s="16">
        <v>0</v>
      </c>
      <c r="AB251" s="16">
        <v>0</v>
      </c>
      <c r="AC251" s="16">
        <v>0</v>
      </c>
      <c r="AD251" s="16">
        <v>0</v>
      </c>
      <c r="AE251" s="16">
        <f>SUM(AF251:AZ251)</f>
        <v>7749506</v>
      </c>
      <c r="AF251" s="16">
        <v>0</v>
      </c>
      <c r="AG251" s="16">
        <v>0</v>
      </c>
      <c r="AH251" s="16">
        <v>0</v>
      </c>
      <c r="AI251" s="16">
        <v>0</v>
      </c>
      <c r="AJ251" s="16">
        <v>0</v>
      </c>
      <c r="AK251" s="16">
        <v>0</v>
      </c>
      <c r="AL251" s="16">
        <v>0</v>
      </c>
      <c r="AM251" s="16">
        <v>0</v>
      </c>
      <c r="AN251" s="16">
        <v>0</v>
      </c>
      <c r="AO251" s="16">
        <v>0</v>
      </c>
      <c r="AP251" s="16"/>
      <c r="AQ251" s="16">
        <v>0</v>
      </c>
      <c r="AR251" s="16">
        <v>0</v>
      </c>
      <c r="AS251" s="16">
        <v>0</v>
      </c>
      <c r="AT251" s="16">
        <v>0</v>
      </c>
      <c r="AU251" s="16">
        <v>0</v>
      </c>
      <c r="AV251" s="16">
        <v>0</v>
      </c>
      <c r="AW251" s="16">
        <v>0</v>
      </c>
      <c r="AX251" s="16">
        <v>0</v>
      </c>
      <c r="AY251" s="16">
        <v>0</v>
      </c>
      <c r="AZ251" s="16">
        <f>7749506</f>
        <v>7749506</v>
      </c>
      <c r="BA251" s="16">
        <f t="shared" si="384"/>
        <v>0</v>
      </c>
      <c r="BB251" s="16">
        <f t="shared" si="385"/>
        <v>0</v>
      </c>
      <c r="BC251" s="16">
        <v>0</v>
      </c>
      <c r="BD251" s="16">
        <v>0</v>
      </c>
      <c r="BE251" s="16">
        <v>0</v>
      </c>
      <c r="BF251" s="16">
        <f>SUM(BG251:BH251)</f>
        <v>0</v>
      </c>
      <c r="BG251" s="16">
        <v>0</v>
      </c>
      <c r="BH251" s="16">
        <v>0</v>
      </c>
      <c r="BI251" s="16">
        <v>0</v>
      </c>
      <c r="BJ251" s="16">
        <v>0</v>
      </c>
      <c r="BK251" s="16">
        <f>SUM(BL251)</f>
        <v>0</v>
      </c>
      <c r="BL251" s="16">
        <v>0</v>
      </c>
      <c r="BM251" s="16">
        <f>SUM(BN251:BX251)</f>
        <v>0</v>
      </c>
      <c r="BN251" s="16">
        <v>0</v>
      </c>
      <c r="BO251" s="16">
        <v>0</v>
      </c>
      <c r="BP251" s="16">
        <v>0</v>
      </c>
      <c r="BQ251" s="16">
        <v>0</v>
      </c>
      <c r="BR251" s="16">
        <v>0</v>
      </c>
      <c r="BS251" s="16">
        <v>0</v>
      </c>
      <c r="BT251" s="16">
        <v>0</v>
      </c>
      <c r="BU251" s="16">
        <v>0</v>
      </c>
      <c r="BV251" s="16">
        <v>0</v>
      </c>
      <c r="BW251" s="16">
        <v>0</v>
      </c>
      <c r="BX251" s="16">
        <v>0</v>
      </c>
      <c r="BY251" s="16">
        <f t="shared" si="386"/>
        <v>0</v>
      </c>
      <c r="BZ251" s="16">
        <f t="shared" si="387"/>
        <v>0</v>
      </c>
      <c r="CA251" s="16">
        <f>SUM(CB251:CC251)</f>
        <v>0</v>
      </c>
      <c r="CB251" s="16">
        <v>0</v>
      </c>
      <c r="CC251" s="16"/>
      <c r="CD251" s="16">
        <f t="shared" si="388"/>
        <v>0</v>
      </c>
      <c r="CE251" s="16">
        <v>0</v>
      </c>
      <c r="CF251" s="16">
        <v>0</v>
      </c>
      <c r="CG251" s="16">
        <v>0</v>
      </c>
      <c r="CH251" s="16">
        <v>0</v>
      </c>
      <c r="CI251" s="16">
        <v>0</v>
      </c>
      <c r="CJ251" s="16">
        <f t="shared" si="389"/>
        <v>0</v>
      </c>
      <c r="CK251" s="16">
        <v>0</v>
      </c>
      <c r="CL251" s="16"/>
      <c r="CM251" s="16">
        <v>0</v>
      </c>
      <c r="CN251" s="16">
        <v>0</v>
      </c>
      <c r="CO251" s="16">
        <v>0</v>
      </c>
      <c r="CP251" s="16">
        <v>0</v>
      </c>
      <c r="CQ251" s="16">
        <v>0</v>
      </c>
      <c r="CR251" s="16">
        <f>SUM(CS251)</f>
        <v>0</v>
      </c>
      <c r="CS251" s="16">
        <f>SUM(CT251:CU251)</f>
        <v>0</v>
      </c>
      <c r="CT251" s="16">
        <v>0</v>
      </c>
      <c r="CU251" s="17">
        <v>0</v>
      </c>
      <c r="CV251" s="38"/>
    </row>
    <row r="252" spans="1:100" ht="15.75" x14ac:dyDescent="0.25">
      <c r="A252" s="13" t="s">
        <v>1</v>
      </c>
      <c r="B252" s="14" t="s">
        <v>1</v>
      </c>
      <c r="C252" s="14" t="s">
        <v>122</v>
      </c>
      <c r="D252" s="30" t="s">
        <v>276</v>
      </c>
      <c r="E252" s="15">
        <f t="shared" si="379"/>
        <v>46587933</v>
      </c>
      <c r="F252" s="16">
        <f t="shared" si="380"/>
        <v>40973940</v>
      </c>
      <c r="G252" s="16">
        <f t="shared" si="381"/>
        <v>40968940</v>
      </c>
      <c r="H252" s="16">
        <f>23500000+75807</f>
        <v>23575807</v>
      </c>
      <c r="I252" s="16">
        <f>5875000+21756</f>
        <v>5896756</v>
      </c>
      <c r="J252" s="16">
        <f t="shared" si="342"/>
        <v>4089992</v>
      </c>
      <c r="K252" s="16">
        <f>10600+10000</f>
        <v>20600</v>
      </c>
      <c r="L252" s="16">
        <v>170500</v>
      </c>
      <c r="M252" s="16">
        <f>2290000-210844</f>
        <v>2079156</v>
      </c>
      <c r="N252" s="16">
        <v>0</v>
      </c>
      <c r="O252" s="16">
        <f>825700+47589</f>
        <v>873289</v>
      </c>
      <c r="P252" s="16">
        <f>1175000-228553</f>
        <v>946447</v>
      </c>
      <c r="Q252" s="16">
        <f t="shared" si="343"/>
        <v>250978</v>
      </c>
      <c r="R252" s="16">
        <f>25000+1850</f>
        <v>26850</v>
      </c>
      <c r="S252" s="16">
        <f>210000+14128</f>
        <v>224128</v>
      </c>
      <c r="T252" s="16">
        <v>0</v>
      </c>
      <c r="U252" s="16">
        <f>313086+15080</f>
        <v>328166</v>
      </c>
      <c r="V252" s="16">
        <f t="shared" si="382"/>
        <v>2982304</v>
      </c>
      <c r="W252" s="16">
        <f>432627+8892</f>
        <v>441519</v>
      </c>
      <c r="X252" s="16">
        <f>1413123+96769</f>
        <v>1509892</v>
      </c>
      <c r="Y252" s="16">
        <f>468973+31355</f>
        <v>500328</v>
      </c>
      <c r="Z252" s="16">
        <f>208209+26450</f>
        <v>234659</v>
      </c>
      <c r="AA252" s="16">
        <f>120985+16436</f>
        <v>137421</v>
      </c>
      <c r="AB252" s="16">
        <v>158149</v>
      </c>
      <c r="AC252" s="16">
        <v>0</v>
      </c>
      <c r="AD252" s="16">
        <v>336</v>
      </c>
      <c r="AE252" s="16">
        <f t="shared" si="383"/>
        <v>3844937</v>
      </c>
      <c r="AF252" s="16">
        <v>0</v>
      </c>
      <c r="AG252" s="16">
        <f>323077+6343</f>
        <v>329420</v>
      </c>
      <c r="AH252" s="16">
        <f>230717+55000</f>
        <v>285717</v>
      </c>
      <c r="AI252" s="16">
        <f>649346+96561</f>
        <v>745907</v>
      </c>
      <c r="AJ252" s="16">
        <f>318100+7208</f>
        <v>325308</v>
      </c>
      <c r="AK252" s="16">
        <v>0</v>
      </c>
      <c r="AL252" s="16">
        <f>235000+1000</f>
        <v>236000</v>
      </c>
      <c r="AM252" s="16">
        <f>449324+5000</f>
        <v>454324</v>
      </c>
      <c r="AN252" s="16">
        <v>0</v>
      </c>
      <c r="AO252" s="16">
        <v>19559</v>
      </c>
      <c r="AP252" s="16">
        <f>0+873452</f>
        <v>873452</v>
      </c>
      <c r="AQ252" s="16">
        <v>0</v>
      </c>
      <c r="AR252" s="16">
        <v>0</v>
      </c>
      <c r="AS252" s="16">
        <v>0</v>
      </c>
      <c r="AT252" s="16">
        <v>0</v>
      </c>
      <c r="AU252" s="16">
        <v>0</v>
      </c>
      <c r="AV252" s="16">
        <v>0</v>
      </c>
      <c r="AW252" s="16">
        <v>0</v>
      </c>
      <c r="AX252" s="16">
        <v>0</v>
      </c>
      <c r="AY252" s="16"/>
      <c r="AZ252" s="16">
        <f>613176-37926</f>
        <v>575250</v>
      </c>
      <c r="BA252" s="16">
        <f t="shared" si="384"/>
        <v>5000</v>
      </c>
      <c r="BB252" s="16">
        <f t="shared" si="385"/>
        <v>0</v>
      </c>
      <c r="BC252" s="16">
        <v>0</v>
      </c>
      <c r="BD252" s="16">
        <v>0</v>
      </c>
      <c r="BE252" s="16">
        <v>0</v>
      </c>
      <c r="BF252" s="16">
        <f t="shared" si="344"/>
        <v>0</v>
      </c>
      <c r="BG252" s="16">
        <v>0</v>
      </c>
      <c r="BH252" s="16">
        <v>0</v>
      </c>
      <c r="BI252" s="16">
        <v>0</v>
      </c>
      <c r="BJ252" s="16">
        <v>0</v>
      </c>
      <c r="BK252" s="16">
        <f t="shared" si="345"/>
        <v>0</v>
      </c>
      <c r="BL252" s="16">
        <v>0</v>
      </c>
      <c r="BM252" s="16">
        <f t="shared" si="346"/>
        <v>5000</v>
      </c>
      <c r="BN252" s="16">
        <v>0</v>
      </c>
      <c r="BO252" s="16">
        <v>0</v>
      </c>
      <c r="BP252" s="16">
        <v>5000</v>
      </c>
      <c r="BQ252" s="16">
        <v>0</v>
      </c>
      <c r="BR252" s="16">
        <v>0</v>
      </c>
      <c r="BS252" s="16">
        <v>0</v>
      </c>
      <c r="BT252" s="16">
        <v>0</v>
      </c>
      <c r="BU252" s="16">
        <v>0</v>
      </c>
      <c r="BV252" s="16">
        <v>0</v>
      </c>
      <c r="BW252" s="16">
        <v>0</v>
      </c>
      <c r="BX252" s="16">
        <v>0</v>
      </c>
      <c r="BY252" s="16">
        <f t="shared" si="386"/>
        <v>5613993</v>
      </c>
      <c r="BZ252" s="16">
        <f t="shared" si="387"/>
        <v>5613993</v>
      </c>
      <c r="CA252" s="16">
        <f t="shared" si="347"/>
        <v>2534907</v>
      </c>
      <c r="CB252" s="16">
        <v>0</v>
      </c>
      <c r="CC252" s="16">
        <f>2350000+184907</f>
        <v>2534907</v>
      </c>
      <c r="CD252" s="16">
        <f t="shared" si="388"/>
        <v>0</v>
      </c>
      <c r="CE252" s="16">
        <v>0</v>
      </c>
      <c r="CF252" s="16">
        <v>0</v>
      </c>
      <c r="CG252" s="16">
        <v>0</v>
      </c>
      <c r="CH252" s="16">
        <v>0</v>
      </c>
      <c r="CI252" s="16">
        <v>0</v>
      </c>
      <c r="CJ252" s="16">
        <f t="shared" si="389"/>
        <v>3079086</v>
      </c>
      <c r="CK252" s="16">
        <v>0</v>
      </c>
      <c r="CL252" s="16">
        <f>2967125+111961</f>
        <v>3079086</v>
      </c>
      <c r="CM252" s="16">
        <v>0</v>
      </c>
      <c r="CN252" s="16">
        <v>0</v>
      </c>
      <c r="CO252" s="16"/>
      <c r="CP252" s="16"/>
      <c r="CQ252" s="16">
        <v>0</v>
      </c>
      <c r="CR252" s="16">
        <f t="shared" si="348"/>
        <v>0</v>
      </c>
      <c r="CS252" s="16">
        <f t="shared" si="349"/>
        <v>0</v>
      </c>
      <c r="CT252" s="16">
        <v>0</v>
      </c>
      <c r="CU252" s="17">
        <v>0</v>
      </c>
      <c r="CV252" s="38"/>
    </row>
    <row r="253" spans="1:100" ht="15.75" x14ac:dyDescent="0.25">
      <c r="A253" s="13" t="s">
        <v>1</v>
      </c>
      <c r="B253" s="14" t="s">
        <v>1</v>
      </c>
      <c r="C253" s="14" t="s">
        <v>93</v>
      </c>
      <c r="D253" s="30" t="s">
        <v>277</v>
      </c>
      <c r="E253" s="15">
        <f t="shared" si="379"/>
        <v>1500000</v>
      </c>
      <c r="F253" s="16">
        <f t="shared" si="380"/>
        <v>1500000</v>
      </c>
      <c r="G253" s="16">
        <f t="shared" si="381"/>
        <v>1500000</v>
      </c>
      <c r="H253" s="16">
        <f>395400-150000</f>
        <v>245400</v>
      </c>
      <c r="I253" s="16">
        <f>86988-35000</f>
        <v>51988</v>
      </c>
      <c r="J253" s="16">
        <f t="shared" si="342"/>
        <v>390000</v>
      </c>
      <c r="K253" s="16">
        <v>0</v>
      </c>
      <c r="L253" s="16">
        <f>100000-80000</f>
        <v>20000</v>
      </c>
      <c r="M253" s="16">
        <v>0</v>
      </c>
      <c r="N253" s="16">
        <v>0</v>
      </c>
      <c r="O253" s="16">
        <v>120000</v>
      </c>
      <c r="P253" s="16">
        <v>250000</v>
      </c>
      <c r="Q253" s="16">
        <f t="shared" si="343"/>
        <v>0</v>
      </c>
      <c r="R253" s="16">
        <v>0</v>
      </c>
      <c r="S253" s="16">
        <v>0</v>
      </c>
      <c r="T253" s="16">
        <v>0</v>
      </c>
      <c r="U253" s="16">
        <f>50000-35000</f>
        <v>15000</v>
      </c>
      <c r="V253" s="16">
        <f t="shared" si="382"/>
        <v>20096</v>
      </c>
      <c r="W253" s="16">
        <v>4585</v>
      </c>
      <c r="X253" s="16">
        <f>4292+49</f>
        <v>4341</v>
      </c>
      <c r="Y253" s="16">
        <f>5213+311</f>
        <v>5524</v>
      </c>
      <c r="Z253" s="16">
        <f>4099+715</f>
        <v>4814</v>
      </c>
      <c r="AA253" s="16">
        <v>630</v>
      </c>
      <c r="AB253" s="16">
        <v>0</v>
      </c>
      <c r="AC253" s="16">
        <v>0</v>
      </c>
      <c r="AD253" s="16">
        <f>193+9</f>
        <v>202</v>
      </c>
      <c r="AE253" s="16">
        <f t="shared" si="383"/>
        <v>777516</v>
      </c>
      <c r="AF253" s="16">
        <v>0</v>
      </c>
      <c r="AG253" s="16">
        <v>40000</v>
      </c>
      <c r="AH253" s="16">
        <f>57000+250000</f>
        <v>307000</v>
      </c>
      <c r="AI253" s="16">
        <v>0</v>
      </c>
      <c r="AJ253" s="16">
        <v>1600</v>
      </c>
      <c r="AK253" s="16">
        <v>0</v>
      </c>
      <c r="AL253" s="16">
        <v>2000</v>
      </c>
      <c r="AM253" s="16">
        <v>0</v>
      </c>
      <c r="AN253" s="16">
        <v>15000</v>
      </c>
      <c r="AO253" s="16">
        <v>0</v>
      </c>
      <c r="AP253" s="16">
        <v>0</v>
      </c>
      <c r="AQ253" s="16">
        <v>0</v>
      </c>
      <c r="AR253" s="16">
        <v>13000</v>
      </c>
      <c r="AS253" s="16">
        <v>0</v>
      </c>
      <c r="AT253" s="16">
        <v>0</v>
      </c>
      <c r="AU253" s="16">
        <v>0</v>
      </c>
      <c r="AV253" s="16">
        <v>0</v>
      </c>
      <c r="AW253" s="16">
        <v>0</v>
      </c>
      <c r="AX253" s="16">
        <v>0</v>
      </c>
      <c r="AY253" s="16">
        <v>0</v>
      </c>
      <c r="AZ253" s="16">
        <f>250000-1084+150000</f>
        <v>398916</v>
      </c>
      <c r="BA253" s="16">
        <f t="shared" si="384"/>
        <v>0</v>
      </c>
      <c r="BB253" s="16">
        <f t="shared" si="385"/>
        <v>0</v>
      </c>
      <c r="BC253" s="16">
        <v>0</v>
      </c>
      <c r="BD253" s="16">
        <v>0</v>
      </c>
      <c r="BE253" s="16">
        <v>0</v>
      </c>
      <c r="BF253" s="16">
        <f t="shared" si="344"/>
        <v>0</v>
      </c>
      <c r="BG253" s="16">
        <v>0</v>
      </c>
      <c r="BH253" s="16">
        <v>0</v>
      </c>
      <c r="BI253" s="16">
        <v>0</v>
      </c>
      <c r="BJ253" s="16">
        <v>0</v>
      </c>
      <c r="BK253" s="16">
        <f t="shared" si="345"/>
        <v>0</v>
      </c>
      <c r="BL253" s="16">
        <v>0</v>
      </c>
      <c r="BM253" s="16">
        <f t="shared" si="346"/>
        <v>0</v>
      </c>
      <c r="BN253" s="16">
        <v>0</v>
      </c>
      <c r="BO253" s="16">
        <v>0</v>
      </c>
      <c r="BP253" s="16">
        <v>0</v>
      </c>
      <c r="BQ253" s="16">
        <v>0</v>
      </c>
      <c r="BR253" s="16">
        <v>0</v>
      </c>
      <c r="BS253" s="16">
        <v>0</v>
      </c>
      <c r="BT253" s="16">
        <v>0</v>
      </c>
      <c r="BU253" s="16">
        <v>0</v>
      </c>
      <c r="BV253" s="16">
        <v>0</v>
      </c>
      <c r="BW253" s="16">
        <v>0</v>
      </c>
      <c r="BX253" s="16">
        <v>0</v>
      </c>
      <c r="BY253" s="16">
        <f t="shared" si="386"/>
        <v>0</v>
      </c>
      <c r="BZ253" s="16">
        <f t="shared" si="387"/>
        <v>0</v>
      </c>
      <c r="CA253" s="16">
        <f t="shared" si="347"/>
        <v>0</v>
      </c>
      <c r="CB253" s="16">
        <v>0</v>
      </c>
      <c r="CC253" s="16">
        <f>100000-100000</f>
        <v>0</v>
      </c>
      <c r="CD253" s="16">
        <f t="shared" si="388"/>
        <v>0</v>
      </c>
      <c r="CE253" s="16">
        <v>0</v>
      </c>
      <c r="CF253" s="16">
        <v>0</v>
      </c>
      <c r="CG253" s="16">
        <v>0</v>
      </c>
      <c r="CH253" s="16">
        <v>0</v>
      </c>
      <c r="CI253" s="16">
        <v>0</v>
      </c>
      <c r="CJ253" s="16">
        <f t="shared" si="389"/>
        <v>0</v>
      </c>
      <c r="CK253" s="16">
        <v>0</v>
      </c>
      <c r="CL253" s="16">
        <v>0</v>
      </c>
      <c r="CM253" s="16">
        <v>0</v>
      </c>
      <c r="CN253" s="16">
        <v>0</v>
      </c>
      <c r="CO253" s="16">
        <v>0</v>
      </c>
      <c r="CP253" s="16">
        <v>0</v>
      </c>
      <c r="CQ253" s="16">
        <v>0</v>
      </c>
      <c r="CR253" s="16">
        <f t="shared" si="348"/>
        <v>0</v>
      </c>
      <c r="CS253" s="16">
        <f t="shared" si="349"/>
        <v>0</v>
      </c>
      <c r="CT253" s="16">
        <v>0</v>
      </c>
      <c r="CU253" s="17">
        <v>0</v>
      </c>
      <c r="CV253" s="38"/>
    </row>
    <row r="254" spans="1:100" ht="15.75" x14ac:dyDescent="0.25">
      <c r="A254" s="13" t="s">
        <v>1</v>
      </c>
      <c r="B254" s="14" t="s">
        <v>1</v>
      </c>
      <c r="C254" s="14" t="s">
        <v>95</v>
      </c>
      <c r="D254" s="30" t="s">
        <v>278</v>
      </c>
      <c r="E254" s="15">
        <f t="shared" si="379"/>
        <v>7415904</v>
      </c>
      <c r="F254" s="16">
        <f t="shared" si="380"/>
        <v>7075241</v>
      </c>
      <c r="G254" s="16">
        <f t="shared" si="381"/>
        <v>7075241</v>
      </c>
      <c r="H254" s="16">
        <v>943522</v>
      </c>
      <c r="I254" s="16">
        <v>183377</v>
      </c>
      <c r="J254" s="16">
        <f t="shared" si="342"/>
        <v>3395441</v>
      </c>
      <c r="K254" s="16">
        <v>68040</v>
      </c>
      <c r="L254" s="16">
        <v>18840</v>
      </c>
      <c r="M254" s="16">
        <v>81840</v>
      </c>
      <c r="N254" s="16">
        <v>0</v>
      </c>
      <c r="O254" s="16">
        <v>947365</v>
      </c>
      <c r="P254" s="16">
        <f>1871012+408344</f>
        <v>2279356</v>
      </c>
      <c r="Q254" s="16">
        <f t="shared" si="343"/>
        <v>4000</v>
      </c>
      <c r="R254" s="16">
        <v>4000</v>
      </c>
      <c r="S254" s="16">
        <v>0</v>
      </c>
      <c r="T254" s="16">
        <v>195729</v>
      </c>
      <c r="U254" s="16">
        <v>18500</v>
      </c>
      <c r="V254" s="16">
        <f t="shared" si="382"/>
        <v>345739</v>
      </c>
      <c r="W254" s="16">
        <f>129002-11047</f>
        <v>117955</v>
      </c>
      <c r="X254" s="16">
        <v>0</v>
      </c>
      <c r="Y254" s="16">
        <f>70795-5528+6034</f>
        <v>71301</v>
      </c>
      <c r="Z254" s="16">
        <f>48508-6408</f>
        <v>42100</v>
      </c>
      <c r="AA254" s="16">
        <v>45144</v>
      </c>
      <c r="AB254" s="16">
        <v>0</v>
      </c>
      <c r="AC254" s="16">
        <v>0</v>
      </c>
      <c r="AD254" s="16">
        <f>64226+5013</f>
        <v>69239</v>
      </c>
      <c r="AE254" s="16">
        <f t="shared" si="383"/>
        <v>1988933</v>
      </c>
      <c r="AF254" s="16">
        <v>0</v>
      </c>
      <c r="AG254" s="16">
        <v>38900</v>
      </c>
      <c r="AH254" s="16">
        <v>512251</v>
      </c>
      <c r="AI254" s="16">
        <v>0</v>
      </c>
      <c r="AJ254" s="16">
        <v>11950</v>
      </c>
      <c r="AK254" s="16">
        <v>8000</v>
      </c>
      <c r="AL254" s="16">
        <v>0</v>
      </c>
      <c r="AM254" s="16">
        <v>19100</v>
      </c>
      <c r="AN254" s="16">
        <v>0</v>
      </c>
      <c r="AO254" s="16">
        <v>0</v>
      </c>
      <c r="AP254" s="16">
        <v>0</v>
      </c>
      <c r="AQ254" s="16">
        <v>12000</v>
      </c>
      <c r="AR254" s="16">
        <v>0</v>
      </c>
      <c r="AS254" s="16">
        <v>0</v>
      </c>
      <c r="AT254" s="16">
        <v>0</v>
      </c>
      <c r="AU254" s="16">
        <v>0</v>
      </c>
      <c r="AV254" s="16">
        <v>0</v>
      </c>
      <c r="AW254" s="16">
        <v>11684</v>
      </c>
      <c r="AX254" s="16">
        <v>0</v>
      </c>
      <c r="AY254" s="16">
        <v>0</v>
      </c>
      <c r="AZ254" s="16">
        <f>763112+611936</f>
        <v>1375048</v>
      </c>
      <c r="BA254" s="16">
        <f t="shared" si="384"/>
        <v>0</v>
      </c>
      <c r="BB254" s="16">
        <f t="shared" si="385"/>
        <v>0</v>
      </c>
      <c r="BC254" s="16">
        <v>0</v>
      </c>
      <c r="BD254" s="16">
        <v>0</v>
      </c>
      <c r="BE254" s="16">
        <v>0</v>
      </c>
      <c r="BF254" s="16">
        <f t="shared" si="344"/>
        <v>0</v>
      </c>
      <c r="BG254" s="16">
        <v>0</v>
      </c>
      <c r="BH254" s="16">
        <v>0</v>
      </c>
      <c r="BI254" s="16">
        <v>0</v>
      </c>
      <c r="BJ254" s="16">
        <v>0</v>
      </c>
      <c r="BK254" s="16">
        <f t="shared" si="345"/>
        <v>0</v>
      </c>
      <c r="BL254" s="16">
        <v>0</v>
      </c>
      <c r="BM254" s="16">
        <f t="shared" si="346"/>
        <v>0</v>
      </c>
      <c r="BN254" s="16">
        <v>0</v>
      </c>
      <c r="BO254" s="16">
        <v>0</v>
      </c>
      <c r="BP254" s="16">
        <v>0</v>
      </c>
      <c r="BQ254" s="16">
        <v>0</v>
      </c>
      <c r="BR254" s="16">
        <v>0</v>
      </c>
      <c r="BS254" s="16">
        <v>0</v>
      </c>
      <c r="BT254" s="16">
        <v>0</v>
      </c>
      <c r="BU254" s="16">
        <v>0</v>
      </c>
      <c r="BV254" s="16">
        <v>0</v>
      </c>
      <c r="BW254" s="16">
        <v>0</v>
      </c>
      <c r="BX254" s="16">
        <v>0</v>
      </c>
      <c r="BY254" s="16">
        <f t="shared" si="386"/>
        <v>340663</v>
      </c>
      <c r="BZ254" s="16">
        <f t="shared" si="387"/>
        <v>340663</v>
      </c>
      <c r="CA254" s="16">
        <f t="shared" si="347"/>
        <v>340663</v>
      </c>
      <c r="CB254" s="16">
        <v>0</v>
      </c>
      <c r="CC254" s="16">
        <v>340663</v>
      </c>
      <c r="CD254" s="16">
        <f t="shared" si="388"/>
        <v>0</v>
      </c>
      <c r="CE254" s="16">
        <v>0</v>
      </c>
      <c r="CF254" s="16">
        <v>0</v>
      </c>
      <c r="CG254" s="16">
        <v>0</v>
      </c>
      <c r="CH254" s="16">
        <v>0</v>
      </c>
      <c r="CI254" s="16">
        <v>0</v>
      </c>
      <c r="CJ254" s="16">
        <f t="shared" si="389"/>
        <v>0</v>
      </c>
      <c r="CK254" s="16">
        <v>0</v>
      </c>
      <c r="CL254" s="16">
        <v>0</v>
      </c>
      <c r="CM254" s="16">
        <v>0</v>
      </c>
      <c r="CN254" s="16">
        <v>0</v>
      </c>
      <c r="CO254" s="16">
        <v>0</v>
      </c>
      <c r="CP254" s="16">
        <v>0</v>
      </c>
      <c r="CQ254" s="16">
        <v>0</v>
      </c>
      <c r="CR254" s="16">
        <f t="shared" si="348"/>
        <v>0</v>
      </c>
      <c r="CS254" s="16">
        <f t="shared" si="349"/>
        <v>0</v>
      </c>
      <c r="CT254" s="16">
        <v>0</v>
      </c>
      <c r="CU254" s="17">
        <v>0</v>
      </c>
      <c r="CV254" s="38"/>
    </row>
    <row r="255" spans="1:100" ht="15.75" x14ac:dyDescent="0.25">
      <c r="A255" s="13" t="s">
        <v>1</v>
      </c>
      <c r="B255" s="14" t="s">
        <v>1</v>
      </c>
      <c r="C255" s="14" t="s">
        <v>31</v>
      </c>
      <c r="D255" s="30" t="s">
        <v>279</v>
      </c>
      <c r="E255" s="15">
        <f t="shared" si="379"/>
        <v>553293</v>
      </c>
      <c r="F255" s="16">
        <f t="shared" si="380"/>
        <v>521150</v>
      </c>
      <c r="G255" s="16">
        <f t="shared" si="381"/>
        <v>521150</v>
      </c>
      <c r="H255" s="16">
        <v>21431</v>
      </c>
      <c r="I255" s="16">
        <v>5358</v>
      </c>
      <c r="J255" s="16">
        <f t="shared" si="342"/>
        <v>93684</v>
      </c>
      <c r="K255" s="16">
        <v>5201</v>
      </c>
      <c r="L255" s="16">
        <v>0</v>
      </c>
      <c r="M255" s="16">
        <v>0</v>
      </c>
      <c r="N255" s="16">
        <v>0</v>
      </c>
      <c r="O255" s="16">
        <v>0</v>
      </c>
      <c r="P255" s="16">
        <f>58483+30000</f>
        <v>88483</v>
      </c>
      <c r="Q255" s="16">
        <f t="shared" si="343"/>
        <v>0</v>
      </c>
      <c r="R255" s="16">
        <v>0</v>
      </c>
      <c r="S255" s="16">
        <v>0</v>
      </c>
      <c r="T255" s="16">
        <v>0</v>
      </c>
      <c r="U255" s="16">
        <f>7538+1000</f>
        <v>8538</v>
      </c>
      <c r="V255" s="16">
        <f t="shared" si="382"/>
        <v>95619</v>
      </c>
      <c r="W255" s="16">
        <f>5272+2000</f>
        <v>7272</v>
      </c>
      <c r="X255" s="16">
        <f>65569+756</f>
        <v>66325</v>
      </c>
      <c r="Y255" s="16">
        <f>11620+694</f>
        <v>12314</v>
      </c>
      <c r="Z255" s="16">
        <f>6988+1215</f>
        <v>8203</v>
      </c>
      <c r="AA255" s="16">
        <v>1505</v>
      </c>
      <c r="AB255" s="16">
        <v>0</v>
      </c>
      <c r="AC255" s="16">
        <v>0</v>
      </c>
      <c r="AD255" s="16">
        <v>0</v>
      </c>
      <c r="AE255" s="16">
        <f t="shared" si="383"/>
        <v>296520</v>
      </c>
      <c r="AF255" s="16">
        <v>0</v>
      </c>
      <c r="AG255" s="16">
        <f>3070+1000</f>
        <v>4070</v>
      </c>
      <c r="AH255" s="16">
        <v>177962</v>
      </c>
      <c r="AI255" s="16">
        <v>0</v>
      </c>
      <c r="AJ255" s="16">
        <v>1591</v>
      </c>
      <c r="AK255" s="16">
        <v>0</v>
      </c>
      <c r="AL255" s="16">
        <v>214</v>
      </c>
      <c r="AM255" s="16">
        <v>0</v>
      </c>
      <c r="AN255" s="16">
        <v>0</v>
      </c>
      <c r="AO255" s="16">
        <v>0</v>
      </c>
      <c r="AP255" s="16">
        <v>0</v>
      </c>
      <c r="AQ255" s="16">
        <v>0</v>
      </c>
      <c r="AR255" s="16">
        <v>0</v>
      </c>
      <c r="AS255" s="16">
        <v>0</v>
      </c>
      <c r="AT255" s="16">
        <v>0</v>
      </c>
      <c r="AU255" s="16">
        <v>0</v>
      </c>
      <c r="AV255" s="16">
        <v>0</v>
      </c>
      <c r="AW255" s="16">
        <v>0</v>
      </c>
      <c r="AX255" s="16">
        <v>0</v>
      </c>
      <c r="AY255" s="16">
        <v>0</v>
      </c>
      <c r="AZ255" s="16">
        <f>77753+34930</f>
        <v>112683</v>
      </c>
      <c r="BA255" s="16">
        <f t="shared" si="384"/>
        <v>0</v>
      </c>
      <c r="BB255" s="16">
        <f t="shared" si="385"/>
        <v>0</v>
      </c>
      <c r="BC255" s="16">
        <v>0</v>
      </c>
      <c r="BD255" s="16">
        <v>0</v>
      </c>
      <c r="BE255" s="16">
        <v>0</v>
      </c>
      <c r="BF255" s="16">
        <f t="shared" si="344"/>
        <v>0</v>
      </c>
      <c r="BG255" s="16">
        <v>0</v>
      </c>
      <c r="BH255" s="16">
        <v>0</v>
      </c>
      <c r="BI255" s="16">
        <v>0</v>
      </c>
      <c r="BJ255" s="16">
        <v>0</v>
      </c>
      <c r="BK255" s="16">
        <f t="shared" si="345"/>
        <v>0</v>
      </c>
      <c r="BL255" s="16">
        <v>0</v>
      </c>
      <c r="BM255" s="16">
        <f t="shared" si="346"/>
        <v>0</v>
      </c>
      <c r="BN255" s="16">
        <v>0</v>
      </c>
      <c r="BO255" s="16">
        <v>0</v>
      </c>
      <c r="BP255" s="16">
        <v>0</v>
      </c>
      <c r="BQ255" s="16">
        <v>0</v>
      </c>
      <c r="BR255" s="16">
        <v>0</v>
      </c>
      <c r="BS255" s="16">
        <v>0</v>
      </c>
      <c r="BT255" s="16">
        <v>0</v>
      </c>
      <c r="BU255" s="16">
        <v>0</v>
      </c>
      <c r="BV255" s="16">
        <v>0</v>
      </c>
      <c r="BW255" s="16">
        <v>0</v>
      </c>
      <c r="BX255" s="16">
        <v>0</v>
      </c>
      <c r="BY255" s="16">
        <f t="shared" si="386"/>
        <v>32143</v>
      </c>
      <c r="BZ255" s="16">
        <f t="shared" si="387"/>
        <v>32143</v>
      </c>
      <c r="CA255" s="16">
        <f t="shared" si="347"/>
        <v>32143</v>
      </c>
      <c r="CB255" s="16">
        <v>0</v>
      </c>
      <c r="CC255" s="16">
        <f>2143+30000</f>
        <v>32143</v>
      </c>
      <c r="CD255" s="16">
        <f t="shared" si="388"/>
        <v>0</v>
      </c>
      <c r="CE255" s="16">
        <v>0</v>
      </c>
      <c r="CF255" s="16">
        <v>0</v>
      </c>
      <c r="CG255" s="16">
        <v>0</v>
      </c>
      <c r="CH255" s="16">
        <v>0</v>
      </c>
      <c r="CI255" s="16">
        <v>0</v>
      </c>
      <c r="CJ255" s="16">
        <f t="shared" si="389"/>
        <v>0</v>
      </c>
      <c r="CK255" s="16">
        <v>0</v>
      </c>
      <c r="CL255" s="16">
        <v>0</v>
      </c>
      <c r="CM255" s="16">
        <v>0</v>
      </c>
      <c r="CN255" s="16">
        <v>0</v>
      </c>
      <c r="CO255" s="16">
        <v>0</v>
      </c>
      <c r="CP255" s="16">
        <v>0</v>
      </c>
      <c r="CQ255" s="16">
        <v>0</v>
      </c>
      <c r="CR255" s="16">
        <f t="shared" si="348"/>
        <v>0</v>
      </c>
      <c r="CS255" s="16">
        <f t="shared" si="349"/>
        <v>0</v>
      </c>
      <c r="CT255" s="16">
        <v>0</v>
      </c>
      <c r="CU255" s="17">
        <v>0</v>
      </c>
      <c r="CV255" s="38"/>
    </row>
    <row r="256" spans="1:100" ht="15.75" x14ac:dyDescent="0.25">
      <c r="A256" s="13" t="s">
        <v>1</v>
      </c>
      <c r="B256" s="14" t="s">
        <v>1</v>
      </c>
      <c r="C256" s="14" t="s">
        <v>33</v>
      </c>
      <c r="D256" s="30" t="s">
        <v>281</v>
      </c>
      <c r="E256" s="15">
        <f t="shared" si="379"/>
        <v>569556</v>
      </c>
      <c r="F256" s="16">
        <f t="shared" si="380"/>
        <v>520285</v>
      </c>
      <c r="G256" s="16">
        <f t="shared" si="381"/>
        <v>520285</v>
      </c>
      <c r="H256" s="16">
        <v>25000</v>
      </c>
      <c r="I256" s="16">
        <f>6250+2</f>
        <v>6252</v>
      </c>
      <c r="J256" s="16">
        <f t="shared" si="342"/>
        <v>146163</v>
      </c>
      <c r="K256" s="16">
        <v>1800</v>
      </c>
      <c r="L256" s="16">
        <v>0</v>
      </c>
      <c r="M256" s="16">
        <v>0</v>
      </c>
      <c r="N256" s="16">
        <v>0</v>
      </c>
      <c r="O256" s="16">
        <v>10600</v>
      </c>
      <c r="P256" s="16">
        <f>138868-5105</f>
        <v>133763</v>
      </c>
      <c r="Q256" s="16">
        <f t="shared" si="343"/>
        <v>0</v>
      </c>
      <c r="R256" s="16">
        <v>0</v>
      </c>
      <c r="S256" s="16">
        <v>0</v>
      </c>
      <c r="T256" s="16">
        <v>0</v>
      </c>
      <c r="U256" s="16">
        <v>10752</v>
      </c>
      <c r="V256" s="16">
        <f t="shared" si="382"/>
        <v>144059</v>
      </c>
      <c r="W256" s="16">
        <v>3027</v>
      </c>
      <c r="X256" s="16">
        <f>101888-16384</f>
        <v>85504</v>
      </c>
      <c r="Y256" s="16">
        <f>26858-7074</f>
        <v>19784</v>
      </c>
      <c r="Z256" s="16">
        <f>40757-11927</f>
        <v>28830</v>
      </c>
      <c r="AA256" s="16">
        <f>6832-798</f>
        <v>6034</v>
      </c>
      <c r="AB256" s="16">
        <v>0</v>
      </c>
      <c r="AC256" s="16">
        <v>0</v>
      </c>
      <c r="AD256" s="16">
        <v>880</v>
      </c>
      <c r="AE256" s="16">
        <f t="shared" si="383"/>
        <v>188059</v>
      </c>
      <c r="AF256" s="16">
        <v>0</v>
      </c>
      <c r="AG256" s="16">
        <v>0</v>
      </c>
      <c r="AH256" s="16">
        <f>16939-16939</f>
        <v>0</v>
      </c>
      <c r="AI256" s="16">
        <v>0</v>
      </c>
      <c r="AJ256" s="16">
        <v>23750</v>
      </c>
      <c r="AK256" s="16">
        <v>0</v>
      </c>
      <c r="AL256" s="16">
        <v>2900</v>
      </c>
      <c r="AM256" s="16">
        <v>2830</v>
      </c>
      <c r="AN256" s="16">
        <v>0</v>
      </c>
      <c r="AO256" s="16">
        <v>0</v>
      </c>
      <c r="AP256" s="16">
        <f>0+101397</f>
        <v>101397</v>
      </c>
      <c r="AQ256" s="16">
        <v>0</v>
      </c>
      <c r="AR256" s="16">
        <v>0</v>
      </c>
      <c r="AS256" s="16">
        <v>15000</v>
      </c>
      <c r="AT256" s="16">
        <v>0</v>
      </c>
      <c r="AU256" s="16">
        <v>0</v>
      </c>
      <c r="AV256" s="16">
        <v>0</v>
      </c>
      <c r="AW256" s="16">
        <v>0</v>
      </c>
      <c r="AX256" s="16">
        <v>0</v>
      </c>
      <c r="AY256" s="16">
        <v>0</v>
      </c>
      <c r="AZ256" s="16">
        <f>42351-169</f>
        <v>42182</v>
      </c>
      <c r="BA256" s="16">
        <f t="shared" si="384"/>
        <v>0</v>
      </c>
      <c r="BB256" s="16">
        <f t="shared" si="385"/>
        <v>0</v>
      </c>
      <c r="BC256" s="16">
        <v>0</v>
      </c>
      <c r="BD256" s="16">
        <v>0</v>
      </c>
      <c r="BE256" s="16">
        <v>0</v>
      </c>
      <c r="BF256" s="16">
        <f t="shared" si="344"/>
        <v>0</v>
      </c>
      <c r="BG256" s="16">
        <v>0</v>
      </c>
      <c r="BH256" s="16">
        <v>0</v>
      </c>
      <c r="BI256" s="16">
        <v>0</v>
      </c>
      <c r="BJ256" s="16">
        <v>0</v>
      </c>
      <c r="BK256" s="16">
        <f t="shared" si="345"/>
        <v>0</v>
      </c>
      <c r="BL256" s="16">
        <v>0</v>
      </c>
      <c r="BM256" s="16">
        <f t="shared" si="346"/>
        <v>0</v>
      </c>
      <c r="BN256" s="16">
        <v>0</v>
      </c>
      <c r="BO256" s="16">
        <v>0</v>
      </c>
      <c r="BP256" s="16">
        <v>0</v>
      </c>
      <c r="BQ256" s="16">
        <v>0</v>
      </c>
      <c r="BR256" s="16">
        <v>0</v>
      </c>
      <c r="BS256" s="16">
        <v>0</v>
      </c>
      <c r="BT256" s="16">
        <v>0</v>
      </c>
      <c r="BU256" s="16">
        <v>0</v>
      </c>
      <c r="BV256" s="16">
        <v>0</v>
      </c>
      <c r="BW256" s="16">
        <v>0</v>
      </c>
      <c r="BX256" s="16">
        <v>0</v>
      </c>
      <c r="BY256" s="16">
        <f t="shared" si="386"/>
        <v>49271</v>
      </c>
      <c r="BZ256" s="16">
        <f t="shared" si="387"/>
        <v>49271</v>
      </c>
      <c r="CA256" s="16">
        <f t="shared" si="347"/>
        <v>49271</v>
      </c>
      <c r="CB256" s="16">
        <v>0</v>
      </c>
      <c r="CC256" s="16">
        <f>51351-2080</f>
        <v>49271</v>
      </c>
      <c r="CD256" s="16">
        <f t="shared" si="388"/>
        <v>0</v>
      </c>
      <c r="CE256" s="16">
        <v>0</v>
      </c>
      <c r="CF256" s="16">
        <v>0</v>
      </c>
      <c r="CG256" s="16">
        <v>0</v>
      </c>
      <c r="CH256" s="16">
        <v>0</v>
      </c>
      <c r="CI256" s="16">
        <v>0</v>
      </c>
      <c r="CJ256" s="16">
        <f t="shared" si="389"/>
        <v>0</v>
      </c>
      <c r="CK256" s="16">
        <v>0</v>
      </c>
      <c r="CL256" s="16">
        <v>0</v>
      </c>
      <c r="CM256" s="16">
        <v>0</v>
      </c>
      <c r="CN256" s="16">
        <v>0</v>
      </c>
      <c r="CO256" s="16">
        <v>0</v>
      </c>
      <c r="CP256" s="16">
        <v>0</v>
      </c>
      <c r="CQ256" s="16">
        <v>0</v>
      </c>
      <c r="CR256" s="16">
        <f t="shared" si="348"/>
        <v>0</v>
      </c>
      <c r="CS256" s="16">
        <f t="shared" si="349"/>
        <v>0</v>
      </c>
      <c r="CT256" s="16">
        <v>0</v>
      </c>
      <c r="CU256" s="17">
        <v>0</v>
      </c>
      <c r="CV256" s="38"/>
    </row>
    <row r="257" spans="1:100" ht="31.5" x14ac:dyDescent="0.25">
      <c r="A257" s="13" t="s">
        <v>1</v>
      </c>
      <c r="B257" s="14" t="s">
        <v>1</v>
      </c>
      <c r="C257" s="14" t="s">
        <v>33</v>
      </c>
      <c r="D257" s="30" t="s">
        <v>282</v>
      </c>
      <c r="E257" s="15">
        <f t="shared" si="379"/>
        <v>1032910</v>
      </c>
      <c r="F257" s="16">
        <f t="shared" si="380"/>
        <v>1000801</v>
      </c>
      <c r="G257" s="16">
        <f t="shared" si="381"/>
        <v>1000801</v>
      </c>
      <c r="H257" s="16">
        <v>321088</v>
      </c>
      <c r="I257" s="16">
        <v>80272</v>
      </c>
      <c r="J257" s="16">
        <f t="shared" si="342"/>
        <v>320938</v>
      </c>
      <c r="K257" s="16">
        <v>5042</v>
      </c>
      <c r="L257" s="16">
        <v>800</v>
      </c>
      <c r="M257" s="16">
        <v>0</v>
      </c>
      <c r="N257" s="16">
        <v>0</v>
      </c>
      <c r="O257" s="16">
        <v>239314</v>
      </c>
      <c r="P257" s="16">
        <v>75782</v>
      </c>
      <c r="Q257" s="16">
        <f t="shared" si="343"/>
        <v>873</v>
      </c>
      <c r="R257" s="16">
        <v>873</v>
      </c>
      <c r="S257" s="16">
        <v>0</v>
      </c>
      <c r="T257" s="16">
        <v>0</v>
      </c>
      <c r="U257" s="16">
        <v>17472</v>
      </c>
      <c r="V257" s="16">
        <f t="shared" si="382"/>
        <v>50088</v>
      </c>
      <c r="W257" s="16">
        <v>1000</v>
      </c>
      <c r="X257" s="16">
        <f>29577+341</f>
        <v>29918</v>
      </c>
      <c r="Y257" s="16">
        <f>9252+552</f>
        <v>9804</v>
      </c>
      <c r="Z257" s="16">
        <f>2054+359</f>
        <v>2413</v>
      </c>
      <c r="AA257" s="16">
        <v>6953</v>
      </c>
      <c r="AB257" s="16">
        <v>0</v>
      </c>
      <c r="AC257" s="16">
        <v>0</v>
      </c>
      <c r="AD257" s="16">
        <v>0</v>
      </c>
      <c r="AE257" s="16">
        <f t="shared" si="383"/>
        <v>210070</v>
      </c>
      <c r="AF257" s="16">
        <v>0</v>
      </c>
      <c r="AG257" s="16">
        <v>8451</v>
      </c>
      <c r="AH257" s="16">
        <v>11000</v>
      </c>
      <c r="AI257" s="16">
        <v>0</v>
      </c>
      <c r="AJ257" s="16">
        <v>0</v>
      </c>
      <c r="AK257" s="16">
        <v>0</v>
      </c>
      <c r="AL257" s="16">
        <v>3661</v>
      </c>
      <c r="AM257" s="16">
        <v>0</v>
      </c>
      <c r="AN257" s="16">
        <v>0</v>
      </c>
      <c r="AO257" s="16">
        <v>0</v>
      </c>
      <c r="AP257" s="16">
        <v>0</v>
      </c>
      <c r="AQ257" s="16">
        <v>0</v>
      </c>
      <c r="AR257" s="16">
        <v>0</v>
      </c>
      <c r="AS257" s="16">
        <v>0</v>
      </c>
      <c r="AT257" s="16">
        <v>0</v>
      </c>
      <c r="AU257" s="16">
        <v>0</v>
      </c>
      <c r="AV257" s="16">
        <v>0</v>
      </c>
      <c r="AW257" s="16">
        <v>0</v>
      </c>
      <c r="AX257" s="16">
        <v>0</v>
      </c>
      <c r="AY257" s="16">
        <v>0</v>
      </c>
      <c r="AZ257" s="16">
        <f>187640-682</f>
        <v>186958</v>
      </c>
      <c r="BA257" s="16">
        <f t="shared" si="384"/>
        <v>0</v>
      </c>
      <c r="BB257" s="16">
        <f t="shared" si="385"/>
        <v>0</v>
      </c>
      <c r="BC257" s="16">
        <v>0</v>
      </c>
      <c r="BD257" s="16">
        <v>0</v>
      </c>
      <c r="BE257" s="16">
        <v>0</v>
      </c>
      <c r="BF257" s="16">
        <f t="shared" si="344"/>
        <v>0</v>
      </c>
      <c r="BG257" s="16">
        <v>0</v>
      </c>
      <c r="BH257" s="16">
        <v>0</v>
      </c>
      <c r="BI257" s="16">
        <v>0</v>
      </c>
      <c r="BJ257" s="16">
        <v>0</v>
      </c>
      <c r="BK257" s="16">
        <f t="shared" si="345"/>
        <v>0</v>
      </c>
      <c r="BL257" s="16">
        <v>0</v>
      </c>
      <c r="BM257" s="16">
        <f t="shared" si="346"/>
        <v>0</v>
      </c>
      <c r="BN257" s="16">
        <v>0</v>
      </c>
      <c r="BO257" s="16">
        <v>0</v>
      </c>
      <c r="BP257" s="16">
        <v>0</v>
      </c>
      <c r="BQ257" s="16">
        <v>0</v>
      </c>
      <c r="BR257" s="16">
        <v>0</v>
      </c>
      <c r="BS257" s="16">
        <v>0</v>
      </c>
      <c r="BT257" s="16">
        <v>0</v>
      </c>
      <c r="BU257" s="16">
        <v>0</v>
      </c>
      <c r="BV257" s="16">
        <v>0</v>
      </c>
      <c r="BW257" s="16">
        <v>0</v>
      </c>
      <c r="BX257" s="16">
        <v>0</v>
      </c>
      <c r="BY257" s="16">
        <f t="shared" si="386"/>
        <v>32109</v>
      </c>
      <c r="BZ257" s="16">
        <f t="shared" si="387"/>
        <v>32109</v>
      </c>
      <c r="CA257" s="16">
        <f t="shared" si="347"/>
        <v>32109</v>
      </c>
      <c r="CB257" s="16">
        <v>0</v>
      </c>
      <c r="CC257" s="16">
        <v>32109</v>
      </c>
      <c r="CD257" s="16">
        <f t="shared" si="388"/>
        <v>0</v>
      </c>
      <c r="CE257" s="16">
        <v>0</v>
      </c>
      <c r="CF257" s="16">
        <v>0</v>
      </c>
      <c r="CG257" s="16">
        <v>0</v>
      </c>
      <c r="CH257" s="16">
        <v>0</v>
      </c>
      <c r="CI257" s="16">
        <v>0</v>
      </c>
      <c r="CJ257" s="16">
        <f t="shared" si="389"/>
        <v>0</v>
      </c>
      <c r="CK257" s="16">
        <v>0</v>
      </c>
      <c r="CL257" s="16">
        <v>0</v>
      </c>
      <c r="CM257" s="16">
        <v>0</v>
      </c>
      <c r="CN257" s="16">
        <v>0</v>
      </c>
      <c r="CO257" s="16">
        <v>0</v>
      </c>
      <c r="CP257" s="16">
        <v>0</v>
      </c>
      <c r="CQ257" s="16">
        <v>0</v>
      </c>
      <c r="CR257" s="16">
        <f t="shared" si="348"/>
        <v>0</v>
      </c>
      <c r="CS257" s="16">
        <f t="shared" si="349"/>
        <v>0</v>
      </c>
      <c r="CT257" s="16">
        <v>0</v>
      </c>
      <c r="CU257" s="17">
        <v>0</v>
      </c>
      <c r="CV257" s="38"/>
    </row>
    <row r="258" spans="1:100" ht="15.75" x14ac:dyDescent="0.25">
      <c r="A258" s="13" t="s">
        <v>1</v>
      </c>
      <c r="B258" s="14" t="s">
        <v>1</v>
      </c>
      <c r="C258" s="14" t="s">
        <v>33</v>
      </c>
      <c r="D258" s="30" t="s">
        <v>500</v>
      </c>
      <c r="E258" s="15">
        <f t="shared" si="379"/>
        <v>1606408</v>
      </c>
      <c r="F258" s="16">
        <f t="shared" si="380"/>
        <v>1463379</v>
      </c>
      <c r="G258" s="16">
        <f t="shared" si="381"/>
        <v>1463379</v>
      </c>
      <c r="H258" s="16">
        <v>327600</v>
      </c>
      <c r="I258" s="16">
        <v>81900</v>
      </c>
      <c r="J258" s="16">
        <f t="shared" si="342"/>
        <v>93530</v>
      </c>
      <c r="K258" s="16">
        <v>0</v>
      </c>
      <c r="L258" s="16">
        <v>0</v>
      </c>
      <c r="M258" s="16">
        <v>0</v>
      </c>
      <c r="N258" s="16">
        <v>0</v>
      </c>
      <c r="O258" s="16">
        <v>77150</v>
      </c>
      <c r="P258" s="16">
        <v>16380</v>
      </c>
      <c r="Q258" s="16">
        <f t="shared" si="343"/>
        <v>55750</v>
      </c>
      <c r="R258" s="16">
        <v>1000</v>
      </c>
      <c r="S258" s="16">
        <v>54750</v>
      </c>
      <c r="T258" s="16">
        <v>0</v>
      </c>
      <c r="U258" s="16">
        <v>28986</v>
      </c>
      <c r="V258" s="16">
        <f t="shared" si="382"/>
        <v>255706</v>
      </c>
      <c r="W258" s="16">
        <v>101154</v>
      </c>
      <c r="X258" s="16">
        <f>2110+24</f>
        <v>2134</v>
      </c>
      <c r="Y258" s="16">
        <f>98987+12318</f>
        <v>111305</v>
      </c>
      <c r="Z258" s="16">
        <f>12093+2109</f>
        <v>14202</v>
      </c>
      <c r="AA258" s="16">
        <v>3261</v>
      </c>
      <c r="AB258" s="16">
        <v>0</v>
      </c>
      <c r="AC258" s="16">
        <v>0</v>
      </c>
      <c r="AD258" s="16">
        <f>22586+1064</f>
        <v>23650</v>
      </c>
      <c r="AE258" s="16">
        <f t="shared" si="383"/>
        <v>619907</v>
      </c>
      <c r="AF258" s="16">
        <v>0</v>
      </c>
      <c r="AG258" s="16">
        <v>22575</v>
      </c>
      <c r="AH258" s="16">
        <v>43392</v>
      </c>
      <c r="AI258" s="16">
        <v>0</v>
      </c>
      <c r="AJ258" s="16">
        <v>1591</v>
      </c>
      <c r="AK258" s="16">
        <v>0</v>
      </c>
      <c r="AL258" s="16">
        <v>3276</v>
      </c>
      <c r="AM258" s="16">
        <v>42107</v>
      </c>
      <c r="AN258" s="16">
        <v>0</v>
      </c>
      <c r="AO258" s="16">
        <v>0</v>
      </c>
      <c r="AP258" s="16">
        <v>0</v>
      </c>
      <c r="AQ258" s="16">
        <v>0</v>
      </c>
      <c r="AR258" s="16">
        <v>0</v>
      </c>
      <c r="AS258" s="16">
        <v>0</v>
      </c>
      <c r="AT258" s="16">
        <v>0</v>
      </c>
      <c r="AU258" s="16">
        <v>0</v>
      </c>
      <c r="AV258" s="16">
        <v>0</v>
      </c>
      <c r="AW258" s="16">
        <v>0</v>
      </c>
      <c r="AX258" s="16">
        <v>0</v>
      </c>
      <c r="AY258" s="16">
        <v>0</v>
      </c>
      <c r="AZ258" s="16">
        <f>516073-9107</f>
        <v>506966</v>
      </c>
      <c r="BA258" s="16">
        <f t="shared" si="384"/>
        <v>0</v>
      </c>
      <c r="BB258" s="16">
        <f t="shared" si="385"/>
        <v>0</v>
      </c>
      <c r="BC258" s="16">
        <v>0</v>
      </c>
      <c r="BD258" s="16">
        <v>0</v>
      </c>
      <c r="BE258" s="16">
        <v>0</v>
      </c>
      <c r="BF258" s="16">
        <f t="shared" si="344"/>
        <v>0</v>
      </c>
      <c r="BG258" s="16">
        <v>0</v>
      </c>
      <c r="BH258" s="16">
        <v>0</v>
      </c>
      <c r="BI258" s="16">
        <v>0</v>
      </c>
      <c r="BJ258" s="16">
        <v>0</v>
      </c>
      <c r="BK258" s="16">
        <f t="shared" si="345"/>
        <v>0</v>
      </c>
      <c r="BL258" s="16">
        <v>0</v>
      </c>
      <c r="BM258" s="16">
        <f t="shared" si="346"/>
        <v>0</v>
      </c>
      <c r="BN258" s="16">
        <v>0</v>
      </c>
      <c r="BO258" s="16">
        <v>0</v>
      </c>
      <c r="BP258" s="16">
        <v>0</v>
      </c>
      <c r="BQ258" s="16">
        <v>0</v>
      </c>
      <c r="BR258" s="16">
        <v>0</v>
      </c>
      <c r="BS258" s="16">
        <v>0</v>
      </c>
      <c r="BT258" s="16">
        <v>0</v>
      </c>
      <c r="BU258" s="16">
        <v>0</v>
      </c>
      <c r="BV258" s="16">
        <v>0</v>
      </c>
      <c r="BW258" s="16">
        <v>0</v>
      </c>
      <c r="BX258" s="16">
        <v>0</v>
      </c>
      <c r="BY258" s="16">
        <f t="shared" si="386"/>
        <v>143029</v>
      </c>
      <c r="BZ258" s="16">
        <f t="shared" si="387"/>
        <v>143029</v>
      </c>
      <c r="CA258" s="16">
        <f t="shared" si="347"/>
        <v>143029</v>
      </c>
      <c r="CB258" s="16">
        <v>0</v>
      </c>
      <c r="CC258" s="16">
        <v>143029</v>
      </c>
      <c r="CD258" s="16">
        <f t="shared" si="388"/>
        <v>0</v>
      </c>
      <c r="CE258" s="16">
        <v>0</v>
      </c>
      <c r="CF258" s="16">
        <v>0</v>
      </c>
      <c r="CG258" s="16">
        <v>0</v>
      </c>
      <c r="CH258" s="16">
        <v>0</v>
      </c>
      <c r="CI258" s="16">
        <v>0</v>
      </c>
      <c r="CJ258" s="16">
        <f t="shared" si="389"/>
        <v>0</v>
      </c>
      <c r="CK258" s="16">
        <v>0</v>
      </c>
      <c r="CL258" s="16">
        <v>0</v>
      </c>
      <c r="CM258" s="16">
        <v>0</v>
      </c>
      <c r="CN258" s="16">
        <v>0</v>
      </c>
      <c r="CO258" s="16">
        <v>0</v>
      </c>
      <c r="CP258" s="16">
        <v>0</v>
      </c>
      <c r="CQ258" s="16">
        <v>0</v>
      </c>
      <c r="CR258" s="16">
        <f t="shared" si="348"/>
        <v>0</v>
      </c>
      <c r="CS258" s="16">
        <f t="shared" si="349"/>
        <v>0</v>
      </c>
      <c r="CT258" s="16">
        <v>0</v>
      </c>
      <c r="CU258" s="17">
        <v>0</v>
      </c>
      <c r="CV258" s="38"/>
    </row>
    <row r="259" spans="1:100" ht="15.75" x14ac:dyDescent="0.25">
      <c r="A259" s="13" t="s">
        <v>1</v>
      </c>
      <c r="B259" s="14" t="s">
        <v>1</v>
      </c>
      <c r="C259" s="14" t="s">
        <v>33</v>
      </c>
      <c r="D259" s="30" t="s">
        <v>280</v>
      </c>
      <c r="E259" s="15">
        <f t="shared" si="379"/>
        <v>15200875</v>
      </c>
      <c r="F259" s="16">
        <f t="shared" si="380"/>
        <v>14950049</v>
      </c>
      <c r="G259" s="16">
        <f t="shared" si="381"/>
        <v>14950049</v>
      </c>
      <c r="H259" s="16">
        <v>2681030</v>
      </c>
      <c r="I259" s="16">
        <v>634052</v>
      </c>
      <c r="J259" s="16">
        <f>SUM(K259:P259)</f>
        <v>191773</v>
      </c>
      <c r="K259" s="16">
        <v>0</v>
      </c>
      <c r="L259" s="16">
        <v>0</v>
      </c>
      <c r="M259" s="16">
        <v>0</v>
      </c>
      <c r="N259" s="16">
        <v>0</v>
      </c>
      <c r="O259" s="16">
        <v>82768</v>
      </c>
      <c r="P259" s="16">
        <v>109005</v>
      </c>
      <c r="Q259" s="16">
        <f>SUM(R259:S259)</f>
        <v>0</v>
      </c>
      <c r="R259" s="16">
        <v>0</v>
      </c>
      <c r="S259" s="16">
        <v>0</v>
      </c>
      <c r="T259" s="16">
        <v>36000</v>
      </c>
      <c r="U259" s="16">
        <v>24047</v>
      </c>
      <c r="V259" s="16">
        <f t="shared" si="382"/>
        <v>213181</v>
      </c>
      <c r="W259" s="16">
        <v>4176</v>
      </c>
      <c r="X259" s="16">
        <f>96095+1108</f>
        <v>97203</v>
      </c>
      <c r="Y259" s="16">
        <f>89585+5348</f>
        <v>94933</v>
      </c>
      <c r="Z259" s="16">
        <f>3217+609</f>
        <v>3826</v>
      </c>
      <c r="AA259" s="16">
        <v>13043</v>
      </c>
      <c r="AB259" s="16">
        <v>0</v>
      </c>
      <c r="AC259" s="16">
        <v>0</v>
      </c>
      <c r="AD259" s="16">
        <v>0</v>
      </c>
      <c r="AE259" s="16">
        <f>SUM(AF259:AZ259)</f>
        <v>11169966</v>
      </c>
      <c r="AF259" s="16">
        <v>0</v>
      </c>
      <c r="AG259" s="16">
        <v>286682</v>
      </c>
      <c r="AH259" s="16">
        <v>18121</v>
      </c>
      <c r="AI259" s="16">
        <v>0</v>
      </c>
      <c r="AJ259" s="16">
        <v>4500</v>
      </c>
      <c r="AK259" s="16">
        <v>0</v>
      </c>
      <c r="AL259" s="16">
        <v>25083</v>
      </c>
      <c r="AM259" s="16">
        <v>0</v>
      </c>
      <c r="AN259" s="16">
        <v>0</v>
      </c>
      <c r="AO259" s="16">
        <v>0</v>
      </c>
      <c r="AP259" s="16">
        <v>0</v>
      </c>
      <c r="AQ259" s="16">
        <v>0</v>
      </c>
      <c r="AR259" s="16">
        <v>0</v>
      </c>
      <c r="AS259" s="16">
        <v>0</v>
      </c>
      <c r="AT259" s="16">
        <v>0</v>
      </c>
      <c r="AU259" s="16">
        <v>0</v>
      </c>
      <c r="AV259" s="16">
        <v>0</v>
      </c>
      <c r="AW259" s="16">
        <v>0</v>
      </c>
      <c r="AX259" s="16">
        <v>0</v>
      </c>
      <c r="AY259" s="16">
        <v>0</v>
      </c>
      <c r="AZ259" s="16">
        <f>10579770+255810</f>
        <v>10835580</v>
      </c>
      <c r="BA259" s="16">
        <f t="shared" si="384"/>
        <v>0</v>
      </c>
      <c r="BB259" s="16">
        <f t="shared" si="385"/>
        <v>0</v>
      </c>
      <c r="BC259" s="16">
        <v>0</v>
      </c>
      <c r="BD259" s="16">
        <v>0</v>
      </c>
      <c r="BE259" s="16">
        <v>0</v>
      </c>
      <c r="BF259" s="16">
        <f>SUM(BG259:BH259)</f>
        <v>0</v>
      </c>
      <c r="BG259" s="16">
        <v>0</v>
      </c>
      <c r="BH259" s="16">
        <v>0</v>
      </c>
      <c r="BI259" s="16">
        <v>0</v>
      </c>
      <c r="BJ259" s="16">
        <v>0</v>
      </c>
      <c r="BK259" s="16">
        <f>SUM(BL259)</f>
        <v>0</v>
      </c>
      <c r="BL259" s="16">
        <v>0</v>
      </c>
      <c r="BM259" s="16">
        <f>SUM(BN259:BX259)</f>
        <v>0</v>
      </c>
      <c r="BN259" s="16">
        <v>0</v>
      </c>
      <c r="BO259" s="16">
        <v>0</v>
      </c>
      <c r="BP259" s="16">
        <v>0</v>
      </c>
      <c r="BQ259" s="16">
        <v>0</v>
      </c>
      <c r="BR259" s="16">
        <v>0</v>
      </c>
      <c r="BS259" s="16">
        <v>0</v>
      </c>
      <c r="BT259" s="16">
        <v>0</v>
      </c>
      <c r="BU259" s="16">
        <v>0</v>
      </c>
      <c r="BV259" s="16">
        <v>0</v>
      </c>
      <c r="BW259" s="16">
        <v>0</v>
      </c>
      <c r="BX259" s="16">
        <v>0</v>
      </c>
      <c r="BY259" s="16">
        <f t="shared" si="386"/>
        <v>250826</v>
      </c>
      <c r="BZ259" s="16">
        <f t="shared" si="387"/>
        <v>250826</v>
      </c>
      <c r="CA259" s="16">
        <f>SUM(CB259:CC259)</f>
        <v>250826</v>
      </c>
      <c r="CB259" s="16">
        <v>0</v>
      </c>
      <c r="CC259" s="16">
        <v>250826</v>
      </c>
      <c r="CD259" s="16">
        <f t="shared" si="388"/>
        <v>0</v>
      </c>
      <c r="CE259" s="16">
        <v>0</v>
      </c>
      <c r="CF259" s="16">
        <v>0</v>
      </c>
      <c r="CG259" s="16">
        <v>0</v>
      </c>
      <c r="CH259" s="16">
        <v>0</v>
      </c>
      <c r="CI259" s="16">
        <v>0</v>
      </c>
      <c r="CJ259" s="16">
        <f t="shared" si="389"/>
        <v>0</v>
      </c>
      <c r="CK259" s="16">
        <v>0</v>
      </c>
      <c r="CL259" s="16">
        <v>0</v>
      </c>
      <c r="CM259" s="16">
        <v>0</v>
      </c>
      <c r="CN259" s="16">
        <v>0</v>
      </c>
      <c r="CO259" s="16">
        <v>0</v>
      </c>
      <c r="CP259" s="16">
        <v>0</v>
      </c>
      <c r="CQ259" s="16">
        <v>0</v>
      </c>
      <c r="CR259" s="16">
        <f>SUM(CS259)</f>
        <v>0</v>
      </c>
      <c r="CS259" s="16">
        <f>SUM(CT259:CU259)</f>
        <v>0</v>
      </c>
      <c r="CT259" s="16">
        <v>0</v>
      </c>
      <c r="CU259" s="17">
        <v>0</v>
      </c>
      <c r="CV259" s="38"/>
    </row>
    <row r="260" spans="1:100" ht="15.75" x14ac:dyDescent="0.25">
      <c r="A260" s="13" t="s">
        <v>1</v>
      </c>
      <c r="B260" s="14" t="s">
        <v>1</v>
      </c>
      <c r="C260" s="14" t="s">
        <v>34</v>
      </c>
      <c r="D260" s="30" t="s">
        <v>283</v>
      </c>
      <c r="E260" s="15">
        <f t="shared" si="379"/>
        <v>1633903</v>
      </c>
      <c r="F260" s="16">
        <f t="shared" si="380"/>
        <v>1246477</v>
      </c>
      <c r="G260" s="16">
        <f t="shared" si="381"/>
        <v>1246477</v>
      </c>
      <c r="H260" s="16">
        <v>0</v>
      </c>
      <c r="I260" s="16">
        <v>0</v>
      </c>
      <c r="J260" s="16">
        <f t="shared" si="342"/>
        <v>503230</v>
      </c>
      <c r="K260" s="16">
        <v>1000</v>
      </c>
      <c r="L260" s="16">
        <v>0</v>
      </c>
      <c r="M260" s="16">
        <v>0</v>
      </c>
      <c r="N260" s="16">
        <v>0</v>
      </c>
      <c r="O260" s="16">
        <v>287044</v>
      </c>
      <c r="P260" s="16">
        <v>215186</v>
      </c>
      <c r="Q260" s="16">
        <f t="shared" si="343"/>
        <v>60000</v>
      </c>
      <c r="R260" s="16">
        <v>0</v>
      </c>
      <c r="S260" s="16">
        <v>60000</v>
      </c>
      <c r="T260" s="16">
        <v>0</v>
      </c>
      <c r="U260" s="16">
        <v>75000</v>
      </c>
      <c r="V260" s="16">
        <f t="shared" si="382"/>
        <v>291507</v>
      </c>
      <c r="W260" s="16">
        <v>20200</v>
      </c>
      <c r="X260" s="16">
        <f>48959+9082</f>
        <v>58041</v>
      </c>
      <c r="Y260" s="16">
        <f>81968+57051</f>
        <v>139019</v>
      </c>
      <c r="Z260" s="16">
        <f>10737+2822</f>
        <v>13559</v>
      </c>
      <c r="AA260" s="16">
        <v>6271</v>
      </c>
      <c r="AB260" s="16">
        <v>50000</v>
      </c>
      <c r="AC260" s="16">
        <v>0</v>
      </c>
      <c r="AD260" s="16">
        <f>3771+646</f>
        <v>4417</v>
      </c>
      <c r="AE260" s="16">
        <f t="shared" si="383"/>
        <v>316740</v>
      </c>
      <c r="AF260" s="16">
        <v>0</v>
      </c>
      <c r="AG260" s="16">
        <v>95400</v>
      </c>
      <c r="AH260" s="16">
        <v>97750</v>
      </c>
      <c r="AI260" s="16">
        <v>0</v>
      </c>
      <c r="AJ260" s="16">
        <v>19700</v>
      </c>
      <c r="AK260" s="16">
        <v>0</v>
      </c>
      <c r="AL260" s="16">
        <v>0</v>
      </c>
      <c r="AM260" s="16">
        <v>0</v>
      </c>
      <c r="AN260" s="16">
        <v>0</v>
      </c>
      <c r="AO260" s="16">
        <v>0</v>
      </c>
      <c r="AP260" s="16">
        <v>0</v>
      </c>
      <c r="AQ260" s="16">
        <v>0</v>
      </c>
      <c r="AR260" s="16">
        <v>42400</v>
      </c>
      <c r="AS260" s="16">
        <v>0</v>
      </c>
      <c r="AT260" s="16">
        <v>0</v>
      </c>
      <c r="AU260" s="16">
        <v>0</v>
      </c>
      <c r="AV260" s="16">
        <v>0</v>
      </c>
      <c r="AW260" s="16">
        <v>0</v>
      </c>
      <c r="AX260" s="16">
        <v>0</v>
      </c>
      <c r="AY260" s="16">
        <v>0</v>
      </c>
      <c r="AZ260" s="16">
        <v>61490</v>
      </c>
      <c r="BA260" s="16">
        <f t="shared" si="384"/>
        <v>0</v>
      </c>
      <c r="BB260" s="16">
        <f t="shared" si="385"/>
        <v>0</v>
      </c>
      <c r="BC260" s="16">
        <v>0</v>
      </c>
      <c r="BD260" s="16">
        <v>0</v>
      </c>
      <c r="BE260" s="16">
        <v>0</v>
      </c>
      <c r="BF260" s="16">
        <f t="shared" si="344"/>
        <v>0</v>
      </c>
      <c r="BG260" s="16">
        <v>0</v>
      </c>
      <c r="BH260" s="16">
        <v>0</v>
      </c>
      <c r="BI260" s="16">
        <v>0</v>
      </c>
      <c r="BJ260" s="16">
        <v>0</v>
      </c>
      <c r="BK260" s="16">
        <f t="shared" si="345"/>
        <v>0</v>
      </c>
      <c r="BL260" s="16">
        <v>0</v>
      </c>
      <c r="BM260" s="16">
        <f t="shared" si="346"/>
        <v>0</v>
      </c>
      <c r="BN260" s="16">
        <v>0</v>
      </c>
      <c r="BO260" s="16">
        <v>0</v>
      </c>
      <c r="BP260" s="16">
        <v>0</v>
      </c>
      <c r="BQ260" s="16">
        <v>0</v>
      </c>
      <c r="BR260" s="16">
        <v>0</v>
      </c>
      <c r="BS260" s="16">
        <v>0</v>
      </c>
      <c r="BT260" s="16">
        <v>0</v>
      </c>
      <c r="BU260" s="16">
        <v>0</v>
      </c>
      <c r="BV260" s="16">
        <v>0</v>
      </c>
      <c r="BW260" s="16">
        <v>0</v>
      </c>
      <c r="BX260" s="16">
        <v>0</v>
      </c>
      <c r="BY260" s="16">
        <f t="shared" si="386"/>
        <v>387426</v>
      </c>
      <c r="BZ260" s="16">
        <f t="shared" si="387"/>
        <v>387426</v>
      </c>
      <c r="CA260" s="16">
        <f t="shared" si="347"/>
        <v>387426</v>
      </c>
      <c r="CB260" s="16">
        <v>0</v>
      </c>
      <c r="CC260" s="16">
        <v>387426</v>
      </c>
      <c r="CD260" s="16">
        <f t="shared" si="388"/>
        <v>0</v>
      </c>
      <c r="CE260" s="16">
        <v>0</v>
      </c>
      <c r="CF260" s="16">
        <v>0</v>
      </c>
      <c r="CG260" s="16">
        <v>0</v>
      </c>
      <c r="CH260" s="16">
        <v>0</v>
      </c>
      <c r="CI260" s="16">
        <v>0</v>
      </c>
      <c r="CJ260" s="16">
        <f t="shared" si="389"/>
        <v>0</v>
      </c>
      <c r="CK260" s="16">
        <v>0</v>
      </c>
      <c r="CL260" s="16">
        <v>0</v>
      </c>
      <c r="CM260" s="16">
        <v>0</v>
      </c>
      <c r="CN260" s="16">
        <v>0</v>
      </c>
      <c r="CO260" s="16">
        <v>0</v>
      </c>
      <c r="CP260" s="16">
        <v>0</v>
      </c>
      <c r="CQ260" s="16">
        <v>0</v>
      </c>
      <c r="CR260" s="16">
        <f t="shared" si="348"/>
        <v>0</v>
      </c>
      <c r="CS260" s="16">
        <f t="shared" si="349"/>
        <v>0</v>
      </c>
      <c r="CT260" s="16">
        <v>0</v>
      </c>
      <c r="CU260" s="17">
        <v>0</v>
      </c>
      <c r="CV260" s="38"/>
    </row>
    <row r="261" spans="1:100" ht="15.75" x14ac:dyDescent="0.25">
      <c r="A261" s="13" t="s">
        <v>1</v>
      </c>
      <c r="B261" s="14" t="s">
        <v>1</v>
      </c>
      <c r="C261" s="14" t="s">
        <v>34</v>
      </c>
      <c r="D261" s="30" t="s">
        <v>284</v>
      </c>
      <c r="E261" s="15">
        <f t="shared" si="379"/>
        <v>1146821</v>
      </c>
      <c r="F261" s="16">
        <f t="shared" si="380"/>
        <v>342787</v>
      </c>
      <c r="G261" s="16">
        <f t="shared" si="381"/>
        <v>342787</v>
      </c>
      <c r="H261" s="16">
        <v>0</v>
      </c>
      <c r="I261" s="16">
        <v>0</v>
      </c>
      <c r="J261" s="16">
        <f t="shared" si="342"/>
        <v>146770</v>
      </c>
      <c r="K261" s="16">
        <v>0</v>
      </c>
      <c r="L261" s="16">
        <v>0</v>
      </c>
      <c r="M261" s="16">
        <v>0</v>
      </c>
      <c r="N261" s="16">
        <v>0</v>
      </c>
      <c r="O261" s="16">
        <v>36738</v>
      </c>
      <c r="P261" s="16">
        <v>110032</v>
      </c>
      <c r="Q261" s="16">
        <f t="shared" si="343"/>
        <v>0</v>
      </c>
      <c r="R261" s="16">
        <v>0</v>
      </c>
      <c r="S261" s="16">
        <v>0</v>
      </c>
      <c r="T261" s="16">
        <v>0</v>
      </c>
      <c r="U261" s="16">
        <v>10767</v>
      </c>
      <c r="V261" s="16">
        <f t="shared" si="382"/>
        <v>63173</v>
      </c>
      <c r="W261" s="16">
        <v>0</v>
      </c>
      <c r="X261" s="16">
        <f>30945+4146</f>
        <v>35091</v>
      </c>
      <c r="Y261" s="16">
        <f>19842+1185</f>
        <v>21027</v>
      </c>
      <c r="Z261" s="16">
        <f>3372+792</f>
        <v>4164</v>
      </c>
      <c r="AA261" s="16">
        <v>2891</v>
      </c>
      <c r="AB261" s="16">
        <v>0</v>
      </c>
      <c r="AC261" s="16">
        <v>0</v>
      </c>
      <c r="AD261" s="16">
        <v>0</v>
      </c>
      <c r="AE261" s="16">
        <f t="shared" si="383"/>
        <v>122077</v>
      </c>
      <c r="AF261" s="16">
        <v>0</v>
      </c>
      <c r="AG261" s="16">
        <v>4305</v>
      </c>
      <c r="AH261" s="16">
        <f>5237+2033</f>
        <v>7270</v>
      </c>
      <c r="AI261" s="16">
        <v>0</v>
      </c>
      <c r="AJ261" s="16">
        <v>1591</v>
      </c>
      <c r="AK261" s="16">
        <v>0</v>
      </c>
      <c r="AL261" s="16">
        <v>0</v>
      </c>
      <c r="AM261" s="16">
        <f>0+71428</f>
        <v>71428</v>
      </c>
      <c r="AN261" s="16">
        <v>0</v>
      </c>
      <c r="AO261" s="16">
        <v>0</v>
      </c>
      <c r="AP261" s="16">
        <v>0</v>
      </c>
      <c r="AQ261" s="16">
        <v>0</v>
      </c>
      <c r="AR261" s="16">
        <v>0</v>
      </c>
      <c r="AS261" s="16">
        <v>0</v>
      </c>
      <c r="AT261" s="16">
        <v>0</v>
      </c>
      <c r="AU261" s="16">
        <v>0</v>
      </c>
      <c r="AV261" s="16">
        <v>0</v>
      </c>
      <c r="AW261" s="16">
        <v>0</v>
      </c>
      <c r="AX261" s="16">
        <v>0</v>
      </c>
      <c r="AY261" s="16">
        <v>0</v>
      </c>
      <c r="AZ261" s="16">
        <v>37483</v>
      </c>
      <c r="BA261" s="16">
        <f t="shared" si="384"/>
        <v>0</v>
      </c>
      <c r="BB261" s="16">
        <f t="shared" si="385"/>
        <v>0</v>
      </c>
      <c r="BC261" s="16">
        <v>0</v>
      </c>
      <c r="BD261" s="16">
        <v>0</v>
      </c>
      <c r="BE261" s="16">
        <v>0</v>
      </c>
      <c r="BF261" s="16">
        <f t="shared" si="344"/>
        <v>0</v>
      </c>
      <c r="BG261" s="16">
        <v>0</v>
      </c>
      <c r="BH261" s="16">
        <v>0</v>
      </c>
      <c r="BI261" s="16">
        <v>0</v>
      </c>
      <c r="BJ261" s="16">
        <v>0</v>
      </c>
      <c r="BK261" s="16">
        <f t="shared" si="345"/>
        <v>0</v>
      </c>
      <c r="BL261" s="16">
        <v>0</v>
      </c>
      <c r="BM261" s="16">
        <f t="shared" si="346"/>
        <v>0</v>
      </c>
      <c r="BN261" s="16">
        <v>0</v>
      </c>
      <c r="BO261" s="16">
        <v>0</v>
      </c>
      <c r="BP261" s="16">
        <v>0</v>
      </c>
      <c r="BQ261" s="16">
        <v>0</v>
      </c>
      <c r="BR261" s="16">
        <v>0</v>
      </c>
      <c r="BS261" s="16">
        <v>0</v>
      </c>
      <c r="BT261" s="16">
        <v>0</v>
      </c>
      <c r="BU261" s="16">
        <v>0</v>
      </c>
      <c r="BV261" s="16">
        <v>0</v>
      </c>
      <c r="BW261" s="16">
        <v>0</v>
      </c>
      <c r="BX261" s="16">
        <v>0</v>
      </c>
      <c r="BY261" s="16">
        <f t="shared" si="386"/>
        <v>804034</v>
      </c>
      <c r="BZ261" s="16">
        <f t="shared" si="387"/>
        <v>804034</v>
      </c>
      <c r="CA261" s="16">
        <f t="shared" si="347"/>
        <v>268850</v>
      </c>
      <c r="CB261" s="16">
        <v>0</v>
      </c>
      <c r="CC261" s="16">
        <v>268850</v>
      </c>
      <c r="CD261" s="16">
        <f t="shared" si="388"/>
        <v>0</v>
      </c>
      <c r="CE261" s="16">
        <v>0</v>
      </c>
      <c r="CF261" s="16">
        <v>0</v>
      </c>
      <c r="CG261" s="16">
        <v>0</v>
      </c>
      <c r="CH261" s="16">
        <v>0</v>
      </c>
      <c r="CI261" s="16">
        <v>0</v>
      </c>
      <c r="CJ261" s="16">
        <f t="shared" si="389"/>
        <v>535184</v>
      </c>
      <c r="CK261" s="16">
        <v>0</v>
      </c>
      <c r="CL261" s="16">
        <v>535184</v>
      </c>
      <c r="CM261" s="16">
        <v>0</v>
      </c>
      <c r="CN261" s="16">
        <v>0</v>
      </c>
      <c r="CO261" s="16">
        <v>0</v>
      </c>
      <c r="CP261" s="16">
        <v>0</v>
      </c>
      <c r="CQ261" s="16">
        <v>0</v>
      </c>
      <c r="CR261" s="16">
        <f t="shared" si="348"/>
        <v>0</v>
      </c>
      <c r="CS261" s="16">
        <f t="shared" si="349"/>
        <v>0</v>
      </c>
      <c r="CT261" s="16">
        <v>0</v>
      </c>
      <c r="CU261" s="17">
        <v>0</v>
      </c>
      <c r="CV261" s="38"/>
    </row>
    <row r="262" spans="1:100" ht="31.5" x14ac:dyDescent="0.25">
      <c r="A262" s="13" t="s">
        <v>1</v>
      </c>
      <c r="B262" s="14" t="s">
        <v>1</v>
      </c>
      <c r="C262" s="14" t="s">
        <v>38</v>
      </c>
      <c r="D262" s="30" t="s">
        <v>501</v>
      </c>
      <c r="E262" s="15">
        <f t="shared" si="379"/>
        <v>705616</v>
      </c>
      <c r="F262" s="16">
        <f t="shared" si="380"/>
        <v>510616</v>
      </c>
      <c r="G262" s="16">
        <f t="shared" si="381"/>
        <v>510616</v>
      </c>
      <c r="H262" s="16">
        <v>138141</v>
      </c>
      <c r="I262" s="16">
        <v>32810</v>
      </c>
      <c r="J262" s="16">
        <f t="shared" si="342"/>
        <v>115000</v>
      </c>
      <c r="K262" s="16">
        <v>0</v>
      </c>
      <c r="L262" s="16">
        <v>0</v>
      </c>
      <c r="M262" s="16">
        <v>0</v>
      </c>
      <c r="N262" s="16">
        <v>0</v>
      </c>
      <c r="O262" s="16">
        <v>20000</v>
      </c>
      <c r="P262" s="16">
        <v>95000</v>
      </c>
      <c r="Q262" s="16">
        <f t="shared" si="343"/>
        <v>8616</v>
      </c>
      <c r="R262" s="16">
        <f>3000+5616</f>
        <v>8616</v>
      </c>
      <c r="S262" s="16">
        <v>0</v>
      </c>
      <c r="T262" s="16">
        <v>0</v>
      </c>
      <c r="U262" s="16">
        <v>25000</v>
      </c>
      <c r="V262" s="16">
        <f t="shared" si="382"/>
        <v>31049</v>
      </c>
      <c r="W262" s="16">
        <v>31049</v>
      </c>
      <c r="X262" s="16">
        <v>0</v>
      </c>
      <c r="Y262" s="16">
        <v>0</v>
      </c>
      <c r="Z262" s="16">
        <v>0</v>
      </c>
      <c r="AA262" s="16">
        <v>0</v>
      </c>
      <c r="AB262" s="16">
        <v>0</v>
      </c>
      <c r="AC262" s="16">
        <v>0</v>
      </c>
      <c r="AD262" s="16">
        <v>0</v>
      </c>
      <c r="AE262" s="16">
        <f t="shared" si="383"/>
        <v>160000</v>
      </c>
      <c r="AF262" s="16">
        <v>0</v>
      </c>
      <c r="AG262" s="16">
        <v>10000</v>
      </c>
      <c r="AH262" s="16">
        <v>80000</v>
      </c>
      <c r="AI262" s="16">
        <v>0</v>
      </c>
      <c r="AJ262" s="16">
        <v>5000</v>
      </c>
      <c r="AK262" s="16">
        <v>0</v>
      </c>
      <c r="AL262" s="16">
        <v>10000</v>
      </c>
      <c r="AM262" s="16">
        <v>15000</v>
      </c>
      <c r="AN262" s="16">
        <v>0</v>
      </c>
      <c r="AO262" s="16">
        <v>0</v>
      </c>
      <c r="AP262" s="16">
        <v>0</v>
      </c>
      <c r="AQ262" s="16">
        <v>0</v>
      </c>
      <c r="AR262" s="16">
        <v>20000</v>
      </c>
      <c r="AS262" s="16">
        <v>0</v>
      </c>
      <c r="AT262" s="16">
        <v>0</v>
      </c>
      <c r="AU262" s="16">
        <v>0</v>
      </c>
      <c r="AV262" s="16">
        <v>0</v>
      </c>
      <c r="AW262" s="16">
        <v>0</v>
      </c>
      <c r="AX262" s="16">
        <v>0</v>
      </c>
      <c r="AY262" s="16">
        <v>0</v>
      </c>
      <c r="AZ262" s="16">
        <v>20000</v>
      </c>
      <c r="BA262" s="16">
        <f t="shared" si="384"/>
        <v>0</v>
      </c>
      <c r="BB262" s="16">
        <f t="shared" si="385"/>
        <v>0</v>
      </c>
      <c r="BC262" s="16">
        <v>0</v>
      </c>
      <c r="BD262" s="16">
        <v>0</v>
      </c>
      <c r="BE262" s="16">
        <v>0</v>
      </c>
      <c r="BF262" s="16">
        <f t="shared" si="344"/>
        <v>0</v>
      </c>
      <c r="BG262" s="16">
        <v>0</v>
      </c>
      <c r="BH262" s="16">
        <v>0</v>
      </c>
      <c r="BI262" s="16">
        <v>0</v>
      </c>
      <c r="BJ262" s="16">
        <v>0</v>
      </c>
      <c r="BK262" s="16">
        <f t="shared" si="345"/>
        <v>0</v>
      </c>
      <c r="BL262" s="16">
        <v>0</v>
      </c>
      <c r="BM262" s="16">
        <f t="shared" si="346"/>
        <v>0</v>
      </c>
      <c r="BN262" s="16">
        <v>0</v>
      </c>
      <c r="BO262" s="16">
        <v>0</v>
      </c>
      <c r="BP262" s="16">
        <v>0</v>
      </c>
      <c r="BQ262" s="16">
        <v>0</v>
      </c>
      <c r="BR262" s="16">
        <v>0</v>
      </c>
      <c r="BS262" s="16">
        <v>0</v>
      </c>
      <c r="BT262" s="16">
        <v>0</v>
      </c>
      <c r="BU262" s="16">
        <v>0</v>
      </c>
      <c r="BV262" s="16">
        <v>0</v>
      </c>
      <c r="BW262" s="16">
        <v>0</v>
      </c>
      <c r="BX262" s="16">
        <v>0</v>
      </c>
      <c r="BY262" s="16">
        <f t="shared" si="386"/>
        <v>195000</v>
      </c>
      <c r="BZ262" s="16">
        <f t="shared" si="387"/>
        <v>195000</v>
      </c>
      <c r="CA262" s="16">
        <f t="shared" si="347"/>
        <v>195000</v>
      </c>
      <c r="CB262" s="16">
        <v>0</v>
      </c>
      <c r="CC262" s="16">
        <f>95000+100000</f>
        <v>195000</v>
      </c>
      <c r="CD262" s="16">
        <f t="shared" si="388"/>
        <v>0</v>
      </c>
      <c r="CE262" s="16">
        <v>0</v>
      </c>
      <c r="CF262" s="16">
        <v>0</v>
      </c>
      <c r="CG262" s="16">
        <v>0</v>
      </c>
      <c r="CH262" s="16">
        <v>0</v>
      </c>
      <c r="CI262" s="16">
        <v>0</v>
      </c>
      <c r="CJ262" s="16">
        <f t="shared" si="389"/>
        <v>0</v>
      </c>
      <c r="CK262" s="16">
        <v>0</v>
      </c>
      <c r="CL262" s="16">
        <v>0</v>
      </c>
      <c r="CM262" s="16">
        <v>0</v>
      </c>
      <c r="CN262" s="16">
        <v>0</v>
      </c>
      <c r="CO262" s="16">
        <v>0</v>
      </c>
      <c r="CP262" s="16">
        <v>0</v>
      </c>
      <c r="CQ262" s="16">
        <v>0</v>
      </c>
      <c r="CR262" s="16">
        <f t="shared" si="348"/>
        <v>0</v>
      </c>
      <c r="CS262" s="16">
        <f t="shared" si="349"/>
        <v>0</v>
      </c>
      <c r="CT262" s="16">
        <v>0</v>
      </c>
      <c r="CU262" s="17">
        <v>0</v>
      </c>
      <c r="CV262" s="38"/>
    </row>
    <row r="263" spans="1:100" ht="31.5" x14ac:dyDescent="0.25">
      <c r="A263" s="13" t="s">
        <v>1</v>
      </c>
      <c r="B263" s="14" t="s">
        <v>1</v>
      </c>
      <c r="C263" s="14" t="s">
        <v>39</v>
      </c>
      <c r="D263" s="30" t="s">
        <v>285</v>
      </c>
      <c r="E263" s="15">
        <f t="shared" si="379"/>
        <v>304647</v>
      </c>
      <c r="F263" s="16">
        <f t="shared" si="380"/>
        <v>247318</v>
      </c>
      <c r="G263" s="16">
        <f t="shared" si="381"/>
        <v>247318</v>
      </c>
      <c r="H263" s="16">
        <v>120000</v>
      </c>
      <c r="I263" s="16">
        <v>30000</v>
      </c>
      <c r="J263" s="16">
        <f t="shared" si="342"/>
        <v>43113</v>
      </c>
      <c r="K263" s="16">
        <v>0</v>
      </c>
      <c r="L263" s="16">
        <v>0</v>
      </c>
      <c r="M263" s="16">
        <v>0</v>
      </c>
      <c r="N263" s="16">
        <v>0</v>
      </c>
      <c r="O263" s="16">
        <v>37113</v>
      </c>
      <c r="P263" s="16">
        <v>6000</v>
      </c>
      <c r="Q263" s="16">
        <f t="shared" si="343"/>
        <v>1200</v>
      </c>
      <c r="R263" s="16">
        <v>1200</v>
      </c>
      <c r="S263" s="16">
        <v>0</v>
      </c>
      <c r="T263" s="16">
        <v>0</v>
      </c>
      <c r="U263" s="16">
        <v>7524</v>
      </c>
      <c r="V263" s="16">
        <f t="shared" si="382"/>
        <v>15310</v>
      </c>
      <c r="W263" s="16">
        <v>0</v>
      </c>
      <c r="X263" s="16">
        <v>0</v>
      </c>
      <c r="Y263" s="16">
        <v>0</v>
      </c>
      <c r="Z263" s="16">
        <f>9966+1730</f>
        <v>11696</v>
      </c>
      <c r="AA263" s="16">
        <v>718</v>
      </c>
      <c r="AB263" s="16">
        <v>0</v>
      </c>
      <c r="AC263" s="16">
        <v>0</v>
      </c>
      <c r="AD263" s="16">
        <f>2766+130</f>
        <v>2896</v>
      </c>
      <c r="AE263" s="16">
        <f t="shared" si="383"/>
        <v>30171</v>
      </c>
      <c r="AF263" s="16">
        <v>4000</v>
      </c>
      <c r="AG263" s="16">
        <v>7506</v>
      </c>
      <c r="AH263" s="16">
        <v>3545</v>
      </c>
      <c r="AI263" s="16">
        <v>0</v>
      </c>
      <c r="AJ263" s="16">
        <v>6364</v>
      </c>
      <c r="AK263" s="16">
        <v>0</v>
      </c>
      <c r="AL263" s="16">
        <v>1200</v>
      </c>
      <c r="AM263" s="16">
        <v>0</v>
      </c>
      <c r="AN263" s="16">
        <v>0</v>
      </c>
      <c r="AO263" s="16">
        <v>0</v>
      </c>
      <c r="AP263" s="16">
        <v>0</v>
      </c>
      <c r="AQ263" s="16">
        <v>0</v>
      </c>
      <c r="AR263" s="16">
        <v>0</v>
      </c>
      <c r="AS263" s="16">
        <v>0</v>
      </c>
      <c r="AT263" s="16">
        <v>0</v>
      </c>
      <c r="AU263" s="16">
        <v>0</v>
      </c>
      <c r="AV263" s="16">
        <v>0</v>
      </c>
      <c r="AW263" s="16">
        <v>0</v>
      </c>
      <c r="AX263" s="16">
        <v>0</v>
      </c>
      <c r="AY263" s="16">
        <v>0</v>
      </c>
      <c r="AZ263" s="16">
        <v>7556</v>
      </c>
      <c r="BA263" s="16">
        <f t="shared" si="384"/>
        <v>0</v>
      </c>
      <c r="BB263" s="16">
        <f t="shared" si="385"/>
        <v>0</v>
      </c>
      <c r="BC263" s="16">
        <v>0</v>
      </c>
      <c r="BD263" s="16">
        <v>0</v>
      </c>
      <c r="BE263" s="16">
        <v>0</v>
      </c>
      <c r="BF263" s="16">
        <f t="shared" si="344"/>
        <v>0</v>
      </c>
      <c r="BG263" s="16">
        <v>0</v>
      </c>
      <c r="BH263" s="16">
        <v>0</v>
      </c>
      <c r="BI263" s="16">
        <v>0</v>
      </c>
      <c r="BJ263" s="16">
        <v>0</v>
      </c>
      <c r="BK263" s="16">
        <f t="shared" si="345"/>
        <v>0</v>
      </c>
      <c r="BL263" s="16">
        <v>0</v>
      </c>
      <c r="BM263" s="16">
        <f t="shared" si="346"/>
        <v>0</v>
      </c>
      <c r="BN263" s="16">
        <v>0</v>
      </c>
      <c r="BO263" s="16">
        <v>0</v>
      </c>
      <c r="BP263" s="16">
        <v>0</v>
      </c>
      <c r="BQ263" s="16">
        <v>0</v>
      </c>
      <c r="BR263" s="16">
        <v>0</v>
      </c>
      <c r="BS263" s="16">
        <v>0</v>
      </c>
      <c r="BT263" s="16">
        <v>0</v>
      </c>
      <c r="BU263" s="16">
        <v>0</v>
      </c>
      <c r="BV263" s="16">
        <v>0</v>
      </c>
      <c r="BW263" s="16">
        <v>0</v>
      </c>
      <c r="BX263" s="16">
        <v>0</v>
      </c>
      <c r="BY263" s="16">
        <f t="shared" si="386"/>
        <v>57329</v>
      </c>
      <c r="BZ263" s="16">
        <f t="shared" si="387"/>
        <v>57329</v>
      </c>
      <c r="CA263" s="16">
        <f t="shared" si="347"/>
        <v>57329</v>
      </c>
      <c r="CB263" s="16">
        <v>0</v>
      </c>
      <c r="CC263" s="16">
        <f>57442-113</f>
        <v>57329</v>
      </c>
      <c r="CD263" s="16">
        <f t="shared" si="388"/>
        <v>0</v>
      </c>
      <c r="CE263" s="16">
        <v>0</v>
      </c>
      <c r="CF263" s="16">
        <v>0</v>
      </c>
      <c r="CG263" s="16">
        <v>0</v>
      </c>
      <c r="CH263" s="16">
        <v>0</v>
      </c>
      <c r="CI263" s="16">
        <v>0</v>
      </c>
      <c r="CJ263" s="16">
        <f t="shared" si="389"/>
        <v>0</v>
      </c>
      <c r="CK263" s="16">
        <v>0</v>
      </c>
      <c r="CL263" s="16">
        <v>0</v>
      </c>
      <c r="CM263" s="16">
        <v>0</v>
      </c>
      <c r="CN263" s="16">
        <v>0</v>
      </c>
      <c r="CO263" s="16">
        <v>0</v>
      </c>
      <c r="CP263" s="16">
        <v>0</v>
      </c>
      <c r="CQ263" s="16">
        <v>0</v>
      </c>
      <c r="CR263" s="16">
        <f t="shared" si="348"/>
        <v>0</v>
      </c>
      <c r="CS263" s="16">
        <f t="shared" si="349"/>
        <v>0</v>
      </c>
      <c r="CT263" s="16">
        <v>0</v>
      </c>
      <c r="CU263" s="17">
        <v>0</v>
      </c>
      <c r="CV263" s="38"/>
    </row>
    <row r="264" spans="1:100" ht="15.75" x14ac:dyDescent="0.25">
      <c r="A264" s="13" t="s">
        <v>247</v>
      </c>
      <c r="B264" s="14" t="s">
        <v>54</v>
      </c>
      <c r="C264" s="14" t="s">
        <v>1</v>
      </c>
      <c r="D264" s="30" t="s">
        <v>288</v>
      </c>
      <c r="E264" s="15">
        <f t="shared" ref="E264:AJ264" si="390">SUM(E265:E277)</f>
        <v>76733711</v>
      </c>
      <c r="F264" s="16">
        <f t="shared" si="390"/>
        <v>1346300</v>
      </c>
      <c r="G264" s="16">
        <f t="shared" si="390"/>
        <v>1346300</v>
      </c>
      <c r="H264" s="16">
        <f t="shared" si="390"/>
        <v>0</v>
      </c>
      <c r="I264" s="16">
        <f t="shared" si="390"/>
        <v>0</v>
      </c>
      <c r="J264" s="16">
        <f t="shared" si="390"/>
        <v>0</v>
      </c>
      <c r="K264" s="16">
        <f t="shared" si="390"/>
        <v>0</v>
      </c>
      <c r="L264" s="16">
        <f t="shared" si="390"/>
        <v>0</v>
      </c>
      <c r="M264" s="16">
        <f t="shared" si="390"/>
        <v>0</v>
      </c>
      <c r="N264" s="16">
        <f t="shared" si="390"/>
        <v>0</v>
      </c>
      <c r="O264" s="16">
        <f t="shared" si="390"/>
        <v>0</v>
      </c>
      <c r="P264" s="16">
        <f t="shared" si="390"/>
        <v>0</v>
      </c>
      <c r="Q264" s="16">
        <f t="shared" si="390"/>
        <v>0</v>
      </c>
      <c r="R264" s="16">
        <f t="shared" si="390"/>
        <v>0</v>
      </c>
      <c r="S264" s="16">
        <f t="shared" si="390"/>
        <v>0</v>
      </c>
      <c r="T264" s="16">
        <f t="shared" si="390"/>
        <v>0</v>
      </c>
      <c r="U264" s="16">
        <f t="shared" si="390"/>
        <v>0</v>
      </c>
      <c r="V264" s="16">
        <f t="shared" si="390"/>
        <v>0</v>
      </c>
      <c r="W264" s="16">
        <f t="shared" si="390"/>
        <v>0</v>
      </c>
      <c r="X264" s="16">
        <f t="shared" si="390"/>
        <v>0</v>
      </c>
      <c r="Y264" s="16">
        <f t="shared" si="390"/>
        <v>0</v>
      </c>
      <c r="Z264" s="16">
        <f t="shared" si="390"/>
        <v>0</v>
      </c>
      <c r="AA264" s="16">
        <f t="shared" si="390"/>
        <v>0</v>
      </c>
      <c r="AB264" s="16">
        <f t="shared" si="390"/>
        <v>0</v>
      </c>
      <c r="AC264" s="16">
        <f t="shared" si="390"/>
        <v>0</v>
      </c>
      <c r="AD264" s="16">
        <f t="shared" ref="AD264" si="391">SUM(AD265:AD277)</f>
        <v>0</v>
      </c>
      <c r="AE264" s="16">
        <f t="shared" si="390"/>
        <v>1346300</v>
      </c>
      <c r="AF264" s="16">
        <f t="shared" si="390"/>
        <v>0</v>
      </c>
      <c r="AG264" s="16">
        <f t="shared" si="390"/>
        <v>0</v>
      </c>
      <c r="AH264" s="16">
        <f t="shared" si="390"/>
        <v>0</v>
      </c>
      <c r="AI264" s="16">
        <f t="shared" si="390"/>
        <v>0</v>
      </c>
      <c r="AJ264" s="16">
        <f t="shared" si="390"/>
        <v>0</v>
      </c>
      <c r="AK264" s="16">
        <f t="shared" ref="AK264:BP264" si="392">SUM(AK265:AK277)</f>
        <v>0</v>
      </c>
      <c r="AL264" s="16">
        <f t="shared" si="392"/>
        <v>0</v>
      </c>
      <c r="AM264" s="16">
        <f t="shared" si="392"/>
        <v>0</v>
      </c>
      <c r="AN264" s="16">
        <f t="shared" si="392"/>
        <v>0</v>
      </c>
      <c r="AO264" s="16">
        <f t="shared" si="392"/>
        <v>0</v>
      </c>
      <c r="AP264" s="16">
        <f t="shared" si="392"/>
        <v>0</v>
      </c>
      <c r="AQ264" s="16">
        <f t="shared" si="392"/>
        <v>0</v>
      </c>
      <c r="AR264" s="16">
        <f t="shared" si="392"/>
        <v>0</v>
      </c>
      <c r="AS264" s="16">
        <f t="shared" si="392"/>
        <v>0</v>
      </c>
      <c r="AT264" s="16">
        <f t="shared" si="392"/>
        <v>0</v>
      </c>
      <c r="AU264" s="16">
        <f t="shared" si="392"/>
        <v>0</v>
      </c>
      <c r="AV264" s="16">
        <f t="shared" si="392"/>
        <v>0</v>
      </c>
      <c r="AW264" s="16">
        <f t="shared" si="392"/>
        <v>0</v>
      </c>
      <c r="AX264" s="16">
        <f t="shared" si="392"/>
        <v>0</v>
      </c>
      <c r="AY264" s="16">
        <f t="shared" si="392"/>
        <v>0</v>
      </c>
      <c r="AZ264" s="16">
        <f t="shared" si="392"/>
        <v>1346300</v>
      </c>
      <c r="BA264" s="16">
        <f t="shared" si="392"/>
        <v>0</v>
      </c>
      <c r="BB264" s="16">
        <f t="shared" si="392"/>
        <v>0</v>
      </c>
      <c r="BC264" s="16">
        <f t="shared" si="392"/>
        <v>0</v>
      </c>
      <c r="BD264" s="16">
        <f t="shared" si="392"/>
        <v>0</v>
      </c>
      <c r="BE264" s="16">
        <f t="shared" si="392"/>
        <v>0</v>
      </c>
      <c r="BF264" s="16">
        <f t="shared" si="392"/>
        <v>0</v>
      </c>
      <c r="BG264" s="16">
        <f t="shared" si="392"/>
        <v>0</v>
      </c>
      <c r="BH264" s="16">
        <f t="shared" si="392"/>
        <v>0</v>
      </c>
      <c r="BI264" s="16">
        <f t="shared" si="392"/>
        <v>0</v>
      </c>
      <c r="BJ264" s="16">
        <f t="shared" si="392"/>
        <v>0</v>
      </c>
      <c r="BK264" s="16">
        <f t="shared" si="392"/>
        <v>0</v>
      </c>
      <c r="BL264" s="16">
        <f t="shared" si="392"/>
        <v>0</v>
      </c>
      <c r="BM264" s="16">
        <f t="shared" si="392"/>
        <v>0</v>
      </c>
      <c r="BN264" s="16">
        <f t="shared" si="392"/>
        <v>0</v>
      </c>
      <c r="BO264" s="16">
        <f t="shared" si="392"/>
        <v>0</v>
      </c>
      <c r="BP264" s="16">
        <f t="shared" si="392"/>
        <v>0</v>
      </c>
      <c r="BQ264" s="16">
        <f t="shared" ref="BQ264:CU264" si="393">SUM(BQ265:BQ277)</f>
        <v>0</v>
      </c>
      <c r="BR264" s="16">
        <f t="shared" si="393"/>
        <v>0</v>
      </c>
      <c r="BS264" s="16">
        <f t="shared" si="393"/>
        <v>0</v>
      </c>
      <c r="BT264" s="16">
        <f t="shared" si="393"/>
        <v>0</v>
      </c>
      <c r="BU264" s="16">
        <f t="shared" si="393"/>
        <v>0</v>
      </c>
      <c r="BV264" s="16">
        <f t="shared" si="393"/>
        <v>0</v>
      </c>
      <c r="BW264" s="16">
        <f t="shared" si="393"/>
        <v>0</v>
      </c>
      <c r="BX264" s="16">
        <f t="shared" si="393"/>
        <v>0</v>
      </c>
      <c r="BY264" s="16">
        <f t="shared" si="393"/>
        <v>75387411</v>
      </c>
      <c r="BZ264" s="16">
        <f t="shared" si="393"/>
        <v>0</v>
      </c>
      <c r="CA264" s="16">
        <f t="shared" si="393"/>
        <v>0</v>
      </c>
      <c r="CB264" s="16">
        <f t="shared" si="393"/>
        <v>0</v>
      </c>
      <c r="CC264" s="16">
        <f t="shared" si="393"/>
        <v>0</v>
      </c>
      <c r="CD264" s="16">
        <f t="shared" si="393"/>
        <v>0</v>
      </c>
      <c r="CE264" s="16">
        <f t="shared" si="393"/>
        <v>0</v>
      </c>
      <c r="CF264" s="16">
        <f t="shared" si="393"/>
        <v>0</v>
      </c>
      <c r="CG264" s="16">
        <f t="shared" si="393"/>
        <v>0</v>
      </c>
      <c r="CH264" s="16">
        <f t="shared" si="393"/>
        <v>0</v>
      </c>
      <c r="CI264" s="16">
        <f t="shared" ref="CI264" si="394">SUM(CI265:CI277)</f>
        <v>0</v>
      </c>
      <c r="CJ264" s="16">
        <f t="shared" si="393"/>
        <v>0</v>
      </c>
      <c r="CK264" s="16">
        <f t="shared" si="393"/>
        <v>0</v>
      </c>
      <c r="CL264" s="16">
        <f t="shared" si="393"/>
        <v>0</v>
      </c>
      <c r="CM264" s="16">
        <f t="shared" si="393"/>
        <v>0</v>
      </c>
      <c r="CN264" s="16">
        <f t="shared" si="393"/>
        <v>0</v>
      </c>
      <c r="CO264" s="16">
        <f t="shared" si="393"/>
        <v>0</v>
      </c>
      <c r="CP264" s="16">
        <f t="shared" si="393"/>
        <v>0</v>
      </c>
      <c r="CQ264" s="16">
        <f t="shared" si="393"/>
        <v>75387411</v>
      </c>
      <c r="CR264" s="16">
        <f t="shared" si="393"/>
        <v>0</v>
      </c>
      <c r="CS264" s="16">
        <f t="shared" si="393"/>
        <v>0</v>
      </c>
      <c r="CT264" s="16">
        <f t="shared" si="393"/>
        <v>0</v>
      </c>
      <c r="CU264" s="17">
        <f t="shared" si="393"/>
        <v>0</v>
      </c>
      <c r="CV264" s="38"/>
    </row>
    <row r="265" spans="1:100" ht="31.5" x14ac:dyDescent="0.25">
      <c r="A265" s="13" t="s">
        <v>1</v>
      </c>
      <c r="B265" s="14" t="s">
        <v>1</v>
      </c>
      <c r="C265" s="14" t="s">
        <v>17</v>
      </c>
      <c r="D265" s="30" t="s">
        <v>520</v>
      </c>
      <c r="E265" s="15">
        <f t="shared" ref="E265:E277" si="395">SUM(F265+BY265+CR265)</f>
        <v>1346300</v>
      </c>
      <c r="F265" s="16">
        <f t="shared" ref="F265:F277" si="396">SUM(G265+BA265)</f>
        <v>1346300</v>
      </c>
      <c r="G265" s="16">
        <f t="shared" ref="G265:G277" si="397">SUM(H265+I265+J265+Q265+T265+U265+V265+AE265)</f>
        <v>1346300</v>
      </c>
      <c r="H265" s="16">
        <v>0</v>
      </c>
      <c r="I265" s="16">
        <v>0</v>
      </c>
      <c r="J265" s="16">
        <f>SUM(K265:P265)</f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f>SUM(R265:S265)</f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f t="shared" ref="V265:V277" si="398">SUM(W265:AD265)</f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0</v>
      </c>
      <c r="AD265" s="16">
        <v>0</v>
      </c>
      <c r="AE265" s="16">
        <f t="shared" ref="AE265:AE277" si="399">SUM(AF265:AZ265)</f>
        <v>1346300</v>
      </c>
      <c r="AF265" s="16">
        <v>0</v>
      </c>
      <c r="AG265" s="16">
        <v>0</v>
      </c>
      <c r="AH265" s="16">
        <v>0</v>
      </c>
      <c r="AI265" s="16">
        <v>0</v>
      </c>
      <c r="AJ265" s="16">
        <v>0</v>
      </c>
      <c r="AK265" s="16">
        <v>0</v>
      </c>
      <c r="AL265" s="16">
        <v>0</v>
      </c>
      <c r="AM265" s="16">
        <v>0</v>
      </c>
      <c r="AN265" s="16">
        <v>0</v>
      </c>
      <c r="AO265" s="16">
        <v>0</v>
      </c>
      <c r="AP265" s="16">
        <v>0</v>
      </c>
      <c r="AQ265" s="16">
        <v>0</v>
      </c>
      <c r="AR265" s="16">
        <v>0</v>
      </c>
      <c r="AS265" s="16">
        <v>0</v>
      </c>
      <c r="AT265" s="16">
        <v>0</v>
      </c>
      <c r="AU265" s="16">
        <v>0</v>
      </c>
      <c r="AV265" s="16">
        <v>0</v>
      </c>
      <c r="AW265" s="16">
        <v>0</v>
      </c>
      <c r="AX265" s="16">
        <v>0</v>
      </c>
      <c r="AY265" s="16">
        <v>0</v>
      </c>
      <c r="AZ265" s="16">
        <v>1346300</v>
      </c>
      <c r="BA265" s="16">
        <f t="shared" ref="BA265:BA277" si="400">SUM(BB265+BF265+BI265+BK265+BM265)</f>
        <v>0</v>
      </c>
      <c r="BB265" s="16">
        <f t="shared" ref="BB265:BB277" si="401">SUM(BC265:BE265)</f>
        <v>0</v>
      </c>
      <c r="BC265" s="16">
        <v>0</v>
      </c>
      <c r="BD265" s="16">
        <v>0</v>
      </c>
      <c r="BE265" s="16">
        <v>0</v>
      </c>
      <c r="BF265" s="16">
        <f>SUM(BG265:BH265)</f>
        <v>0</v>
      </c>
      <c r="BG265" s="16">
        <v>0</v>
      </c>
      <c r="BH265" s="16">
        <v>0</v>
      </c>
      <c r="BI265" s="16">
        <v>0</v>
      </c>
      <c r="BJ265" s="16">
        <v>0</v>
      </c>
      <c r="BK265" s="16">
        <f>SUM(BL265)</f>
        <v>0</v>
      </c>
      <c r="BL265" s="16">
        <v>0</v>
      </c>
      <c r="BM265" s="16">
        <f>SUM(BN265:BX265)</f>
        <v>0</v>
      </c>
      <c r="BN265" s="16">
        <v>0</v>
      </c>
      <c r="BO265" s="16">
        <v>0</v>
      </c>
      <c r="BP265" s="16">
        <v>0</v>
      </c>
      <c r="BQ265" s="16">
        <v>0</v>
      </c>
      <c r="BR265" s="16">
        <v>0</v>
      </c>
      <c r="BS265" s="16">
        <v>0</v>
      </c>
      <c r="BT265" s="16">
        <v>0</v>
      </c>
      <c r="BU265" s="16">
        <v>0</v>
      </c>
      <c r="BV265" s="16">
        <v>0</v>
      </c>
      <c r="BW265" s="16">
        <v>0</v>
      </c>
      <c r="BX265" s="16">
        <v>0</v>
      </c>
      <c r="BY265" s="16">
        <f t="shared" ref="BY265:BY277" si="402">SUM(BZ265+CQ265)</f>
        <v>0</v>
      </c>
      <c r="BZ265" s="16">
        <f t="shared" ref="BZ265:BZ277" si="403">SUM(CA265+CD265+CJ265)</f>
        <v>0</v>
      </c>
      <c r="CA265" s="16">
        <f>SUM(CB265:CC265)</f>
        <v>0</v>
      </c>
      <c r="CB265" s="16">
        <v>0</v>
      </c>
      <c r="CC265" s="16">
        <v>0</v>
      </c>
      <c r="CD265" s="16">
        <f t="shared" ref="CD265:CD277" si="404">SUM(CE265:CH265)</f>
        <v>0</v>
      </c>
      <c r="CE265" s="16">
        <v>0</v>
      </c>
      <c r="CF265" s="16">
        <v>0</v>
      </c>
      <c r="CG265" s="16">
        <v>0</v>
      </c>
      <c r="CH265" s="16">
        <v>0</v>
      </c>
      <c r="CI265" s="16">
        <v>0</v>
      </c>
      <c r="CJ265" s="16">
        <f t="shared" ref="CJ265:CJ277" si="405">SUM(CK265:CN265)</f>
        <v>0</v>
      </c>
      <c r="CK265" s="16">
        <v>0</v>
      </c>
      <c r="CL265" s="16">
        <v>0</v>
      </c>
      <c r="CM265" s="16">
        <v>0</v>
      </c>
      <c r="CN265" s="16">
        <v>0</v>
      </c>
      <c r="CO265" s="16">
        <v>0</v>
      </c>
      <c r="CP265" s="16">
        <v>0</v>
      </c>
      <c r="CQ265" s="16"/>
      <c r="CR265" s="16">
        <f>SUM(CS265)</f>
        <v>0</v>
      </c>
      <c r="CS265" s="16">
        <f>SUM(CT265:CU265)</f>
        <v>0</v>
      </c>
      <c r="CT265" s="16">
        <v>0</v>
      </c>
      <c r="CU265" s="17">
        <v>0</v>
      </c>
      <c r="CV265" s="38"/>
    </row>
    <row r="266" spans="1:100" ht="31.5" x14ac:dyDescent="0.25">
      <c r="A266" s="13" t="s">
        <v>1</v>
      </c>
      <c r="B266" s="14" t="s">
        <v>1</v>
      </c>
      <c r="C266" s="14" t="s">
        <v>17</v>
      </c>
      <c r="D266" s="30" t="s">
        <v>531</v>
      </c>
      <c r="E266" s="15">
        <f t="shared" si="395"/>
        <v>8027004</v>
      </c>
      <c r="F266" s="16">
        <f t="shared" si="396"/>
        <v>0</v>
      </c>
      <c r="G266" s="16">
        <f t="shared" si="397"/>
        <v>0</v>
      </c>
      <c r="H266" s="16">
        <v>0</v>
      </c>
      <c r="I266" s="16">
        <v>0</v>
      </c>
      <c r="J266" s="16">
        <f>SUM(K266:P266)</f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f>SUM(R266:S266)</f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f t="shared" si="398"/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0</v>
      </c>
      <c r="AB266" s="16">
        <v>0</v>
      </c>
      <c r="AC266" s="16">
        <v>0</v>
      </c>
      <c r="AD266" s="16">
        <v>0</v>
      </c>
      <c r="AE266" s="16">
        <f>SUM(AF266:AZ266)</f>
        <v>0</v>
      </c>
      <c r="AF266" s="16">
        <v>0</v>
      </c>
      <c r="AG266" s="16">
        <v>0</v>
      </c>
      <c r="AH266" s="16">
        <v>0</v>
      </c>
      <c r="AI266" s="16">
        <v>0</v>
      </c>
      <c r="AJ266" s="16">
        <v>0</v>
      </c>
      <c r="AK266" s="16">
        <v>0</v>
      </c>
      <c r="AL266" s="16">
        <v>0</v>
      </c>
      <c r="AM266" s="16">
        <v>0</v>
      </c>
      <c r="AN266" s="16">
        <v>0</v>
      </c>
      <c r="AO266" s="16">
        <v>0</v>
      </c>
      <c r="AP266" s="16">
        <v>0</v>
      </c>
      <c r="AQ266" s="16">
        <v>0</v>
      </c>
      <c r="AR266" s="16">
        <v>0</v>
      </c>
      <c r="AS266" s="16">
        <v>0</v>
      </c>
      <c r="AT266" s="16">
        <v>0</v>
      </c>
      <c r="AU266" s="16">
        <v>0</v>
      </c>
      <c r="AV266" s="16">
        <v>0</v>
      </c>
      <c r="AW266" s="16">
        <v>0</v>
      </c>
      <c r="AX266" s="16">
        <v>0</v>
      </c>
      <c r="AY266" s="16">
        <v>0</v>
      </c>
      <c r="AZ266" s="16">
        <v>0</v>
      </c>
      <c r="BA266" s="16">
        <f t="shared" si="400"/>
        <v>0</v>
      </c>
      <c r="BB266" s="16">
        <f t="shared" si="401"/>
        <v>0</v>
      </c>
      <c r="BC266" s="16">
        <v>0</v>
      </c>
      <c r="BD266" s="16">
        <v>0</v>
      </c>
      <c r="BE266" s="16">
        <v>0</v>
      </c>
      <c r="BF266" s="16">
        <f>SUM(BG266:BH266)</f>
        <v>0</v>
      </c>
      <c r="BG266" s="16">
        <v>0</v>
      </c>
      <c r="BH266" s="16">
        <v>0</v>
      </c>
      <c r="BI266" s="16">
        <v>0</v>
      </c>
      <c r="BJ266" s="16">
        <v>0</v>
      </c>
      <c r="BK266" s="16">
        <f>SUM(BL266)</f>
        <v>0</v>
      </c>
      <c r="BL266" s="16">
        <v>0</v>
      </c>
      <c r="BM266" s="16">
        <f>SUM(BN266:BX266)</f>
        <v>0</v>
      </c>
      <c r="BN266" s="16">
        <v>0</v>
      </c>
      <c r="BO266" s="16">
        <v>0</v>
      </c>
      <c r="BP266" s="16">
        <v>0</v>
      </c>
      <c r="BQ266" s="16">
        <v>0</v>
      </c>
      <c r="BR266" s="16">
        <v>0</v>
      </c>
      <c r="BS266" s="16">
        <v>0</v>
      </c>
      <c r="BT266" s="16">
        <v>0</v>
      </c>
      <c r="BU266" s="16">
        <v>0</v>
      </c>
      <c r="BV266" s="16">
        <v>0</v>
      </c>
      <c r="BW266" s="16">
        <v>0</v>
      </c>
      <c r="BX266" s="16">
        <v>0</v>
      </c>
      <c r="BY266" s="16">
        <f t="shared" si="402"/>
        <v>8027004</v>
      </c>
      <c r="BZ266" s="16">
        <f t="shared" si="403"/>
        <v>0</v>
      </c>
      <c r="CA266" s="16">
        <f>SUM(CB266:CC266)</f>
        <v>0</v>
      </c>
      <c r="CB266" s="16">
        <v>0</v>
      </c>
      <c r="CC266" s="16">
        <v>0</v>
      </c>
      <c r="CD266" s="16">
        <f t="shared" si="404"/>
        <v>0</v>
      </c>
      <c r="CE266" s="16">
        <v>0</v>
      </c>
      <c r="CF266" s="16">
        <v>0</v>
      </c>
      <c r="CG266" s="16">
        <v>0</v>
      </c>
      <c r="CH266" s="16">
        <v>0</v>
      </c>
      <c r="CI266" s="16">
        <v>0</v>
      </c>
      <c r="CJ266" s="16">
        <f t="shared" si="405"/>
        <v>0</v>
      </c>
      <c r="CK266" s="16">
        <v>0</v>
      </c>
      <c r="CL266" s="16">
        <v>0</v>
      </c>
      <c r="CM266" s="16">
        <v>0</v>
      </c>
      <c r="CN266" s="16">
        <v>0</v>
      </c>
      <c r="CO266" s="16">
        <v>0</v>
      </c>
      <c r="CP266" s="16">
        <v>0</v>
      </c>
      <c r="CQ266" s="16">
        <v>8027004</v>
      </c>
      <c r="CR266" s="16">
        <f>SUM(CS266)</f>
        <v>0</v>
      </c>
      <c r="CS266" s="16">
        <f>SUM(CT266:CU266)</f>
        <v>0</v>
      </c>
      <c r="CT266" s="16">
        <v>0</v>
      </c>
      <c r="CU266" s="17">
        <v>0</v>
      </c>
      <c r="CV266" s="38"/>
    </row>
    <row r="267" spans="1:100" ht="15.75" x14ac:dyDescent="0.25">
      <c r="A267" s="13" t="s">
        <v>1</v>
      </c>
      <c r="B267" s="14" t="s">
        <v>1</v>
      </c>
      <c r="C267" s="14" t="s">
        <v>19</v>
      </c>
      <c r="D267" s="30" t="s">
        <v>502</v>
      </c>
      <c r="E267" s="15">
        <f t="shared" si="395"/>
        <v>8321340</v>
      </c>
      <c r="F267" s="16">
        <f t="shared" si="396"/>
        <v>0</v>
      </c>
      <c r="G267" s="16">
        <f t="shared" si="397"/>
        <v>0</v>
      </c>
      <c r="H267" s="16">
        <v>0</v>
      </c>
      <c r="I267" s="16">
        <v>0</v>
      </c>
      <c r="J267" s="16">
        <f t="shared" si="342"/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16">
        <f t="shared" si="343"/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f t="shared" si="398"/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f t="shared" si="399"/>
        <v>0</v>
      </c>
      <c r="AF267" s="16">
        <v>0</v>
      </c>
      <c r="AG267" s="16">
        <v>0</v>
      </c>
      <c r="AH267" s="16">
        <v>0</v>
      </c>
      <c r="AI267" s="16">
        <v>0</v>
      </c>
      <c r="AJ267" s="16">
        <v>0</v>
      </c>
      <c r="AK267" s="16">
        <v>0</v>
      </c>
      <c r="AL267" s="16">
        <v>0</v>
      </c>
      <c r="AM267" s="16">
        <v>0</v>
      </c>
      <c r="AN267" s="16">
        <v>0</v>
      </c>
      <c r="AO267" s="16">
        <v>0</v>
      </c>
      <c r="AP267" s="16">
        <v>0</v>
      </c>
      <c r="AQ267" s="16">
        <v>0</v>
      </c>
      <c r="AR267" s="16">
        <v>0</v>
      </c>
      <c r="AS267" s="16">
        <v>0</v>
      </c>
      <c r="AT267" s="16">
        <v>0</v>
      </c>
      <c r="AU267" s="16">
        <v>0</v>
      </c>
      <c r="AV267" s="16">
        <v>0</v>
      </c>
      <c r="AW267" s="16">
        <v>0</v>
      </c>
      <c r="AX267" s="16">
        <v>0</v>
      </c>
      <c r="AY267" s="16">
        <v>0</v>
      </c>
      <c r="AZ267" s="16">
        <v>0</v>
      </c>
      <c r="BA267" s="16">
        <f t="shared" si="400"/>
        <v>0</v>
      </c>
      <c r="BB267" s="16">
        <f t="shared" si="401"/>
        <v>0</v>
      </c>
      <c r="BC267" s="16">
        <v>0</v>
      </c>
      <c r="BD267" s="16">
        <v>0</v>
      </c>
      <c r="BE267" s="16">
        <v>0</v>
      </c>
      <c r="BF267" s="16">
        <f t="shared" si="344"/>
        <v>0</v>
      </c>
      <c r="BG267" s="16">
        <v>0</v>
      </c>
      <c r="BH267" s="16">
        <v>0</v>
      </c>
      <c r="BI267" s="16">
        <v>0</v>
      </c>
      <c r="BJ267" s="16">
        <v>0</v>
      </c>
      <c r="BK267" s="16">
        <f t="shared" si="345"/>
        <v>0</v>
      </c>
      <c r="BL267" s="16">
        <v>0</v>
      </c>
      <c r="BM267" s="16">
        <f t="shared" si="346"/>
        <v>0</v>
      </c>
      <c r="BN267" s="16">
        <v>0</v>
      </c>
      <c r="BO267" s="16">
        <v>0</v>
      </c>
      <c r="BP267" s="16">
        <v>0</v>
      </c>
      <c r="BQ267" s="16">
        <v>0</v>
      </c>
      <c r="BR267" s="16">
        <v>0</v>
      </c>
      <c r="BS267" s="16">
        <v>0</v>
      </c>
      <c r="BT267" s="16">
        <v>0</v>
      </c>
      <c r="BU267" s="16">
        <v>0</v>
      </c>
      <c r="BV267" s="16">
        <v>0</v>
      </c>
      <c r="BW267" s="16">
        <v>0</v>
      </c>
      <c r="BX267" s="16">
        <v>0</v>
      </c>
      <c r="BY267" s="16">
        <f t="shared" si="402"/>
        <v>8321340</v>
      </c>
      <c r="BZ267" s="16">
        <f t="shared" si="403"/>
        <v>0</v>
      </c>
      <c r="CA267" s="16">
        <f t="shared" si="347"/>
        <v>0</v>
      </c>
      <c r="CB267" s="16">
        <v>0</v>
      </c>
      <c r="CC267" s="16">
        <v>0</v>
      </c>
      <c r="CD267" s="16">
        <f t="shared" si="404"/>
        <v>0</v>
      </c>
      <c r="CE267" s="16">
        <v>0</v>
      </c>
      <c r="CF267" s="16">
        <v>0</v>
      </c>
      <c r="CG267" s="16">
        <v>0</v>
      </c>
      <c r="CH267" s="16">
        <v>0</v>
      </c>
      <c r="CI267" s="16">
        <v>0</v>
      </c>
      <c r="CJ267" s="16">
        <f t="shared" si="405"/>
        <v>0</v>
      </c>
      <c r="CK267" s="16">
        <v>0</v>
      </c>
      <c r="CL267" s="16">
        <v>0</v>
      </c>
      <c r="CM267" s="16">
        <v>0</v>
      </c>
      <c r="CN267" s="16">
        <v>0</v>
      </c>
      <c r="CO267" s="16">
        <v>0</v>
      </c>
      <c r="CP267" s="16">
        <v>0</v>
      </c>
      <c r="CQ267" s="16">
        <v>8321340</v>
      </c>
      <c r="CR267" s="16">
        <f t="shared" si="348"/>
        <v>0</v>
      </c>
      <c r="CS267" s="16">
        <f t="shared" si="349"/>
        <v>0</v>
      </c>
      <c r="CT267" s="16">
        <v>0</v>
      </c>
      <c r="CU267" s="17">
        <v>0</v>
      </c>
      <c r="CV267" s="38"/>
    </row>
    <row r="268" spans="1:100" ht="15.75" x14ac:dyDescent="0.25">
      <c r="A268" s="13" t="s">
        <v>1</v>
      </c>
      <c r="B268" s="14" t="s">
        <v>1</v>
      </c>
      <c r="C268" s="14" t="s">
        <v>21</v>
      </c>
      <c r="D268" s="30" t="s">
        <v>292</v>
      </c>
      <c r="E268" s="15">
        <f t="shared" si="395"/>
        <v>5636486</v>
      </c>
      <c r="F268" s="16">
        <f t="shared" si="396"/>
        <v>0</v>
      </c>
      <c r="G268" s="16">
        <f t="shared" si="397"/>
        <v>0</v>
      </c>
      <c r="H268" s="16">
        <v>0</v>
      </c>
      <c r="I268" s="16">
        <v>0</v>
      </c>
      <c r="J268" s="16">
        <f>SUM(K268:P268)</f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16">
        <f>SUM(R268:S268)</f>
        <v>0</v>
      </c>
      <c r="R268" s="16">
        <v>0</v>
      </c>
      <c r="S268" s="16">
        <v>0</v>
      </c>
      <c r="T268" s="16">
        <v>0</v>
      </c>
      <c r="U268" s="16">
        <v>0</v>
      </c>
      <c r="V268" s="16">
        <f t="shared" si="398"/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0</v>
      </c>
      <c r="AC268" s="16">
        <v>0</v>
      </c>
      <c r="AD268" s="16">
        <v>0</v>
      </c>
      <c r="AE268" s="16">
        <f>SUM(AF268:AZ268)</f>
        <v>0</v>
      </c>
      <c r="AF268" s="16">
        <v>0</v>
      </c>
      <c r="AG268" s="16">
        <v>0</v>
      </c>
      <c r="AH268" s="16">
        <v>0</v>
      </c>
      <c r="AI268" s="16">
        <v>0</v>
      </c>
      <c r="AJ268" s="16">
        <v>0</v>
      </c>
      <c r="AK268" s="16">
        <v>0</v>
      </c>
      <c r="AL268" s="16">
        <v>0</v>
      </c>
      <c r="AM268" s="16">
        <v>0</v>
      </c>
      <c r="AN268" s="16">
        <v>0</v>
      </c>
      <c r="AO268" s="16">
        <v>0</v>
      </c>
      <c r="AP268" s="16">
        <v>0</v>
      </c>
      <c r="AQ268" s="16">
        <v>0</v>
      </c>
      <c r="AR268" s="16">
        <v>0</v>
      </c>
      <c r="AS268" s="16">
        <v>0</v>
      </c>
      <c r="AT268" s="16">
        <v>0</v>
      </c>
      <c r="AU268" s="16">
        <v>0</v>
      </c>
      <c r="AV268" s="16">
        <v>0</v>
      </c>
      <c r="AW268" s="16">
        <v>0</v>
      </c>
      <c r="AX268" s="16">
        <v>0</v>
      </c>
      <c r="AY268" s="16">
        <v>0</v>
      </c>
      <c r="AZ268" s="16">
        <v>0</v>
      </c>
      <c r="BA268" s="16">
        <f t="shared" si="400"/>
        <v>0</v>
      </c>
      <c r="BB268" s="16">
        <f t="shared" si="401"/>
        <v>0</v>
      </c>
      <c r="BC268" s="16">
        <v>0</v>
      </c>
      <c r="BD268" s="16">
        <v>0</v>
      </c>
      <c r="BE268" s="16">
        <v>0</v>
      </c>
      <c r="BF268" s="16">
        <f>SUM(BG268:BH268)</f>
        <v>0</v>
      </c>
      <c r="BG268" s="16">
        <v>0</v>
      </c>
      <c r="BH268" s="16">
        <v>0</v>
      </c>
      <c r="BI268" s="16">
        <v>0</v>
      </c>
      <c r="BJ268" s="16">
        <v>0</v>
      </c>
      <c r="BK268" s="16">
        <f>SUM(BL268)</f>
        <v>0</v>
      </c>
      <c r="BL268" s="16">
        <v>0</v>
      </c>
      <c r="BM268" s="16">
        <f>SUM(BN268:BX268)</f>
        <v>0</v>
      </c>
      <c r="BN268" s="16">
        <v>0</v>
      </c>
      <c r="BO268" s="16">
        <v>0</v>
      </c>
      <c r="BP268" s="16">
        <v>0</v>
      </c>
      <c r="BQ268" s="16">
        <v>0</v>
      </c>
      <c r="BR268" s="16">
        <v>0</v>
      </c>
      <c r="BS268" s="16">
        <v>0</v>
      </c>
      <c r="BT268" s="16">
        <v>0</v>
      </c>
      <c r="BU268" s="16">
        <v>0</v>
      </c>
      <c r="BV268" s="16">
        <v>0</v>
      </c>
      <c r="BW268" s="16">
        <v>0</v>
      </c>
      <c r="BX268" s="16">
        <v>0</v>
      </c>
      <c r="BY268" s="16">
        <f t="shared" si="402"/>
        <v>5636486</v>
      </c>
      <c r="BZ268" s="16">
        <f t="shared" si="403"/>
        <v>0</v>
      </c>
      <c r="CA268" s="16">
        <f>SUM(CB268:CC268)</f>
        <v>0</v>
      </c>
      <c r="CB268" s="16">
        <v>0</v>
      </c>
      <c r="CC268" s="16">
        <v>0</v>
      </c>
      <c r="CD268" s="16">
        <f t="shared" si="404"/>
        <v>0</v>
      </c>
      <c r="CE268" s="16">
        <v>0</v>
      </c>
      <c r="CF268" s="16">
        <v>0</v>
      </c>
      <c r="CG268" s="16">
        <v>0</v>
      </c>
      <c r="CH268" s="16">
        <v>0</v>
      </c>
      <c r="CI268" s="16">
        <v>0</v>
      </c>
      <c r="CJ268" s="16">
        <f t="shared" si="405"/>
        <v>0</v>
      </c>
      <c r="CK268" s="16">
        <v>0</v>
      </c>
      <c r="CL268" s="16">
        <v>0</v>
      </c>
      <c r="CM268" s="16">
        <v>0</v>
      </c>
      <c r="CN268" s="16">
        <v>0</v>
      </c>
      <c r="CO268" s="16">
        <v>0</v>
      </c>
      <c r="CP268" s="16">
        <v>0</v>
      </c>
      <c r="CQ268" s="16">
        <f>9289352-3652866</f>
        <v>5636486</v>
      </c>
      <c r="CR268" s="16">
        <f>SUM(CS268)</f>
        <v>0</v>
      </c>
      <c r="CS268" s="16">
        <f>SUM(CT268:CU268)</f>
        <v>0</v>
      </c>
      <c r="CT268" s="16">
        <v>0</v>
      </c>
      <c r="CU268" s="17">
        <v>0</v>
      </c>
      <c r="CV268" s="38"/>
    </row>
    <row r="269" spans="1:100" ht="15.75" x14ac:dyDescent="0.25">
      <c r="A269" s="13" t="s">
        <v>1</v>
      </c>
      <c r="B269" s="14" t="s">
        <v>1</v>
      </c>
      <c r="C269" s="14" t="s">
        <v>21</v>
      </c>
      <c r="D269" s="30" t="s">
        <v>291</v>
      </c>
      <c r="E269" s="15">
        <f t="shared" si="395"/>
        <v>14871466</v>
      </c>
      <c r="F269" s="16">
        <f t="shared" si="396"/>
        <v>0</v>
      </c>
      <c r="G269" s="16">
        <f t="shared" si="397"/>
        <v>0</v>
      </c>
      <c r="H269" s="16">
        <v>0</v>
      </c>
      <c r="I269" s="16">
        <v>0</v>
      </c>
      <c r="J269" s="16">
        <f>SUM(K269:P269)</f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16">
        <f>SUM(R269:S269)</f>
        <v>0</v>
      </c>
      <c r="R269" s="16">
        <v>0</v>
      </c>
      <c r="S269" s="16">
        <v>0</v>
      </c>
      <c r="T269" s="16">
        <v>0</v>
      </c>
      <c r="U269" s="16">
        <v>0</v>
      </c>
      <c r="V269" s="16">
        <f t="shared" si="398"/>
        <v>0</v>
      </c>
      <c r="W269" s="16">
        <v>0</v>
      </c>
      <c r="X269" s="16">
        <v>0</v>
      </c>
      <c r="Y269" s="16">
        <v>0</v>
      </c>
      <c r="Z269" s="16">
        <v>0</v>
      </c>
      <c r="AA269" s="16">
        <v>0</v>
      </c>
      <c r="AB269" s="16">
        <v>0</v>
      </c>
      <c r="AC269" s="16">
        <v>0</v>
      </c>
      <c r="AD269" s="16">
        <v>0</v>
      </c>
      <c r="AE269" s="16">
        <f>SUM(AF269:AZ269)</f>
        <v>0</v>
      </c>
      <c r="AF269" s="16">
        <v>0</v>
      </c>
      <c r="AG269" s="16">
        <v>0</v>
      </c>
      <c r="AH269" s="16">
        <v>0</v>
      </c>
      <c r="AI269" s="16">
        <v>0</v>
      </c>
      <c r="AJ269" s="16">
        <v>0</v>
      </c>
      <c r="AK269" s="16">
        <v>0</v>
      </c>
      <c r="AL269" s="16">
        <v>0</v>
      </c>
      <c r="AM269" s="16">
        <v>0</v>
      </c>
      <c r="AN269" s="16">
        <v>0</v>
      </c>
      <c r="AO269" s="16">
        <v>0</v>
      </c>
      <c r="AP269" s="16">
        <v>0</v>
      </c>
      <c r="AQ269" s="16">
        <v>0</v>
      </c>
      <c r="AR269" s="16">
        <v>0</v>
      </c>
      <c r="AS269" s="16">
        <v>0</v>
      </c>
      <c r="AT269" s="16">
        <v>0</v>
      </c>
      <c r="AU269" s="16">
        <v>0</v>
      </c>
      <c r="AV269" s="16">
        <v>0</v>
      </c>
      <c r="AW269" s="16">
        <v>0</v>
      </c>
      <c r="AX269" s="16">
        <v>0</v>
      </c>
      <c r="AY269" s="16">
        <v>0</v>
      </c>
      <c r="AZ269" s="16">
        <v>0</v>
      </c>
      <c r="BA269" s="16">
        <f t="shared" si="400"/>
        <v>0</v>
      </c>
      <c r="BB269" s="16">
        <f t="shared" si="401"/>
        <v>0</v>
      </c>
      <c r="BC269" s="16">
        <v>0</v>
      </c>
      <c r="BD269" s="16">
        <v>0</v>
      </c>
      <c r="BE269" s="16">
        <v>0</v>
      </c>
      <c r="BF269" s="16">
        <f>SUM(BG269:BH269)</f>
        <v>0</v>
      </c>
      <c r="BG269" s="16">
        <v>0</v>
      </c>
      <c r="BH269" s="16">
        <v>0</v>
      </c>
      <c r="BI269" s="16">
        <v>0</v>
      </c>
      <c r="BJ269" s="16">
        <v>0</v>
      </c>
      <c r="BK269" s="16">
        <f>SUM(BL269)</f>
        <v>0</v>
      </c>
      <c r="BL269" s="16">
        <v>0</v>
      </c>
      <c r="BM269" s="16">
        <f>SUM(BN269:BX269)</f>
        <v>0</v>
      </c>
      <c r="BN269" s="16">
        <v>0</v>
      </c>
      <c r="BO269" s="16">
        <v>0</v>
      </c>
      <c r="BP269" s="16">
        <v>0</v>
      </c>
      <c r="BQ269" s="16">
        <v>0</v>
      </c>
      <c r="BR269" s="16">
        <v>0</v>
      </c>
      <c r="BS269" s="16">
        <v>0</v>
      </c>
      <c r="BT269" s="16">
        <v>0</v>
      </c>
      <c r="BU269" s="16">
        <v>0</v>
      </c>
      <c r="BV269" s="16">
        <v>0</v>
      </c>
      <c r="BW269" s="16">
        <v>0</v>
      </c>
      <c r="BX269" s="16">
        <v>0</v>
      </c>
      <c r="BY269" s="16">
        <f t="shared" si="402"/>
        <v>14871466</v>
      </c>
      <c r="BZ269" s="16">
        <f t="shared" si="403"/>
        <v>0</v>
      </c>
      <c r="CA269" s="16">
        <f>SUM(CB269:CC269)</f>
        <v>0</v>
      </c>
      <c r="CB269" s="16">
        <v>0</v>
      </c>
      <c r="CC269" s="16">
        <v>0</v>
      </c>
      <c r="CD269" s="16">
        <f t="shared" si="404"/>
        <v>0</v>
      </c>
      <c r="CE269" s="16">
        <v>0</v>
      </c>
      <c r="CF269" s="16">
        <v>0</v>
      </c>
      <c r="CG269" s="16">
        <v>0</v>
      </c>
      <c r="CH269" s="16">
        <v>0</v>
      </c>
      <c r="CI269" s="16">
        <v>0</v>
      </c>
      <c r="CJ269" s="16">
        <f t="shared" si="405"/>
        <v>0</v>
      </c>
      <c r="CK269" s="16">
        <v>0</v>
      </c>
      <c r="CL269" s="16">
        <v>0</v>
      </c>
      <c r="CM269" s="16">
        <v>0</v>
      </c>
      <c r="CN269" s="16">
        <v>0</v>
      </c>
      <c r="CO269" s="16">
        <v>0</v>
      </c>
      <c r="CP269" s="16">
        <v>0</v>
      </c>
      <c r="CQ269" s="16">
        <v>14871466</v>
      </c>
      <c r="CR269" s="16">
        <f>SUM(CS269)</f>
        <v>0</v>
      </c>
      <c r="CS269" s="16">
        <f>SUM(CT269:CU269)</f>
        <v>0</v>
      </c>
      <c r="CT269" s="16">
        <v>0</v>
      </c>
      <c r="CU269" s="17">
        <v>0</v>
      </c>
      <c r="CV269" s="38"/>
    </row>
    <row r="270" spans="1:100" ht="31.5" x14ac:dyDescent="0.25">
      <c r="A270" s="13" t="s">
        <v>1</v>
      </c>
      <c r="B270" s="14" t="s">
        <v>1</v>
      </c>
      <c r="C270" s="14" t="s">
        <v>21</v>
      </c>
      <c r="D270" s="30" t="s">
        <v>290</v>
      </c>
      <c r="E270" s="15">
        <f t="shared" si="395"/>
        <v>4968407</v>
      </c>
      <c r="F270" s="16">
        <f t="shared" si="396"/>
        <v>0</v>
      </c>
      <c r="G270" s="16">
        <f t="shared" si="397"/>
        <v>0</v>
      </c>
      <c r="H270" s="16">
        <v>0</v>
      </c>
      <c r="I270" s="16">
        <v>0</v>
      </c>
      <c r="J270" s="16">
        <f>SUM(K270:P270)</f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16">
        <f>SUM(R270:S270)</f>
        <v>0</v>
      </c>
      <c r="R270" s="16">
        <v>0</v>
      </c>
      <c r="S270" s="16">
        <v>0</v>
      </c>
      <c r="T270" s="16">
        <v>0</v>
      </c>
      <c r="U270" s="16">
        <v>0</v>
      </c>
      <c r="V270" s="16">
        <f t="shared" si="398"/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16">
        <v>0</v>
      </c>
      <c r="AE270" s="16">
        <f>SUM(AF270:AZ270)</f>
        <v>0</v>
      </c>
      <c r="AF270" s="16">
        <v>0</v>
      </c>
      <c r="AG270" s="16">
        <v>0</v>
      </c>
      <c r="AH270" s="16">
        <v>0</v>
      </c>
      <c r="AI270" s="16">
        <v>0</v>
      </c>
      <c r="AJ270" s="16">
        <v>0</v>
      </c>
      <c r="AK270" s="16">
        <v>0</v>
      </c>
      <c r="AL270" s="16">
        <v>0</v>
      </c>
      <c r="AM270" s="16">
        <v>0</v>
      </c>
      <c r="AN270" s="16">
        <v>0</v>
      </c>
      <c r="AO270" s="16">
        <v>0</v>
      </c>
      <c r="AP270" s="16">
        <v>0</v>
      </c>
      <c r="AQ270" s="16">
        <v>0</v>
      </c>
      <c r="AR270" s="16">
        <v>0</v>
      </c>
      <c r="AS270" s="16">
        <v>0</v>
      </c>
      <c r="AT270" s="16">
        <v>0</v>
      </c>
      <c r="AU270" s="16">
        <v>0</v>
      </c>
      <c r="AV270" s="16">
        <v>0</v>
      </c>
      <c r="AW270" s="16">
        <v>0</v>
      </c>
      <c r="AX270" s="16">
        <v>0</v>
      </c>
      <c r="AY270" s="16">
        <v>0</v>
      </c>
      <c r="AZ270" s="16">
        <v>0</v>
      </c>
      <c r="BA270" s="16">
        <f t="shared" si="400"/>
        <v>0</v>
      </c>
      <c r="BB270" s="16">
        <f t="shared" si="401"/>
        <v>0</v>
      </c>
      <c r="BC270" s="16">
        <v>0</v>
      </c>
      <c r="BD270" s="16">
        <v>0</v>
      </c>
      <c r="BE270" s="16">
        <v>0</v>
      </c>
      <c r="BF270" s="16">
        <f>SUM(BG270:BH270)</f>
        <v>0</v>
      </c>
      <c r="BG270" s="16">
        <v>0</v>
      </c>
      <c r="BH270" s="16">
        <v>0</v>
      </c>
      <c r="BI270" s="16">
        <v>0</v>
      </c>
      <c r="BJ270" s="16">
        <v>0</v>
      </c>
      <c r="BK270" s="16">
        <f>SUM(BL270)</f>
        <v>0</v>
      </c>
      <c r="BL270" s="16">
        <v>0</v>
      </c>
      <c r="BM270" s="16">
        <f>SUM(BN270:BX270)</f>
        <v>0</v>
      </c>
      <c r="BN270" s="16">
        <v>0</v>
      </c>
      <c r="BO270" s="16">
        <v>0</v>
      </c>
      <c r="BP270" s="16">
        <v>0</v>
      </c>
      <c r="BQ270" s="16">
        <v>0</v>
      </c>
      <c r="BR270" s="16">
        <v>0</v>
      </c>
      <c r="BS270" s="16">
        <v>0</v>
      </c>
      <c r="BT270" s="16">
        <v>0</v>
      </c>
      <c r="BU270" s="16">
        <v>0</v>
      </c>
      <c r="BV270" s="16">
        <v>0</v>
      </c>
      <c r="BW270" s="16">
        <v>0</v>
      </c>
      <c r="BX270" s="16">
        <v>0</v>
      </c>
      <c r="BY270" s="16">
        <f t="shared" si="402"/>
        <v>4968407</v>
      </c>
      <c r="BZ270" s="16">
        <f t="shared" si="403"/>
        <v>0</v>
      </c>
      <c r="CA270" s="16">
        <f>SUM(CB270:CC270)</f>
        <v>0</v>
      </c>
      <c r="CB270" s="16">
        <v>0</v>
      </c>
      <c r="CC270" s="16">
        <v>0</v>
      </c>
      <c r="CD270" s="16">
        <f t="shared" si="404"/>
        <v>0</v>
      </c>
      <c r="CE270" s="16">
        <v>0</v>
      </c>
      <c r="CF270" s="16">
        <v>0</v>
      </c>
      <c r="CG270" s="16">
        <v>0</v>
      </c>
      <c r="CH270" s="16">
        <v>0</v>
      </c>
      <c r="CI270" s="16">
        <v>0</v>
      </c>
      <c r="CJ270" s="16">
        <f t="shared" si="405"/>
        <v>0</v>
      </c>
      <c r="CK270" s="16">
        <v>0</v>
      </c>
      <c r="CL270" s="16">
        <v>0</v>
      </c>
      <c r="CM270" s="16">
        <v>0</v>
      </c>
      <c r="CN270" s="16">
        <v>0</v>
      </c>
      <c r="CO270" s="16">
        <v>0</v>
      </c>
      <c r="CP270" s="16">
        <v>0</v>
      </c>
      <c r="CQ270" s="16">
        <v>4968407</v>
      </c>
      <c r="CR270" s="16">
        <f>SUM(CS270)</f>
        <v>0</v>
      </c>
      <c r="CS270" s="16">
        <f>SUM(CT270:CU270)</f>
        <v>0</v>
      </c>
      <c r="CT270" s="16">
        <v>0</v>
      </c>
      <c r="CU270" s="17">
        <v>0</v>
      </c>
      <c r="CV270" s="38"/>
    </row>
    <row r="271" spans="1:100" ht="15.75" x14ac:dyDescent="0.25">
      <c r="A271" s="13" t="s">
        <v>1</v>
      </c>
      <c r="B271" s="14" t="s">
        <v>1</v>
      </c>
      <c r="C271" s="14" t="s">
        <v>21</v>
      </c>
      <c r="D271" s="30" t="s">
        <v>289</v>
      </c>
      <c r="E271" s="15">
        <f t="shared" si="395"/>
        <v>8619813</v>
      </c>
      <c r="F271" s="16">
        <f t="shared" si="396"/>
        <v>0</v>
      </c>
      <c r="G271" s="16">
        <f t="shared" si="397"/>
        <v>0</v>
      </c>
      <c r="H271" s="16">
        <v>0</v>
      </c>
      <c r="I271" s="16">
        <v>0</v>
      </c>
      <c r="J271" s="16">
        <f t="shared" si="342"/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f t="shared" si="343"/>
        <v>0</v>
      </c>
      <c r="R271" s="16">
        <v>0</v>
      </c>
      <c r="S271" s="16">
        <v>0</v>
      </c>
      <c r="T271" s="16">
        <v>0</v>
      </c>
      <c r="U271" s="16">
        <v>0</v>
      </c>
      <c r="V271" s="16">
        <f t="shared" si="398"/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f t="shared" si="399"/>
        <v>0</v>
      </c>
      <c r="AF271" s="16">
        <v>0</v>
      </c>
      <c r="AG271" s="16">
        <v>0</v>
      </c>
      <c r="AH271" s="16">
        <v>0</v>
      </c>
      <c r="AI271" s="16">
        <v>0</v>
      </c>
      <c r="AJ271" s="16">
        <v>0</v>
      </c>
      <c r="AK271" s="16">
        <v>0</v>
      </c>
      <c r="AL271" s="16">
        <v>0</v>
      </c>
      <c r="AM271" s="16">
        <v>0</v>
      </c>
      <c r="AN271" s="16">
        <v>0</v>
      </c>
      <c r="AO271" s="16">
        <v>0</v>
      </c>
      <c r="AP271" s="16">
        <v>0</v>
      </c>
      <c r="AQ271" s="16">
        <v>0</v>
      </c>
      <c r="AR271" s="16">
        <v>0</v>
      </c>
      <c r="AS271" s="16">
        <v>0</v>
      </c>
      <c r="AT271" s="16">
        <v>0</v>
      </c>
      <c r="AU271" s="16">
        <v>0</v>
      </c>
      <c r="AV271" s="16">
        <v>0</v>
      </c>
      <c r="AW271" s="16">
        <v>0</v>
      </c>
      <c r="AX271" s="16">
        <v>0</v>
      </c>
      <c r="AY271" s="16">
        <v>0</v>
      </c>
      <c r="AZ271" s="16">
        <v>0</v>
      </c>
      <c r="BA271" s="16">
        <f t="shared" si="400"/>
        <v>0</v>
      </c>
      <c r="BB271" s="16">
        <f t="shared" si="401"/>
        <v>0</v>
      </c>
      <c r="BC271" s="16">
        <v>0</v>
      </c>
      <c r="BD271" s="16">
        <v>0</v>
      </c>
      <c r="BE271" s="16">
        <v>0</v>
      </c>
      <c r="BF271" s="16">
        <f t="shared" si="344"/>
        <v>0</v>
      </c>
      <c r="BG271" s="16">
        <v>0</v>
      </c>
      <c r="BH271" s="16">
        <v>0</v>
      </c>
      <c r="BI271" s="16">
        <v>0</v>
      </c>
      <c r="BJ271" s="16">
        <v>0</v>
      </c>
      <c r="BK271" s="16">
        <f t="shared" si="345"/>
        <v>0</v>
      </c>
      <c r="BL271" s="16">
        <v>0</v>
      </c>
      <c r="BM271" s="16">
        <f t="shared" si="346"/>
        <v>0</v>
      </c>
      <c r="BN271" s="16">
        <v>0</v>
      </c>
      <c r="BO271" s="16">
        <v>0</v>
      </c>
      <c r="BP271" s="16">
        <v>0</v>
      </c>
      <c r="BQ271" s="16">
        <v>0</v>
      </c>
      <c r="BR271" s="16">
        <v>0</v>
      </c>
      <c r="BS271" s="16">
        <v>0</v>
      </c>
      <c r="BT271" s="16">
        <v>0</v>
      </c>
      <c r="BU271" s="16">
        <v>0</v>
      </c>
      <c r="BV271" s="16">
        <v>0</v>
      </c>
      <c r="BW271" s="16">
        <v>0</v>
      </c>
      <c r="BX271" s="16">
        <v>0</v>
      </c>
      <c r="BY271" s="16">
        <f t="shared" si="402"/>
        <v>8619813</v>
      </c>
      <c r="BZ271" s="16">
        <f t="shared" si="403"/>
        <v>0</v>
      </c>
      <c r="CA271" s="16">
        <f t="shared" si="347"/>
        <v>0</v>
      </c>
      <c r="CB271" s="16">
        <v>0</v>
      </c>
      <c r="CC271" s="16">
        <v>0</v>
      </c>
      <c r="CD271" s="16">
        <f t="shared" si="404"/>
        <v>0</v>
      </c>
      <c r="CE271" s="16">
        <v>0</v>
      </c>
      <c r="CF271" s="16">
        <v>0</v>
      </c>
      <c r="CG271" s="16">
        <v>0</v>
      </c>
      <c r="CH271" s="16">
        <v>0</v>
      </c>
      <c r="CI271" s="16">
        <v>0</v>
      </c>
      <c r="CJ271" s="16">
        <f t="shared" si="405"/>
        <v>0</v>
      </c>
      <c r="CK271" s="16">
        <v>0</v>
      </c>
      <c r="CL271" s="16">
        <v>0</v>
      </c>
      <c r="CM271" s="16">
        <v>0</v>
      </c>
      <c r="CN271" s="16">
        <v>0</v>
      </c>
      <c r="CO271" s="16">
        <v>0</v>
      </c>
      <c r="CP271" s="16">
        <v>0</v>
      </c>
      <c r="CQ271" s="16">
        <f>12619813-4000000</f>
        <v>8619813</v>
      </c>
      <c r="CR271" s="16">
        <f t="shared" si="348"/>
        <v>0</v>
      </c>
      <c r="CS271" s="16">
        <f t="shared" si="349"/>
        <v>0</v>
      </c>
      <c r="CT271" s="16">
        <v>0</v>
      </c>
      <c r="CU271" s="17">
        <v>0</v>
      </c>
      <c r="CV271" s="38"/>
    </row>
    <row r="272" spans="1:100" ht="15.75" x14ac:dyDescent="0.25">
      <c r="A272" s="13" t="s">
        <v>1</v>
      </c>
      <c r="B272" s="14" t="s">
        <v>1</v>
      </c>
      <c r="C272" s="14" t="s">
        <v>23</v>
      </c>
      <c r="D272" s="30" t="s">
        <v>293</v>
      </c>
      <c r="E272" s="15">
        <f t="shared" si="395"/>
        <v>344000</v>
      </c>
      <c r="F272" s="16">
        <f t="shared" si="396"/>
        <v>0</v>
      </c>
      <c r="G272" s="16">
        <f t="shared" si="397"/>
        <v>0</v>
      </c>
      <c r="H272" s="16">
        <v>0</v>
      </c>
      <c r="I272" s="16">
        <v>0</v>
      </c>
      <c r="J272" s="16">
        <f t="shared" si="342"/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16">
        <f t="shared" si="343"/>
        <v>0</v>
      </c>
      <c r="R272" s="16">
        <v>0</v>
      </c>
      <c r="S272" s="16">
        <v>0</v>
      </c>
      <c r="T272" s="16">
        <v>0</v>
      </c>
      <c r="U272" s="16">
        <v>0</v>
      </c>
      <c r="V272" s="16">
        <f t="shared" si="398"/>
        <v>0</v>
      </c>
      <c r="W272" s="16">
        <v>0</v>
      </c>
      <c r="X272" s="16">
        <v>0</v>
      </c>
      <c r="Y272" s="16">
        <v>0</v>
      </c>
      <c r="Z272" s="16">
        <v>0</v>
      </c>
      <c r="AA272" s="16">
        <v>0</v>
      </c>
      <c r="AB272" s="16">
        <v>0</v>
      </c>
      <c r="AC272" s="16">
        <v>0</v>
      </c>
      <c r="AD272" s="16">
        <v>0</v>
      </c>
      <c r="AE272" s="16">
        <f t="shared" si="399"/>
        <v>0</v>
      </c>
      <c r="AF272" s="16">
        <v>0</v>
      </c>
      <c r="AG272" s="16">
        <v>0</v>
      </c>
      <c r="AH272" s="16">
        <v>0</v>
      </c>
      <c r="AI272" s="16">
        <v>0</v>
      </c>
      <c r="AJ272" s="16">
        <v>0</v>
      </c>
      <c r="AK272" s="16">
        <v>0</v>
      </c>
      <c r="AL272" s="16">
        <v>0</v>
      </c>
      <c r="AM272" s="16">
        <v>0</v>
      </c>
      <c r="AN272" s="16">
        <v>0</v>
      </c>
      <c r="AO272" s="16">
        <v>0</v>
      </c>
      <c r="AP272" s="16">
        <v>0</v>
      </c>
      <c r="AQ272" s="16">
        <v>0</v>
      </c>
      <c r="AR272" s="16">
        <v>0</v>
      </c>
      <c r="AS272" s="16">
        <v>0</v>
      </c>
      <c r="AT272" s="16">
        <v>0</v>
      </c>
      <c r="AU272" s="16">
        <v>0</v>
      </c>
      <c r="AV272" s="16">
        <v>0</v>
      </c>
      <c r="AW272" s="16">
        <v>0</v>
      </c>
      <c r="AX272" s="16">
        <v>0</v>
      </c>
      <c r="AY272" s="16">
        <v>0</v>
      </c>
      <c r="AZ272" s="16">
        <v>0</v>
      </c>
      <c r="BA272" s="16">
        <f t="shared" si="400"/>
        <v>0</v>
      </c>
      <c r="BB272" s="16">
        <f t="shared" si="401"/>
        <v>0</v>
      </c>
      <c r="BC272" s="16">
        <v>0</v>
      </c>
      <c r="BD272" s="16">
        <v>0</v>
      </c>
      <c r="BE272" s="16">
        <v>0</v>
      </c>
      <c r="BF272" s="16">
        <f t="shared" si="344"/>
        <v>0</v>
      </c>
      <c r="BG272" s="16">
        <v>0</v>
      </c>
      <c r="BH272" s="16">
        <v>0</v>
      </c>
      <c r="BI272" s="16">
        <v>0</v>
      </c>
      <c r="BJ272" s="16">
        <v>0</v>
      </c>
      <c r="BK272" s="16">
        <f t="shared" si="345"/>
        <v>0</v>
      </c>
      <c r="BL272" s="16">
        <v>0</v>
      </c>
      <c r="BM272" s="16">
        <f t="shared" si="346"/>
        <v>0</v>
      </c>
      <c r="BN272" s="16">
        <v>0</v>
      </c>
      <c r="BO272" s="16">
        <v>0</v>
      </c>
      <c r="BP272" s="16">
        <v>0</v>
      </c>
      <c r="BQ272" s="16">
        <v>0</v>
      </c>
      <c r="BR272" s="16">
        <v>0</v>
      </c>
      <c r="BS272" s="16">
        <v>0</v>
      </c>
      <c r="BT272" s="16">
        <v>0</v>
      </c>
      <c r="BU272" s="16">
        <v>0</v>
      </c>
      <c r="BV272" s="16">
        <v>0</v>
      </c>
      <c r="BW272" s="16">
        <v>0</v>
      </c>
      <c r="BX272" s="16">
        <v>0</v>
      </c>
      <c r="BY272" s="16">
        <f t="shared" si="402"/>
        <v>344000</v>
      </c>
      <c r="BZ272" s="16">
        <f t="shared" si="403"/>
        <v>0</v>
      </c>
      <c r="CA272" s="16">
        <f t="shared" si="347"/>
        <v>0</v>
      </c>
      <c r="CB272" s="16">
        <v>0</v>
      </c>
      <c r="CC272" s="16">
        <v>0</v>
      </c>
      <c r="CD272" s="16">
        <f t="shared" si="404"/>
        <v>0</v>
      </c>
      <c r="CE272" s="16">
        <v>0</v>
      </c>
      <c r="CF272" s="16">
        <v>0</v>
      </c>
      <c r="CG272" s="16">
        <v>0</v>
      </c>
      <c r="CH272" s="16">
        <v>0</v>
      </c>
      <c r="CI272" s="16">
        <v>0</v>
      </c>
      <c r="CJ272" s="16">
        <f t="shared" si="405"/>
        <v>0</v>
      </c>
      <c r="CK272" s="16">
        <v>0</v>
      </c>
      <c r="CL272" s="16">
        <v>0</v>
      </c>
      <c r="CM272" s="16">
        <v>0</v>
      </c>
      <c r="CN272" s="16">
        <v>0</v>
      </c>
      <c r="CO272" s="16">
        <v>0</v>
      </c>
      <c r="CP272" s="16">
        <v>0</v>
      </c>
      <c r="CQ272" s="16">
        <f>594000-250000</f>
        <v>344000</v>
      </c>
      <c r="CR272" s="16">
        <f t="shared" si="348"/>
        <v>0</v>
      </c>
      <c r="CS272" s="16">
        <f t="shared" si="349"/>
        <v>0</v>
      </c>
      <c r="CT272" s="16">
        <v>0</v>
      </c>
      <c r="CU272" s="17">
        <v>0</v>
      </c>
      <c r="CV272" s="38"/>
    </row>
    <row r="273" spans="1:100" ht="15.75" x14ac:dyDescent="0.25">
      <c r="A273" s="13" t="s">
        <v>1</v>
      </c>
      <c r="B273" s="14" t="s">
        <v>1</v>
      </c>
      <c r="C273" s="14" t="s">
        <v>29</v>
      </c>
      <c r="D273" s="30" t="s">
        <v>294</v>
      </c>
      <c r="E273" s="15">
        <f t="shared" si="395"/>
        <v>17500000</v>
      </c>
      <c r="F273" s="16">
        <f t="shared" si="396"/>
        <v>0</v>
      </c>
      <c r="G273" s="16">
        <f t="shared" si="397"/>
        <v>0</v>
      </c>
      <c r="H273" s="16">
        <v>0</v>
      </c>
      <c r="I273" s="16">
        <v>0</v>
      </c>
      <c r="J273" s="16">
        <f>SUM(K273:P273)</f>
        <v>0</v>
      </c>
      <c r="K273" s="16">
        <v>0</v>
      </c>
      <c r="L273" s="16">
        <v>0</v>
      </c>
      <c r="M273" s="16">
        <v>0</v>
      </c>
      <c r="N273" s="16">
        <v>0</v>
      </c>
      <c r="O273" s="16">
        <v>0</v>
      </c>
      <c r="P273" s="16">
        <v>0</v>
      </c>
      <c r="Q273" s="16">
        <f>SUM(R273:S273)</f>
        <v>0</v>
      </c>
      <c r="R273" s="16">
        <v>0</v>
      </c>
      <c r="S273" s="16">
        <v>0</v>
      </c>
      <c r="T273" s="16">
        <v>0</v>
      </c>
      <c r="U273" s="16">
        <v>0</v>
      </c>
      <c r="V273" s="16">
        <f t="shared" si="398"/>
        <v>0</v>
      </c>
      <c r="W273" s="16">
        <v>0</v>
      </c>
      <c r="X273" s="16">
        <v>0</v>
      </c>
      <c r="Y273" s="16">
        <v>0</v>
      </c>
      <c r="Z273" s="16">
        <v>0</v>
      </c>
      <c r="AA273" s="16">
        <v>0</v>
      </c>
      <c r="AB273" s="16">
        <v>0</v>
      </c>
      <c r="AC273" s="16">
        <v>0</v>
      </c>
      <c r="AD273" s="16">
        <v>0</v>
      </c>
      <c r="AE273" s="16">
        <f>SUM(AF273:AZ273)</f>
        <v>0</v>
      </c>
      <c r="AF273" s="16">
        <v>0</v>
      </c>
      <c r="AG273" s="16">
        <v>0</v>
      </c>
      <c r="AH273" s="16">
        <v>0</v>
      </c>
      <c r="AI273" s="16">
        <v>0</v>
      </c>
      <c r="AJ273" s="16">
        <v>0</v>
      </c>
      <c r="AK273" s="16">
        <v>0</v>
      </c>
      <c r="AL273" s="16">
        <v>0</v>
      </c>
      <c r="AM273" s="16">
        <v>0</v>
      </c>
      <c r="AN273" s="16">
        <v>0</v>
      </c>
      <c r="AO273" s="16">
        <v>0</v>
      </c>
      <c r="AP273" s="16">
        <v>0</v>
      </c>
      <c r="AQ273" s="16">
        <v>0</v>
      </c>
      <c r="AR273" s="16">
        <v>0</v>
      </c>
      <c r="AS273" s="16">
        <v>0</v>
      </c>
      <c r="AT273" s="16">
        <v>0</v>
      </c>
      <c r="AU273" s="16">
        <v>0</v>
      </c>
      <c r="AV273" s="16">
        <v>0</v>
      </c>
      <c r="AW273" s="16">
        <v>0</v>
      </c>
      <c r="AX273" s="16">
        <v>0</v>
      </c>
      <c r="AY273" s="16">
        <v>0</v>
      </c>
      <c r="AZ273" s="16">
        <v>0</v>
      </c>
      <c r="BA273" s="16">
        <f t="shared" si="400"/>
        <v>0</v>
      </c>
      <c r="BB273" s="16">
        <f t="shared" si="401"/>
        <v>0</v>
      </c>
      <c r="BC273" s="16">
        <v>0</v>
      </c>
      <c r="BD273" s="16">
        <v>0</v>
      </c>
      <c r="BE273" s="16">
        <v>0</v>
      </c>
      <c r="BF273" s="16">
        <f>SUM(BG273:BH273)</f>
        <v>0</v>
      </c>
      <c r="BG273" s="16">
        <v>0</v>
      </c>
      <c r="BH273" s="16">
        <v>0</v>
      </c>
      <c r="BI273" s="16">
        <v>0</v>
      </c>
      <c r="BJ273" s="16">
        <v>0</v>
      </c>
      <c r="BK273" s="16">
        <f>SUM(BL273)</f>
        <v>0</v>
      </c>
      <c r="BL273" s="16">
        <v>0</v>
      </c>
      <c r="BM273" s="16">
        <f>SUM(BN273:BX273)</f>
        <v>0</v>
      </c>
      <c r="BN273" s="16">
        <v>0</v>
      </c>
      <c r="BO273" s="16">
        <v>0</v>
      </c>
      <c r="BP273" s="16">
        <v>0</v>
      </c>
      <c r="BQ273" s="16">
        <v>0</v>
      </c>
      <c r="BR273" s="16">
        <v>0</v>
      </c>
      <c r="BS273" s="16">
        <v>0</v>
      </c>
      <c r="BT273" s="16">
        <v>0</v>
      </c>
      <c r="BU273" s="16">
        <v>0</v>
      </c>
      <c r="BV273" s="16">
        <v>0</v>
      </c>
      <c r="BW273" s="16">
        <v>0</v>
      </c>
      <c r="BX273" s="16">
        <v>0</v>
      </c>
      <c r="BY273" s="16">
        <f t="shared" si="402"/>
        <v>17500000</v>
      </c>
      <c r="BZ273" s="16">
        <f t="shared" si="403"/>
        <v>0</v>
      </c>
      <c r="CA273" s="16">
        <f>SUM(CB273:CC273)</f>
        <v>0</v>
      </c>
      <c r="CB273" s="16">
        <v>0</v>
      </c>
      <c r="CC273" s="16">
        <v>0</v>
      </c>
      <c r="CD273" s="16">
        <f t="shared" si="404"/>
        <v>0</v>
      </c>
      <c r="CE273" s="16">
        <v>0</v>
      </c>
      <c r="CF273" s="16">
        <v>0</v>
      </c>
      <c r="CG273" s="16">
        <v>0</v>
      </c>
      <c r="CH273" s="16">
        <v>0</v>
      </c>
      <c r="CI273" s="16">
        <v>0</v>
      </c>
      <c r="CJ273" s="16">
        <f t="shared" si="405"/>
        <v>0</v>
      </c>
      <c r="CK273" s="16">
        <v>0</v>
      </c>
      <c r="CL273" s="16">
        <v>0</v>
      </c>
      <c r="CM273" s="16">
        <v>0</v>
      </c>
      <c r="CN273" s="16">
        <v>0</v>
      </c>
      <c r="CO273" s="16">
        <v>0</v>
      </c>
      <c r="CP273" s="16">
        <v>0</v>
      </c>
      <c r="CQ273" s="16">
        <f>1500000+16000000-16000000+16000000</f>
        <v>17500000</v>
      </c>
      <c r="CR273" s="16">
        <f>SUM(CS273)</f>
        <v>0</v>
      </c>
      <c r="CS273" s="16">
        <f>SUM(CT273:CU273)</f>
        <v>0</v>
      </c>
      <c r="CT273" s="16">
        <v>0</v>
      </c>
      <c r="CU273" s="17">
        <v>0</v>
      </c>
      <c r="CV273" s="38"/>
    </row>
    <row r="274" spans="1:100" ht="31.5" x14ac:dyDescent="0.25">
      <c r="A274" s="13" t="s">
        <v>1</v>
      </c>
      <c r="B274" s="14" t="s">
        <v>1</v>
      </c>
      <c r="C274" s="14" t="s">
        <v>29</v>
      </c>
      <c r="D274" s="30" t="s">
        <v>503</v>
      </c>
      <c r="E274" s="15">
        <f t="shared" si="395"/>
        <v>0</v>
      </c>
      <c r="F274" s="16">
        <f t="shared" si="396"/>
        <v>0</v>
      </c>
      <c r="G274" s="16">
        <f t="shared" si="397"/>
        <v>0</v>
      </c>
      <c r="H274" s="16">
        <v>0</v>
      </c>
      <c r="I274" s="16">
        <v>0</v>
      </c>
      <c r="J274" s="16">
        <f t="shared" si="342"/>
        <v>0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f t="shared" si="343"/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f t="shared" si="398"/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16">
        <v>0</v>
      </c>
      <c r="AE274" s="16">
        <f t="shared" si="399"/>
        <v>0</v>
      </c>
      <c r="AF274" s="16">
        <v>0</v>
      </c>
      <c r="AG274" s="16">
        <v>0</v>
      </c>
      <c r="AH274" s="16">
        <v>0</v>
      </c>
      <c r="AI274" s="16">
        <v>0</v>
      </c>
      <c r="AJ274" s="16">
        <v>0</v>
      </c>
      <c r="AK274" s="16">
        <v>0</v>
      </c>
      <c r="AL274" s="16">
        <v>0</v>
      </c>
      <c r="AM274" s="16">
        <v>0</v>
      </c>
      <c r="AN274" s="16">
        <v>0</v>
      </c>
      <c r="AO274" s="16">
        <v>0</v>
      </c>
      <c r="AP274" s="16">
        <v>0</v>
      </c>
      <c r="AQ274" s="16">
        <v>0</v>
      </c>
      <c r="AR274" s="16">
        <v>0</v>
      </c>
      <c r="AS274" s="16">
        <v>0</v>
      </c>
      <c r="AT274" s="16">
        <v>0</v>
      </c>
      <c r="AU274" s="16">
        <v>0</v>
      </c>
      <c r="AV274" s="16">
        <v>0</v>
      </c>
      <c r="AW274" s="16">
        <v>0</v>
      </c>
      <c r="AX274" s="16">
        <v>0</v>
      </c>
      <c r="AY274" s="16">
        <v>0</v>
      </c>
      <c r="AZ274" s="16">
        <v>0</v>
      </c>
      <c r="BA274" s="16">
        <f t="shared" si="400"/>
        <v>0</v>
      </c>
      <c r="BB274" s="16">
        <f t="shared" si="401"/>
        <v>0</v>
      </c>
      <c r="BC274" s="16">
        <v>0</v>
      </c>
      <c r="BD274" s="16">
        <v>0</v>
      </c>
      <c r="BE274" s="16">
        <v>0</v>
      </c>
      <c r="BF274" s="16">
        <f t="shared" si="344"/>
        <v>0</v>
      </c>
      <c r="BG274" s="16">
        <v>0</v>
      </c>
      <c r="BH274" s="16">
        <v>0</v>
      </c>
      <c r="BI274" s="16">
        <v>0</v>
      </c>
      <c r="BJ274" s="16">
        <v>0</v>
      </c>
      <c r="BK274" s="16">
        <f t="shared" si="345"/>
        <v>0</v>
      </c>
      <c r="BL274" s="16">
        <v>0</v>
      </c>
      <c r="BM274" s="16">
        <f t="shared" si="346"/>
        <v>0</v>
      </c>
      <c r="BN274" s="16">
        <v>0</v>
      </c>
      <c r="BO274" s="16">
        <v>0</v>
      </c>
      <c r="BP274" s="16">
        <v>0</v>
      </c>
      <c r="BQ274" s="16">
        <v>0</v>
      </c>
      <c r="BR274" s="16">
        <v>0</v>
      </c>
      <c r="BS274" s="16">
        <v>0</v>
      </c>
      <c r="BT274" s="16">
        <v>0</v>
      </c>
      <c r="BU274" s="16">
        <v>0</v>
      </c>
      <c r="BV274" s="16">
        <v>0</v>
      </c>
      <c r="BW274" s="16">
        <v>0</v>
      </c>
      <c r="BX274" s="16">
        <v>0</v>
      </c>
      <c r="BY274" s="16">
        <f t="shared" si="402"/>
        <v>0</v>
      </c>
      <c r="BZ274" s="16">
        <f t="shared" si="403"/>
        <v>0</v>
      </c>
      <c r="CA274" s="16">
        <f t="shared" si="347"/>
        <v>0</v>
      </c>
      <c r="CB274" s="16">
        <v>0</v>
      </c>
      <c r="CC274" s="16">
        <v>0</v>
      </c>
      <c r="CD274" s="16">
        <f t="shared" si="404"/>
        <v>0</v>
      </c>
      <c r="CE274" s="16">
        <v>0</v>
      </c>
      <c r="CF274" s="16">
        <v>0</v>
      </c>
      <c r="CG274" s="16">
        <v>0</v>
      </c>
      <c r="CH274" s="16">
        <v>0</v>
      </c>
      <c r="CI274" s="16">
        <v>0</v>
      </c>
      <c r="CJ274" s="16">
        <f t="shared" si="405"/>
        <v>0</v>
      </c>
      <c r="CK274" s="16">
        <v>0</v>
      </c>
      <c r="CL274" s="16">
        <v>0</v>
      </c>
      <c r="CM274" s="16">
        <v>0</v>
      </c>
      <c r="CN274" s="16">
        <v>0</v>
      </c>
      <c r="CO274" s="16">
        <v>0</v>
      </c>
      <c r="CP274" s="16">
        <v>0</v>
      </c>
      <c r="CQ274" s="16">
        <f>2124363-2124363</f>
        <v>0</v>
      </c>
      <c r="CR274" s="16">
        <f t="shared" si="348"/>
        <v>0</v>
      </c>
      <c r="CS274" s="16">
        <f t="shared" si="349"/>
        <v>0</v>
      </c>
      <c r="CT274" s="16">
        <v>0</v>
      </c>
      <c r="CU274" s="17">
        <v>0</v>
      </c>
      <c r="CV274" s="38"/>
    </row>
    <row r="275" spans="1:100" ht="31.5" x14ac:dyDescent="0.25">
      <c r="A275" s="13" t="s">
        <v>1</v>
      </c>
      <c r="B275" s="14" t="s">
        <v>1</v>
      </c>
      <c r="C275" s="14" t="s">
        <v>122</v>
      </c>
      <c r="D275" s="30" t="s">
        <v>504</v>
      </c>
      <c r="E275" s="15">
        <f t="shared" si="395"/>
        <v>912435</v>
      </c>
      <c r="F275" s="16">
        <f t="shared" si="396"/>
        <v>0</v>
      </c>
      <c r="G275" s="16">
        <f t="shared" si="397"/>
        <v>0</v>
      </c>
      <c r="H275" s="16">
        <v>0</v>
      </c>
      <c r="I275" s="16">
        <v>0</v>
      </c>
      <c r="J275" s="16">
        <f t="shared" si="342"/>
        <v>0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16">
        <f t="shared" si="343"/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f t="shared" si="398"/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0</v>
      </c>
      <c r="AB275" s="16">
        <v>0</v>
      </c>
      <c r="AC275" s="16">
        <v>0</v>
      </c>
      <c r="AD275" s="16">
        <v>0</v>
      </c>
      <c r="AE275" s="16">
        <f t="shared" si="399"/>
        <v>0</v>
      </c>
      <c r="AF275" s="16">
        <v>0</v>
      </c>
      <c r="AG275" s="16">
        <v>0</v>
      </c>
      <c r="AH275" s="16">
        <v>0</v>
      </c>
      <c r="AI275" s="16">
        <v>0</v>
      </c>
      <c r="AJ275" s="16">
        <v>0</v>
      </c>
      <c r="AK275" s="16">
        <v>0</v>
      </c>
      <c r="AL275" s="16">
        <v>0</v>
      </c>
      <c r="AM275" s="16">
        <v>0</v>
      </c>
      <c r="AN275" s="16">
        <v>0</v>
      </c>
      <c r="AO275" s="16">
        <v>0</v>
      </c>
      <c r="AP275" s="16">
        <v>0</v>
      </c>
      <c r="AQ275" s="16">
        <v>0</v>
      </c>
      <c r="AR275" s="16">
        <v>0</v>
      </c>
      <c r="AS275" s="16">
        <v>0</v>
      </c>
      <c r="AT275" s="16">
        <v>0</v>
      </c>
      <c r="AU275" s="16">
        <v>0</v>
      </c>
      <c r="AV275" s="16">
        <v>0</v>
      </c>
      <c r="AW275" s="16">
        <v>0</v>
      </c>
      <c r="AX275" s="16">
        <v>0</v>
      </c>
      <c r="AY275" s="16">
        <v>0</v>
      </c>
      <c r="AZ275" s="16">
        <v>0</v>
      </c>
      <c r="BA275" s="16">
        <f t="shared" si="400"/>
        <v>0</v>
      </c>
      <c r="BB275" s="16">
        <f t="shared" si="401"/>
        <v>0</v>
      </c>
      <c r="BC275" s="16">
        <v>0</v>
      </c>
      <c r="BD275" s="16">
        <v>0</v>
      </c>
      <c r="BE275" s="16">
        <v>0</v>
      </c>
      <c r="BF275" s="16">
        <f t="shared" si="344"/>
        <v>0</v>
      </c>
      <c r="BG275" s="16">
        <v>0</v>
      </c>
      <c r="BH275" s="16">
        <v>0</v>
      </c>
      <c r="BI275" s="16">
        <v>0</v>
      </c>
      <c r="BJ275" s="16">
        <v>0</v>
      </c>
      <c r="BK275" s="16">
        <f t="shared" si="345"/>
        <v>0</v>
      </c>
      <c r="BL275" s="16">
        <v>0</v>
      </c>
      <c r="BM275" s="16">
        <f t="shared" si="346"/>
        <v>0</v>
      </c>
      <c r="BN275" s="16">
        <v>0</v>
      </c>
      <c r="BO275" s="16">
        <v>0</v>
      </c>
      <c r="BP275" s="16">
        <v>0</v>
      </c>
      <c r="BQ275" s="16">
        <v>0</v>
      </c>
      <c r="BR275" s="16">
        <v>0</v>
      </c>
      <c r="BS275" s="16">
        <v>0</v>
      </c>
      <c r="BT275" s="16">
        <v>0</v>
      </c>
      <c r="BU275" s="16">
        <v>0</v>
      </c>
      <c r="BV275" s="16">
        <v>0</v>
      </c>
      <c r="BW275" s="16">
        <v>0</v>
      </c>
      <c r="BX275" s="16">
        <v>0</v>
      </c>
      <c r="BY275" s="16">
        <f t="shared" si="402"/>
        <v>912435</v>
      </c>
      <c r="BZ275" s="16">
        <f t="shared" si="403"/>
        <v>0</v>
      </c>
      <c r="CA275" s="16">
        <f t="shared" si="347"/>
        <v>0</v>
      </c>
      <c r="CB275" s="16">
        <v>0</v>
      </c>
      <c r="CC275" s="16">
        <v>0</v>
      </c>
      <c r="CD275" s="16">
        <f t="shared" si="404"/>
        <v>0</v>
      </c>
      <c r="CE275" s="16">
        <v>0</v>
      </c>
      <c r="CF275" s="16">
        <v>0</v>
      </c>
      <c r="CG275" s="16">
        <v>0</v>
      </c>
      <c r="CH275" s="16">
        <v>0</v>
      </c>
      <c r="CI275" s="16">
        <v>0</v>
      </c>
      <c r="CJ275" s="16">
        <f t="shared" si="405"/>
        <v>0</v>
      </c>
      <c r="CK275" s="16">
        <v>0</v>
      </c>
      <c r="CL275" s="16">
        <v>0</v>
      </c>
      <c r="CM275" s="16">
        <v>0</v>
      </c>
      <c r="CN275" s="16">
        <v>0</v>
      </c>
      <c r="CO275" s="16">
        <v>0</v>
      </c>
      <c r="CP275" s="16">
        <v>0</v>
      </c>
      <c r="CQ275" s="16">
        <f>4662435-3750000</f>
        <v>912435</v>
      </c>
      <c r="CR275" s="16">
        <f t="shared" si="348"/>
        <v>0</v>
      </c>
      <c r="CS275" s="16">
        <f t="shared" si="349"/>
        <v>0</v>
      </c>
      <c r="CT275" s="16">
        <v>0</v>
      </c>
      <c r="CU275" s="17">
        <v>0</v>
      </c>
      <c r="CV275" s="38"/>
    </row>
    <row r="276" spans="1:100" ht="31.5" x14ac:dyDescent="0.25">
      <c r="A276" s="13" t="s">
        <v>1</v>
      </c>
      <c r="B276" s="14" t="s">
        <v>1</v>
      </c>
      <c r="C276" s="14" t="s">
        <v>286</v>
      </c>
      <c r="D276" s="30" t="s">
        <v>505</v>
      </c>
      <c r="E276" s="15">
        <f t="shared" si="395"/>
        <v>1309887</v>
      </c>
      <c r="F276" s="16">
        <f t="shared" si="396"/>
        <v>0</v>
      </c>
      <c r="G276" s="16">
        <f t="shared" si="397"/>
        <v>0</v>
      </c>
      <c r="H276" s="16">
        <v>0</v>
      </c>
      <c r="I276" s="16">
        <v>0</v>
      </c>
      <c r="J276" s="16">
        <f t="shared" si="342"/>
        <v>0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16">
        <f t="shared" si="343"/>
        <v>0</v>
      </c>
      <c r="R276" s="16">
        <v>0</v>
      </c>
      <c r="S276" s="16">
        <v>0</v>
      </c>
      <c r="T276" s="16">
        <v>0</v>
      </c>
      <c r="U276" s="16">
        <v>0</v>
      </c>
      <c r="V276" s="16">
        <f t="shared" si="398"/>
        <v>0</v>
      </c>
      <c r="W276" s="16">
        <v>0</v>
      </c>
      <c r="X276" s="16">
        <v>0</v>
      </c>
      <c r="Y276" s="16">
        <v>0</v>
      </c>
      <c r="Z276" s="16">
        <v>0</v>
      </c>
      <c r="AA276" s="16">
        <v>0</v>
      </c>
      <c r="AB276" s="16">
        <v>0</v>
      </c>
      <c r="AC276" s="16">
        <v>0</v>
      </c>
      <c r="AD276" s="16">
        <v>0</v>
      </c>
      <c r="AE276" s="16">
        <f t="shared" si="399"/>
        <v>0</v>
      </c>
      <c r="AF276" s="16">
        <v>0</v>
      </c>
      <c r="AG276" s="16">
        <v>0</v>
      </c>
      <c r="AH276" s="16">
        <v>0</v>
      </c>
      <c r="AI276" s="16">
        <v>0</v>
      </c>
      <c r="AJ276" s="16">
        <v>0</v>
      </c>
      <c r="AK276" s="16">
        <v>0</v>
      </c>
      <c r="AL276" s="16">
        <v>0</v>
      </c>
      <c r="AM276" s="16">
        <v>0</v>
      </c>
      <c r="AN276" s="16">
        <v>0</v>
      </c>
      <c r="AO276" s="16">
        <v>0</v>
      </c>
      <c r="AP276" s="16">
        <v>0</v>
      </c>
      <c r="AQ276" s="16">
        <v>0</v>
      </c>
      <c r="AR276" s="16">
        <v>0</v>
      </c>
      <c r="AS276" s="16">
        <v>0</v>
      </c>
      <c r="AT276" s="16">
        <v>0</v>
      </c>
      <c r="AU276" s="16">
        <v>0</v>
      </c>
      <c r="AV276" s="16">
        <v>0</v>
      </c>
      <c r="AW276" s="16">
        <v>0</v>
      </c>
      <c r="AX276" s="16">
        <v>0</v>
      </c>
      <c r="AY276" s="16">
        <v>0</v>
      </c>
      <c r="AZ276" s="16">
        <v>0</v>
      </c>
      <c r="BA276" s="16">
        <f t="shared" si="400"/>
        <v>0</v>
      </c>
      <c r="BB276" s="16">
        <f t="shared" si="401"/>
        <v>0</v>
      </c>
      <c r="BC276" s="16">
        <v>0</v>
      </c>
      <c r="BD276" s="16">
        <v>0</v>
      </c>
      <c r="BE276" s="16">
        <v>0</v>
      </c>
      <c r="BF276" s="16">
        <f t="shared" si="344"/>
        <v>0</v>
      </c>
      <c r="BG276" s="16">
        <v>0</v>
      </c>
      <c r="BH276" s="16">
        <v>0</v>
      </c>
      <c r="BI276" s="16">
        <v>0</v>
      </c>
      <c r="BJ276" s="16">
        <v>0</v>
      </c>
      <c r="BK276" s="16">
        <f t="shared" si="345"/>
        <v>0</v>
      </c>
      <c r="BL276" s="16">
        <v>0</v>
      </c>
      <c r="BM276" s="16">
        <f t="shared" si="346"/>
        <v>0</v>
      </c>
      <c r="BN276" s="16">
        <v>0</v>
      </c>
      <c r="BO276" s="16">
        <v>0</v>
      </c>
      <c r="BP276" s="16">
        <v>0</v>
      </c>
      <c r="BQ276" s="16">
        <v>0</v>
      </c>
      <c r="BR276" s="16">
        <v>0</v>
      </c>
      <c r="BS276" s="16">
        <v>0</v>
      </c>
      <c r="BT276" s="16">
        <v>0</v>
      </c>
      <c r="BU276" s="16">
        <v>0</v>
      </c>
      <c r="BV276" s="16">
        <v>0</v>
      </c>
      <c r="BW276" s="16">
        <v>0</v>
      </c>
      <c r="BX276" s="16">
        <v>0</v>
      </c>
      <c r="BY276" s="16">
        <f t="shared" si="402"/>
        <v>1309887</v>
      </c>
      <c r="BZ276" s="16">
        <f t="shared" si="403"/>
        <v>0</v>
      </c>
      <c r="CA276" s="16">
        <f t="shared" si="347"/>
        <v>0</v>
      </c>
      <c r="CB276" s="16">
        <v>0</v>
      </c>
      <c r="CC276" s="16">
        <v>0</v>
      </c>
      <c r="CD276" s="16">
        <f t="shared" si="404"/>
        <v>0</v>
      </c>
      <c r="CE276" s="16">
        <v>0</v>
      </c>
      <c r="CF276" s="16">
        <v>0</v>
      </c>
      <c r="CG276" s="16">
        <v>0</v>
      </c>
      <c r="CH276" s="16">
        <v>0</v>
      </c>
      <c r="CI276" s="16">
        <v>0</v>
      </c>
      <c r="CJ276" s="16">
        <f t="shared" si="405"/>
        <v>0</v>
      </c>
      <c r="CK276" s="16">
        <v>0</v>
      </c>
      <c r="CL276" s="16">
        <v>0</v>
      </c>
      <c r="CM276" s="16">
        <v>0</v>
      </c>
      <c r="CN276" s="16">
        <v>0</v>
      </c>
      <c r="CO276" s="16">
        <v>0</v>
      </c>
      <c r="CP276" s="16">
        <v>0</v>
      </c>
      <c r="CQ276" s="16">
        <v>1309887</v>
      </c>
      <c r="CR276" s="16">
        <f t="shared" si="348"/>
        <v>0</v>
      </c>
      <c r="CS276" s="16">
        <f t="shared" si="349"/>
        <v>0</v>
      </c>
      <c r="CT276" s="16">
        <v>0</v>
      </c>
      <c r="CU276" s="17">
        <v>0</v>
      </c>
      <c r="CV276" s="38"/>
    </row>
    <row r="277" spans="1:100" ht="31.5" x14ac:dyDescent="0.25">
      <c r="A277" s="13" t="s">
        <v>1</v>
      </c>
      <c r="B277" s="14" t="s">
        <v>1</v>
      </c>
      <c r="C277" s="14" t="s">
        <v>286</v>
      </c>
      <c r="D277" s="30" t="s">
        <v>506</v>
      </c>
      <c r="E277" s="15">
        <f t="shared" si="395"/>
        <v>4876573</v>
      </c>
      <c r="F277" s="16">
        <f t="shared" si="396"/>
        <v>0</v>
      </c>
      <c r="G277" s="16">
        <f t="shared" si="397"/>
        <v>0</v>
      </c>
      <c r="H277" s="16">
        <v>0</v>
      </c>
      <c r="I277" s="16">
        <v>0</v>
      </c>
      <c r="J277" s="16">
        <f t="shared" si="342"/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f t="shared" si="343"/>
        <v>0</v>
      </c>
      <c r="R277" s="16">
        <v>0</v>
      </c>
      <c r="S277" s="16">
        <v>0</v>
      </c>
      <c r="T277" s="16">
        <v>0</v>
      </c>
      <c r="U277" s="16">
        <v>0</v>
      </c>
      <c r="V277" s="16">
        <f t="shared" si="398"/>
        <v>0</v>
      </c>
      <c r="W277" s="16">
        <v>0</v>
      </c>
      <c r="X277" s="16">
        <v>0</v>
      </c>
      <c r="Y277" s="16">
        <v>0</v>
      </c>
      <c r="Z277" s="16">
        <v>0</v>
      </c>
      <c r="AA277" s="16">
        <v>0</v>
      </c>
      <c r="AB277" s="16">
        <v>0</v>
      </c>
      <c r="AC277" s="16">
        <v>0</v>
      </c>
      <c r="AD277" s="16">
        <v>0</v>
      </c>
      <c r="AE277" s="16">
        <f t="shared" si="399"/>
        <v>0</v>
      </c>
      <c r="AF277" s="16">
        <v>0</v>
      </c>
      <c r="AG277" s="16">
        <v>0</v>
      </c>
      <c r="AH277" s="16">
        <v>0</v>
      </c>
      <c r="AI277" s="16">
        <v>0</v>
      </c>
      <c r="AJ277" s="16">
        <v>0</v>
      </c>
      <c r="AK277" s="16">
        <v>0</v>
      </c>
      <c r="AL277" s="16">
        <v>0</v>
      </c>
      <c r="AM277" s="16">
        <v>0</v>
      </c>
      <c r="AN277" s="16">
        <v>0</v>
      </c>
      <c r="AO277" s="16">
        <v>0</v>
      </c>
      <c r="AP277" s="16">
        <v>0</v>
      </c>
      <c r="AQ277" s="16">
        <v>0</v>
      </c>
      <c r="AR277" s="16">
        <v>0</v>
      </c>
      <c r="AS277" s="16">
        <v>0</v>
      </c>
      <c r="AT277" s="16">
        <v>0</v>
      </c>
      <c r="AU277" s="16">
        <v>0</v>
      </c>
      <c r="AV277" s="16">
        <v>0</v>
      </c>
      <c r="AW277" s="16">
        <v>0</v>
      </c>
      <c r="AX277" s="16">
        <v>0</v>
      </c>
      <c r="AY277" s="16">
        <v>0</v>
      </c>
      <c r="AZ277" s="16">
        <v>0</v>
      </c>
      <c r="BA277" s="16">
        <f t="shared" si="400"/>
        <v>0</v>
      </c>
      <c r="BB277" s="16">
        <f t="shared" si="401"/>
        <v>0</v>
      </c>
      <c r="BC277" s="16">
        <v>0</v>
      </c>
      <c r="BD277" s="16">
        <v>0</v>
      </c>
      <c r="BE277" s="16">
        <v>0</v>
      </c>
      <c r="BF277" s="16">
        <f t="shared" si="344"/>
        <v>0</v>
      </c>
      <c r="BG277" s="16">
        <v>0</v>
      </c>
      <c r="BH277" s="16">
        <v>0</v>
      </c>
      <c r="BI277" s="16">
        <v>0</v>
      </c>
      <c r="BJ277" s="16">
        <v>0</v>
      </c>
      <c r="BK277" s="16">
        <f t="shared" si="345"/>
        <v>0</v>
      </c>
      <c r="BL277" s="16">
        <v>0</v>
      </c>
      <c r="BM277" s="16">
        <f t="shared" si="346"/>
        <v>0</v>
      </c>
      <c r="BN277" s="16">
        <v>0</v>
      </c>
      <c r="BO277" s="16">
        <v>0</v>
      </c>
      <c r="BP277" s="16">
        <v>0</v>
      </c>
      <c r="BQ277" s="16">
        <v>0</v>
      </c>
      <c r="BR277" s="16">
        <v>0</v>
      </c>
      <c r="BS277" s="16">
        <v>0</v>
      </c>
      <c r="BT277" s="16">
        <v>0</v>
      </c>
      <c r="BU277" s="16">
        <v>0</v>
      </c>
      <c r="BV277" s="16">
        <v>0</v>
      </c>
      <c r="BW277" s="16">
        <v>0</v>
      </c>
      <c r="BX277" s="16">
        <v>0</v>
      </c>
      <c r="BY277" s="16">
        <f t="shared" si="402"/>
        <v>4876573</v>
      </c>
      <c r="BZ277" s="16">
        <f t="shared" si="403"/>
        <v>0</v>
      </c>
      <c r="CA277" s="16">
        <f t="shared" si="347"/>
        <v>0</v>
      </c>
      <c r="CB277" s="16">
        <v>0</v>
      </c>
      <c r="CC277" s="16">
        <v>0</v>
      </c>
      <c r="CD277" s="16">
        <f t="shared" si="404"/>
        <v>0</v>
      </c>
      <c r="CE277" s="16">
        <v>0</v>
      </c>
      <c r="CF277" s="16">
        <v>0</v>
      </c>
      <c r="CG277" s="16">
        <v>0</v>
      </c>
      <c r="CH277" s="16">
        <v>0</v>
      </c>
      <c r="CI277" s="16">
        <v>0</v>
      </c>
      <c r="CJ277" s="16">
        <f t="shared" si="405"/>
        <v>0</v>
      </c>
      <c r="CK277" s="16">
        <v>0</v>
      </c>
      <c r="CL277" s="16">
        <v>0</v>
      </c>
      <c r="CM277" s="16">
        <v>0</v>
      </c>
      <c r="CN277" s="16">
        <v>0</v>
      </c>
      <c r="CO277" s="16">
        <v>0</v>
      </c>
      <c r="CP277" s="16">
        <v>0</v>
      </c>
      <c r="CQ277" s="16">
        <f>2836200+1168153+872220</f>
        <v>4876573</v>
      </c>
      <c r="CR277" s="16">
        <f t="shared" si="348"/>
        <v>0</v>
      </c>
      <c r="CS277" s="16">
        <f t="shared" si="349"/>
        <v>0</v>
      </c>
      <c r="CT277" s="16">
        <v>0</v>
      </c>
      <c r="CU277" s="17">
        <v>0</v>
      </c>
      <c r="CV277" s="38"/>
    </row>
    <row r="278" spans="1:100" ht="15.75" x14ac:dyDescent="0.25">
      <c r="A278" s="13" t="s">
        <v>247</v>
      </c>
      <c r="B278" s="14" t="s">
        <v>107</v>
      </c>
      <c r="C278" s="14" t="s">
        <v>1</v>
      </c>
      <c r="D278" s="30" t="s">
        <v>295</v>
      </c>
      <c r="E278" s="15">
        <f t="shared" ref="E278:AJ278" si="406">SUM(E279)</f>
        <v>192733369</v>
      </c>
      <c r="F278" s="16">
        <f t="shared" si="406"/>
        <v>0</v>
      </c>
      <c r="G278" s="16">
        <f t="shared" si="406"/>
        <v>0</v>
      </c>
      <c r="H278" s="16">
        <f t="shared" si="406"/>
        <v>0</v>
      </c>
      <c r="I278" s="16">
        <f t="shared" si="406"/>
        <v>0</v>
      </c>
      <c r="J278" s="16">
        <f t="shared" si="406"/>
        <v>0</v>
      </c>
      <c r="K278" s="16">
        <f t="shared" si="406"/>
        <v>0</v>
      </c>
      <c r="L278" s="16">
        <f t="shared" si="406"/>
        <v>0</v>
      </c>
      <c r="M278" s="16">
        <f t="shared" si="406"/>
        <v>0</v>
      </c>
      <c r="N278" s="16">
        <f t="shared" si="406"/>
        <v>0</v>
      </c>
      <c r="O278" s="16">
        <f t="shared" si="406"/>
        <v>0</v>
      </c>
      <c r="P278" s="16">
        <f t="shared" si="406"/>
        <v>0</v>
      </c>
      <c r="Q278" s="16">
        <f t="shared" si="406"/>
        <v>0</v>
      </c>
      <c r="R278" s="16">
        <f t="shared" si="406"/>
        <v>0</v>
      </c>
      <c r="S278" s="16">
        <f t="shared" si="406"/>
        <v>0</v>
      </c>
      <c r="T278" s="16">
        <f t="shared" si="406"/>
        <v>0</v>
      </c>
      <c r="U278" s="16">
        <f t="shared" si="406"/>
        <v>0</v>
      </c>
      <c r="V278" s="16">
        <f t="shared" si="406"/>
        <v>0</v>
      </c>
      <c r="W278" s="16">
        <f t="shared" si="406"/>
        <v>0</v>
      </c>
      <c r="X278" s="16">
        <f t="shared" si="406"/>
        <v>0</v>
      </c>
      <c r="Y278" s="16">
        <f t="shared" si="406"/>
        <v>0</v>
      </c>
      <c r="Z278" s="16">
        <f t="shared" si="406"/>
        <v>0</v>
      </c>
      <c r="AA278" s="16">
        <f t="shared" si="406"/>
        <v>0</v>
      </c>
      <c r="AB278" s="16">
        <f t="shared" si="406"/>
        <v>0</v>
      </c>
      <c r="AC278" s="16">
        <f t="shared" si="406"/>
        <v>0</v>
      </c>
      <c r="AD278" s="16">
        <f t="shared" si="406"/>
        <v>0</v>
      </c>
      <c r="AE278" s="16">
        <f t="shared" si="406"/>
        <v>0</v>
      </c>
      <c r="AF278" s="16">
        <f t="shared" si="406"/>
        <v>0</v>
      </c>
      <c r="AG278" s="16">
        <f t="shared" si="406"/>
        <v>0</v>
      </c>
      <c r="AH278" s="16">
        <f t="shared" si="406"/>
        <v>0</v>
      </c>
      <c r="AI278" s="16">
        <f t="shared" si="406"/>
        <v>0</v>
      </c>
      <c r="AJ278" s="16">
        <f t="shared" si="406"/>
        <v>0</v>
      </c>
      <c r="AK278" s="16">
        <f t="shared" ref="AK278:BR278" si="407">SUM(AK279)</f>
        <v>0</v>
      </c>
      <c r="AL278" s="16">
        <f t="shared" si="407"/>
        <v>0</v>
      </c>
      <c r="AM278" s="16">
        <f t="shared" si="407"/>
        <v>0</v>
      </c>
      <c r="AN278" s="16">
        <f t="shared" si="407"/>
        <v>0</v>
      </c>
      <c r="AO278" s="16">
        <f t="shared" si="407"/>
        <v>0</v>
      </c>
      <c r="AP278" s="16">
        <f t="shared" si="407"/>
        <v>0</v>
      </c>
      <c r="AQ278" s="16">
        <f t="shared" si="407"/>
        <v>0</v>
      </c>
      <c r="AR278" s="16">
        <f t="shared" si="407"/>
        <v>0</v>
      </c>
      <c r="AS278" s="16">
        <f t="shared" si="407"/>
        <v>0</v>
      </c>
      <c r="AT278" s="16">
        <f t="shared" si="407"/>
        <v>0</v>
      </c>
      <c r="AU278" s="16">
        <f t="shared" si="407"/>
        <v>0</v>
      </c>
      <c r="AV278" s="16">
        <f t="shared" si="407"/>
        <v>0</v>
      </c>
      <c r="AW278" s="16">
        <f t="shared" si="407"/>
        <v>0</v>
      </c>
      <c r="AX278" s="16">
        <f t="shared" si="407"/>
        <v>0</v>
      </c>
      <c r="AY278" s="16">
        <f t="shared" si="407"/>
        <v>0</v>
      </c>
      <c r="AZ278" s="16">
        <f t="shared" si="407"/>
        <v>0</v>
      </c>
      <c r="BA278" s="16">
        <f t="shared" si="407"/>
        <v>0</v>
      </c>
      <c r="BB278" s="16">
        <f t="shared" si="407"/>
        <v>0</v>
      </c>
      <c r="BC278" s="16">
        <f t="shared" si="407"/>
        <v>0</v>
      </c>
      <c r="BD278" s="16">
        <f t="shared" si="407"/>
        <v>0</v>
      </c>
      <c r="BE278" s="16">
        <f t="shared" si="407"/>
        <v>0</v>
      </c>
      <c r="BF278" s="16">
        <f t="shared" si="407"/>
        <v>0</v>
      </c>
      <c r="BG278" s="16">
        <f t="shared" si="407"/>
        <v>0</v>
      </c>
      <c r="BH278" s="16">
        <f t="shared" si="407"/>
        <v>0</v>
      </c>
      <c r="BI278" s="16">
        <f t="shared" si="407"/>
        <v>0</v>
      </c>
      <c r="BJ278" s="16">
        <f t="shared" si="407"/>
        <v>0</v>
      </c>
      <c r="BK278" s="16">
        <f t="shared" si="407"/>
        <v>0</v>
      </c>
      <c r="BL278" s="16">
        <f t="shared" si="407"/>
        <v>0</v>
      </c>
      <c r="BM278" s="16">
        <f t="shared" si="407"/>
        <v>0</v>
      </c>
      <c r="BN278" s="16">
        <f t="shared" si="407"/>
        <v>0</v>
      </c>
      <c r="BO278" s="16">
        <f t="shared" si="407"/>
        <v>0</v>
      </c>
      <c r="BP278" s="16">
        <f t="shared" si="407"/>
        <v>0</v>
      </c>
      <c r="BQ278" s="16">
        <f t="shared" si="407"/>
        <v>0</v>
      </c>
      <c r="BR278" s="16">
        <f t="shared" si="407"/>
        <v>0</v>
      </c>
      <c r="BS278" s="16">
        <f t="shared" ref="BS278:CU278" si="408">SUM(BS279)</f>
        <v>0</v>
      </c>
      <c r="BT278" s="16">
        <f t="shared" si="408"/>
        <v>0</v>
      </c>
      <c r="BU278" s="16">
        <f t="shared" si="408"/>
        <v>0</v>
      </c>
      <c r="BV278" s="16">
        <f t="shared" si="408"/>
        <v>0</v>
      </c>
      <c r="BW278" s="16">
        <f t="shared" si="408"/>
        <v>0</v>
      </c>
      <c r="BX278" s="16">
        <f t="shared" si="408"/>
        <v>0</v>
      </c>
      <c r="BY278" s="16">
        <f t="shared" si="408"/>
        <v>192733369</v>
      </c>
      <c r="BZ278" s="16">
        <f t="shared" si="408"/>
        <v>0</v>
      </c>
      <c r="CA278" s="16">
        <f t="shared" si="408"/>
        <v>0</v>
      </c>
      <c r="CB278" s="16">
        <f t="shared" si="408"/>
        <v>0</v>
      </c>
      <c r="CC278" s="16">
        <f t="shared" si="408"/>
        <v>0</v>
      </c>
      <c r="CD278" s="16">
        <f t="shared" si="408"/>
        <v>0</v>
      </c>
      <c r="CE278" s="16">
        <f t="shared" si="408"/>
        <v>0</v>
      </c>
      <c r="CF278" s="16">
        <f t="shared" si="408"/>
        <v>0</v>
      </c>
      <c r="CG278" s="16">
        <f t="shared" si="408"/>
        <v>0</v>
      </c>
      <c r="CH278" s="16">
        <f t="shared" si="408"/>
        <v>0</v>
      </c>
      <c r="CI278" s="16">
        <f t="shared" si="408"/>
        <v>0</v>
      </c>
      <c r="CJ278" s="16">
        <f t="shared" si="408"/>
        <v>0</v>
      </c>
      <c r="CK278" s="16">
        <f t="shared" si="408"/>
        <v>0</v>
      </c>
      <c r="CL278" s="16">
        <f t="shared" si="408"/>
        <v>0</v>
      </c>
      <c r="CM278" s="16">
        <f t="shared" si="408"/>
        <v>0</v>
      </c>
      <c r="CN278" s="16">
        <f t="shared" si="408"/>
        <v>0</v>
      </c>
      <c r="CO278" s="16">
        <f t="shared" si="408"/>
        <v>0</v>
      </c>
      <c r="CP278" s="16">
        <f t="shared" si="408"/>
        <v>0</v>
      </c>
      <c r="CQ278" s="16">
        <f t="shared" si="408"/>
        <v>192733369</v>
      </c>
      <c r="CR278" s="16">
        <f t="shared" si="408"/>
        <v>0</v>
      </c>
      <c r="CS278" s="16">
        <f t="shared" si="408"/>
        <v>0</v>
      </c>
      <c r="CT278" s="16">
        <f t="shared" si="408"/>
        <v>0</v>
      </c>
      <c r="CU278" s="17">
        <f t="shared" si="408"/>
        <v>0</v>
      </c>
      <c r="CV278" s="38"/>
    </row>
    <row r="279" spans="1:100" ht="15.75" x14ac:dyDescent="0.25">
      <c r="A279" s="13" t="s">
        <v>1</v>
      </c>
      <c r="B279" s="14" t="s">
        <v>1</v>
      </c>
      <c r="C279" s="14" t="s">
        <v>296</v>
      </c>
      <c r="D279" s="30" t="s">
        <v>295</v>
      </c>
      <c r="E279" s="15">
        <f>SUM(F279+BY279+CR279)</f>
        <v>192733369</v>
      </c>
      <c r="F279" s="16">
        <f>SUM(G279+BA279)</f>
        <v>0</v>
      </c>
      <c r="G279" s="16">
        <f>SUM(H279+I279+J279+Q279+T279+U279+V279+AE279)</f>
        <v>0</v>
      </c>
      <c r="H279" s="16">
        <v>0</v>
      </c>
      <c r="I279" s="16">
        <v>0</v>
      </c>
      <c r="J279" s="16">
        <f t="shared" si="342"/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f t="shared" si="343"/>
        <v>0</v>
      </c>
      <c r="R279" s="16">
        <v>0</v>
      </c>
      <c r="S279" s="16">
        <v>0</v>
      </c>
      <c r="T279" s="16">
        <v>0</v>
      </c>
      <c r="U279" s="16">
        <v>0</v>
      </c>
      <c r="V279" s="16">
        <f>SUM(W279:AD279)</f>
        <v>0</v>
      </c>
      <c r="W279" s="16">
        <v>0</v>
      </c>
      <c r="X279" s="16">
        <v>0</v>
      </c>
      <c r="Y279" s="16">
        <v>0</v>
      </c>
      <c r="Z279" s="16">
        <v>0</v>
      </c>
      <c r="AA279" s="16">
        <v>0</v>
      </c>
      <c r="AB279" s="16">
        <v>0</v>
      </c>
      <c r="AC279" s="16">
        <v>0</v>
      </c>
      <c r="AD279" s="16">
        <v>0</v>
      </c>
      <c r="AE279" s="16">
        <f>SUM(AF279:AZ279)</f>
        <v>0</v>
      </c>
      <c r="AF279" s="16">
        <v>0</v>
      </c>
      <c r="AG279" s="16">
        <v>0</v>
      </c>
      <c r="AH279" s="16">
        <v>0</v>
      </c>
      <c r="AI279" s="16">
        <v>0</v>
      </c>
      <c r="AJ279" s="16">
        <v>0</v>
      </c>
      <c r="AK279" s="16">
        <v>0</v>
      </c>
      <c r="AL279" s="16">
        <v>0</v>
      </c>
      <c r="AM279" s="16">
        <v>0</v>
      </c>
      <c r="AN279" s="16">
        <v>0</v>
      </c>
      <c r="AO279" s="16">
        <v>0</v>
      </c>
      <c r="AP279" s="16">
        <v>0</v>
      </c>
      <c r="AQ279" s="16">
        <v>0</v>
      </c>
      <c r="AR279" s="16">
        <v>0</v>
      </c>
      <c r="AS279" s="16">
        <v>0</v>
      </c>
      <c r="AT279" s="16">
        <v>0</v>
      </c>
      <c r="AU279" s="16">
        <v>0</v>
      </c>
      <c r="AV279" s="16">
        <v>0</v>
      </c>
      <c r="AW279" s="16">
        <v>0</v>
      </c>
      <c r="AX279" s="16">
        <v>0</v>
      </c>
      <c r="AY279" s="16">
        <v>0</v>
      </c>
      <c r="AZ279" s="16">
        <v>0</v>
      </c>
      <c r="BA279" s="16">
        <f>SUM(BB279+BF279+BI279+BK279+BM279)</f>
        <v>0</v>
      </c>
      <c r="BB279" s="16">
        <f>SUM(BC279:BE279)</f>
        <v>0</v>
      </c>
      <c r="BC279" s="16">
        <v>0</v>
      </c>
      <c r="BD279" s="16">
        <v>0</v>
      </c>
      <c r="BE279" s="16">
        <v>0</v>
      </c>
      <c r="BF279" s="16">
        <f t="shared" si="344"/>
        <v>0</v>
      </c>
      <c r="BG279" s="16">
        <v>0</v>
      </c>
      <c r="BH279" s="16">
        <v>0</v>
      </c>
      <c r="BI279" s="16">
        <v>0</v>
      </c>
      <c r="BJ279" s="16">
        <v>0</v>
      </c>
      <c r="BK279" s="16">
        <f t="shared" si="345"/>
        <v>0</v>
      </c>
      <c r="BL279" s="16">
        <v>0</v>
      </c>
      <c r="BM279" s="16">
        <f t="shared" si="346"/>
        <v>0</v>
      </c>
      <c r="BN279" s="16">
        <v>0</v>
      </c>
      <c r="BO279" s="16">
        <v>0</v>
      </c>
      <c r="BP279" s="16">
        <v>0</v>
      </c>
      <c r="BQ279" s="16">
        <v>0</v>
      </c>
      <c r="BR279" s="16">
        <v>0</v>
      </c>
      <c r="BS279" s="16">
        <v>0</v>
      </c>
      <c r="BT279" s="16">
        <v>0</v>
      </c>
      <c r="BU279" s="16">
        <v>0</v>
      </c>
      <c r="BV279" s="16">
        <v>0</v>
      </c>
      <c r="BW279" s="16">
        <v>0</v>
      </c>
      <c r="BX279" s="16">
        <v>0</v>
      </c>
      <c r="BY279" s="16">
        <f>SUM(BZ279+CQ279)</f>
        <v>192733369</v>
      </c>
      <c r="BZ279" s="16">
        <f>SUM(CA279+CD279+CJ279)</f>
        <v>0</v>
      </c>
      <c r="CA279" s="16">
        <f t="shared" si="347"/>
        <v>0</v>
      </c>
      <c r="CB279" s="16">
        <v>0</v>
      </c>
      <c r="CC279" s="16">
        <v>0</v>
      </c>
      <c r="CD279" s="16">
        <f>SUM(CE279:CH279)</f>
        <v>0</v>
      </c>
      <c r="CE279" s="16">
        <v>0</v>
      </c>
      <c r="CF279" s="16">
        <v>0</v>
      </c>
      <c r="CG279" s="16">
        <v>0</v>
      </c>
      <c r="CH279" s="16">
        <v>0</v>
      </c>
      <c r="CI279" s="16">
        <v>0</v>
      </c>
      <c r="CJ279" s="16">
        <f>SUM(CK279:CN279)</f>
        <v>0</v>
      </c>
      <c r="CK279" s="16">
        <v>0</v>
      </c>
      <c r="CL279" s="16">
        <v>0</v>
      </c>
      <c r="CM279" s="16">
        <v>0</v>
      </c>
      <c r="CN279" s="16">
        <v>0</v>
      </c>
      <c r="CO279" s="16">
        <v>0</v>
      </c>
      <c r="CP279" s="16">
        <v>0</v>
      </c>
      <c r="CQ279" s="16">
        <f>6000000-5000+15419800+13585200+401990+155278057+2053322</f>
        <v>192733369</v>
      </c>
      <c r="CR279" s="16">
        <f t="shared" si="348"/>
        <v>0</v>
      </c>
      <c r="CS279" s="16">
        <f t="shared" si="349"/>
        <v>0</v>
      </c>
      <c r="CT279" s="16">
        <v>0</v>
      </c>
      <c r="CU279" s="17">
        <v>0</v>
      </c>
      <c r="CV279" s="38"/>
    </row>
    <row r="280" spans="1:100" ht="31.5" x14ac:dyDescent="0.25">
      <c r="A280" s="18" t="s">
        <v>297</v>
      </c>
      <c r="B280" s="19" t="s">
        <v>1</v>
      </c>
      <c r="C280" s="19" t="s">
        <v>1</v>
      </c>
      <c r="D280" s="31" t="s">
        <v>298</v>
      </c>
      <c r="E280" s="20">
        <f>SUM(E281)</f>
        <v>100452017</v>
      </c>
      <c r="F280" s="21">
        <f t="shared" ref="F280:BS281" si="409">SUM(F281)</f>
        <v>0</v>
      </c>
      <c r="G280" s="21">
        <f t="shared" si="409"/>
        <v>0</v>
      </c>
      <c r="H280" s="21">
        <f t="shared" si="409"/>
        <v>0</v>
      </c>
      <c r="I280" s="21">
        <f t="shared" si="409"/>
        <v>0</v>
      </c>
      <c r="J280" s="21">
        <f t="shared" si="409"/>
        <v>0</v>
      </c>
      <c r="K280" s="21">
        <f t="shared" si="409"/>
        <v>0</v>
      </c>
      <c r="L280" s="21">
        <f t="shared" si="409"/>
        <v>0</v>
      </c>
      <c r="M280" s="21">
        <f t="shared" si="409"/>
        <v>0</v>
      </c>
      <c r="N280" s="21">
        <f t="shared" si="409"/>
        <v>0</v>
      </c>
      <c r="O280" s="21">
        <f t="shared" si="409"/>
        <v>0</v>
      </c>
      <c r="P280" s="21">
        <f t="shared" si="409"/>
        <v>0</v>
      </c>
      <c r="Q280" s="21">
        <f t="shared" si="409"/>
        <v>0</v>
      </c>
      <c r="R280" s="21">
        <f t="shared" si="409"/>
        <v>0</v>
      </c>
      <c r="S280" s="21">
        <f t="shared" si="409"/>
        <v>0</v>
      </c>
      <c r="T280" s="21">
        <f t="shared" si="409"/>
        <v>0</v>
      </c>
      <c r="U280" s="21">
        <f t="shared" si="409"/>
        <v>0</v>
      </c>
      <c r="V280" s="21">
        <f t="shared" si="409"/>
        <v>0</v>
      </c>
      <c r="W280" s="21">
        <f t="shared" si="409"/>
        <v>0</v>
      </c>
      <c r="X280" s="21">
        <f t="shared" si="409"/>
        <v>0</v>
      </c>
      <c r="Y280" s="21">
        <f t="shared" si="409"/>
        <v>0</v>
      </c>
      <c r="Z280" s="21">
        <f t="shared" si="409"/>
        <v>0</v>
      </c>
      <c r="AA280" s="21">
        <f t="shared" si="409"/>
        <v>0</v>
      </c>
      <c r="AB280" s="21">
        <f t="shared" si="409"/>
        <v>0</v>
      </c>
      <c r="AC280" s="21">
        <f t="shared" si="409"/>
        <v>0</v>
      </c>
      <c r="AD280" s="21">
        <f t="shared" si="409"/>
        <v>0</v>
      </c>
      <c r="AE280" s="21">
        <f t="shared" si="409"/>
        <v>0</v>
      </c>
      <c r="AF280" s="21">
        <f t="shared" si="409"/>
        <v>0</v>
      </c>
      <c r="AG280" s="21">
        <f t="shared" si="409"/>
        <v>0</v>
      </c>
      <c r="AH280" s="21">
        <f t="shared" si="409"/>
        <v>0</v>
      </c>
      <c r="AI280" s="21">
        <f t="shared" si="409"/>
        <v>0</v>
      </c>
      <c r="AJ280" s="21">
        <f t="shared" si="409"/>
        <v>0</v>
      </c>
      <c r="AK280" s="21">
        <f t="shared" si="409"/>
        <v>0</v>
      </c>
      <c r="AL280" s="21">
        <f t="shared" si="409"/>
        <v>0</v>
      </c>
      <c r="AM280" s="21">
        <f t="shared" si="409"/>
        <v>0</v>
      </c>
      <c r="AN280" s="21">
        <f t="shared" si="409"/>
        <v>0</v>
      </c>
      <c r="AO280" s="21">
        <f t="shared" si="409"/>
        <v>0</v>
      </c>
      <c r="AP280" s="21">
        <f t="shared" si="409"/>
        <v>0</v>
      </c>
      <c r="AQ280" s="21">
        <f t="shared" si="409"/>
        <v>0</v>
      </c>
      <c r="AR280" s="21">
        <f t="shared" si="409"/>
        <v>0</v>
      </c>
      <c r="AS280" s="21">
        <f t="shared" si="409"/>
        <v>0</v>
      </c>
      <c r="AT280" s="21">
        <f t="shared" si="409"/>
        <v>0</v>
      </c>
      <c r="AU280" s="21">
        <f t="shared" si="409"/>
        <v>0</v>
      </c>
      <c r="AV280" s="21">
        <f t="shared" si="409"/>
        <v>0</v>
      </c>
      <c r="AW280" s="21">
        <f t="shared" si="409"/>
        <v>0</v>
      </c>
      <c r="AX280" s="21">
        <f t="shared" si="409"/>
        <v>0</v>
      </c>
      <c r="AY280" s="21">
        <f t="shared" si="409"/>
        <v>0</v>
      </c>
      <c r="AZ280" s="21">
        <f t="shared" si="409"/>
        <v>0</v>
      </c>
      <c r="BA280" s="21">
        <f t="shared" si="409"/>
        <v>0</v>
      </c>
      <c r="BB280" s="21">
        <f t="shared" si="409"/>
        <v>0</v>
      </c>
      <c r="BC280" s="21">
        <f t="shared" si="409"/>
        <v>0</v>
      </c>
      <c r="BD280" s="21">
        <f t="shared" si="409"/>
        <v>0</v>
      </c>
      <c r="BE280" s="21">
        <f t="shared" si="409"/>
        <v>0</v>
      </c>
      <c r="BF280" s="21">
        <f t="shared" si="409"/>
        <v>0</v>
      </c>
      <c r="BG280" s="21">
        <f t="shared" si="409"/>
        <v>0</v>
      </c>
      <c r="BH280" s="21">
        <f t="shared" si="409"/>
        <v>0</v>
      </c>
      <c r="BI280" s="21">
        <f t="shared" si="409"/>
        <v>0</v>
      </c>
      <c r="BJ280" s="21">
        <f t="shared" si="409"/>
        <v>0</v>
      </c>
      <c r="BK280" s="21">
        <f t="shared" si="409"/>
        <v>0</v>
      </c>
      <c r="BL280" s="21">
        <f t="shared" si="409"/>
        <v>0</v>
      </c>
      <c r="BM280" s="21">
        <f t="shared" si="409"/>
        <v>0</v>
      </c>
      <c r="BN280" s="21">
        <f t="shared" si="409"/>
        <v>0</v>
      </c>
      <c r="BO280" s="21">
        <f t="shared" si="409"/>
        <v>0</v>
      </c>
      <c r="BP280" s="21">
        <f t="shared" si="409"/>
        <v>0</v>
      </c>
      <c r="BQ280" s="21">
        <f t="shared" si="409"/>
        <v>0</v>
      </c>
      <c r="BR280" s="21">
        <f t="shared" si="409"/>
        <v>0</v>
      </c>
      <c r="BS280" s="21">
        <f t="shared" si="409"/>
        <v>0</v>
      </c>
      <c r="BT280" s="21">
        <f t="shared" ref="BT280:CU281" si="410">SUM(BT281)</f>
        <v>0</v>
      </c>
      <c r="BU280" s="21">
        <f t="shared" si="410"/>
        <v>0</v>
      </c>
      <c r="BV280" s="21">
        <f t="shared" si="410"/>
        <v>0</v>
      </c>
      <c r="BW280" s="21">
        <f t="shared" si="410"/>
        <v>0</v>
      </c>
      <c r="BX280" s="21">
        <f t="shared" si="410"/>
        <v>0</v>
      </c>
      <c r="BY280" s="21">
        <f t="shared" si="410"/>
        <v>0</v>
      </c>
      <c r="BZ280" s="21">
        <f t="shared" si="410"/>
        <v>0</v>
      </c>
      <c r="CA280" s="21">
        <f t="shared" si="410"/>
        <v>0</v>
      </c>
      <c r="CB280" s="21">
        <f t="shared" si="410"/>
        <v>0</v>
      </c>
      <c r="CC280" s="21">
        <f t="shared" si="410"/>
        <v>0</v>
      </c>
      <c r="CD280" s="21">
        <f t="shared" si="410"/>
        <v>0</v>
      </c>
      <c r="CE280" s="21">
        <f t="shared" si="410"/>
        <v>0</v>
      </c>
      <c r="CF280" s="21">
        <f t="shared" si="410"/>
        <v>0</v>
      </c>
      <c r="CG280" s="21">
        <f t="shared" si="410"/>
        <v>0</v>
      </c>
      <c r="CH280" s="21">
        <f t="shared" si="410"/>
        <v>0</v>
      </c>
      <c r="CI280" s="21">
        <f t="shared" si="410"/>
        <v>0</v>
      </c>
      <c r="CJ280" s="21">
        <f t="shared" si="410"/>
        <v>0</v>
      </c>
      <c r="CK280" s="21">
        <f t="shared" si="410"/>
        <v>0</v>
      </c>
      <c r="CL280" s="21">
        <f t="shared" si="410"/>
        <v>0</v>
      </c>
      <c r="CM280" s="21">
        <f t="shared" si="410"/>
        <v>0</v>
      </c>
      <c r="CN280" s="21">
        <f t="shared" si="410"/>
        <v>0</v>
      </c>
      <c r="CO280" s="21">
        <f t="shared" si="410"/>
        <v>0</v>
      </c>
      <c r="CP280" s="21">
        <f t="shared" si="410"/>
        <v>0</v>
      </c>
      <c r="CQ280" s="21">
        <f t="shared" si="410"/>
        <v>0</v>
      </c>
      <c r="CR280" s="21">
        <f t="shared" si="410"/>
        <v>100452017</v>
      </c>
      <c r="CS280" s="21">
        <f t="shared" si="410"/>
        <v>100452017</v>
      </c>
      <c r="CT280" s="21">
        <f t="shared" si="410"/>
        <v>0</v>
      </c>
      <c r="CU280" s="22">
        <f t="shared" si="410"/>
        <v>100452017</v>
      </c>
      <c r="CV280" s="38"/>
    </row>
    <row r="281" spans="1:100" ht="15.75" x14ac:dyDescent="0.25">
      <c r="A281" s="13" t="s">
        <v>299</v>
      </c>
      <c r="B281" s="14" t="s">
        <v>3</v>
      </c>
      <c r="C281" s="14" t="s">
        <v>1</v>
      </c>
      <c r="D281" s="30" t="s">
        <v>300</v>
      </c>
      <c r="E281" s="15">
        <f>SUM(E282)</f>
        <v>100452017</v>
      </c>
      <c r="F281" s="16">
        <f t="shared" si="409"/>
        <v>0</v>
      </c>
      <c r="G281" s="16">
        <f t="shared" si="409"/>
        <v>0</v>
      </c>
      <c r="H281" s="16">
        <f t="shared" si="409"/>
        <v>0</v>
      </c>
      <c r="I281" s="16">
        <f t="shared" si="409"/>
        <v>0</v>
      </c>
      <c r="J281" s="16">
        <f t="shared" si="409"/>
        <v>0</v>
      </c>
      <c r="K281" s="16">
        <f t="shared" si="409"/>
        <v>0</v>
      </c>
      <c r="L281" s="16">
        <f t="shared" si="409"/>
        <v>0</v>
      </c>
      <c r="M281" s="16">
        <f t="shared" si="409"/>
        <v>0</v>
      </c>
      <c r="N281" s="16">
        <f t="shared" si="409"/>
        <v>0</v>
      </c>
      <c r="O281" s="16">
        <f t="shared" si="409"/>
        <v>0</v>
      </c>
      <c r="P281" s="16">
        <f t="shared" si="409"/>
        <v>0</v>
      </c>
      <c r="Q281" s="16">
        <f t="shared" si="409"/>
        <v>0</v>
      </c>
      <c r="R281" s="16">
        <f t="shared" si="409"/>
        <v>0</v>
      </c>
      <c r="S281" s="16">
        <f t="shared" si="409"/>
        <v>0</v>
      </c>
      <c r="T281" s="16">
        <f t="shared" si="409"/>
        <v>0</v>
      </c>
      <c r="U281" s="16">
        <f t="shared" si="409"/>
        <v>0</v>
      </c>
      <c r="V281" s="16">
        <f t="shared" si="409"/>
        <v>0</v>
      </c>
      <c r="W281" s="16">
        <f t="shared" si="409"/>
        <v>0</v>
      </c>
      <c r="X281" s="16">
        <f t="shared" si="409"/>
        <v>0</v>
      </c>
      <c r="Y281" s="16">
        <f t="shared" si="409"/>
        <v>0</v>
      </c>
      <c r="Z281" s="16">
        <f t="shared" si="409"/>
        <v>0</v>
      </c>
      <c r="AA281" s="16">
        <f t="shared" si="409"/>
        <v>0</v>
      </c>
      <c r="AB281" s="16">
        <f t="shared" si="409"/>
        <v>0</v>
      </c>
      <c r="AC281" s="16">
        <f t="shared" si="409"/>
        <v>0</v>
      </c>
      <c r="AD281" s="16">
        <f t="shared" si="409"/>
        <v>0</v>
      </c>
      <c r="AE281" s="16">
        <f t="shared" si="409"/>
        <v>0</v>
      </c>
      <c r="AF281" s="16">
        <f t="shared" si="409"/>
        <v>0</v>
      </c>
      <c r="AG281" s="16">
        <f t="shared" si="409"/>
        <v>0</v>
      </c>
      <c r="AH281" s="16">
        <f t="shared" si="409"/>
        <v>0</v>
      </c>
      <c r="AI281" s="16">
        <f t="shared" si="409"/>
        <v>0</v>
      </c>
      <c r="AJ281" s="16">
        <f t="shared" si="409"/>
        <v>0</v>
      </c>
      <c r="AK281" s="16">
        <f t="shared" si="409"/>
        <v>0</v>
      </c>
      <c r="AL281" s="16">
        <f t="shared" si="409"/>
        <v>0</v>
      </c>
      <c r="AM281" s="16">
        <f t="shared" si="409"/>
        <v>0</v>
      </c>
      <c r="AN281" s="16">
        <f t="shared" si="409"/>
        <v>0</v>
      </c>
      <c r="AO281" s="16">
        <f t="shared" si="409"/>
        <v>0</v>
      </c>
      <c r="AP281" s="16">
        <f t="shared" si="409"/>
        <v>0</v>
      </c>
      <c r="AQ281" s="16">
        <f t="shared" si="409"/>
        <v>0</v>
      </c>
      <c r="AR281" s="16">
        <f t="shared" si="409"/>
        <v>0</v>
      </c>
      <c r="AS281" s="16">
        <f t="shared" si="409"/>
        <v>0</v>
      </c>
      <c r="AT281" s="16">
        <f t="shared" si="409"/>
        <v>0</v>
      </c>
      <c r="AU281" s="16">
        <f t="shared" si="409"/>
        <v>0</v>
      </c>
      <c r="AV281" s="16">
        <f t="shared" si="409"/>
        <v>0</v>
      </c>
      <c r="AW281" s="16">
        <f t="shared" si="409"/>
        <v>0</v>
      </c>
      <c r="AX281" s="16">
        <f t="shared" si="409"/>
        <v>0</v>
      </c>
      <c r="AY281" s="16">
        <f t="shared" si="409"/>
        <v>0</v>
      </c>
      <c r="AZ281" s="16">
        <f t="shared" si="409"/>
        <v>0</v>
      </c>
      <c r="BA281" s="16">
        <f t="shared" si="409"/>
        <v>0</v>
      </c>
      <c r="BB281" s="16">
        <f t="shared" si="409"/>
        <v>0</v>
      </c>
      <c r="BC281" s="16">
        <f t="shared" si="409"/>
        <v>0</v>
      </c>
      <c r="BD281" s="16">
        <f t="shared" si="409"/>
        <v>0</v>
      </c>
      <c r="BE281" s="16">
        <f t="shared" si="409"/>
        <v>0</v>
      </c>
      <c r="BF281" s="16">
        <f t="shared" si="409"/>
        <v>0</v>
      </c>
      <c r="BG281" s="16">
        <f t="shared" si="409"/>
        <v>0</v>
      </c>
      <c r="BH281" s="16">
        <f t="shared" si="409"/>
        <v>0</v>
      </c>
      <c r="BI281" s="16">
        <f t="shared" si="409"/>
        <v>0</v>
      </c>
      <c r="BJ281" s="16">
        <f t="shared" si="409"/>
        <v>0</v>
      </c>
      <c r="BK281" s="16">
        <f t="shared" si="409"/>
        <v>0</v>
      </c>
      <c r="BL281" s="16">
        <f t="shared" si="409"/>
        <v>0</v>
      </c>
      <c r="BM281" s="16">
        <f t="shared" si="409"/>
        <v>0</v>
      </c>
      <c r="BN281" s="16">
        <f t="shared" si="409"/>
        <v>0</v>
      </c>
      <c r="BO281" s="16">
        <f t="shared" si="409"/>
        <v>0</v>
      </c>
      <c r="BP281" s="16">
        <f t="shared" si="409"/>
        <v>0</v>
      </c>
      <c r="BQ281" s="16">
        <f t="shared" si="409"/>
        <v>0</v>
      </c>
      <c r="BR281" s="16">
        <f t="shared" si="409"/>
        <v>0</v>
      </c>
      <c r="BS281" s="16">
        <f t="shared" si="409"/>
        <v>0</v>
      </c>
      <c r="BT281" s="16">
        <f t="shared" si="410"/>
        <v>0</v>
      </c>
      <c r="BU281" s="16">
        <f t="shared" si="410"/>
        <v>0</v>
      </c>
      <c r="BV281" s="16">
        <f t="shared" si="410"/>
        <v>0</v>
      </c>
      <c r="BW281" s="16">
        <f t="shared" si="410"/>
        <v>0</v>
      </c>
      <c r="BX281" s="16">
        <f t="shared" si="410"/>
        <v>0</v>
      </c>
      <c r="BY281" s="16">
        <f t="shared" si="410"/>
        <v>0</v>
      </c>
      <c r="BZ281" s="16">
        <f t="shared" si="410"/>
        <v>0</v>
      </c>
      <c r="CA281" s="16">
        <f t="shared" si="410"/>
        <v>0</v>
      </c>
      <c r="CB281" s="16">
        <f t="shared" si="410"/>
        <v>0</v>
      </c>
      <c r="CC281" s="16">
        <f t="shared" si="410"/>
        <v>0</v>
      </c>
      <c r="CD281" s="16">
        <f t="shared" si="410"/>
        <v>0</v>
      </c>
      <c r="CE281" s="16">
        <f t="shared" si="410"/>
        <v>0</v>
      </c>
      <c r="CF281" s="16">
        <f t="shared" si="410"/>
        <v>0</v>
      </c>
      <c r="CG281" s="16">
        <f t="shared" si="410"/>
        <v>0</v>
      </c>
      <c r="CH281" s="16">
        <f t="shared" si="410"/>
        <v>0</v>
      </c>
      <c r="CI281" s="16">
        <f t="shared" si="410"/>
        <v>0</v>
      </c>
      <c r="CJ281" s="16">
        <f t="shared" si="410"/>
        <v>0</v>
      </c>
      <c r="CK281" s="16">
        <f t="shared" si="410"/>
        <v>0</v>
      </c>
      <c r="CL281" s="16">
        <f t="shared" si="410"/>
        <v>0</v>
      </c>
      <c r="CM281" s="16">
        <f t="shared" si="410"/>
        <v>0</v>
      </c>
      <c r="CN281" s="16">
        <f t="shared" si="410"/>
        <v>0</v>
      </c>
      <c r="CO281" s="16">
        <f t="shared" si="410"/>
        <v>0</v>
      </c>
      <c r="CP281" s="16">
        <f t="shared" si="410"/>
        <v>0</v>
      </c>
      <c r="CQ281" s="16">
        <f t="shared" si="410"/>
        <v>0</v>
      </c>
      <c r="CR281" s="16">
        <f t="shared" si="410"/>
        <v>100452017</v>
      </c>
      <c r="CS281" s="16">
        <f t="shared" si="410"/>
        <v>100452017</v>
      </c>
      <c r="CT281" s="16">
        <f t="shared" si="410"/>
        <v>0</v>
      </c>
      <c r="CU281" s="17">
        <f t="shared" si="410"/>
        <v>100452017</v>
      </c>
      <c r="CV281" s="38"/>
    </row>
    <row r="282" spans="1:100" ht="15.75" x14ac:dyDescent="0.25">
      <c r="A282" s="13" t="s">
        <v>1</v>
      </c>
      <c r="B282" s="14" t="s">
        <v>1</v>
      </c>
      <c r="C282" s="14" t="s">
        <v>43</v>
      </c>
      <c r="D282" s="30" t="s">
        <v>301</v>
      </c>
      <c r="E282" s="15">
        <f>SUM(F282+BY282+CR282)</f>
        <v>100452017</v>
      </c>
      <c r="F282" s="16">
        <f>SUM(G282+BA282)</f>
        <v>0</v>
      </c>
      <c r="G282" s="16">
        <f>SUM(H282+I282+J282+Q282+T282+U282+V282+AE282)</f>
        <v>0</v>
      </c>
      <c r="H282" s="16">
        <v>0</v>
      </c>
      <c r="I282" s="16">
        <v>0</v>
      </c>
      <c r="J282" s="16">
        <f t="shared" si="342"/>
        <v>0</v>
      </c>
      <c r="K282" s="16">
        <v>0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f t="shared" si="343"/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f>SUM(W282:AD282)</f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f>SUM(AF282:AZ282)</f>
        <v>0</v>
      </c>
      <c r="AF282" s="16">
        <v>0</v>
      </c>
      <c r="AG282" s="16">
        <v>0</v>
      </c>
      <c r="AH282" s="16">
        <v>0</v>
      </c>
      <c r="AI282" s="16">
        <v>0</v>
      </c>
      <c r="AJ282" s="16">
        <v>0</v>
      </c>
      <c r="AK282" s="16">
        <v>0</v>
      </c>
      <c r="AL282" s="16">
        <v>0</v>
      </c>
      <c r="AM282" s="16">
        <v>0</v>
      </c>
      <c r="AN282" s="16">
        <v>0</v>
      </c>
      <c r="AO282" s="16">
        <v>0</v>
      </c>
      <c r="AP282" s="16">
        <v>0</v>
      </c>
      <c r="AQ282" s="16">
        <v>0</v>
      </c>
      <c r="AR282" s="16">
        <v>0</v>
      </c>
      <c r="AS282" s="16">
        <v>0</v>
      </c>
      <c r="AT282" s="16">
        <v>0</v>
      </c>
      <c r="AU282" s="16">
        <v>0</v>
      </c>
      <c r="AV282" s="16">
        <v>0</v>
      </c>
      <c r="AW282" s="16">
        <v>0</v>
      </c>
      <c r="AX282" s="16">
        <v>0</v>
      </c>
      <c r="AY282" s="16">
        <v>0</v>
      </c>
      <c r="AZ282" s="16">
        <v>0</v>
      </c>
      <c r="BA282" s="16">
        <f>SUM(BB282+BF282+BI282+BK282+BM282)</f>
        <v>0</v>
      </c>
      <c r="BB282" s="16">
        <f>SUM(BC282:BE282)</f>
        <v>0</v>
      </c>
      <c r="BC282" s="16">
        <v>0</v>
      </c>
      <c r="BD282" s="16">
        <v>0</v>
      </c>
      <c r="BE282" s="16">
        <v>0</v>
      </c>
      <c r="BF282" s="16">
        <f t="shared" si="344"/>
        <v>0</v>
      </c>
      <c r="BG282" s="16">
        <v>0</v>
      </c>
      <c r="BH282" s="16">
        <v>0</v>
      </c>
      <c r="BI282" s="16">
        <v>0</v>
      </c>
      <c r="BJ282" s="16">
        <v>0</v>
      </c>
      <c r="BK282" s="16">
        <f t="shared" si="345"/>
        <v>0</v>
      </c>
      <c r="BL282" s="16">
        <v>0</v>
      </c>
      <c r="BM282" s="16">
        <f t="shared" si="346"/>
        <v>0</v>
      </c>
      <c r="BN282" s="16">
        <v>0</v>
      </c>
      <c r="BO282" s="16">
        <v>0</v>
      </c>
      <c r="BP282" s="16">
        <v>0</v>
      </c>
      <c r="BQ282" s="16">
        <v>0</v>
      </c>
      <c r="BR282" s="16">
        <v>0</v>
      </c>
      <c r="BS282" s="16">
        <v>0</v>
      </c>
      <c r="BT282" s="16">
        <v>0</v>
      </c>
      <c r="BU282" s="16">
        <v>0</v>
      </c>
      <c r="BV282" s="16">
        <v>0</v>
      </c>
      <c r="BW282" s="16">
        <v>0</v>
      </c>
      <c r="BX282" s="16">
        <v>0</v>
      </c>
      <c r="BY282" s="16">
        <f>SUM(BZ282+CQ282)</f>
        <v>0</v>
      </c>
      <c r="BZ282" s="16">
        <f>SUM(CA282+CD282+CJ282)</f>
        <v>0</v>
      </c>
      <c r="CA282" s="16">
        <f t="shared" si="347"/>
        <v>0</v>
      </c>
      <c r="CB282" s="16">
        <v>0</v>
      </c>
      <c r="CC282" s="16">
        <v>0</v>
      </c>
      <c r="CD282" s="16">
        <f>SUM(CE282:CH282)</f>
        <v>0</v>
      </c>
      <c r="CE282" s="16">
        <v>0</v>
      </c>
      <c r="CF282" s="16">
        <v>0</v>
      </c>
      <c r="CG282" s="16">
        <v>0</v>
      </c>
      <c r="CH282" s="16">
        <v>0</v>
      </c>
      <c r="CI282" s="16">
        <v>0</v>
      </c>
      <c r="CJ282" s="16">
        <f>SUM(CK282:CN282)</f>
        <v>0</v>
      </c>
      <c r="CK282" s="16">
        <v>0</v>
      </c>
      <c r="CL282" s="16">
        <v>0</v>
      </c>
      <c r="CM282" s="16">
        <v>0</v>
      </c>
      <c r="CN282" s="16">
        <v>0</v>
      </c>
      <c r="CO282" s="16">
        <v>0</v>
      </c>
      <c r="CP282" s="16">
        <v>0</v>
      </c>
      <c r="CQ282" s="16">
        <v>0</v>
      </c>
      <c r="CR282" s="16">
        <f t="shared" si="348"/>
        <v>100452017</v>
      </c>
      <c r="CS282" s="16">
        <f t="shared" si="349"/>
        <v>100452017</v>
      </c>
      <c r="CT282" s="16">
        <v>0</v>
      </c>
      <c r="CU282" s="17">
        <f>100000000+452017</f>
        <v>100452017</v>
      </c>
      <c r="CV282" s="38"/>
    </row>
    <row r="283" spans="1:100" ht="15.75" x14ac:dyDescent="0.25">
      <c r="A283" s="18" t="s">
        <v>302</v>
      </c>
      <c r="B283" s="19" t="s">
        <v>1</v>
      </c>
      <c r="C283" s="19" t="s">
        <v>1</v>
      </c>
      <c r="D283" s="31" t="s">
        <v>303</v>
      </c>
      <c r="E283" s="20">
        <f>SUM(E284+E286+E290+E292+E294+E296+E288)</f>
        <v>418979614</v>
      </c>
      <c r="F283" s="21">
        <f t="shared" ref="F283:BQ283" si="411">SUM(F284+F286+F290+F292+F294+F296+F288)</f>
        <v>129316122</v>
      </c>
      <c r="G283" s="21">
        <f t="shared" si="411"/>
        <v>91113625</v>
      </c>
      <c r="H283" s="21">
        <f t="shared" si="411"/>
        <v>31069811</v>
      </c>
      <c r="I283" s="21">
        <f t="shared" si="411"/>
        <v>754957</v>
      </c>
      <c r="J283" s="21">
        <f t="shared" si="411"/>
        <v>17238854</v>
      </c>
      <c r="K283" s="21">
        <f t="shared" si="411"/>
        <v>312484</v>
      </c>
      <c r="L283" s="21">
        <f t="shared" si="411"/>
        <v>1170870</v>
      </c>
      <c r="M283" s="21">
        <f t="shared" si="411"/>
        <v>0</v>
      </c>
      <c r="N283" s="21">
        <f t="shared" si="411"/>
        <v>16000</v>
      </c>
      <c r="O283" s="21">
        <f t="shared" si="411"/>
        <v>13496838</v>
      </c>
      <c r="P283" s="21">
        <f t="shared" si="411"/>
        <v>2242662</v>
      </c>
      <c r="Q283" s="21">
        <f t="shared" si="411"/>
        <v>70827</v>
      </c>
      <c r="R283" s="21">
        <f t="shared" si="411"/>
        <v>14057</v>
      </c>
      <c r="S283" s="21">
        <f t="shared" si="411"/>
        <v>56770</v>
      </c>
      <c r="T283" s="21">
        <f t="shared" si="411"/>
        <v>8000</v>
      </c>
      <c r="U283" s="21">
        <f t="shared" si="411"/>
        <v>389546</v>
      </c>
      <c r="V283" s="21">
        <f t="shared" si="411"/>
        <v>1129867</v>
      </c>
      <c r="W283" s="21">
        <f t="shared" si="411"/>
        <v>65088</v>
      </c>
      <c r="X283" s="21">
        <f t="shared" si="411"/>
        <v>3921</v>
      </c>
      <c r="Y283" s="21">
        <f t="shared" si="411"/>
        <v>883977</v>
      </c>
      <c r="Z283" s="21">
        <f t="shared" si="411"/>
        <v>58735</v>
      </c>
      <c r="AA283" s="21">
        <f t="shared" si="411"/>
        <v>62560</v>
      </c>
      <c r="AB283" s="21">
        <f t="shared" si="411"/>
        <v>0</v>
      </c>
      <c r="AC283" s="21">
        <f t="shared" si="411"/>
        <v>0</v>
      </c>
      <c r="AD283" s="21">
        <f t="shared" si="411"/>
        <v>55586</v>
      </c>
      <c r="AE283" s="21">
        <f t="shared" si="411"/>
        <v>40451763</v>
      </c>
      <c r="AF283" s="21">
        <f t="shared" si="411"/>
        <v>0</v>
      </c>
      <c r="AG283" s="21">
        <f t="shared" si="411"/>
        <v>138947</v>
      </c>
      <c r="AH283" s="21">
        <f t="shared" si="411"/>
        <v>136162</v>
      </c>
      <c r="AI283" s="21">
        <f t="shared" si="411"/>
        <v>0</v>
      </c>
      <c r="AJ283" s="21">
        <f t="shared" si="411"/>
        <v>6320</v>
      </c>
      <c r="AK283" s="21">
        <f t="shared" si="411"/>
        <v>29485</v>
      </c>
      <c r="AL283" s="21">
        <f t="shared" si="411"/>
        <v>1173</v>
      </c>
      <c r="AM283" s="21">
        <f t="shared" si="411"/>
        <v>27631</v>
      </c>
      <c r="AN283" s="21">
        <f t="shared" si="411"/>
        <v>14550</v>
      </c>
      <c r="AO283" s="21">
        <f t="shared" si="411"/>
        <v>0</v>
      </c>
      <c r="AP283" s="21">
        <f t="shared" si="411"/>
        <v>0</v>
      </c>
      <c r="AQ283" s="21">
        <f t="shared" si="411"/>
        <v>0</v>
      </c>
      <c r="AR283" s="21">
        <f t="shared" si="411"/>
        <v>0</v>
      </c>
      <c r="AS283" s="21">
        <f t="shared" si="411"/>
        <v>0</v>
      </c>
      <c r="AT283" s="21">
        <f t="shared" si="411"/>
        <v>0</v>
      </c>
      <c r="AU283" s="21">
        <f t="shared" si="411"/>
        <v>0</v>
      </c>
      <c r="AV283" s="21">
        <f t="shared" si="411"/>
        <v>2483645</v>
      </c>
      <c r="AW283" s="21">
        <f t="shared" si="411"/>
        <v>8608087</v>
      </c>
      <c r="AX283" s="21">
        <f t="shared" si="411"/>
        <v>0</v>
      </c>
      <c r="AY283" s="21">
        <f t="shared" si="411"/>
        <v>268851</v>
      </c>
      <c r="AZ283" s="21">
        <f t="shared" si="411"/>
        <v>28736912</v>
      </c>
      <c r="BA283" s="21">
        <f t="shared" si="411"/>
        <v>38202497</v>
      </c>
      <c r="BB283" s="21">
        <f t="shared" si="411"/>
        <v>0</v>
      </c>
      <c r="BC283" s="21">
        <f t="shared" si="411"/>
        <v>0</v>
      </c>
      <c r="BD283" s="21">
        <f t="shared" si="411"/>
        <v>0</v>
      </c>
      <c r="BE283" s="21">
        <f t="shared" si="411"/>
        <v>0</v>
      </c>
      <c r="BF283" s="21">
        <f t="shared" si="411"/>
        <v>4776987</v>
      </c>
      <c r="BG283" s="21">
        <f t="shared" si="411"/>
        <v>0</v>
      </c>
      <c r="BH283" s="21">
        <f t="shared" si="411"/>
        <v>4776987</v>
      </c>
      <c r="BI283" s="21">
        <f t="shared" si="411"/>
        <v>8336675</v>
      </c>
      <c r="BJ283" s="21">
        <f t="shared" si="411"/>
        <v>0</v>
      </c>
      <c r="BK283" s="21">
        <f t="shared" si="411"/>
        <v>0</v>
      </c>
      <c r="BL283" s="21">
        <f t="shared" si="411"/>
        <v>0</v>
      </c>
      <c r="BM283" s="21">
        <f t="shared" si="411"/>
        <v>25088835</v>
      </c>
      <c r="BN283" s="21">
        <f t="shared" si="411"/>
        <v>0</v>
      </c>
      <c r="BO283" s="21">
        <f t="shared" si="411"/>
        <v>0</v>
      </c>
      <c r="BP283" s="21">
        <f t="shared" si="411"/>
        <v>0</v>
      </c>
      <c r="BQ283" s="21">
        <f t="shared" si="411"/>
        <v>0</v>
      </c>
      <c r="BR283" s="21">
        <f t="shared" ref="BR283:CU283" si="412">SUM(BR284+BR286+BR290+BR292+BR294+BR296+BR288)</f>
        <v>0</v>
      </c>
      <c r="BS283" s="21">
        <f t="shared" si="412"/>
        <v>0</v>
      </c>
      <c r="BT283" s="21">
        <f t="shared" si="412"/>
        <v>0</v>
      </c>
      <c r="BU283" s="21">
        <f t="shared" si="412"/>
        <v>1401135</v>
      </c>
      <c r="BV283" s="21">
        <f t="shared" si="412"/>
        <v>0</v>
      </c>
      <c r="BW283" s="21">
        <f t="shared" si="412"/>
        <v>915294</v>
      </c>
      <c r="BX283" s="21">
        <f t="shared" si="412"/>
        <v>22772406</v>
      </c>
      <c r="BY283" s="21">
        <f t="shared" si="412"/>
        <v>289663492</v>
      </c>
      <c r="BZ283" s="21">
        <f t="shared" si="412"/>
        <v>277416588</v>
      </c>
      <c r="CA283" s="21">
        <f t="shared" si="412"/>
        <v>41969582</v>
      </c>
      <c r="CB283" s="21">
        <f t="shared" si="412"/>
        <v>299196</v>
      </c>
      <c r="CC283" s="21">
        <f t="shared" si="412"/>
        <v>41670386</v>
      </c>
      <c r="CD283" s="21">
        <f t="shared" si="412"/>
        <v>140327479</v>
      </c>
      <c r="CE283" s="21">
        <f t="shared" si="412"/>
        <v>0</v>
      </c>
      <c r="CF283" s="21">
        <f t="shared" si="412"/>
        <v>122186255</v>
      </c>
      <c r="CG283" s="21">
        <f t="shared" si="412"/>
        <v>10703103</v>
      </c>
      <c r="CH283" s="21">
        <f t="shared" si="412"/>
        <v>7197854</v>
      </c>
      <c r="CI283" s="21">
        <f t="shared" si="412"/>
        <v>240267</v>
      </c>
      <c r="CJ283" s="21">
        <f t="shared" si="412"/>
        <v>95119527</v>
      </c>
      <c r="CK283" s="21">
        <f t="shared" si="412"/>
        <v>2114966</v>
      </c>
      <c r="CL283" s="21">
        <f t="shared" si="412"/>
        <v>77686125</v>
      </c>
      <c r="CM283" s="21">
        <f t="shared" si="412"/>
        <v>5318436</v>
      </c>
      <c r="CN283" s="21">
        <f t="shared" si="412"/>
        <v>10000000</v>
      </c>
      <c r="CO283" s="21">
        <f t="shared" si="412"/>
        <v>0</v>
      </c>
      <c r="CP283" s="21">
        <f t="shared" si="412"/>
        <v>0</v>
      </c>
      <c r="CQ283" s="21">
        <f t="shared" si="412"/>
        <v>12246904</v>
      </c>
      <c r="CR283" s="21">
        <f t="shared" si="412"/>
        <v>0</v>
      </c>
      <c r="CS283" s="21">
        <f t="shared" si="412"/>
        <v>0</v>
      </c>
      <c r="CT283" s="21">
        <f t="shared" si="412"/>
        <v>0</v>
      </c>
      <c r="CU283" s="22">
        <f t="shared" si="412"/>
        <v>0</v>
      </c>
      <c r="CV283" s="38"/>
    </row>
    <row r="284" spans="1:100" ht="15.75" x14ac:dyDescent="0.25">
      <c r="A284" s="13" t="s">
        <v>304</v>
      </c>
      <c r="B284" s="14" t="s">
        <v>7</v>
      </c>
      <c r="C284" s="14" t="s">
        <v>1</v>
      </c>
      <c r="D284" s="30" t="s">
        <v>305</v>
      </c>
      <c r="E284" s="15">
        <f t="shared" ref="E284:AJ284" si="413">SUM(E285)</f>
        <v>4776987</v>
      </c>
      <c r="F284" s="16">
        <f t="shared" si="413"/>
        <v>4776987</v>
      </c>
      <c r="G284" s="16">
        <f t="shared" si="413"/>
        <v>0</v>
      </c>
      <c r="H284" s="16">
        <f t="shared" si="413"/>
        <v>0</v>
      </c>
      <c r="I284" s="16">
        <f t="shared" si="413"/>
        <v>0</v>
      </c>
      <c r="J284" s="16">
        <f t="shared" si="413"/>
        <v>0</v>
      </c>
      <c r="K284" s="16">
        <f t="shared" si="413"/>
        <v>0</v>
      </c>
      <c r="L284" s="16">
        <f t="shared" si="413"/>
        <v>0</v>
      </c>
      <c r="M284" s="16">
        <f t="shared" si="413"/>
        <v>0</v>
      </c>
      <c r="N284" s="16">
        <f t="shared" si="413"/>
        <v>0</v>
      </c>
      <c r="O284" s="16">
        <f t="shared" si="413"/>
        <v>0</v>
      </c>
      <c r="P284" s="16">
        <f t="shared" si="413"/>
        <v>0</v>
      </c>
      <c r="Q284" s="16">
        <f t="shared" si="413"/>
        <v>0</v>
      </c>
      <c r="R284" s="16">
        <f t="shared" si="413"/>
        <v>0</v>
      </c>
      <c r="S284" s="16">
        <f t="shared" si="413"/>
        <v>0</v>
      </c>
      <c r="T284" s="16">
        <f t="shared" si="413"/>
        <v>0</v>
      </c>
      <c r="U284" s="16">
        <f t="shared" si="413"/>
        <v>0</v>
      </c>
      <c r="V284" s="16">
        <f t="shared" si="413"/>
        <v>0</v>
      </c>
      <c r="W284" s="16">
        <f t="shared" si="413"/>
        <v>0</v>
      </c>
      <c r="X284" s="16">
        <f t="shared" si="413"/>
        <v>0</v>
      </c>
      <c r="Y284" s="16">
        <f t="shared" si="413"/>
        <v>0</v>
      </c>
      <c r="Z284" s="16">
        <f t="shared" si="413"/>
        <v>0</v>
      </c>
      <c r="AA284" s="16">
        <f t="shared" si="413"/>
        <v>0</v>
      </c>
      <c r="AB284" s="16">
        <f t="shared" si="413"/>
        <v>0</v>
      </c>
      <c r="AC284" s="16">
        <f t="shared" si="413"/>
        <v>0</v>
      </c>
      <c r="AD284" s="16">
        <f t="shared" si="413"/>
        <v>0</v>
      </c>
      <c r="AE284" s="16">
        <f t="shared" si="413"/>
        <v>0</v>
      </c>
      <c r="AF284" s="16">
        <f t="shared" si="413"/>
        <v>0</v>
      </c>
      <c r="AG284" s="16">
        <f t="shared" si="413"/>
        <v>0</v>
      </c>
      <c r="AH284" s="16">
        <f t="shared" si="413"/>
        <v>0</v>
      </c>
      <c r="AI284" s="16">
        <f t="shared" si="413"/>
        <v>0</v>
      </c>
      <c r="AJ284" s="16">
        <f t="shared" si="413"/>
        <v>0</v>
      </c>
      <c r="AK284" s="16">
        <f t="shared" ref="AK284:BR284" si="414">SUM(AK285)</f>
        <v>0</v>
      </c>
      <c r="AL284" s="16">
        <f t="shared" si="414"/>
        <v>0</v>
      </c>
      <c r="AM284" s="16">
        <f t="shared" si="414"/>
        <v>0</v>
      </c>
      <c r="AN284" s="16">
        <f t="shared" si="414"/>
        <v>0</v>
      </c>
      <c r="AO284" s="16">
        <f t="shared" si="414"/>
        <v>0</v>
      </c>
      <c r="AP284" s="16">
        <f t="shared" si="414"/>
        <v>0</v>
      </c>
      <c r="AQ284" s="16">
        <f t="shared" si="414"/>
        <v>0</v>
      </c>
      <c r="AR284" s="16">
        <f t="shared" si="414"/>
        <v>0</v>
      </c>
      <c r="AS284" s="16">
        <f t="shared" si="414"/>
        <v>0</v>
      </c>
      <c r="AT284" s="16">
        <f t="shared" si="414"/>
        <v>0</v>
      </c>
      <c r="AU284" s="16">
        <f t="shared" si="414"/>
        <v>0</v>
      </c>
      <c r="AV284" s="16">
        <f t="shared" si="414"/>
        <v>0</v>
      </c>
      <c r="AW284" s="16">
        <f t="shared" si="414"/>
        <v>0</v>
      </c>
      <c r="AX284" s="16">
        <f t="shared" si="414"/>
        <v>0</v>
      </c>
      <c r="AY284" s="16">
        <f t="shared" si="414"/>
        <v>0</v>
      </c>
      <c r="AZ284" s="16">
        <f t="shared" si="414"/>
        <v>0</v>
      </c>
      <c r="BA284" s="16">
        <f t="shared" si="414"/>
        <v>4776987</v>
      </c>
      <c r="BB284" s="16">
        <f t="shared" si="414"/>
        <v>0</v>
      </c>
      <c r="BC284" s="16">
        <f t="shared" si="414"/>
        <v>0</v>
      </c>
      <c r="BD284" s="16">
        <f t="shared" si="414"/>
        <v>0</v>
      </c>
      <c r="BE284" s="16">
        <f t="shared" si="414"/>
        <v>0</v>
      </c>
      <c r="BF284" s="16">
        <f t="shared" si="414"/>
        <v>4776987</v>
      </c>
      <c r="BG284" s="16">
        <f t="shared" si="414"/>
        <v>0</v>
      </c>
      <c r="BH284" s="16">
        <f t="shared" si="414"/>
        <v>4776987</v>
      </c>
      <c r="BI284" s="16">
        <f t="shared" si="414"/>
        <v>0</v>
      </c>
      <c r="BJ284" s="16">
        <f t="shared" si="414"/>
        <v>0</v>
      </c>
      <c r="BK284" s="16">
        <f t="shared" si="414"/>
        <v>0</v>
      </c>
      <c r="BL284" s="16">
        <f t="shared" si="414"/>
        <v>0</v>
      </c>
      <c r="BM284" s="16">
        <f t="shared" si="414"/>
        <v>0</v>
      </c>
      <c r="BN284" s="16">
        <f t="shared" si="414"/>
        <v>0</v>
      </c>
      <c r="BO284" s="16">
        <f t="shared" si="414"/>
        <v>0</v>
      </c>
      <c r="BP284" s="16">
        <f t="shared" si="414"/>
        <v>0</v>
      </c>
      <c r="BQ284" s="16">
        <f t="shared" si="414"/>
        <v>0</v>
      </c>
      <c r="BR284" s="16">
        <f t="shared" si="414"/>
        <v>0</v>
      </c>
      <c r="BS284" s="16">
        <f t="shared" ref="BS284:CU284" si="415">SUM(BS285)</f>
        <v>0</v>
      </c>
      <c r="BT284" s="16">
        <f t="shared" si="415"/>
        <v>0</v>
      </c>
      <c r="BU284" s="16">
        <f t="shared" si="415"/>
        <v>0</v>
      </c>
      <c r="BV284" s="16">
        <f t="shared" si="415"/>
        <v>0</v>
      </c>
      <c r="BW284" s="16">
        <f t="shared" si="415"/>
        <v>0</v>
      </c>
      <c r="BX284" s="16">
        <f t="shared" si="415"/>
        <v>0</v>
      </c>
      <c r="BY284" s="16">
        <f t="shared" si="415"/>
        <v>0</v>
      </c>
      <c r="BZ284" s="16">
        <f t="shared" si="415"/>
        <v>0</v>
      </c>
      <c r="CA284" s="16">
        <f t="shared" si="415"/>
        <v>0</v>
      </c>
      <c r="CB284" s="16">
        <f t="shared" si="415"/>
        <v>0</v>
      </c>
      <c r="CC284" s="16">
        <f t="shared" si="415"/>
        <v>0</v>
      </c>
      <c r="CD284" s="16">
        <f t="shared" si="415"/>
        <v>0</v>
      </c>
      <c r="CE284" s="16">
        <f t="shared" si="415"/>
        <v>0</v>
      </c>
      <c r="CF284" s="16">
        <f t="shared" si="415"/>
        <v>0</v>
      </c>
      <c r="CG284" s="16">
        <f t="shared" si="415"/>
        <v>0</v>
      </c>
      <c r="CH284" s="16">
        <f t="shared" si="415"/>
        <v>0</v>
      </c>
      <c r="CI284" s="16">
        <f t="shared" si="415"/>
        <v>0</v>
      </c>
      <c r="CJ284" s="16">
        <f t="shared" si="415"/>
        <v>0</v>
      </c>
      <c r="CK284" s="16">
        <f t="shared" si="415"/>
        <v>0</v>
      </c>
      <c r="CL284" s="16">
        <f t="shared" si="415"/>
        <v>0</v>
      </c>
      <c r="CM284" s="16">
        <f t="shared" si="415"/>
        <v>0</v>
      </c>
      <c r="CN284" s="16">
        <f t="shared" si="415"/>
        <v>0</v>
      </c>
      <c r="CO284" s="16">
        <f t="shared" si="415"/>
        <v>0</v>
      </c>
      <c r="CP284" s="16">
        <f t="shared" si="415"/>
        <v>0</v>
      </c>
      <c r="CQ284" s="16">
        <f t="shared" si="415"/>
        <v>0</v>
      </c>
      <c r="CR284" s="16">
        <f t="shared" si="415"/>
        <v>0</v>
      </c>
      <c r="CS284" s="16">
        <f t="shared" si="415"/>
        <v>0</v>
      </c>
      <c r="CT284" s="16">
        <f t="shared" si="415"/>
        <v>0</v>
      </c>
      <c r="CU284" s="17">
        <f t="shared" si="415"/>
        <v>0</v>
      </c>
      <c r="CV284" s="38"/>
    </row>
    <row r="285" spans="1:100" ht="15.75" x14ac:dyDescent="0.25">
      <c r="A285" s="13" t="s">
        <v>1</v>
      </c>
      <c r="B285" s="14" t="s">
        <v>1</v>
      </c>
      <c r="C285" s="14" t="s">
        <v>306</v>
      </c>
      <c r="D285" s="30" t="s">
        <v>305</v>
      </c>
      <c r="E285" s="15">
        <f>SUM(F285+BY285+CR285)</f>
        <v>4776987</v>
      </c>
      <c r="F285" s="16">
        <f>SUM(G285+BA285)</f>
        <v>4776987</v>
      </c>
      <c r="G285" s="16">
        <f>SUM(H285+I285+J285+Q285+T285+U285+V285+AE285)</f>
        <v>0</v>
      </c>
      <c r="H285" s="16">
        <v>0</v>
      </c>
      <c r="I285" s="16">
        <v>0</v>
      </c>
      <c r="J285" s="16">
        <f t="shared" ref="J285:J297" si="416">SUM(K285:P285)</f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f t="shared" ref="Q285:Q297" si="417">SUM(R285:S285)</f>
        <v>0</v>
      </c>
      <c r="R285" s="16">
        <v>0</v>
      </c>
      <c r="S285" s="16">
        <v>0</v>
      </c>
      <c r="T285" s="16">
        <v>0</v>
      </c>
      <c r="U285" s="16">
        <v>0</v>
      </c>
      <c r="V285" s="16">
        <f>SUM(W285:AD285)</f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16">
        <v>0</v>
      </c>
      <c r="AE285" s="16">
        <f>SUM(AF285:AZ285)</f>
        <v>0</v>
      </c>
      <c r="AF285" s="16">
        <v>0</v>
      </c>
      <c r="AG285" s="16">
        <v>0</v>
      </c>
      <c r="AH285" s="16">
        <v>0</v>
      </c>
      <c r="AI285" s="16">
        <v>0</v>
      </c>
      <c r="AJ285" s="16">
        <v>0</v>
      </c>
      <c r="AK285" s="16">
        <v>0</v>
      </c>
      <c r="AL285" s="16">
        <v>0</v>
      </c>
      <c r="AM285" s="16">
        <v>0</v>
      </c>
      <c r="AN285" s="16">
        <v>0</v>
      </c>
      <c r="AO285" s="16">
        <v>0</v>
      </c>
      <c r="AP285" s="16">
        <v>0</v>
      </c>
      <c r="AQ285" s="16">
        <v>0</v>
      </c>
      <c r="AR285" s="16">
        <v>0</v>
      </c>
      <c r="AS285" s="16">
        <v>0</v>
      </c>
      <c r="AT285" s="16">
        <v>0</v>
      </c>
      <c r="AU285" s="16">
        <v>0</v>
      </c>
      <c r="AV285" s="16">
        <v>0</v>
      </c>
      <c r="AW285" s="16">
        <v>0</v>
      </c>
      <c r="AX285" s="16">
        <v>0</v>
      </c>
      <c r="AY285" s="16">
        <v>0</v>
      </c>
      <c r="AZ285" s="16">
        <v>0</v>
      </c>
      <c r="BA285" s="16">
        <f>SUM(BB285+BF285+BI285+BK285+BM285)</f>
        <v>4776987</v>
      </c>
      <c r="BB285" s="16">
        <f>SUM(BC285:BE285)</f>
        <v>0</v>
      </c>
      <c r="BC285" s="16">
        <v>0</v>
      </c>
      <c r="BD285" s="16">
        <v>0</v>
      </c>
      <c r="BE285" s="16">
        <v>0</v>
      </c>
      <c r="BF285" s="16">
        <f t="shared" ref="BF285:BF297" si="418">SUM(BG285:BH285)</f>
        <v>4776987</v>
      </c>
      <c r="BG285" s="16">
        <v>0</v>
      </c>
      <c r="BH285" s="16">
        <f>6578160+549620-2350793</f>
        <v>4776987</v>
      </c>
      <c r="BI285" s="16">
        <v>0</v>
      </c>
      <c r="BJ285" s="16">
        <v>0</v>
      </c>
      <c r="BK285" s="16">
        <f t="shared" ref="BK285:BK297" si="419">SUM(BL285)</f>
        <v>0</v>
      </c>
      <c r="BL285" s="16">
        <v>0</v>
      </c>
      <c r="BM285" s="16">
        <f t="shared" ref="BM285:BM297" si="420">SUM(BN285:BX285)</f>
        <v>0</v>
      </c>
      <c r="BN285" s="16">
        <v>0</v>
      </c>
      <c r="BO285" s="16">
        <v>0</v>
      </c>
      <c r="BP285" s="16">
        <v>0</v>
      </c>
      <c r="BQ285" s="16">
        <v>0</v>
      </c>
      <c r="BR285" s="16">
        <v>0</v>
      </c>
      <c r="BS285" s="16">
        <v>0</v>
      </c>
      <c r="BT285" s="16">
        <v>0</v>
      </c>
      <c r="BU285" s="16">
        <v>0</v>
      </c>
      <c r="BV285" s="16">
        <v>0</v>
      </c>
      <c r="BW285" s="16">
        <v>0</v>
      </c>
      <c r="BX285" s="16">
        <v>0</v>
      </c>
      <c r="BY285" s="16">
        <f>SUM(BZ285+CQ285)</f>
        <v>0</v>
      </c>
      <c r="BZ285" s="16">
        <f>SUM(CA285+CD285+CJ285)</f>
        <v>0</v>
      </c>
      <c r="CA285" s="16">
        <f t="shared" ref="CA285:CA297" si="421">SUM(CB285:CC285)</f>
        <v>0</v>
      </c>
      <c r="CB285" s="16">
        <v>0</v>
      </c>
      <c r="CC285" s="16">
        <v>0</v>
      </c>
      <c r="CD285" s="16">
        <f>SUM(CE285:CH285)</f>
        <v>0</v>
      </c>
      <c r="CE285" s="16">
        <v>0</v>
      </c>
      <c r="CF285" s="16">
        <v>0</v>
      </c>
      <c r="CG285" s="16">
        <v>0</v>
      </c>
      <c r="CH285" s="16">
        <v>0</v>
      </c>
      <c r="CI285" s="16">
        <v>0</v>
      </c>
      <c r="CJ285" s="16">
        <f>SUM(CK285:CN285)</f>
        <v>0</v>
      </c>
      <c r="CK285" s="16">
        <v>0</v>
      </c>
      <c r="CL285" s="16">
        <v>0</v>
      </c>
      <c r="CM285" s="16">
        <v>0</v>
      </c>
      <c r="CN285" s="16">
        <v>0</v>
      </c>
      <c r="CO285" s="16">
        <v>0</v>
      </c>
      <c r="CP285" s="16">
        <v>0</v>
      </c>
      <c r="CQ285" s="16">
        <v>0</v>
      </c>
      <c r="CR285" s="16">
        <f t="shared" ref="CR285:CR297" si="422">SUM(CS285)</f>
        <v>0</v>
      </c>
      <c r="CS285" s="16">
        <f t="shared" ref="CS285:CS297" si="423">SUM(CT285:CU285)</f>
        <v>0</v>
      </c>
      <c r="CT285" s="16">
        <v>0</v>
      </c>
      <c r="CU285" s="17">
        <v>0</v>
      </c>
      <c r="CV285" s="38"/>
    </row>
    <row r="286" spans="1:100" ht="31.5" x14ac:dyDescent="0.25">
      <c r="A286" s="13" t="s">
        <v>304</v>
      </c>
      <c r="B286" s="14" t="s">
        <v>47</v>
      </c>
      <c r="C286" s="14" t="s">
        <v>1</v>
      </c>
      <c r="D286" s="30" t="s">
        <v>307</v>
      </c>
      <c r="E286" s="15">
        <f t="shared" ref="E286:AJ286" si="424">SUM(E287)</f>
        <v>65101615</v>
      </c>
      <c r="F286" s="16">
        <f t="shared" si="424"/>
        <v>61979819</v>
      </c>
      <c r="G286" s="16">
        <f t="shared" si="424"/>
        <v>52166538</v>
      </c>
      <c r="H286" s="16">
        <f t="shared" si="424"/>
        <v>31069811</v>
      </c>
      <c r="I286" s="16">
        <f t="shared" si="424"/>
        <v>754957</v>
      </c>
      <c r="J286" s="16">
        <f t="shared" si="424"/>
        <v>4327908</v>
      </c>
      <c r="K286" s="16">
        <f t="shared" si="424"/>
        <v>312484</v>
      </c>
      <c r="L286" s="16">
        <f t="shared" si="424"/>
        <v>1083970</v>
      </c>
      <c r="M286" s="16">
        <f t="shared" si="424"/>
        <v>0</v>
      </c>
      <c r="N286" s="16">
        <f t="shared" si="424"/>
        <v>16000</v>
      </c>
      <c r="O286" s="16">
        <f t="shared" si="424"/>
        <v>2042994</v>
      </c>
      <c r="P286" s="16">
        <f t="shared" si="424"/>
        <v>872460</v>
      </c>
      <c r="Q286" s="16">
        <f t="shared" si="424"/>
        <v>70827</v>
      </c>
      <c r="R286" s="16">
        <f t="shared" si="424"/>
        <v>14057</v>
      </c>
      <c r="S286" s="16">
        <f t="shared" si="424"/>
        <v>56770</v>
      </c>
      <c r="T286" s="16">
        <f t="shared" si="424"/>
        <v>8000</v>
      </c>
      <c r="U286" s="16">
        <f t="shared" si="424"/>
        <v>389546</v>
      </c>
      <c r="V286" s="16">
        <f t="shared" si="424"/>
        <v>1129867</v>
      </c>
      <c r="W286" s="16">
        <f t="shared" si="424"/>
        <v>65088</v>
      </c>
      <c r="X286" s="16">
        <f t="shared" si="424"/>
        <v>3921</v>
      </c>
      <c r="Y286" s="16">
        <f t="shared" si="424"/>
        <v>883977</v>
      </c>
      <c r="Z286" s="16">
        <f t="shared" si="424"/>
        <v>58735</v>
      </c>
      <c r="AA286" s="16">
        <f t="shared" si="424"/>
        <v>62560</v>
      </c>
      <c r="AB286" s="16">
        <f t="shared" si="424"/>
        <v>0</v>
      </c>
      <c r="AC286" s="16">
        <f t="shared" si="424"/>
        <v>0</v>
      </c>
      <c r="AD286" s="16">
        <f t="shared" si="424"/>
        <v>55586</v>
      </c>
      <c r="AE286" s="16">
        <f t="shared" si="424"/>
        <v>14415622</v>
      </c>
      <c r="AF286" s="16">
        <f t="shared" si="424"/>
        <v>0</v>
      </c>
      <c r="AG286" s="16">
        <f t="shared" si="424"/>
        <v>138947</v>
      </c>
      <c r="AH286" s="16">
        <f t="shared" si="424"/>
        <v>136162</v>
      </c>
      <c r="AI286" s="16">
        <f t="shared" si="424"/>
        <v>0</v>
      </c>
      <c r="AJ286" s="16">
        <f t="shared" si="424"/>
        <v>6320</v>
      </c>
      <c r="AK286" s="16">
        <f t="shared" ref="AK286:BR286" si="425">SUM(AK287)</f>
        <v>29485</v>
      </c>
      <c r="AL286" s="16">
        <f t="shared" si="425"/>
        <v>1173</v>
      </c>
      <c r="AM286" s="16">
        <f t="shared" si="425"/>
        <v>27631</v>
      </c>
      <c r="AN286" s="16">
        <f t="shared" si="425"/>
        <v>14550</v>
      </c>
      <c r="AO286" s="16">
        <f t="shared" si="425"/>
        <v>0</v>
      </c>
      <c r="AP286" s="16">
        <f t="shared" si="425"/>
        <v>0</v>
      </c>
      <c r="AQ286" s="16">
        <f t="shared" si="425"/>
        <v>0</v>
      </c>
      <c r="AR286" s="16">
        <f t="shared" si="425"/>
        <v>0</v>
      </c>
      <c r="AS286" s="16">
        <f t="shared" si="425"/>
        <v>0</v>
      </c>
      <c r="AT286" s="16">
        <f t="shared" si="425"/>
        <v>0</v>
      </c>
      <c r="AU286" s="16">
        <f t="shared" si="425"/>
        <v>0</v>
      </c>
      <c r="AV286" s="16">
        <f t="shared" si="425"/>
        <v>0</v>
      </c>
      <c r="AW286" s="16">
        <f t="shared" si="425"/>
        <v>8608087</v>
      </c>
      <c r="AX286" s="16">
        <f t="shared" si="425"/>
        <v>0</v>
      </c>
      <c r="AY286" s="16">
        <f t="shared" si="425"/>
        <v>268851</v>
      </c>
      <c r="AZ286" s="16">
        <f t="shared" si="425"/>
        <v>5184416</v>
      </c>
      <c r="BA286" s="16">
        <f t="shared" si="425"/>
        <v>9813281</v>
      </c>
      <c r="BB286" s="16">
        <f t="shared" si="425"/>
        <v>0</v>
      </c>
      <c r="BC286" s="16">
        <f t="shared" si="425"/>
        <v>0</v>
      </c>
      <c r="BD286" s="16">
        <f t="shared" si="425"/>
        <v>0</v>
      </c>
      <c r="BE286" s="16">
        <f t="shared" si="425"/>
        <v>0</v>
      </c>
      <c r="BF286" s="16">
        <f t="shared" si="425"/>
        <v>0</v>
      </c>
      <c r="BG286" s="16">
        <f t="shared" si="425"/>
        <v>0</v>
      </c>
      <c r="BH286" s="16">
        <f t="shared" si="425"/>
        <v>0</v>
      </c>
      <c r="BI286" s="16">
        <f t="shared" si="425"/>
        <v>0</v>
      </c>
      <c r="BJ286" s="16">
        <f t="shared" si="425"/>
        <v>0</v>
      </c>
      <c r="BK286" s="16">
        <f t="shared" si="425"/>
        <v>0</v>
      </c>
      <c r="BL286" s="16">
        <f t="shared" si="425"/>
        <v>0</v>
      </c>
      <c r="BM286" s="16">
        <f t="shared" si="425"/>
        <v>9813281</v>
      </c>
      <c r="BN286" s="16">
        <f t="shared" si="425"/>
        <v>0</v>
      </c>
      <c r="BO286" s="16">
        <f t="shared" si="425"/>
        <v>0</v>
      </c>
      <c r="BP286" s="16">
        <f t="shared" si="425"/>
        <v>0</v>
      </c>
      <c r="BQ286" s="16">
        <f t="shared" si="425"/>
        <v>0</v>
      </c>
      <c r="BR286" s="16">
        <f t="shared" si="425"/>
        <v>0</v>
      </c>
      <c r="BS286" s="16">
        <f t="shared" ref="BS286:CU286" si="426">SUM(BS287)</f>
        <v>0</v>
      </c>
      <c r="BT286" s="16">
        <f t="shared" si="426"/>
        <v>0</v>
      </c>
      <c r="BU286" s="16">
        <f t="shared" si="426"/>
        <v>0</v>
      </c>
      <c r="BV286" s="16">
        <f t="shared" si="426"/>
        <v>0</v>
      </c>
      <c r="BW286" s="16">
        <f t="shared" si="426"/>
        <v>915294</v>
      </c>
      <c r="BX286" s="16">
        <f t="shared" si="426"/>
        <v>8897987</v>
      </c>
      <c r="BY286" s="16">
        <f t="shared" si="426"/>
        <v>3121796</v>
      </c>
      <c r="BZ286" s="16">
        <f t="shared" si="426"/>
        <v>3121796</v>
      </c>
      <c r="CA286" s="16">
        <f t="shared" si="426"/>
        <v>2071748</v>
      </c>
      <c r="CB286" s="16">
        <f t="shared" si="426"/>
        <v>0</v>
      </c>
      <c r="CC286" s="16">
        <f t="shared" si="426"/>
        <v>2071748</v>
      </c>
      <c r="CD286" s="16">
        <f t="shared" si="426"/>
        <v>569664</v>
      </c>
      <c r="CE286" s="16">
        <f t="shared" si="426"/>
        <v>0</v>
      </c>
      <c r="CF286" s="16">
        <f t="shared" si="426"/>
        <v>0</v>
      </c>
      <c r="CG286" s="16">
        <f t="shared" si="426"/>
        <v>329397</v>
      </c>
      <c r="CH286" s="16">
        <f t="shared" si="426"/>
        <v>0</v>
      </c>
      <c r="CI286" s="16">
        <f t="shared" si="426"/>
        <v>240267</v>
      </c>
      <c r="CJ286" s="16">
        <f t="shared" si="426"/>
        <v>480384</v>
      </c>
      <c r="CK286" s="16">
        <f t="shared" si="426"/>
        <v>0</v>
      </c>
      <c r="CL286" s="16">
        <f t="shared" si="426"/>
        <v>250000</v>
      </c>
      <c r="CM286" s="16">
        <f t="shared" si="426"/>
        <v>230384</v>
      </c>
      <c r="CN286" s="16">
        <f t="shared" si="426"/>
        <v>0</v>
      </c>
      <c r="CO286" s="16">
        <f t="shared" si="426"/>
        <v>0</v>
      </c>
      <c r="CP286" s="16">
        <f t="shared" si="426"/>
        <v>0</v>
      </c>
      <c r="CQ286" s="16">
        <f t="shared" si="426"/>
        <v>0</v>
      </c>
      <c r="CR286" s="16">
        <f t="shared" si="426"/>
        <v>0</v>
      </c>
      <c r="CS286" s="16">
        <f t="shared" si="426"/>
        <v>0</v>
      </c>
      <c r="CT286" s="16">
        <f t="shared" si="426"/>
        <v>0</v>
      </c>
      <c r="CU286" s="17">
        <f t="shared" si="426"/>
        <v>0</v>
      </c>
      <c r="CV286" s="38"/>
    </row>
    <row r="287" spans="1:100" ht="31.5" x14ac:dyDescent="0.25">
      <c r="A287" s="13" t="s">
        <v>1</v>
      </c>
      <c r="B287" s="14" t="s">
        <v>1</v>
      </c>
      <c r="C287" s="14" t="s">
        <v>211</v>
      </c>
      <c r="D287" s="30" t="s">
        <v>307</v>
      </c>
      <c r="E287" s="15">
        <f>SUM(F287+BY287+CR287)</f>
        <v>65101615</v>
      </c>
      <c r="F287" s="16">
        <f>SUM(G287+BA287)</f>
        <v>61979819</v>
      </c>
      <c r="G287" s="16">
        <f>SUM(H287+I287+J287+Q287+T287+U287+V287+AE287)</f>
        <v>52166538</v>
      </c>
      <c r="H287" s="16">
        <f>32048779-1601968+623000</f>
        <v>31069811</v>
      </c>
      <c r="I287" s="16">
        <f>1218144-463187</f>
        <v>754957</v>
      </c>
      <c r="J287" s="16">
        <f t="shared" si="416"/>
        <v>4327908</v>
      </c>
      <c r="K287" s="16">
        <f>77600+60384+174500</f>
        <v>312484</v>
      </c>
      <c r="L287" s="16">
        <f>1720316-636346</f>
        <v>1083970</v>
      </c>
      <c r="M287" s="16">
        <v>0</v>
      </c>
      <c r="N287" s="16">
        <f>38102-22102</f>
        <v>16000</v>
      </c>
      <c r="O287" s="16">
        <f>2357171-596476+282299</f>
        <v>2042994</v>
      </c>
      <c r="P287" s="16">
        <f>1189729-317269</f>
        <v>872460</v>
      </c>
      <c r="Q287" s="16">
        <f t="shared" si="417"/>
        <v>70827</v>
      </c>
      <c r="R287" s="16">
        <f>5073+8984</f>
        <v>14057</v>
      </c>
      <c r="S287" s="16">
        <f>248321-191551</f>
        <v>56770</v>
      </c>
      <c r="T287" s="16">
        <f>12820-4820</f>
        <v>8000</v>
      </c>
      <c r="U287" s="16">
        <f>475143-85597</f>
        <v>389546</v>
      </c>
      <c r="V287" s="16">
        <f>SUM(W287:AD287)</f>
        <v>1129867</v>
      </c>
      <c r="W287" s="16">
        <f>94170-29082</f>
        <v>65088</v>
      </c>
      <c r="X287" s="16">
        <f>3876+45</f>
        <v>3921</v>
      </c>
      <c r="Y287" s="16">
        <f>834175+49802</f>
        <v>883977</v>
      </c>
      <c r="Z287" s="16">
        <f>50032+8703</f>
        <v>58735</v>
      </c>
      <c r="AA287" s="16">
        <f>86169-23609</f>
        <v>62560</v>
      </c>
      <c r="AB287" s="16">
        <v>0</v>
      </c>
      <c r="AC287" s="16">
        <v>0</v>
      </c>
      <c r="AD287" s="16">
        <f>53085+2501</f>
        <v>55586</v>
      </c>
      <c r="AE287" s="16">
        <f>SUM(AF287:AZ287)</f>
        <v>14415622</v>
      </c>
      <c r="AF287" s="16">
        <v>0</v>
      </c>
      <c r="AG287" s="16">
        <f>181187-61051+18811</f>
        <v>138947</v>
      </c>
      <c r="AH287" s="16">
        <f>414761-278599</f>
        <v>136162</v>
      </c>
      <c r="AI287" s="16">
        <v>0</v>
      </c>
      <c r="AJ287" s="16">
        <f>22086-15766</f>
        <v>6320</v>
      </c>
      <c r="AK287" s="16">
        <f>107095-77610</f>
        <v>29485</v>
      </c>
      <c r="AL287" s="16">
        <f>320488-319315</f>
        <v>1173</v>
      </c>
      <c r="AM287" s="16">
        <f>28450+4-827+4</f>
        <v>27631</v>
      </c>
      <c r="AN287" s="16">
        <v>14550</v>
      </c>
      <c r="AO287" s="16">
        <v>0</v>
      </c>
      <c r="AP287" s="16">
        <v>0</v>
      </c>
      <c r="AQ287" s="16">
        <v>0</v>
      </c>
      <c r="AR287" s="16">
        <v>0</v>
      </c>
      <c r="AS287" s="16">
        <v>0</v>
      </c>
      <c r="AT287" s="16">
        <v>0</v>
      </c>
      <c r="AU287" s="16">
        <v>0</v>
      </c>
      <c r="AV287" s="16">
        <v>0</v>
      </c>
      <c r="AW287" s="16">
        <f>0+9231087-623000</f>
        <v>8608087</v>
      </c>
      <c r="AX287" s="16">
        <v>0</v>
      </c>
      <c r="AY287" s="16">
        <f>0+268851</f>
        <v>268851</v>
      </c>
      <c r="AZ287" s="16">
        <f>6693110-4-1508686-4</f>
        <v>5184416</v>
      </c>
      <c r="BA287" s="16">
        <f>SUM(BB287+BF287+BI287+BK287+BM287)</f>
        <v>9813281</v>
      </c>
      <c r="BB287" s="16">
        <f>SUM(BC287:BE287)</f>
        <v>0</v>
      </c>
      <c r="BC287" s="16">
        <v>0</v>
      </c>
      <c r="BD287" s="16">
        <v>0</v>
      </c>
      <c r="BE287" s="16">
        <v>0</v>
      </c>
      <c r="BF287" s="16">
        <f t="shared" si="418"/>
        <v>0</v>
      </c>
      <c r="BG287" s="16">
        <v>0</v>
      </c>
      <c r="BH287" s="16">
        <v>0</v>
      </c>
      <c r="BI287" s="16">
        <v>0</v>
      </c>
      <c r="BJ287" s="16">
        <v>0</v>
      </c>
      <c r="BK287" s="16">
        <f t="shared" si="419"/>
        <v>0</v>
      </c>
      <c r="BL287" s="16">
        <v>0</v>
      </c>
      <c r="BM287" s="16">
        <f t="shared" si="420"/>
        <v>9813281</v>
      </c>
      <c r="BN287" s="16">
        <v>0</v>
      </c>
      <c r="BO287" s="16">
        <v>0</v>
      </c>
      <c r="BP287" s="16">
        <v>0</v>
      </c>
      <c r="BQ287" s="16">
        <v>0</v>
      </c>
      <c r="BR287" s="16">
        <v>0</v>
      </c>
      <c r="BS287" s="16">
        <v>0</v>
      </c>
      <c r="BT287" s="16">
        <v>0</v>
      </c>
      <c r="BU287" s="16">
        <v>0</v>
      </c>
      <c r="BV287" s="16">
        <v>0</v>
      </c>
      <c r="BW287" s="16">
        <f>1060010-144716</f>
        <v>915294</v>
      </c>
      <c r="BX287" s="16">
        <f>18579386-9681399</f>
        <v>8897987</v>
      </c>
      <c r="BY287" s="16">
        <f>SUM(BZ287+CQ287)</f>
        <v>3121796</v>
      </c>
      <c r="BZ287" s="16">
        <f>SUM(CA287+CD287+CJ287)</f>
        <v>3121796</v>
      </c>
      <c r="CA287" s="16">
        <f t="shared" si="421"/>
        <v>2071748</v>
      </c>
      <c r="CB287" s="16">
        <v>0</v>
      </c>
      <c r="CC287" s="16">
        <f>3106000-751959-282299+6</f>
        <v>2071748</v>
      </c>
      <c r="CD287" s="16">
        <f>SUM(CE287:CI287)</f>
        <v>569664</v>
      </c>
      <c r="CE287" s="16">
        <v>0</v>
      </c>
      <c r="CF287" s="16">
        <v>0</v>
      </c>
      <c r="CG287" s="16">
        <f>656654-327257</f>
        <v>329397</v>
      </c>
      <c r="CH287" s="16">
        <v>0</v>
      </c>
      <c r="CI287" s="16">
        <f>0+240267</f>
        <v>240267</v>
      </c>
      <c r="CJ287" s="16">
        <f>SUM(CK287:CN287)</f>
        <v>480384</v>
      </c>
      <c r="CK287" s="16">
        <v>0</v>
      </c>
      <c r="CL287" s="16">
        <f>0+250000</f>
        <v>250000</v>
      </c>
      <c r="CM287" s="16">
        <f>0+230384</f>
        <v>230384</v>
      </c>
      <c r="CN287" s="16">
        <v>0</v>
      </c>
      <c r="CO287" s="16">
        <v>0</v>
      </c>
      <c r="CP287" s="16">
        <v>0</v>
      </c>
      <c r="CQ287" s="16">
        <v>0</v>
      </c>
      <c r="CR287" s="16">
        <f t="shared" si="422"/>
        <v>0</v>
      </c>
      <c r="CS287" s="16">
        <f t="shared" si="423"/>
        <v>0</v>
      </c>
      <c r="CT287" s="16">
        <v>0</v>
      </c>
      <c r="CU287" s="17">
        <v>0</v>
      </c>
      <c r="CV287" s="38"/>
    </row>
    <row r="288" spans="1:100" ht="15.75" x14ac:dyDescent="0.25">
      <c r="A288" s="13" t="s">
        <v>304</v>
      </c>
      <c r="B288" s="14" t="s">
        <v>50</v>
      </c>
      <c r="C288" s="14" t="s">
        <v>1</v>
      </c>
      <c r="D288" s="30" t="s">
        <v>547</v>
      </c>
      <c r="E288" s="15">
        <f t="shared" ref="E288:AJ290" si="427">SUM(E289)</f>
        <v>146904</v>
      </c>
      <c r="F288" s="16">
        <f t="shared" si="427"/>
        <v>0</v>
      </c>
      <c r="G288" s="16">
        <f t="shared" si="427"/>
        <v>0</v>
      </c>
      <c r="H288" s="16">
        <f t="shared" si="427"/>
        <v>0</v>
      </c>
      <c r="I288" s="16">
        <f t="shared" si="427"/>
        <v>0</v>
      </c>
      <c r="J288" s="16">
        <f t="shared" si="427"/>
        <v>0</v>
      </c>
      <c r="K288" s="16">
        <f t="shared" si="427"/>
        <v>0</v>
      </c>
      <c r="L288" s="16">
        <f t="shared" si="427"/>
        <v>0</v>
      </c>
      <c r="M288" s="16">
        <f t="shared" si="427"/>
        <v>0</v>
      </c>
      <c r="N288" s="16">
        <f t="shared" si="427"/>
        <v>0</v>
      </c>
      <c r="O288" s="16">
        <f t="shared" si="427"/>
        <v>0</v>
      </c>
      <c r="P288" s="16">
        <f t="shared" si="427"/>
        <v>0</v>
      </c>
      <c r="Q288" s="16">
        <f t="shared" si="427"/>
        <v>0</v>
      </c>
      <c r="R288" s="16">
        <f t="shared" si="427"/>
        <v>0</v>
      </c>
      <c r="S288" s="16">
        <f t="shared" si="427"/>
        <v>0</v>
      </c>
      <c r="T288" s="16">
        <f t="shared" si="427"/>
        <v>0</v>
      </c>
      <c r="U288" s="16">
        <f t="shared" si="427"/>
        <v>0</v>
      </c>
      <c r="V288" s="16">
        <f t="shared" si="427"/>
        <v>0</v>
      </c>
      <c r="W288" s="16">
        <f t="shared" si="427"/>
        <v>0</v>
      </c>
      <c r="X288" s="16">
        <f t="shared" si="427"/>
        <v>0</v>
      </c>
      <c r="Y288" s="16">
        <f t="shared" si="427"/>
        <v>0</v>
      </c>
      <c r="Z288" s="16">
        <f t="shared" si="427"/>
        <v>0</v>
      </c>
      <c r="AA288" s="16">
        <f t="shared" si="427"/>
        <v>0</v>
      </c>
      <c r="AB288" s="16">
        <f t="shared" si="427"/>
        <v>0</v>
      </c>
      <c r="AC288" s="16">
        <f t="shared" si="427"/>
        <v>0</v>
      </c>
      <c r="AD288" s="16">
        <f t="shared" si="427"/>
        <v>0</v>
      </c>
      <c r="AE288" s="16">
        <f t="shared" si="427"/>
        <v>0</v>
      </c>
      <c r="AF288" s="16">
        <f t="shared" si="427"/>
        <v>0</v>
      </c>
      <c r="AG288" s="16">
        <f t="shared" si="427"/>
        <v>0</v>
      </c>
      <c r="AH288" s="16">
        <f t="shared" si="427"/>
        <v>0</v>
      </c>
      <c r="AI288" s="16">
        <f t="shared" si="427"/>
        <v>0</v>
      </c>
      <c r="AJ288" s="16">
        <f t="shared" si="427"/>
        <v>0</v>
      </c>
      <c r="AK288" s="16">
        <f t="shared" ref="AK288:BR290" si="428">SUM(AK289)</f>
        <v>0</v>
      </c>
      <c r="AL288" s="16">
        <f t="shared" si="428"/>
        <v>0</v>
      </c>
      <c r="AM288" s="16">
        <f t="shared" si="428"/>
        <v>0</v>
      </c>
      <c r="AN288" s="16">
        <f t="shared" si="428"/>
        <v>0</v>
      </c>
      <c r="AO288" s="16">
        <f t="shared" si="428"/>
        <v>0</v>
      </c>
      <c r="AP288" s="16">
        <f t="shared" si="428"/>
        <v>0</v>
      </c>
      <c r="AQ288" s="16">
        <f t="shared" si="428"/>
        <v>0</v>
      </c>
      <c r="AR288" s="16">
        <f t="shared" si="428"/>
        <v>0</v>
      </c>
      <c r="AS288" s="16">
        <f t="shared" si="428"/>
        <v>0</v>
      </c>
      <c r="AT288" s="16">
        <f t="shared" si="428"/>
        <v>0</v>
      </c>
      <c r="AU288" s="16">
        <f t="shared" si="428"/>
        <v>0</v>
      </c>
      <c r="AV288" s="16">
        <f t="shared" si="428"/>
        <v>0</v>
      </c>
      <c r="AW288" s="16">
        <f t="shared" si="428"/>
        <v>0</v>
      </c>
      <c r="AX288" s="16">
        <f t="shared" si="428"/>
        <v>0</v>
      </c>
      <c r="AY288" s="16">
        <f t="shared" si="428"/>
        <v>0</v>
      </c>
      <c r="AZ288" s="16">
        <f t="shared" si="428"/>
        <v>0</v>
      </c>
      <c r="BA288" s="16">
        <f t="shared" si="428"/>
        <v>0</v>
      </c>
      <c r="BB288" s="16">
        <f t="shared" si="428"/>
        <v>0</v>
      </c>
      <c r="BC288" s="16">
        <f t="shared" si="428"/>
        <v>0</v>
      </c>
      <c r="BD288" s="16">
        <f t="shared" si="428"/>
        <v>0</v>
      </c>
      <c r="BE288" s="16">
        <f t="shared" si="428"/>
        <v>0</v>
      </c>
      <c r="BF288" s="16">
        <f t="shared" si="428"/>
        <v>0</v>
      </c>
      <c r="BG288" s="16">
        <f t="shared" si="428"/>
        <v>0</v>
      </c>
      <c r="BH288" s="16">
        <f t="shared" si="428"/>
        <v>0</v>
      </c>
      <c r="BI288" s="16">
        <f t="shared" si="428"/>
        <v>0</v>
      </c>
      <c r="BJ288" s="16">
        <f t="shared" si="428"/>
        <v>0</v>
      </c>
      <c r="BK288" s="16">
        <f t="shared" si="428"/>
        <v>0</v>
      </c>
      <c r="BL288" s="16">
        <f t="shared" si="428"/>
        <v>0</v>
      </c>
      <c r="BM288" s="16">
        <f t="shared" si="428"/>
        <v>0</v>
      </c>
      <c r="BN288" s="16">
        <f t="shared" si="428"/>
        <v>0</v>
      </c>
      <c r="BO288" s="16">
        <f t="shared" si="428"/>
        <v>0</v>
      </c>
      <c r="BP288" s="16">
        <f t="shared" si="428"/>
        <v>0</v>
      </c>
      <c r="BQ288" s="16">
        <f t="shared" si="428"/>
        <v>0</v>
      </c>
      <c r="BR288" s="16">
        <f t="shared" si="428"/>
        <v>0</v>
      </c>
      <c r="BS288" s="16">
        <f t="shared" ref="BS288:CU290" si="429">SUM(BS289)</f>
        <v>0</v>
      </c>
      <c r="BT288" s="16">
        <f t="shared" si="429"/>
        <v>0</v>
      </c>
      <c r="BU288" s="16">
        <f t="shared" si="429"/>
        <v>0</v>
      </c>
      <c r="BV288" s="16">
        <f t="shared" si="429"/>
        <v>0</v>
      </c>
      <c r="BW288" s="16">
        <f t="shared" si="429"/>
        <v>0</v>
      </c>
      <c r="BX288" s="16">
        <f t="shared" si="429"/>
        <v>0</v>
      </c>
      <c r="BY288" s="16">
        <f t="shared" si="429"/>
        <v>146904</v>
      </c>
      <c r="BZ288" s="16">
        <f t="shared" si="429"/>
        <v>0</v>
      </c>
      <c r="CA288" s="16">
        <f t="shared" si="429"/>
        <v>0</v>
      </c>
      <c r="CB288" s="16">
        <f t="shared" si="429"/>
        <v>0</v>
      </c>
      <c r="CC288" s="16">
        <f t="shared" si="429"/>
        <v>0</v>
      </c>
      <c r="CD288" s="16">
        <f t="shared" si="429"/>
        <v>0</v>
      </c>
      <c r="CE288" s="16">
        <f t="shared" si="429"/>
        <v>0</v>
      </c>
      <c r="CF288" s="16">
        <f t="shared" si="429"/>
        <v>0</v>
      </c>
      <c r="CG288" s="16">
        <f t="shared" si="429"/>
        <v>0</v>
      </c>
      <c r="CH288" s="16">
        <f t="shared" si="429"/>
        <v>0</v>
      </c>
      <c r="CI288" s="16">
        <f t="shared" si="429"/>
        <v>0</v>
      </c>
      <c r="CJ288" s="16">
        <f t="shared" si="429"/>
        <v>0</v>
      </c>
      <c r="CK288" s="16">
        <f t="shared" si="429"/>
        <v>0</v>
      </c>
      <c r="CL288" s="16">
        <f t="shared" si="429"/>
        <v>0</v>
      </c>
      <c r="CM288" s="16">
        <f t="shared" si="429"/>
        <v>0</v>
      </c>
      <c r="CN288" s="16">
        <f t="shared" si="429"/>
        <v>0</v>
      </c>
      <c r="CO288" s="16">
        <f t="shared" si="429"/>
        <v>0</v>
      </c>
      <c r="CP288" s="16">
        <f t="shared" si="429"/>
        <v>0</v>
      </c>
      <c r="CQ288" s="16">
        <f t="shared" si="429"/>
        <v>146904</v>
      </c>
      <c r="CR288" s="16">
        <f t="shared" si="429"/>
        <v>0</v>
      </c>
      <c r="CS288" s="16">
        <f t="shared" si="429"/>
        <v>0</v>
      </c>
      <c r="CT288" s="16">
        <f t="shared" si="429"/>
        <v>0</v>
      </c>
      <c r="CU288" s="17">
        <f t="shared" si="429"/>
        <v>0</v>
      </c>
      <c r="CV288" s="38"/>
    </row>
    <row r="289" spans="1:100" ht="15.75" x14ac:dyDescent="0.25">
      <c r="A289" s="13" t="s">
        <v>1</v>
      </c>
      <c r="B289" s="14" t="s">
        <v>1</v>
      </c>
      <c r="C289" s="14" t="s">
        <v>23</v>
      </c>
      <c r="D289" s="30" t="s">
        <v>547</v>
      </c>
      <c r="E289" s="15">
        <f>SUM(F289+BY289+CR289)</f>
        <v>146904</v>
      </c>
      <c r="F289" s="16">
        <f>SUM(G289+BA289)</f>
        <v>0</v>
      </c>
      <c r="G289" s="16">
        <f>SUM(H289+I289+J289+Q289+T289+U289+V289+AE289)</f>
        <v>0</v>
      </c>
      <c r="H289" s="16">
        <v>0</v>
      </c>
      <c r="I289" s="16">
        <v>0</v>
      </c>
      <c r="J289" s="16">
        <f t="shared" ref="J289" si="430">SUM(K289:P289)</f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f t="shared" ref="Q289" si="431">SUM(R289:S289)</f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f>SUM(W289:AD289)</f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f>SUM(AF289:AZ289)</f>
        <v>0</v>
      </c>
      <c r="AF289" s="16">
        <v>0</v>
      </c>
      <c r="AG289" s="16">
        <v>0</v>
      </c>
      <c r="AH289" s="16">
        <v>0</v>
      </c>
      <c r="AI289" s="16">
        <v>0</v>
      </c>
      <c r="AJ289" s="16">
        <v>0</v>
      </c>
      <c r="AK289" s="16">
        <v>0</v>
      </c>
      <c r="AL289" s="16">
        <v>0</v>
      </c>
      <c r="AM289" s="16">
        <v>0</v>
      </c>
      <c r="AN289" s="16">
        <v>0</v>
      </c>
      <c r="AO289" s="16">
        <v>0</v>
      </c>
      <c r="AP289" s="16">
        <v>0</v>
      </c>
      <c r="AQ289" s="16">
        <v>0</v>
      </c>
      <c r="AR289" s="16">
        <v>0</v>
      </c>
      <c r="AS289" s="16">
        <v>0</v>
      </c>
      <c r="AT289" s="16">
        <v>0</v>
      </c>
      <c r="AU289" s="16">
        <v>0</v>
      </c>
      <c r="AV289" s="16">
        <v>0</v>
      </c>
      <c r="AW289" s="16">
        <v>0</v>
      </c>
      <c r="AX289" s="16">
        <v>0</v>
      </c>
      <c r="AY289" s="16">
        <v>0</v>
      </c>
      <c r="AZ289" s="16">
        <v>0</v>
      </c>
      <c r="BA289" s="16">
        <f>SUM(BB289+BF289+BI289+BK289+BM289)</f>
        <v>0</v>
      </c>
      <c r="BB289" s="16">
        <f>SUM(BC289:BE289)</f>
        <v>0</v>
      </c>
      <c r="BC289" s="16">
        <v>0</v>
      </c>
      <c r="BD289" s="16">
        <v>0</v>
      </c>
      <c r="BE289" s="16">
        <v>0</v>
      </c>
      <c r="BF289" s="16">
        <f t="shared" ref="BF289" si="432">SUM(BG289:BH289)</f>
        <v>0</v>
      </c>
      <c r="BG289" s="16">
        <v>0</v>
      </c>
      <c r="BH289" s="16">
        <v>0</v>
      </c>
      <c r="BI289" s="16">
        <v>0</v>
      </c>
      <c r="BJ289" s="16">
        <v>0</v>
      </c>
      <c r="BK289" s="16">
        <f t="shared" ref="BK289" si="433">SUM(BL289)</f>
        <v>0</v>
      </c>
      <c r="BL289" s="16">
        <v>0</v>
      </c>
      <c r="BM289" s="16">
        <f t="shared" ref="BM289" si="434">SUM(BN289:BX289)</f>
        <v>0</v>
      </c>
      <c r="BN289" s="16">
        <v>0</v>
      </c>
      <c r="BO289" s="16">
        <v>0</v>
      </c>
      <c r="BP289" s="16">
        <v>0</v>
      </c>
      <c r="BQ289" s="16">
        <v>0</v>
      </c>
      <c r="BR289" s="16">
        <v>0</v>
      </c>
      <c r="BS289" s="16">
        <v>0</v>
      </c>
      <c r="BT289" s="16">
        <v>0</v>
      </c>
      <c r="BU289" s="16">
        <v>0</v>
      </c>
      <c r="BV289" s="16">
        <v>0</v>
      </c>
      <c r="BW289" s="16">
        <v>0</v>
      </c>
      <c r="BX289" s="16"/>
      <c r="BY289" s="16">
        <f>SUM(BZ289+CQ289)</f>
        <v>146904</v>
      </c>
      <c r="BZ289" s="16">
        <f>SUM(CA289+CD289+CJ289)</f>
        <v>0</v>
      </c>
      <c r="CA289" s="16">
        <f t="shared" ref="CA289" si="435">SUM(CB289:CC289)</f>
        <v>0</v>
      </c>
      <c r="CB289" s="16">
        <v>0</v>
      </c>
      <c r="CC289" s="16">
        <v>0</v>
      </c>
      <c r="CD289" s="16">
        <f>SUM(CE289:CH289)</f>
        <v>0</v>
      </c>
      <c r="CE289" s="16">
        <v>0</v>
      </c>
      <c r="CF289" s="16">
        <v>0</v>
      </c>
      <c r="CG289" s="16">
        <v>0</v>
      </c>
      <c r="CH289" s="16">
        <v>0</v>
      </c>
      <c r="CI289" s="16">
        <v>0</v>
      </c>
      <c r="CJ289" s="16">
        <f>SUM(CK289:CN289)</f>
        <v>0</v>
      </c>
      <c r="CK289" s="16">
        <v>0</v>
      </c>
      <c r="CL289" s="16">
        <v>0</v>
      </c>
      <c r="CM289" s="16">
        <v>0</v>
      </c>
      <c r="CN289" s="16">
        <v>0</v>
      </c>
      <c r="CO289" s="16">
        <v>0</v>
      </c>
      <c r="CP289" s="16">
        <v>0</v>
      </c>
      <c r="CQ289" s="16">
        <v>146904</v>
      </c>
      <c r="CR289" s="16">
        <f t="shared" ref="CR289" si="436">SUM(CS289)</f>
        <v>0</v>
      </c>
      <c r="CS289" s="16">
        <f t="shared" ref="CS289" si="437">SUM(CT289:CU289)</f>
        <v>0</v>
      </c>
      <c r="CT289" s="16">
        <v>0</v>
      </c>
      <c r="CU289" s="17">
        <v>0</v>
      </c>
      <c r="CV289" s="38"/>
    </row>
    <row r="290" spans="1:100" ht="31.5" x14ac:dyDescent="0.25">
      <c r="A290" s="13" t="s">
        <v>304</v>
      </c>
      <c r="B290" s="14" t="s">
        <v>117</v>
      </c>
      <c r="C290" s="14" t="s">
        <v>1</v>
      </c>
      <c r="D290" s="30" t="s">
        <v>308</v>
      </c>
      <c r="E290" s="15">
        <f t="shared" si="427"/>
        <v>13874419</v>
      </c>
      <c r="F290" s="16">
        <f t="shared" si="427"/>
        <v>13874419</v>
      </c>
      <c r="G290" s="16">
        <f t="shared" si="427"/>
        <v>0</v>
      </c>
      <c r="H290" s="16">
        <f t="shared" si="427"/>
        <v>0</v>
      </c>
      <c r="I290" s="16">
        <f t="shared" si="427"/>
        <v>0</v>
      </c>
      <c r="J290" s="16">
        <f t="shared" si="427"/>
        <v>0</v>
      </c>
      <c r="K290" s="16">
        <f t="shared" si="427"/>
        <v>0</v>
      </c>
      <c r="L290" s="16">
        <f t="shared" si="427"/>
        <v>0</v>
      </c>
      <c r="M290" s="16">
        <f t="shared" si="427"/>
        <v>0</v>
      </c>
      <c r="N290" s="16">
        <f t="shared" si="427"/>
        <v>0</v>
      </c>
      <c r="O290" s="16">
        <f t="shared" si="427"/>
        <v>0</v>
      </c>
      <c r="P290" s="16">
        <f t="shared" si="427"/>
        <v>0</v>
      </c>
      <c r="Q290" s="16">
        <f t="shared" si="427"/>
        <v>0</v>
      </c>
      <c r="R290" s="16">
        <f t="shared" si="427"/>
        <v>0</v>
      </c>
      <c r="S290" s="16">
        <f t="shared" si="427"/>
        <v>0</v>
      </c>
      <c r="T290" s="16">
        <f t="shared" si="427"/>
        <v>0</v>
      </c>
      <c r="U290" s="16">
        <f t="shared" si="427"/>
        <v>0</v>
      </c>
      <c r="V290" s="16">
        <f t="shared" si="427"/>
        <v>0</v>
      </c>
      <c r="W290" s="16">
        <f t="shared" si="427"/>
        <v>0</v>
      </c>
      <c r="X290" s="16">
        <f t="shared" si="427"/>
        <v>0</v>
      </c>
      <c r="Y290" s="16">
        <f t="shared" si="427"/>
        <v>0</v>
      </c>
      <c r="Z290" s="16">
        <f t="shared" si="427"/>
        <v>0</v>
      </c>
      <c r="AA290" s="16">
        <f t="shared" si="427"/>
        <v>0</v>
      </c>
      <c r="AB290" s="16">
        <f t="shared" si="427"/>
        <v>0</v>
      </c>
      <c r="AC290" s="16">
        <f t="shared" si="427"/>
        <v>0</v>
      </c>
      <c r="AD290" s="16">
        <f t="shared" si="427"/>
        <v>0</v>
      </c>
      <c r="AE290" s="16">
        <f t="shared" si="427"/>
        <v>0</v>
      </c>
      <c r="AF290" s="16">
        <f t="shared" si="427"/>
        <v>0</v>
      </c>
      <c r="AG290" s="16">
        <f t="shared" si="427"/>
        <v>0</v>
      </c>
      <c r="AH290" s="16">
        <f t="shared" si="427"/>
        <v>0</v>
      </c>
      <c r="AI290" s="16">
        <f t="shared" si="427"/>
        <v>0</v>
      </c>
      <c r="AJ290" s="16">
        <f t="shared" si="427"/>
        <v>0</v>
      </c>
      <c r="AK290" s="16">
        <f t="shared" si="428"/>
        <v>0</v>
      </c>
      <c r="AL290" s="16">
        <f t="shared" si="428"/>
        <v>0</v>
      </c>
      <c r="AM290" s="16">
        <f t="shared" si="428"/>
        <v>0</v>
      </c>
      <c r="AN290" s="16">
        <f t="shared" si="428"/>
        <v>0</v>
      </c>
      <c r="AO290" s="16">
        <f t="shared" si="428"/>
        <v>0</v>
      </c>
      <c r="AP290" s="16">
        <f t="shared" si="428"/>
        <v>0</v>
      </c>
      <c r="AQ290" s="16">
        <f t="shared" si="428"/>
        <v>0</v>
      </c>
      <c r="AR290" s="16">
        <f t="shared" si="428"/>
        <v>0</v>
      </c>
      <c r="AS290" s="16">
        <f t="shared" si="428"/>
        <v>0</v>
      </c>
      <c r="AT290" s="16">
        <f t="shared" si="428"/>
        <v>0</v>
      </c>
      <c r="AU290" s="16">
        <f t="shared" si="428"/>
        <v>0</v>
      </c>
      <c r="AV290" s="16">
        <f t="shared" si="428"/>
        <v>0</v>
      </c>
      <c r="AW290" s="16">
        <f t="shared" si="428"/>
        <v>0</v>
      </c>
      <c r="AX290" s="16">
        <f t="shared" si="428"/>
        <v>0</v>
      </c>
      <c r="AY290" s="16">
        <f t="shared" si="428"/>
        <v>0</v>
      </c>
      <c r="AZ290" s="16">
        <f t="shared" si="428"/>
        <v>0</v>
      </c>
      <c r="BA290" s="16">
        <f t="shared" si="428"/>
        <v>13874419</v>
      </c>
      <c r="BB290" s="16">
        <f t="shared" si="428"/>
        <v>0</v>
      </c>
      <c r="BC290" s="16">
        <f t="shared" si="428"/>
        <v>0</v>
      </c>
      <c r="BD290" s="16">
        <f t="shared" si="428"/>
        <v>0</v>
      </c>
      <c r="BE290" s="16">
        <f t="shared" si="428"/>
        <v>0</v>
      </c>
      <c r="BF290" s="16">
        <f t="shared" si="428"/>
        <v>0</v>
      </c>
      <c r="BG290" s="16">
        <f t="shared" si="428"/>
        <v>0</v>
      </c>
      <c r="BH290" s="16">
        <f t="shared" si="428"/>
        <v>0</v>
      </c>
      <c r="BI290" s="16">
        <f t="shared" si="428"/>
        <v>0</v>
      </c>
      <c r="BJ290" s="16">
        <f t="shared" si="428"/>
        <v>0</v>
      </c>
      <c r="BK290" s="16">
        <f t="shared" si="428"/>
        <v>0</v>
      </c>
      <c r="BL290" s="16">
        <f t="shared" si="428"/>
        <v>0</v>
      </c>
      <c r="BM290" s="16">
        <f t="shared" si="428"/>
        <v>13874419</v>
      </c>
      <c r="BN290" s="16">
        <f t="shared" si="428"/>
        <v>0</v>
      </c>
      <c r="BO290" s="16">
        <f t="shared" si="428"/>
        <v>0</v>
      </c>
      <c r="BP290" s="16">
        <f t="shared" si="428"/>
        <v>0</v>
      </c>
      <c r="BQ290" s="16">
        <f t="shared" si="428"/>
        <v>0</v>
      </c>
      <c r="BR290" s="16">
        <f t="shared" si="428"/>
        <v>0</v>
      </c>
      <c r="BS290" s="16">
        <f t="shared" si="429"/>
        <v>0</v>
      </c>
      <c r="BT290" s="16">
        <f t="shared" si="429"/>
        <v>0</v>
      </c>
      <c r="BU290" s="16">
        <f t="shared" si="429"/>
        <v>0</v>
      </c>
      <c r="BV290" s="16">
        <f t="shared" si="429"/>
        <v>0</v>
      </c>
      <c r="BW290" s="16">
        <f t="shared" si="429"/>
        <v>0</v>
      </c>
      <c r="BX290" s="16">
        <f t="shared" si="429"/>
        <v>13874419</v>
      </c>
      <c r="BY290" s="16">
        <f t="shared" si="429"/>
        <v>0</v>
      </c>
      <c r="BZ290" s="16">
        <f t="shared" si="429"/>
        <v>0</v>
      </c>
      <c r="CA290" s="16">
        <f t="shared" si="429"/>
        <v>0</v>
      </c>
      <c r="CB290" s="16">
        <f t="shared" si="429"/>
        <v>0</v>
      </c>
      <c r="CC290" s="16">
        <f t="shared" si="429"/>
        <v>0</v>
      </c>
      <c r="CD290" s="16">
        <f t="shared" si="429"/>
        <v>0</v>
      </c>
      <c r="CE290" s="16">
        <f t="shared" si="429"/>
        <v>0</v>
      </c>
      <c r="CF290" s="16">
        <f t="shared" si="429"/>
        <v>0</v>
      </c>
      <c r="CG290" s="16">
        <f t="shared" si="429"/>
        <v>0</v>
      </c>
      <c r="CH290" s="16">
        <f t="shared" si="429"/>
        <v>0</v>
      </c>
      <c r="CI290" s="16">
        <f t="shared" si="429"/>
        <v>0</v>
      </c>
      <c r="CJ290" s="16">
        <f t="shared" si="429"/>
        <v>0</v>
      </c>
      <c r="CK290" s="16">
        <f t="shared" si="429"/>
        <v>0</v>
      </c>
      <c r="CL290" s="16">
        <f t="shared" si="429"/>
        <v>0</v>
      </c>
      <c r="CM290" s="16">
        <f t="shared" si="429"/>
        <v>0</v>
      </c>
      <c r="CN290" s="16">
        <f t="shared" si="429"/>
        <v>0</v>
      </c>
      <c r="CO290" s="16">
        <f t="shared" si="429"/>
        <v>0</v>
      </c>
      <c r="CP290" s="16">
        <f t="shared" si="429"/>
        <v>0</v>
      </c>
      <c r="CQ290" s="16">
        <f t="shared" si="429"/>
        <v>0</v>
      </c>
      <c r="CR290" s="16">
        <f t="shared" si="429"/>
        <v>0</v>
      </c>
      <c r="CS290" s="16">
        <f t="shared" si="429"/>
        <v>0</v>
      </c>
      <c r="CT290" s="16">
        <f t="shared" si="429"/>
        <v>0</v>
      </c>
      <c r="CU290" s="17">
        <f t="shared" si="429"/>
        <v>0</v>
      </c>
      <c r="CV290" s="38"/>
    </row>
    <row r="291" spans="1:100" ht="31.5" x14ac:dyDescent="0.25">
      <c r="A291" s="13" t="s">
        <v>1</v>
      </c>
      <c r="B291" s="14" t="s">
        <v>1</v>
      </c>
      <c r="C291" s="14" t="s">
        <v>29</v>
      </c>
      <c r="D291" s="30" t="s">
        <v>309</v>
      </c>
      <c r="E291" s="15">
        <f>SUM(F291+BY291+CR291)</f>
        <v>13874419</v>
      </c>
      <c r="F291" s="16">
        <f>SUM(G291+BA291)</f>
        <v>13874419</v>
      </c>
      <c r="G291" s="16">
        <f>SUM(H291+I291+J291+Q291+T291+U291+V291+AE291)</f>
        <v>0</v>
      </c>
      <c r="H291" s="16">
        <v>0</v>
      </c>
      <c r="I291" s="16">
        <v>0</v>
      </c>
      <c r="J291" s="16">
        <f t="shared" si="416"/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f t="shared" si="417"/>
        <v>0</v>
      </c>
      <c r="R291" s="16">
        <v>0</v>
      </c>
      <c r="S291" s="16">
        <v>0</v>
      </c>
      <c r="T291" s="16">
        <v>0</v>
      </c>
      <c r="U291" s="16">
        <v>0</v>
      </c>
      <c r="V291" s="16">
        <f>SUM(W291:AD291)</f>
        <v>0</v>
      </c>
      <c r="W291" s="16">
        <v>0</v>
      </c>
      <c r="X291" s="16">
        <v>0</v>
      </c>
      <c r="Y291" s="16">
        <v>0</v>
      </c>
      <c r="Z291" s="16">
        <v>0</v>
      </c>
      <c r="AA291" s="16">
        <v>0</v>
      </c>
      <c r="AB291" s="16">
        <v>0</v>
      </c>
      <c r="AC291" s="16">
        <v>0</v>
      </c>
      <c r="AD291" s="16">
        <v>0</v>
      </c>
      <c r="AE291" s="16">
        <f>SUM(AF291:AZ291)</f>
        <v>0</v>
      </c>
      <c r="AF291" s="16">
        <v>0</v>
      </c>
      <c r="AG291" s="16">
        <v>0</v>
      </c>
      <c r="AH291" s="16">
        <v>0</v>
      </c>
      <c r="AI291" s="16">
        <v>0</v>
      </c>
      <c r="AJ291" s="16">
        <v>0</v>
      </c>
      <c r="AK291" s="16">
        <v>0</v>
      </c>
      <c r="AL291" s="16">
        <v>0</v>
      </c>
      <c r="AM291" s="16">
        <v>0</v>
      </c>
      <c r="AN291" s="16">
        <v>0</v>
      </c>
      <c r="AO291" s="16">
        <v>0</v>
      </c>
      <c r="AP291" s="16">
        <v>0</v>
      </c>
      <c r="AQ291" s="16">
        <v>0</v>
      </c>
      <c r="AR291" s="16">
        <v>0</v>
      </c>
      <c r="AS291" s="16">
        <v>0</v>
      </c>
      <c r="AT291" s="16">
        <v>0</v>
      </c>
      <c r="AU291" s="16">
        <v>0</v>
      </c>
      <c r="AV291" s="16">
        <v>0</v>
      </c>
      <c r="AW291" s="16">
        <v>0</v>
      </c>
      <c r="AX291" s="16">
        <v>0</v>
      </c>
      <c r="AY291" s="16">
        <v>0</v>
      </c>
      <c r="AZ291" s="16">
        <v>0</v>
      </c>
      <c r="BA291" s="16">
        <f>SUM(BB291+BF291+BI291+BK291+BM291)</f>
        <v>13874419</v>
      </c>
      <c r="BB291" s="16">
        <f>SUM(BC291:BE291)</f>
        <v>0</v>
      </c>
      <c r="BC291" s="16">
        <v>0</v>
      </c>
      <c r="BD291" s="16">
        <v>0</v>
      </c>
      <c r="BE291" s="16">
        <v>0</v>
      </c>
      <c r="BF291" s="16">
        <f t="shared" si="418"/>
        <v>0</v>
      </c>
      <c r="BG291" s="16">
        <v>0</v>
      </c>
      <c r="BH291" s="16">
        <v>0</v>
      </c>
      <c r="BI291" s="16">
        <v>0</v>
      </c>
      <c r="BJ291" s="16">
        <v>0</v>
      </c>
      <c r="BK291" s="16">
        <f t="shared" si="419"/>
        <v>0</v>
      </c>
      <c r="BL291" s="16">
        <v>0</v>
      </c>
      <c r="BM291" s="16">
        <f t="shared" si="420"/>
        <v>13874419</v>
      </c>
      <c r="BN291" s="16">
        <v>0</v>
      </c>
      <c r="BO291" s="16">
        <v>0</v>
      </c>
      <c r="BP291" s="16">
        <v>0</v>
      </c>
      <c r="BQ291" s="16">
        <v>0</v>
      </c>
      <c r="BR291" s="16">
        <v>0</v>
      </c>
      <c r="BS291" s="16">
        <v>0</v>
      </c>
      <c r="BT291" s="16">
        <v>0</v>
      </c>
      <c r="BU291" s="16">
        <v>0</v>
      </c>
      <c r="BV291" s="16">
        <v>0</v>
      </c>
      <c r="BW291" s="16">
        <v>0</v>
      </c>
      <c r="BX291" s="16">
        <f>45653982-13978387-17801176</f>
        <v>13874419</v>
      </c>
      <c r="BY291" s="16">
        <f>SUM(BZ291+CQ291)</f>
        <v>0</v>
      </c>
      <c r="BZ291" s="16">
        <f>SUM(CA291+CD291+CJ291)</f>
        <v>0</v>
      </c>
      <c r="CA291" s="16">
        <f t="shared" si="421"/>
        <v>0</v>
      </c>
      <c r="CB291" s="16">
        <v>0</v>
      </c>
      <c r="CC291" s="16">
        <v>0</v>
      </c>
      <c r="CD291" s="16">
        <f>SUM(CE291:CH291)</f>
        <v>0</v>
      </c>
      <c r="CE291" s="16">
        <v>0</v>
      </c>
      <c r="CF291" s="16">
        <v>0</v>
      </c>
      <c r="CG291" s="16">
        <v>0</v>
      </c>
      <c r="CH291" s="16">
        <v>0</v>
      </c>
      <c r="CI291" s="16">
        <v>0</v>
      </c>
      <c r="CJ291" s="16">
        <f>SUM(CK291:CN291)</f>
        <v>0</v>
      </c>
      <c r="CK291" s="16">
        <v>0</v>
      </c>
      <c r="CL291" s="16">
        <v>0</v>
      </c>
      <c r="CM291" s="16">
        <v>0</v>
      </c>
      <c r="CN291" s="16">
        <v>0</v>
      </c>
      <c r="CO291" s="16">
        <v>0</v>
      </c>
      <c r="CP291" s="16">
        <v>0</v>
      </c>
      <c r="CQ291" s="16">
        <v>0</v>
      </c>
      <c r="CR291" s="16">
        <f t="shared" si="422"/>
        <v>0</v>
      </c>
      <c r="CS291" s="16">
        <f t="shared" si="423"/>
        <v>0</v>
      </c>
      <c r="CT291" s="16">
        <v>0</v>
      </c>
      <c r="CU291" s="17">
        <v>0</v>
      </c>
      <c r="CV291" s="38"/>
    </row>
    <row r="292" spans="1:100" ht="15.75" x14ac:dyDescent="0.25">
      <c r="A292" s="13" t="s">
        <v>304</v>
      </c>
      <c r="B292" s="14" t="s">
        <v>100</v>
      </c>
      <c r="C292" s="14" t="s">
        <v>1</v>
      </c>
      <c r="D292" s="30" t="s">
        <v>310</v>
      </c>
      <c r="E292" s="15">
        <f t="shared" ref="E292:AJ292" si="438">SUM(E293)</f>
        <v>303190518</v>
      </c>
      <c r="F292" s="16">
        <f t="shared" si="438"/>
        <v>16795726</v>
      </c>
      <c r="G292" s="16">
        <f t="shared" si="438"/>
        <v>15394591</v>
      </c>
      <c r="H292" s="16">
        <f t="shared" si="438"/>
        <v>0</v>
      </c>
      <c r="I292" s="16">
        <f t="shared" si="438"/>
        <v>0</v>
      </c>
      <c r="J292" s="16">
        <f t="shared" si="438"/>
        <v>12910946</v>
      </c>
      <c r="K292" s="16">
        <f t="shared" si="438"/>
        <v>0</v>
      </c>
      <c r="L292" s="16">
        <f t="shared" si="438"/>
        <v>86900</v>
      </c>
      <c r="M292" s="16">
        <f t="shared" si="438"/>
        <v>0</v>
      </c>
      <c r="N292" s="16">
        <f t="shared" si="438"/>
        <v>0</v>
      </c>
      <c r="O292" s="16">
        <f t="shared" si="438"/>
        <v>11453844</v>
      </c>
      <c r="P292" s="16">
        <f t="shared" si="438"/>
        <v>1370202</v>
      </c>
      <c r="Q292" s="16">
        <f t="shared" si="438"/>
        <v>0</v>
      </c>
      <c r="R292" s="16">
        <f t="shared" si="438"/>
        <v>0</v>
      </c>
      <c r="S292" s="16">
        <f t="shared" si="438"/>
        <v>0</v>
      </c>
      <c r="T292" s="16">
        <f t="shared" si="438"/>
        <v>0</v>
      </c>
      <c r="U292" s="16">
        <f t="shared" si="438"/>
        <v>0</v>
      </c>
      <c r="V292" s="16">
        <f t="shared" si="438"/>
        <v>0</v>
      </c>
      <c r="W292" s="16">
        <f t="shared" si="438"/>
        <v>0</v>
      </c>
      <c r="X292" s="16">
        <f t="shared" si="438"/>
        <v>0</v>
      </c>
      <c r="Y292" s="16">
        <f t="shared" si="438"/>
        <v>0</v>
      </c>
      <c r="Z292" s="16">
        <f t="shared" si="438"/>
        <v>0</v>
      </c>
      <c r="AA292" s="16">
        <f t="shared" si="438"/>
        <v>0</v>
      </c>
      <c r="AB292" s="16">
        <f t="shared" si="438"/>
        <v>0</v>
      </c>
      <c r="AC292" s="16">
        <f t="shared" si="438"/>
        <v>0</v>
      </c>
      <c r="AD292" s="16">
        <f t="shared" si="438"/>
        <v>0</v>
      </c>
      <c r="AE292" s="16">
        <f t="shared" si="438"/>
        <v>2483645</v>
      </c>
      <c r="AF292" s="16">
        <f t="shared" si="438"/>
        <v>0</v>
      </c>
      <c r="AG292" s="16">
        <f t="shared" si="438"/>
        <v>0</v>
      </c>
      <c r="AH292" s="16">
        <f t="shared" si="438"/>
        <v>0</v>
      </c>
      <c r="AI292" s="16">
        <f t="shared" si="438"/>
        <v>0</v>
      </c>
      <c r="AJ292" s="16">
        <f t="shared" si="438"/>
        <v>0</v>
      </c>
      <c r="AK292" s="16">
        <f t="shared" ref="AK292:BR292" si="439">SUM(AK293)</f>
        <v>0</v>
      </c>
      <c r="AL292" s="16">
        <f t="shared" si="439"/>
        <v>0</v>
      </c>
      <c r="AM292" s="16">
        <f t="shared" si="439"/>
        <v>0</v>
      </c>
      <c r="AN292" s="16">
        <f t="shared" si="439"/>
        <v>0</v>
      </c>
      <c r="AO292" s="16">
        <f t="shared" si="439"/>
        <v>0</v>
      </c>
      <c r="AP292" s="16">
        <f t="shared" si="439"/>
        <v>0</v>
      </c>
      <c r="AQ292" s="16">
        <f t="shared" si="439"/>
        <v>0</v>
      </c>
      <c r="AR292" s="16">
        <f t="shared" si="439"/>
        <v>0</v>
      </c>
      <c r="AS292" s="16">
        <f t="shared" si="439"/>
        <v>0</v>
      </c>
      <c r="AT292" s="16">
        <f t="shared" si="439"/>
        <v>0</v>
      </c>
      <c r="AU292" s="16">
        <f t="shared" si="439"/>
        <v>0</v>
      </c>
      <c r="AV292" s="16">
        <f t="shared" si="439"/>
        <v>2483645</v>
      </c>
      <c r="AW292" s="16">
        <f t="shared" si="439"/>
        <v>0</v>
      </c>
      <c r="AX292" s="16">
        <f t="shared" si="439"/>
        <v>0</v>
      </c>
      <c r="AY292" s="16">
        <f t="shared" si="439"/>
        <v>0</v>
      </c>
      <c r="AZ292" s="16">
        <f t="shared" si="439"/>
        <v>0</v>
      </c>
      <c r="BA292" s="16">
        <f t="shared" si="439"/>
        <v>1401135</v>
      </c>
      <c r="BB292" s="16">
        <f t="shared" si="439"/>
        <v>0</v>
      </c>
      <c r="BC292" s="16">
        <f t="shared" si="439"/>
        <v>0</v>
      </c>
      <c r="BD292" s="16">
        <f t="shared" si="439"/>
        <v>0</v>
      </c>
      <c r="BE292" s="16">
        <f t="shared" si="439"/>
        <v>0</v>
      </c>
      <c r="BF292" s="16">
        <f t="shared" si="439"/>
        <v>0</v>
      </c>
      <c r="BG292" s="16">
        <f t="shared" si="439"/>
        <v>0</v>
      </c>
      <c r="BH292" s="16">
        <f t="shared" si="439"/>
        <v>0</v>
      </c>
      <c r="BI292" s="16">
        <f t="shared" si="439"/>
        <v>0</v>
      </c>
      <c r="BJ292" s="16">
        <f t="shared" si="439"/>
        <v>0</v>
      </c>
      <c r="BK292" s="16">
        <f t="shared" si="439"/>
        <v>0</v>
      </c>
      <c r="BL292" s="16">
        <f t="shared" si="439"/>
        <v>0</v>
      </c>
      <c r="BM292" s="16">
        <f t="shared" si="439"/>
        <v>1401135</v>
      </c>
      <c r="BN292" s="16">
        <f t="shared" si="439"/>
        <v>0</v>
      </c>
      <c r="BO292" s="16">
        <f t="shared" si="439"/>
        <v>0</v>
      </c>
      <c r="BP292" s="16">
        <f t="shared" si="439"/>
        <v>0</v>
      </c>
      <c r="BQ292" s="16">
        <f t="shared" si="439"/>
        <v>0</v>
      </c>
      <c r="BR292" s="16">
        <f t="shared" si="439"/>
        <v>0</v>
      </c>
      <c r="BS292" s="16">
        <f t="shared" ref="BS292:CU292" si="440">SUM(BS293)</f>
        <v>0</v>
      </c>
      <c r="BT292" s="16">
        <f t="shared" si="440"/>
        <v>0</v>
      </c>
      <c r="BU292" s="16">
        <f t="shared" si="440"/>
        <v>1401135</v>
      </c>
      <c r="BV292" s="16">
        <f t="shared" si="440"/>
        <v>0</v>
      </c>
      <c r="BW292" s="16">
        <f t="shared" si="440"/>
        <v>0</v>
      </c>
      <c r="BX292" s="16">
        <f t="shared" si="440"/>
        <v>0</v>
      </c>
      <c r="BY292" s="16">
        <f t="shared" si="440"/>
        <v>286394792</v>
      </c>
      <c r="BZ292" s="16">
        <f t="shared" si="440"/>
        <v>274294792</v>
      </c>
      <c r="CA292" s="16">
        <f t="shared" si="440"/>
        <v>39897834</v>
      </c>
      <c r="CB292" s="16">
        <f t="shared" si="440"/>
        <v>299196</v>
      </c>
      <c r="CC292" s="16">
        <f t="shared" si="440"/>
        <v>39598638</v>
      </c>
      <c r="CD292" s="16">
        <f t="shared" si="440"/>
        <v>139757815</v>
      </c>
      <c r="CE292" s="16">
        <f t="shared" si="440"/>
        <v>0</v>
      </c>
      <c r="CF292" s="16">
        <f t="shared" si="440"/>
        <v>122186255</v>
      </c>
      <c r="CG292" s="16">
        <f t="shared" si="440"/>
        <v>10373706</v>
      </c>
      <c r="CH292" s="16">
        <f t="shared" si="440"/>
        <v>7197854</v>
      </c>
      <c r="CI292" s="16">
        <f t="shared" si="440"/>
        <v>0</v>
      </c>
      <c r="CJ292" s="16">
        <f t="shared" si="440"/>
        <v>94639143</v>
      </c>
      <c r="CK292" s="16">
        <f t="shared" si="440"/>
        <v>2114966</v>
      </c>
      <c r="CL292" s="16">
        <f t="shared" si="440"/>
        <v>77436125</v>
      </c>
      <c r="CM292" s="16">
        <f t="shared" si="440"/>
        <v>5088052</v>
      </c>
      <c r="CN292" s="16">
        <f t="shared" si="440"/>
        <v>10000000</v>
      </c>
      <c r="CO292" s="16">
        <f t="shared" si="440"/>
        <v>0</v>
      </c>
      <c r="CP292" s="16">
        <f t="shared" si="440"/>
        <v>0</v>
      </c>
      <c r="CQ292" s="16">
        <f t="shared" si="440"/>
        <v>12100000</v>
      </c>
      <c r="CR292" s="16">
        <f t="shared" si="440"/>
        <v>0</v>
      </c>
      <c r="CS292" s="16">
        <f t="shared" si="440"/>
        <v>0</v>
      </c>
      <c r="CT292" s="16">
        <f t="shared" si="440"/>
        <v>0</v>
      </c>
      <c r="CU292" s="17">
        <f t="shared" si="440"/>
        <v>0</v>
      </c>
      <c r="CV292" s="38"/>
    </row>
    <row r="293" spans="1:100" ht="15.75" x14ac:dyDescent="0.25">
      <c r="A293" s="13" t="s">
        <v>1</v>
      </c>
      <c r="B293" s="14" t="s">
        <v>1</v>
      </c>
      <c r="C293" s="14" t="s">
        <v>311</v>
      </c>
      <c r="D293" s="30" t="s">
        <v>310</v>
      </c>
      <c r="E293" s="15">
        <f>SUM(F293+BY293+CR293)</f>
        <v>303190518</v>
      </c>
      <c r="F293" s="16">
        <f>SUM(G293+BA293)</f>
        <v>16795726</v>
      </c>
      <c r="G293" s="16">
        <f>SUM(H293+I293+J293+Q293+T293+U293+V293+AE293)</f>
        <v>15394591</v>
      </c>
      <c r="H293" s="16">
        <v>0</v>
      </c>
      <c r="I293" s="16">
        <v>0</v>
      </c>
      <c r="J293" s="16">
        <f t="shared" si="416"/>
        <v>12910946</v>
      </c>
      <c r="K293" s="16">
        <f>3111047-3111047</f>
        <v>0</v>
      </c>
      <c r="L293" s="16">
        <v>86900</v>
      </c>
      <c r="M293" s="16">
        <v>0</v>
      </c>
      <c r="N293" s="16">
        <v>0</v>
      </c>
      <c r="O293" s="16">
        <f>11331550+122294</f>
        <v>11453844</v>
      </c>
      <c r="P293" s="16">
        <f>2122009+57686-836439+26946</f>
        <v>1370202</v>
      </c>
      <c r="Q293" s="16">
        <f t="shared" si="417"/>
        <v>0</v>
      </c>
      <c r="R293" s="16">
        <v>0</v>
      </c>
      <c r="S293" s="16">
        <v>0</v>
      </c>
      <c r="T293" s="16">
        <v>0</v>
      </c>
      <c r="U293" s="16">
        <v>0</v>
      </c>
      <c r="V293" s="16">
        <f>SUM(W293:AD293)</f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16">
        <v>0</v>
      </c>
      <c r="AE293" s="16">
        <f>SUM(AF293:AZ293)</f>
        <v>2483645</v>
      </c>
      <c r="AF293" s="16">
        <v>0</v>
      </c>
      <c r="AG293" s="16">
        <v>0</v>
      </c>
      <c r="AH293" s="16">
        <v>0</v>
      </c>
      <c r="AI293" s="16">
        <v>0</v>
      </c>
      <c r="AJ293" s="16">
        <v>0</v>
      </c>
      <c r="AK293" s="16">
        <v>0</v>
      </c>
      <c r="AL293" s="16">
        <v>0</v>
      </c>
      <c r="AM293" s="16">
        <v>0</v>
      </c>
      <c r="AN293" s="16">
        <v>0</v>
      </c>
      <c r="AO293" s="16">
        <v>0</v>
      </c>
      <c r="AP293" s="16">
        <v>0</v>
      </c>
      <c r="AQ293" s="16">
        <v>0</v>
      </c>
      <c r="AR293" s="16">
        <v>0</v>
      </c>
      <c r="AS293" s="16">
        <v>0</v>
      </c>
      <c r="AT293" s="16">
        <v>0</v>
      </c>
      <c r="AU293" s="16">
        <v>0</v>
      </c>
      <c r="AV293" s="16">
        <f>11974851+1056698-10547904</f>
        <v>2483645</v>
      </c>
      <c r="AW293" s="16">
        <v>0</v>
      </c>
      <c r="AX293" s="16">
        <v>0</v>
      </c>
      <c r="AY293" s="16">
        <v>0</v>
      </c>
      <c r="AZ293" s="16">
        <v>0</v>
      </c>
      <c r="BA293" s="16">
        <f>SUM(BB293+BF293+BI293+BK293+BM293)</f>
        <v>1401135</v>
      </c>
      <c r="BB293" s="16">
        <f>SUM(BC293:BE293)</f>
        <v>0</v>
      </c>
      <c r="BC293" s="16">
        <v>0</v>
      </c>
      <c r="BD293" s="16">
        <v>0</v>
      </c>
      <c r="BE293" s="16">
        <v>0</v>
      </c>
      <c r="BF293" s="16">
        <f t="shared" si="418"/>
        <v>0</v>
      </c>
      <c r="BG293" s="16">
        <v>0</v>
      </c>
      <c r="BH293" s="16">
        <v>0</v>
      </c>
      <c r="BI293" s="16">
        <v>0</v>
      </c>
      <c r="BJ293" s="16">
        <v>0</v>
      </c>
      <c r="BK293" s="16">
        <f t="shared" si="419"/>
        <v>0</v>
      </c>
      <c r="BL293" s="16">
        <v>0</v>
      </c>
      <c r="BM293" s="16">
        <f t="shared" si="420"/>
        <v>1401135</v>
      </c>
      <c r="BN293" s="16">
        <v>0</v>
      </c>
      <c r="BO293" s="16">
        <v>0</v>
      </c>
      <c r="BP293" s="16">
        <v>0</v>
      </c>
      <c r="BQ293" s="16">
        <v>0</v>
      </c>
      <c r="BR293" s="16">
        <v>0</v>
      </c>
      <c r="BS293" s="16">
        <v>0</v>
      </c>
      <c r="BT293" s="16">
        <v>0</v>
      </c>
      <c r="BU293" s="16">
        <v>1401135</v>
      </c>
      <c r="BV293" s="16">
        <v>0</v>
      </c>
      <c r="BW293" s="16">
        <v>0</v>
      </c>
      <c r="BX293" s="16">
        <v>0</v>
      </c>
      <c r="BY293" s="16">
        <f>SUM(BZ293+CQ293)</f>
        <v>286394792</v>
      </c>
      <c r="BZ293" s="16">
        <f>SUM(CA293+CD293+CJ293)</f>
        <v>274294792</v>
      </c>
      <c r="CA293" s="16">
        <f t="shared" si="421"/>
        <v>39897834</v>
      </c>
      <c r="CB293" s="16">
        <f>9200000-1253218-7647586</f>
        <v>299196</v>
      </c>
      <c r="CC293" s="39">
        <f>42553434+3781831+14279769-30683748+8000000+1667352</f>
        <v>39598638</v>
      </c>
      <c r="CD293" s="16">
        <f>SUM(CE293:CH293)</f>
        <v>139757815</v>
      </c>
      <c r="CE293" s="16">
        <v>0</v>
      </c>
      <c r="CF293" s="16">
        <f>56721870+43684815-47253+21000000+826823</f>
        <v>122186255</v>
      </c>
      <c r="CG293" s="16">
        <f>11878757+775280-2280331</f>
        <v>10373706</v>
      </c>
      <c r="CH293" s="16">
        <f>19356246+223729-12932121+550000</f>
        <v>7197854</v>
      </c>
      <c r="CI293" s="16"/>
      <c r="CJ293" s="16">
        <f>SUM(CK293:CN293)</f>
        <v>94639143</v>
      </c>
      <c r="CK293" s="16">
        <f>1594966+520000</f>
        <v>2114966</v>
      </c>
      <c r="CL293" s="16">
        <f>92081157+2588545-16967125+1427846-1694298</f>
        <v>77436125</v>
      </c>
      <c r="CM293" s="16">
        <f>12007156+309913-7229017</f>
        <v>5088052</v>
      </c>
      <c r="CN293" s="16">
        <f>2000000+7000000+1000000</f>
        <v>10000000</v>
      </c>
      <c r="CO293" s="16">
        <v>0</v>
      </c>
      <c r="CP293" s="16">
        <v>0</v>
      </c>
      <c r="CQ293" s="16">
        <f>15100000-3000000</f>
        <v>12100000</v>
      </c>
      <c r="CR293" s="16">
        <f t="shared" si="422"/>
        <v>0</v>
      </c>
      <c r="CS293" s="16">
        <f t="shared" si="423"/>
        <v>0</v>
      </c>
      <c r="CT293" s="16">
        <v>0</v>
      </c>
      <c r="CU293" s="17">
        <v>0</v>
      </c>
      <c r="CV293" s="38"/>
    </row>
    <row r="294" spans="1:100" ht="15.75" x14ac:dyDescent="0.25">
      <c r="A294" s="13" t="s">
        <v>304</v>
      </c>
      <c r="B294" s="14" t="s">
        <v>54</v>
      </c>
      <c r="C294" s="14" t="s">
        <v>1</v>
      </c>
      <c r="D294" s="30" t="s">
        <v>312</v>
      </c>
      <c r="E294" s="15">
        <f t="shared" ref="E294:AJ294" si="441">SUM(E295)</f>
        <v>23552496</v>
      </c>
      <c r="F294" s="16">
        <f t="shared" si="441"/>
        <v>23552496</v>
      </c>
      <c r="G294" s="16">
        <f t="shared" si="441"/>
        <v>23552496</v>
      </c>
      <c r="H294" s="16">
        <f t="shared" si="441"/>
        <v>0</v>
      </c>
      <c r="I294" s="16">
        <f t="shared" si="441"/>
        <v>0</v>
      </c>
      <c r="J294" s="16">
        <f t="shared" si="441"/>
        <v>0</v>
      </c>
      <c r="K294" s="16">
        <f t="shared" si="441"/>
        <v>0</v>
      </c>
      <c r="L294" s="16">
        <f t="shared" si="441"/>
        <v>0</v>
      </c>
      <c r="M294" s="16">
        <f t="shared" si="441"/>
        <v>0</v>
      </c>
      <c r="N294" s="16">
        <f t="shared" si="441"/>
        <v>0</v>
      </c>
      <c r="O294" s="16">
        <f t="shared" si="441"/>
        <v>0</v>
      </c>
      <c r="P294" s="16">
        <f t="shared" si="441"/>
        <v>0</v>
      </c>
      <c r="Q294" s="16">
        <f t="shared" si="441"/>
        <v>0</v>
      </c>
      <c r="R294" s="16">
        <f t="shared" si="441"/>
        <v>0</v>
      </c>
      <c r="S294" s="16">
        <f t="shared" si="441"/>
        <v>0</v>
      </c>
      <c r="T294" s="16">
        <f t="shared" si="441"/>
        <v>0</v>
      </c>
      <c r="U294" s="16">
        <f t="shared" si="441"/>
        <v>0</v>
      </c>
      <c r="V294" s="16">
        <f t="shared" si="441"/>
        <v>0</v>
      </c>
      <c r="W294" s="16">
        <f t="shared" si="441"/>
        <v>0</v>
      </c>
      <c r="X294" s="16">
        <f t="shared" si="441"/>
        <v>0</v>
      </c>
      <c r="Y294" s="16">
        <f t="shared" si="441"/>
        <v>0</v>
      </c>
      <c r="Z294" s="16">
        <f t="shared" si="441"/>
        <v>0</v>
      </c>
      <c r="AA294" s="16">
        <f t="shared" si="441"/>
        <v>0</v>
      </c>
      <c r="AB294" s="16">
        <f t="shared" si="441"/>
        <v>0</v>
      </c>
      <c r="AC294" s="16">
        <f t="shared" si="441"/>
        <v>0</v>
      </c>
      <c r="AD294" s="16">
        <f t="shared" si="441"/>
        <v>0</v>
      </c>
      <c r="AE294" s="16">
        <f t="shared" si="441"/>
        <v>23552496</v>
      </c>
      <c r="AF294" s="16">
        <f t="shared" si="441"/>
        <v>0</v>
      </c>
      <c r="AG294" s="16">
        <f t="shared" si="441"/>
        <v>0</v>
      </c>
      <c r="AH294" s="16">
        <f t="shared" si="441"/>
        <v>0</v>
      </c>
      <c r="AI294" s="16">
        <f t="shared" si="441"/>
        <v>0</v>
      </c>
      <c r="AJ294" s="16">
        <f t="shared" si="441"/>
        <v>0</v>
      </c>
      <c r="AK294" s="16">
        <f t="shared" ref="AK294:BR294" si="442">SUM(AK295)</f>
        <v>0</v>
      </c>
      <c r="AL294" s="16">
        <f t="shared" si="442"/>
        <v>0</v>
      </c>
      <c r="AM294" s="16">
        <f t="shared" si="442"/>
        <v>0</v>
      </c>
      <c r="AN294" s="16">
        <f t="shared" si="442"/>
        <v>0</v>
      </c>
      <c r="AO294" s="16">
        <f t="shared" si="442"/>
        <v>0</v>
      </c>
      <c r="AP294" s="16">
        <f t="shared" si="442"/>
        <v>0</v>
      </c>
      <c r="AQ294" s="16">
        <f t="shared" si="442"/>
        <v>0</v>
      </c>
      <c r="AR294" s="16">
        <f t="shared" si="442"/>
        <v>0</v>
      </c>
      <c r="AS294" s="16">
        <f t="shared" si="442"/>
        <v>0</v>
      </c>
      <c r="AT294" s="16">
        <f t="shared" si="442"/>
        <v>0</v>
      </c>
      <c r="AU294" s="16">
        <f t="shared" si="442"/>
        <v>0</v>
      </c>
      <c r="AV294" s="16">
        <f t="shared" si="442"/>
        <v>0</v>
      </c>
      <c r="AW294" s="16">
        <f t="shared" si="442"/>
        <v>0</v>
      </c>
      <c r="AX294" s="16">
        <f t="shared" si="442"/>
        <v>0</v>
      </c>
      <c r="AY294" s="16">
        <f t="shared" si="442"/>
        <v>0</v>
      </c>
      <c r="AZ294" s="16">
        <f t="shared" si="442"/>
        <v>23552496</v>
      </c>
      <c r="BA294" s="16">
        <f t="shared" si="442"/>
        <v>0</v>
      </c>
      <c r="BB294" s="16">
        <f t="shared" si="442"/>
        <v>0</v>
      </c>
      <c r="BC294" s="16">
        <f t="shared" si="442"/>
        <v>0</v>
      </c>
      <c r="BD294" s="16">
        <f t="shared" si="442"/>
        <v>0</v>
      </c>
      <c r="BE294" s="16">
        <f t="shared" si="442"/>
        <v>0</v>
      </c>
      <c r="BF294" s="16">
        <f t="shared" si="442"/>
        <v>0</v>
      </c>
      <c r="BG294" s="16">
        <f t="shared" si="442"/>
        <v>0</v>
      </c>
      <c r="BH294" s="16">
        <f t="shared" si="442"/>
        <v>0</v>
      </c>
      <c r="BI294" s="16">
        <f t="shared" si="442"/>
        <v>0</v>
      </c>
      <c r="BJ294" s="16">
        <f t="shared" si="442"/>
        <v>0</v>
      </c>
      <c r="BK294" s="16">
        <f t="shared" si="442"/>
        <v>0</v>
      </c>
      <c r="BL294" s="16">
        <f t="shared" si="442"/>
        <v>0</v>
      </c>
      <c r="BM294" s="16">
        <f t="shared" si="442"/>
        <v>0</v>
      </c>
      <c r="BN294" s="16">
        <f t="shared" si="442"/>
        <v>0</v>
      </c>
      <c r="BO294" s="16">
        <f t="shared" si="442"/>
        <v>0</v>
      </c>
      <c r="BP294" s="16">
        <f t="shared" si="442"/>
        <v>0</v>
      </c>
      <c r="BQ294" s="16">
        <f t="shared" si="442"/>
        <v>0</v>
      </c>
      <c r="BR294" s="16">
        <f t="shared" si="442"/>
        <v>0</v>
      </c>
      <c r="BS294" s="16">
        <f t="shared" ref="BS294:CU294" si="443">SUM(BS295)</f>
        <v>0</v>
      </c>
      <c r="BT294" s="16">
        <f t="shared" si="443"/>
        <v>0</v>
      </c>
      <c r="BU294" s="16">
        <f t="shared" si="443"/>
        <v>0</v>
      </c>
      <c r="BV294" s="16">
        <f t="shared" si="443"/>
        <v>0</v>
      </c>
      <c r="BW294" s="16">
        <f t="shared" si="443"/>
        <v>0</v>
      </c>
      <c r="BX294" s="16">
        <f t="shared" si="443"/>
        <v>0</v>
      </c>
      <c r="BY294" s="16">
        <f t="shared" si="443"/>
        <v>0</v>
      </c>
      <c r="BZ294" s="16">
        <f t="shared" si="443"/>
        <v>0</v>
      </c>
      <c r="CA294" s="16">
        <f t="shared" si="443"/>
        <v>0</v>
      </c>
      <c r="CB294" s="16">
        <f t="shared" si="443"/>
        <v>0</v>
      </c>
      <c r="CC294" s="16">
        <f t="shared" si="443"/>
        <v>0</v>
      </c>
      <c r="CD294" s="16">
        <f t="shared" si="443"/>
        <v>0</v>
      </c>
      <c r="CE294" s="16">
        <f t="shared" si="443"/>
        <v>0</v>
      </c>
      <c r="CF294" s="16">
        <f t="shared" si="443"/>
        <v>0</v>
      </c>
      <c r="CG294" s="16">
        <f t="shared" si="443"/>
        <v>0</v>
      </c>
      <c r="CH294" s="16">
        <f t="shared" si="443"/>
        <v>0</v>
      </c>
      <c r="CI294" s="16">
        <f t="shared" si="443"/>
        <v>0</v>
      </c>
      <c r="CJ294" s="16">
        <f t="shared" si="443"/>
        <v>0</v>
      </c>
      <c r="CK294" s="16">
        <f t="shared" si="443"/>
        <v>0</v>
      </c>
      <c r="CL294" s="16">
        <f t="shared" si="443"/>
        <v>0</v>
      </c>
      <c r="CM294" s="16">
        <f t="shared" si="443"/>
        <v>0</v>
      </c>
      <c r="CN294" s="16">
        <f t="shared" si="443"/>
        <v>0</v>
      </c>
      <c r="CO294" s="16">
        <f t="shared" si="443"/>
        <v>0</v>
      </c>
      <c r="CP294" s="16">
        <f t="shared" si="443"/>
        <v>0</v>
      </c>
      <c r="CQ294" s="16">
        <f t="shared" si="443"/>
        <v>0</v>
      </c>
      <c r="CR294" s="16">
        <f t="shared" si="443"/>
        <v>0</v>
      </c>
      <c r="CS294" s="16">
        <f t="shared" si="443"/>
        <v>0</v>
      </c>
      <c r="CT294" s="16">
        <f t="shared" si="443"/>
        <v>0</v>
      </c>
      <c r="CU294" s="17">
        <f t="shared" si="443"/>
        <v>0</v>
      </c>
      <c r="CV294" s="38"/>
    </row>
    <row r="295" spans="1:100" s="36" customFormat="1" ht="15.75" x14ac:dyDescent="0.25">
      <c r="A295" s="13" t="s">
        <v>1</v>
      </c>
      <c r="B295" s="14" t="s">
        <v>1</v>
      </c>
      <c r="C295" s="14" t="s">
        <v>286</v>
      </c>
      <c r="D295" s="30" t="s">
        <v>312</v>
      </c>
      <c r="E295" s="15">
        <f>SUM(F295+BY295+CR295)</f>
        <v>23552496</v>
      </c>
      <c r="F295" s="16">
        <f>SUM(G295+BA295)</f>
        <v>23552496</v>
      </c>
      <c r="G295" s="16">
        <f>SUM(H295+I295+J295+Q295+T295+U295+V295+AE295)</f>
        <v>23552496</v>
      </c>
      <c r="H295" s="16">
        <v>0</v>
      </c>
      <c r="I295" s="16">
        <v>0</v>
      </c>
      <c r="J295" s="16">
        <f t="shared" si="416"/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16">
        <f t="shared" si="417"/>
        <v>0</v>
      </c>
      <c r="R295" s="16">
        <v>0</v>
      </c>
      <c r="S295" s="16">
        <v>0</v>
      </c>
      <c r="T295" s="16">
        <v>0</v>
      </c>
      <c r="U295" s="16">
        <v>0</v>
      </c>
      <c r="V295" s="16">
        <f>SUM(W295:AD295)</f>
        <v>0</v>
      </c>
      <c r="W295" s="16">
        <v>0</v>
      </c>
      <c r="X295" s="16">
        <v>0</v>
      </c>
      <c r="Y295" s="16">
        <v>0</v>
      </c>
      <c r="Z295" s="16">
        <v>0</v>
      </c>
      <c r="AA295" s="16">
        <v>0</v>
      </c>
      <c r="AB295" s="16">
        <v>0</v>
      </c>
      <c r="AC295" s="16">
        <v>0</v>
      </c>
      <c r="AD295" s="16">
        <v>0</v>
      </c>
      <c r="AE295" s="16">
        <f>SUM(AF295:AZ295)</f>
        <v>23552496</v>
      </c>
      <c r="AF295" s="16">
        <v>0</v>
      </c>
      <c r="AG295" s="16">
        <v>0</v>
      </c>
      <c r="AH295" s="16">
        <v>0</v>
      </c>
      <c r="AI295" s="16">
        <v>0</v>
      </c>
      <c r="AJ295" s="16">
        <v>0</v>
      </c>
      <c r="AK295" s="16">
        <v>0</v>
      </c>
      <c r="AL295" s="16">
        <v>0</v>
      </c>
      <c r="AM295" s="16">
        <v>0</v>
      </c>
      <c r="AN295" s="16">
        <v>0</v>
      </c>
      <c r="AO295" s="16">
        <v>0</v>
      </c>
      <c r="AP295" s="16">
        <v>0</v>
      </c>
      <c r="AQ295" s="16">
        <v>0</v>
      </c>
      <c r="AR295" s="16">
        <v>0</v>
      </c>
      <c r="AS295" s="16">
        <v>0</v>
      </c>
      <c r="AT295" s="16">
        <v>0</v>
      </c>
      <c r="AU295" s="16">
        <v>0</v>
      </c>
      <c r="AV295" s="16">
        <v>0</v>
      </c>
      <c r="AW295" s="16">
        <v>0</v>
      </c>
      <c r="AX295" s="16">
        <v>0</v>
      </c>
      <c r="AY295" s="16">
        <v>0</v>
      </c>
      <c r="AZ295" s="16">
        <f>23163034+8387867-7998405</f>
        <v>23552496</v>
      </c>
      <c r="BA295" s="16">
        <f>SUM(BB295+BF295+BI295+BK295+BM295)</f>
        <v>0</v>
      </c>
      <c r="BB295" s="16">
        <f>SUM(BC295:BE295)</f>
        <v>0</v>
      </c>
      <c r="BC295" s="16">
        <v>0</v>
      </c>
      <c r="BD295" s="16">
        <v>0</v>
      </c>
      <c r="BE295" s="16">
        <v>0</v>
      </c>
      <c r="BF295" s="16">
        <f t="shared" si="418"/>
        <v>0</v>
      </c>
      <c r="BG295" s="16">
        <v>0</v>
      </c>
      <c r="BH295" s="16">
        <v>0</v>
      </c>
      <c r="BI295" s="16">
        <v>0</v>
      </c>
      <c r="BJ295" s="16">
        <v>0</v>
      </c>
      <c r="BK295" s="16">
        <f t="shared" si="419"/>
        <v>0</v>
      </c>
      <c r="BL295" s="16">
        <v>0</v>
      </c>
      <c r="BM295" s="16">
        <f t="shared" si="420"/>
        <v>0</v>
      </c>
      <c r="BN295" s="16">
        <v>0</v>
      </c>
      <c r="BO295" s="16">
        <v>0</v>
      </c>
      <c r="BP295" s="16">
        <v>0</v>
      </c>
      <c r="BQ295" s="16">
        <v>0</v>
      </c>
      <c r="BR295" s="16">
        <v>0</v>
      </c>
      <c r="BS295" s="16">
        <v>0</v>
      </c>
      <c r="BT295" s="16">
        <v>0</v>
      </c>
      <c r="BU295" s="16">
        <v>0</v>
      </c>
      <c r="BV295" s="16">
        <v>0</v>
      </c>
      <c r="BW295" s="16">
        <v>0</v>
      </c>
      <c r="BX295" s="16">
        <v>0</v>
      </c>
      <c r="BY295" s="16">
        <f>SUM(BZ295+CQ295)</f>
        <v>0</v>
      </c>
      <c r="BZ295" s="16">
        <f>SUM(CA295+CD295+CJ295)</f>
        <v>0</v>
      </c>
      <c r="CA295" s="16">
        <f t="shared" si="421"/>
        <v>0</v>
      </c>
      <c r="CB295" s="16">
        <v>0</v>
      </c>
      <c r="CC295" s="16">
        <v>0</v>
      </c>
      <c r="CD295" s="16">
        <f>SUM(CE295:CH295)</f>
        <v>0</v>
      </c>
      <c r="CE295" s="16">
        <v>0</v>
      </c>
      <c r="CF295" s="16">
        <v>0</v>
      </c>
      <c r="CG295" s="16">
        <v>0</v>
      </c>
      <c r="CH295" s="16">
        <v>0</v>
      </c>
      <c r="CI295" s="16">
        <v>0</v>
      </c>
      <c r="CJ295" s="16">
        <f>SUM(CK295:CN295)</f>
        <v>0</v>
      </c>
      <c r="CK295" s="16">
        <v>0</v>
      </c>
      <c r="CL295" s="16">
        <v>0</v>
      </c>
      <c r="CM295" s="16">
        <v>0</v>
      </c>
      <c r="CN295" s="16">
        <v>0</v>
      </c>
      <c r="CO295" s="16">
        <v>0</v>
      </c>
      <c r="CP295" s="16">
        <v>0</v>
      </c>
      <c r="CQ295" s="16">
        <v>0</v>
      </c>
      <c r="CR295" s="16">
        <f t="shared" si="422"/>
        <v>0</v>
      </c>
      <c r="CS295" s="16">
        <f t="shared" si="423"/>
        <v>0</v>
      </c>
      <c r="CT295" s="16">
        <v>0</v>
      </c>
      <c r="CU295" s="17">
        <v>0</v>
      </c>
      <c r="CV295" s="38"/>
    </row>
    <row r="296" spans="1:100" ht="15.75" x14ac:dyDescent="0.25">
      <c r="A296" s="13" t="s">
        <v>304</v>
      </c>
      <c r="B296" s="14" t="s">
        <v>57</v>
      </c>
      <c r="C296" s="14" t="s">
        <v>1</v>
      </c>
      <c r="D296" s="30" t="s">
        <v>313</v>
      </c>
      <c r="E296" s="15">
        <f t="shared" ref="E296:AJ296" si="444">SUM(E297)</f>
        <v>8336675</v>
      </c>
      <c r="F296" s="16">
        <f t="shared" si="444"/>
        <v>8336675</v>
      </c>
      <c r="G296" s="16">
        <f t="shared" si="444"/>
        <v>0</v>
      </c>
      <c r="H296" s="16">
        <f t="shared" si="444"/>
        <v>0</v>
      </c>
      <c r="I296" s="16">
        <f t="shared" si="444"/>
        <v>0</v>
      </c>
      <c r="J296" s="16">
        <f t="shared" si="444"/>
        <v>0</v>
      </c>
      <c r="K296" s="16">
        <f t="shared" si="444"/>
        <v>0</v>
      </c>
      <c r="L296" s="16">
        <f t="shared" si="444"/>
        <v>0</v>
      </c>
      <c r="M296" s="16">
        <f t="shared" si="444"/>
        <v>0</v>
      </c>
      <c r="N296" s="16">
        <f t="shared" si="444"/>
        <v>0</v>
      </c>
      <c r="O296" s="16">
        <f t="shared" si="444"/>
        <v>0</v>
      </c>
      <c r="P296" s="16">
        <f t="shared" si="444"/>
        <v>0</v>
      </c>
      <c r="Q296" s="16">
        <f t="shared" si="444"/>
        <v>0</v>
      </c>
      <c r="R296" s="16">
        <f t="shared" si="444"/>
        <v>0</v>
      </c>
      <c r="S296" s="16">
        <f t="shared" si="444"/>
        <v>0</v>
      </c>
      <c r="T296" s="16">
        <f t="shared" si="444"/>
        <v>0</v>
      </c>
      <c r="U296" s="16">
        <f t="shared" si="444"/>
        <v>0</v>
      </c>
      <c r="V296" s="16">
        <f t="shared" si="444"/>
        <v>0</v>
      </c>
      <c r="W296" s="16">
        <f t="shared" si="444"/>
        <v>0</v>
      </c>
      <c r="X296" s="16">
        <f t="shared" si="444"/>
        <v>0</v>
      </c>
      <c r="Y296" s="16">
        <f t="shared" si="444"/>
        <v>0</v>
      </c>
      <c r="Z296" s="16">
        <f t="shared" si="444"/>
        <v>0</v>
      </c>
      <c r="AA296" s="16">
        <f t="shared" si="444"/>
        <v>0</v>
      </c>
      <c r="AB296" s="16">
        <f t="shared" si="444"/>
        <v>0</v>
      </c>
      <c r="AC296" s="16">
        <f t="shared" si="444"/>
        <v>0</v>
      </c>
      <c r="AD296" s="16">
        <f t="shared" si="444"/>
        <v>0</v>
      </c>
      <c r="AE296" s="16">
        <f t="shared" si="444"/>
        <v>0</v>
      </c>
      <c r="AF296" s="16">
        <f t="shared" si="444"/>
        <v>0</v>
      </c>
      <c r="AG296" s="16">
        <f t="shared" si="444"/>
        <v>0</v>
      </c>
      <c r="AH296" s="16">
        <f t="shared" si="444"/>
        <v>0</v>
      </c>
      <c r="AI296" s="16">
        <f t="shared" si="444"/>
        <v>0</v>
      </c>
      <c r="AJ296" s="16">
        <f t="shared" si="444"/>
        <v>0</v>
      </c>
      <c r="AK296" s="16">
        <f t="shared" ref="AK296:BR296" si="445">SUM(AK297)</f>
        <v>0</v>
      </c>
      <c r="AL296" s="16">
        <f t="shared" si="445"/>
        <v>0</v>
      </c>
      <c r="AM296" s="16">
        <f t="shared" si="445"/>
        <v>0</v>
      </c>
      <c r="AN296" s="16">
        <f t="shared" si="445"/>
        <v>0</v>
      </c>
      <c r="AO296" s="16">
        <f t="shared" si="445"/>
        <v>0</v>
      </c>
      <c r="AP296" s="16">
        <f t="shared" si="445"/>
        <v>0</v>
      </c>
      <c r="AQ296" s="16">
        <f t="shared" si="445"/>
        <v>0</v>
      </c>
      <c r="AR296" s="16">
        <f t="shared" si="445"/>
        <v>0</v>
      </c>
      <c r="AS296" s="16">
        <f t="shared" si="445"/>
        <v>0</v>
      </c>
      <c r="AT296" s="16">
        <f t="shared" si="445"/>
        <v>0</v>
      </c>
      <c r="AU296" s="16">
        <f t="shared" si="445"/>
        <v>0</v>
      </c>
      <c r="AV296" s="16">
        <f t="shared" si="445"/>
        <v>0</v>
      </c>
      <c r="AW296" s="16">
        <f t="shared" si="445"/>
        <v>0</v>
      </c>
      <c r="AX296" s="16">
        <f t="shared" si="445"/>
        <v>0</v>
      </c>
      <c r="AY296" s="16">
        <f t="shared" si="445"/>
        <v>0</v>
      </c>
      <c r="AZ296" s="16">
        <f t="shared" si="445"/>
        <v>0</v>
      </c>
      <c r="BA296" s="16">
        <f t="shared" si="445"/>
        <v>8336675</v>
      </c>
      <c r="BB296" s="16">
        <f t="shared" si="445"/>
        <v>0</v>
      </c>
      <c r="BC296" s="16">
        <f t="shared" si="445"/>
        <v>0</v>
      </c>
      <c r="BD296" s="16">
        <f t="shared" si="445"/>
        <v>0</v>
      </c>
      <c r="BE296" s="16">
        <f t="shared" si="445"/>
        <v>0</v>
      </c>
      <c r="BF296" s="16">
        <f t="shared" si="445"/>
        <v>0</v>
      </c>
      <c r="BG296" s="16">
        <f t="shared" si="445"/>
        <v>0</v>
      </c>
      <c r="BH296" s="16">
        <f t="shared" si="445"/>
        <v>0</v>
      </c>
      <c r="BI296" s="16">
        <f t="shared" si="445"/>
        <v>8336675</v>
      </c>
      <c r="BJ296" s="16">
        <f t="shared" si="445"/>
        <v>0</v>
      </c>
      <c r="BK296" s="16">
        <f t="shared" si="445"/>
        <v>0</v>
      </c>
      <c r="BL296" s="16">
        <f t="shared" si="445"/>
        <v>0</v>
      </c>
      <c r="BM296" s="16">
        <f t="shared" si="445"/>
        <v>0</v>
      </c>
      <c r="BN296" s="16">
        <f t="shared" si="445"/>
        <v>0</v>
      </c>
      <c r="BO296" s="16">
        <f t="shared" si="445"/>
        <v>0</v>
      </c>
      <c r="BP296" s="16">
        <f t="shared" si="445"/>
        <v>0</v>
      </c>
      <c r="BQ296" s="16">
        <f t="shared" si="445"/>
        <v>0</v>
      </c>
      <c r="BR296" s="16">
        <f t="shared" si="445"/>
        <v>0</v>
      </c>
      <c r="BS296" s="16">
        <f t="shared" ref="BS296:CU296" si="446">SUM(BS297)</f>
        <v>0</v>
      </c>
      <c r="BT296" s="16">
        <f t="shared" si="446"/>
        <v>0</v>
      </c>
      <c r="BU296" s="16">
        <f t="shared" si="446"/>
        <v>0</v>
      </c>
      <c r="BV296" s="16">
        <f t="shared" si="446"/>
        <v>0</v>
      </c>
      <c r="BW296" s="16">
        <f t="shared" si="446"/>
        <v>0</v>
      </c>
      <c r="BX296" s="16">
        <f t="shared" si="446"/>
        <v>0</v>
      </c>
      <c r="BY296" s="16">
        <f t="shared" si="446"/>
        <v>0</v>
      </c>
      <c r="BZ296" s="16">
        <f t="shared" si="446"/>
        <v>0</v>
      </c>
      <c r="CA296" s="16">
        <f t="shared" si="446"/>
        <v>0</v>
      </c>
      <c r="CB296" s="16">
        <f t="shared" si="446"/>
        <v>0</v>
      </c>
      <c r="CC296" s="16">
        <f t="shared" si="446"/>
        <v>0</v>
      </c>
      <c r="CD296" s="16">
        <f t="shared" si="446"/>
        <v>0</v>
      </c>
      <c r="CE296" s="16">
        <f t="shared" si="446"/>
        <v>0</v>
      </c>
      <c r="CF296" s="16">
        <f t="shared" si="446"/>
        <v>0</v>
      </c>
      <c r="CG296" s="16">
        <f t="shared" si="446"/>
        <v>0</v>
      </c>
      <c r="CH296" s="16">
        <f t="shared" si="446"/>
        <v>0</v>
      </c>
      <c r="CI296" s="16">
        <f t="shared" si="446"/>
        <v>0</v>
      </c>
      <c r="CJ296" s="16">
        <f t="shared" si="446"/>
        <v>0</v>
      </c>
      <c r="CK296" s="16">
        <f t="shared" si="446"/>
        <v>0</v>
      </c>
      <c r="CL296" s="16">
        <f t="shared" si="446"/>
        <v>0</v>
      </c>
      <c r="CM296" s="16">
        <f t="shared" si="446"/>
        <v>0</v>
      </c>
      <c r="CN296" s="16">
        <f t="shared" si="446"/>
        <v>0</v>
      </c>
      <c r="CO296" s="16">
        <f t="shared" si="446"/>
        <v>0</v>
      </c>
      <c r="CP296" s="16">
        <f t="shared" si="446"/>
        <v>0</v>
      </c>
      <c r="CQ296" s="16">
        <f t="shared" si="446"/>
        <v>0</v>
      </c>
      <c r="CR296" s="16">
        <f t="shared" si="446"/>
        <v>0</v>
      </c>
      <c r="CS296" s="16">
        <f t="shared" si="446"/>
        <v>0</v>
      </c>
      <c r="CT296" s="16">
        <f t="shared" si="446"/>
        <v>0</v>
      </c>
      <c r="CU296" s="17">
        <f t="shared" si="446"/>
        <v>0</v>
      </c>
      <c r="CV296" s="38"/>
    </row>
    <row r="297" spans="1:100" ht="15.75" x14ac:dyDescent="0.25">
      <c r="A297" s="13" t="s">
        <v>1</v>
      </c>
      <c r="B297" s="14" t="s">
        <v>1</v>
      </c>
      <c r="C297" s="14" t="s">
        <v>43</v>
      </c>
      <c r="D297" s="30" t="s">
        <v>314</v>
      </c>
      <c r="E297" s="15">
        <f>SUM(F297+BY297+CR297)</f>
        <v>8336675</v>
      </c>
      <c r="F297" s="16">
        <f>SUM(G297+BA297)</f>
        <v>8336675</v>
      </c>
      <c r="G297" s="16">
        <f>SUM(H297+I297+J297+Q297+T297+U297+V297+AE297)</f>
        <v>0</v>
      </c>
      <c r="H297" s="16">
        <v>0</v>
      </c>
      <c r="I297" s="16">
        <v>0</v>
      </c>
      <c r="J297" s="16">
        <f t="shared" si="416"/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0</v>
      </c>
      <c r="P297" s="16">
        <v>0</v>
      </c>
      <c r="Q297" s="16">
        <f t="shared" si="417"/>
        <v>0</v>
      </c>
      <c r="R297" s="16">
        <v>0</v>
      </c>
      <c r="S297" s="16">
        <v>0</v>
      </c>
      <c r="T297" s="16">
        <v>0</v>
      </c>
      <c r="U297" s="16">
        <v>0</v>
      </c>
      <c r="V297" s="16">
        <f>SUM(W297:AD297)</f>
        <v>0</v>
      </c>
      <c r="W297" s="16">
        <v>0</v>
      </c>
      <c r="X297" s="16">
        <v>0</v>
      </c>
      <c r="Y297" s="16">
        <v>0</v>
      </c>
      <c r="Z297" s="16">
        <v>0</v>
      </c>
      <c r="AA297" s="16">
        <v>0</v>
      </c>
      <c r="AB297" s="16">
        <v>0</v>
      </c>
      <c r="AC297" s="16">
        <v>0</v>
      </c>
      <c r="AD297" s="16">
        <v>0</v>
      </c>
      <c r="AE297" s="16">
        <f>SUM(AF297:AZ297)</f>
        <v>0</v>
      </c>
      <c r="AF297" s="16">
        <v>0</v>
      </c>
      <c r="AG297" s="16">
        <v>0</v>
      </c>
      <c r="AH297" s="16">
        <v>0</v>
      </c>
      <c r="AI297" s="16">
        <v>0</v>
      </c>
      <c r="AJ297" s="16">
        <v>0</v>
      </c>
      <c r="AK297" s="16">
        <v>0</v>
      </c>
      <c r="AL297" s="16">
        <v>0</v>
      </c>
      <c r="AM297" s="16">
        <v>0</v>
      </c>
      <c r="AN297" s="16">
        <v>0</v>
      </c>
      <c r="AO297" s="16">
        <v>0</v>
      </c>
      <c r="AP297" s="16">
        <v>0</v>
      </c>
      <c r="AQ297" s="16">
        <v>0</v>
      </c>
      <c r="AR297" s="16">
        <v>0</v>
      </c>
      <c r="AS297" s="16">
        <v>0</v>
      </c>
      <c r="AT297" s="16">
        <v>0</v>
      </c>
      <c r="AU297" s="16">
        <v>0</v>
      </c>
      <c r="AV297" s="16">
        <v>0</v>
      </c>
      <c r="AW297" s="16">
        <v>0</v>
      </c>
      <c r="AX297" s="16">
        <v>0</v>
      </c>
      <c r="AY297" s="16">
        <v>0</v>
      </c>
      <c r="AZ297" s="16">
        <v>0</v>
      </c>
      <c r="BA297" s="16">
        <f>SUM(BB297+BF297+BI297+BK297+BM297)</f>
        <v>8336675</v>
      </c>
      <c r="BB297" s="16">
        <f>SUM(BC297:BE297)</f>
        <v>0</v>
      </c>
      <c r="BC297" s="16">
        <v>0</v>
      </c>
      <c r="BD297" s="16">
        <v>0</v>
      </c>
      <c r="BE297" s="16">
        <v>0</v>
      </c>
      <c r="BF297" s="16">
        <f t="shared" si="418"/>
        <v>0</v>
      </c>
      <c r="BG297" s="16">
        <v>0</v>
      </c>
      <c r="BH297" s="16">
        <v>0</v>
      </c>
      <c r="BI297" s="16">
        <f>11645390-3308715</f>
        <v>8336675</v>
      </c>
      <c r="BJ297" s="16">
        <v>0</v>
      </c>
      <c r="BK297" s="16">
        <f t="shared" si="419"/>
        <v>0</v>
      </c>
      <c r="BL297" s="16">
        <v>0</v>
      </c>
      <c r="BM297" s="16">
        <f t="shared" si="420"/>
        <v>0</v>
      </c>
      <c r="BN297" s="16">
        <v>0</v>
      </c>
      <c r="BO297" s="16">
        <v>0</v>
      </c>
      <c r="BP297" s="16">
        <v>0</v>
      </c>
      <c r="BQ297" s="16">
        <v>0</v>
      </c>
      <c r="BR297" s="16">
        <v>0</v>
      </c>
      <c r="BS297" s="16">
        <v>0</v>
      </c>
      <c r="BT297" s="16">
        <v>0</v>
      </c>
      <c r="BU297" s="16">
        <v>0</v>
      </c>
      <c r="BV297" s="16">
        <v>0</v>
      </c>
      <c r="BW297" s="16">
        <v>0</v>
      </c>
      <c r="BX297" s="16">
        <v>0</v>
      </c>
      <c r="BY297" s="16">
        <f>SUM(BZ297+CQ297)</f>
        <v>0</v>
      </c>
      <c r="BZ297" s="16">
        <f>SUM(CA297+CD297+CJ297)</f>
        <v>0</v>
      </c>
      <c r="CA297" s="16">
        <f t="shared" si="421"/>
        <v>0</v>
      </c>
      <c r="CB297" s="16">
        <v>0</v>
      </c>
      <c r="CC297" s="16">
        <v>0</v>
      </c>
      <c r="CD297" s="16">
        <f>SUM(CE297:CH297)</f>
        <v>0</v>
      </c>
      <c r="CE297" s="16">
        <v>0</v>
      </c>
      <c r="CF297" s="16">
        <v>0</v>
      </c>
      <c r="CG297" s="16">
        <v>0</v>
      </c>
      <c r="CH297" s="16">
        <v>0</v>
      </c>
      <c r="CI297" s="16">
        <v>0</v>
      </c>
      <c r="CJ297" s="16">
        <f>SUM(CK297:CN297)</f>
        <v>0</v>
      </c>
      <c r="CK297" s="16">
        <v>0</v>
      </c>
      <c r="CL297" s="16">
        <v>0</v>
      </c>
      <c r="CM297" s="16">
        <v>0</v>
      </c>
      <c r="CN297" s="16">
        <v>0</v>
      </c>
      <c r="CO297" s="16">
        <v>0</v>
      </c>
      <c r="CP297" s="16">
        <v>0</v>
      </c>
      <c r="CQ297" s="16">
        <v>0</v>
      </c>
      <c r="CR297" s="16">
        <f t="shared" si="422"/>
        <v>0</v>
      </c>
      <c r="CS297" s="16">
        <f t="shared" si="423"/>
        <v>0</v>
      </c>
      <c r="CT297" s="16">
        <v>0</v>
      </c>
      <c r="CU297" s="17">
        <v>0</v>
      </c>
      <c r="CV297" s="38"/>
    </row>
    <row r="298" spans="1:100" ht="16.5" thickBot="1" x14ac:dyDescent="0.3">
      <c r="A298" s="24" t="s">
        <v>1</v>
      </c>
      <c r="B298" s="25" t="s">
        <v>1</v>
      </c>
      <c r="C298" s="25" t="s">
        <v>1</v>
      </c>
      <c r="D298" s="32" t="s">
        <v>507</v>
      </c>
      <c r="E298" s="26">
        <f t="shared" ref="E298:AJ298" si="447">E16+E52+E63+E68+E73+E89+E103+E106+E110+E115+E125+E146+E161+E168+E181+E206+E212+E216+E280+E283+E209</f>
        <v>4388753358</v>
      </c>
      <c r="F298" s="27">
        <f t="shared" si="447"/>
        <v>3648937286</v>
      </c>
      <c r="G298" s="27">
        <f t="shared" si="447"/>
        <v>2610507800</v>
      </c>
      <c r="H298" s="27">
        <f t="shared" si="447"/>
        <v>1518417713</v>
      </c>
      <c r="I298" s="27">
        <f t="shared" si="447"/>
        <v>234454086</v>
      </c>
      <c r="J298" s="27">
        <f t="shared" si="447"/>
        <v>417090392</v>
      </c>
      <c r="K298" s="27">
        <f t="shared" si="447"/>
        <v>141243920</v>
      </c>
      <c r="L298" s="27">
        <f t="shared" si="447"/>
        <v>67274810</v>
      </c>
      <c r="M298" s="27">
        <f t="shared" si="447"/>
        <v>95550886</v>
      </c>
      <c r="N298" s="27">
        <f t="shared" si="447"/>
        <v>4492231</v>
      </c>
      <c r="O298" s="27">
        <f t="shared" si="447"/>
        <v>77521093</v>
      </c>
      <c r="P298" s="27">
        <f t="shared" si="447"/>
        <v>31007452</v>
      </c>
      <c r="Q298" s="27">
        <f t="shared" si="447"/>
        <v>10388260</v>
      </c>
      <c r="R298" s="27">
        <f t="shared" si="447"/>
        <v>595967</v>
      </c>
      <c r="S298" s="27">
        <f t="shared" si="447"/>
        <v>9792293</v>
      </c>
      <c r="T298" s="27">
        <f t="shared" si="447"/>
        <v>316024</v>
      </c>
      <c r="U298" s="27">
        <f t="shared" si="447"/>
        <v>19190817</v>
      </c>
      <c r="V298" s="27">
        <f t="shared" si="447"/>
        <v>134630418</v>
      </c>
      <c r="W298" s="27">
        <f t="shared" si="447"/>
        <v>12304037</v>
      </c>
      <c r="X298" s="27">
        <f t="shared" si="447"/>
        <v>14823085</v>
      </c>
      <c r="Y298" s="27">
        <f t="shared" si="447"/>
        <v>34887120</v>
      </c>
      <c r="Z298" s="27">
        <f t="shared" si="447"/>
        <v>5710148</v>
      </c>
      <c r="AA298" s="27">
        <f t="shared" si="447"/>
        <v>2689785</v>
      </c>
      <c r="AB298" s="27">
        <f t="shared" si="447"/>
        <v>1938558</v>
      </c>
      <c r="AC298" s="27">
        <f t="shared" si="447"/>
        <v>61396038</v>
      </c>
      <c r="AD298" s="27">
        <f t="shared" si="447"/>
        <v>881647</v>
      </c>
      <c r="AE298" s="27">
        <f t="shared" si="447"/>
        <v>276020090</v>
      </c>
      <c r="AF298" s="27">
        <f t="shared" si="447"/>
        <v>8827691</v>
      </c>
      <c r="AG298" s="27">
        <f t="shared" si="447"/>
        <v>6114906</v>
      </c>
      <c r="AH298" s="27">
        <f t="shared" si="447"/>
        <v>18445670</v>
      </c>
      <c r="AI298" s="27">
        <f t="shared" si="447"/>
        <v>2057644</v>
      </c>
      <c r="AJ298" s="27">
        <f t="shared" si="447"/>
        <v>3732791</v>
      </c>
      <c r="AK298" s="27">
        <f t="shared" ref="AK298:BP298" si="448">AK16+AK52+AK63+AK68+AK73+AK89+AK103+AK106+AK110+AK115+AK125+AK146+AK161+AK168+AK181+AK206+AK212+AK216+AK280+AK283+AK209</f>
        <v>1282295</v>
      </c>
      <c r="AL298" s="27">
        <f t="shared" si="448"/>
        <v>5094528</v>
      </c>
      <c r="AM298" s="27">
        <f t="shared" si="448"/>
        <v>8744472</v>
      </c>
      <c r="AN298" s="27">
        <f t="shared" si="448"/>
        <v>5076237</v>
      </c>
      <c r="AO298" s="27">
        <f t="shared" si="448"/>
        <v>450481</v>
      </c>
      <c r="AP298" s="27">
        <f t="shared" si="448"/>
        <v>974849</v>
      </c>
      <c r="AQ298" s="27">
        <f t="shared" si="448"/>
        <v>11227058</v>
      </c>
      <c r="AR298" s="27">
        <f t="shared" si="448"/>
        <v>3515613</v>
      </c>
      <c r="AS298" s="27">
        <f t="shared" si="448"/>
        <v>947088</v>
      </c>
      <c r="AT298" s="27">
        <f t="shared" si="448"/>
        <v>524239</v>
      </c>
      <c r="AU298" s="27">
        <f t="shared" si="448"/>
        <v>2770271</v>
      </c>
      <c r="AV298" s="27">
        <f t="shared" si="448"/>
        <v>4416922</v>
      </c>
      <c r="AW298" s="27">
        <f t="shared" si="448"/>
        <v>45834138</v>
      </c>
      <c r="AX298" s="27">
        <f t="shared" si="448"/>
        <v>46800</v>
      </c>
      <c r="AY298" s="27">
        <f t="shared" si="448"/>
        <v>350883</v>
      </c>
      <c r="AZ298" s="27">
        <f t="shared" si="448"/>
        <v>145585514</v>
      </c>
      <c r="BA298" s="27">
        <f t="shared" si="448"/>
        <v>1038429486</v>
      </c>
      <c r="BB298" s="27">
        <f t="shared" si="448"/>
        <v>174045348</v>
      </c>
      <c r="BC298" s="27">
        <f t="shared" si="448"/>
        <v>146835535</v>
      </c>
      <c r="BD298" s="27">
        <f t="shared" si="448"/>
        <v>6980711</v>
      </c>
      <c r="BE298" s="27">
        <f t="shared" si="448"/>
        <v>20229102</v>
      </c>
      <c r="BF298" s="27">
        <f t="shared" si="448"/>
        <v>13419070</v>
      </c>
      <c r="BG298" s="27">
        <f t="shared" si="448"/>
        <v>8642083</v>
      </c>
      <c r="BH298" s="27">
        <f t="shared" si="448"/>
        <v>4776987</v>
      </c>
      <c r="BI298" s="27">
        <f t="shared" si="448"/>
        <v>374743513</v>
      </c>
      <c r="BJ298" s="27">
        <f t="shared" si="448"/>
        <v>4214513</v>
      </c>
      <c r="BK298" s="27">
        <f t="shared" si="448"/>
        <v>744656</v>
      </c>
      <c r="BL298" s="27">
        <f t="shared" si="448"/>
        <v>744656</v>
      </c>
      <c r="BM298" s="27">
        <f t="shared" si="448"/>
        <v>475476899</v>
      </c>
      <c r="BN298" s="27">
        <f t="shared" si="448"/>
        <v>59749651</v>
      </c>
      <c r="BO298" s="27">
        <f t="shared" si="448"/>
        <v>4583424</v>
      </c>
      <c r="BP298" s="27">
        <f t="shared" si="448"/>
        <v>16556114</v>
      </c>
      <c r="BQ298" s="27">
        <f t="shared" ref="BQ298:CU298" si="449">BQ16+BQ52+BQ63+BQ68+BQ73+BQ89+BQ103+BQ106+BQ110+BQ115+BQ125+BQ146+BQ161+BQ168+BQ181+BQ206+BQ212+BQ216+BQ280+BQ283+BQ209</f>
        <v>14134363</v>
      </c>
      <c r="BR298" s="27">
        <f t="shared" si="449"/>
        <v>100000</v>
      </c>
      <c r="BS298" s="27">
        <f t="shared" si="449"/>
        <v>407888</v>
      </c>
      <c r="BT298" s="27">
        <f t="shared" si="449"/>
        <v>167368528</v>
      </c>
      <c r="BU298" s="27">
        <f t="shared" si="449"/>
        <v>1401135</v>
      </c>
      <c r="BV298" s="27">
        <f t="shared" si="449"/>
        <v>230042</v>
      </c>
      <c r="BW298" s="27">
        <f t="shared" si="449"/>
        <v>147569807</v>
      </c>
      <c r="BX298" s="27">
        <f t="shared" si="449"/>
        <v>63375947</v>
      </c>
      <c r="BY298" s="27">
        <f t="shared" si="449"/>
        <v>639329555</v>
      </c>
      <c r="BZ298" s="27">
        <f t="shared" si="449"/>
        <v>350420131</v>
      </c>
      <c r="CA298" s="27">
        <f t="shared" si="449"/>
        <v>99713323</v>
      </c>
      <c r="CB298" s="27">
        <f t="shared" si="449"/>
        <v>3287761</v>
      </c>
      <c r="CC298" s="27">
        <f t="shared" si="449"/>
        <v>96425562</v>
      </c>
      <c r="CD298" s="27">
        <f t="shared" si="449"/>
        <v>146560570</v>
      </c>
      <c r="CE298" s="27">
        <f t="shared" si="449"/>
        <v>1267875</v>
      </c>
      <c r="CF298" s="27">
        <f t="shared" si="449"/>
        <v>122186255</v>
      </c>
      <c r="CG298" s="27">
        <f t="shared" si="449"/>
        <v>15668319</v>
      </c>
      <c r="CH298" s="27">
        <f t="shared" si="449"/>
        <v>7197854</v>
      </c>
      <c r="CI298" s="27">
        <f t="shared" si="449"/>
        <v>240267</v>
      </c>
      <c r="CJ298" s="27">
        <f t="shared" si="449"/>
        <v>104146238</v>
      </c>
      <c r="CK298" s="27">
        <f t="shared" si="449"/>
        <v>2114966</v>
      </c>
      <c r="CL298" s="27">
        <f t="shared" si="449"/>
        <v>82549262</v>
      </c>
      <c r="CM298" s="27">
        <f t="shared" si="449"/>
        <v>8762578</v>
      </c>
      <c r="CN298" s="27">
        <f t="shared" si="449"/>
        <v>10719432</v>
      </c>
      <c r="CO298" s="27">
        <f t="shared" si="449"/>
        <v>3875517</v>
      </c>
      <c r="CP298" s="27">
        <f t="shared" si="449"/>
        <v>3875517</v>
      </c>
      <c r="CQ298" s="27">
        <f t="shared" si="449"/>
        <v>285033907</v>
      </c>
      <c r="CR298" s="27">
        <f t="shared" si="449"/>
        <v>100486517</v>
      </c>
      <c r="CS298" s="27">
        <f t="shared" si="449"/>
        <v>100486517</v>
      </c>
      <c r="CT298" s="27">
        <f t="shared" si="449"/>
        <v>34500</v>
      </c>
      <c r="CU298" s="28">
        <f t="shared" si="449"/>
        <v>100452017</v>
      </c>
      <c r="CV298" s="38"/>
    </row>
    <row r="299" spans="1:100" x14ac:dyDescent="0.25">
      <c r="A299" s="33" t="s">
        <v>1</v>
      </c>
      <c r="B299" s="33" t="s">
        <v>1</v>
      </c>
      <c r="C299" s="33" t="s">
        <v>1</v>
      </c>
      <c r="D299" s="34" t="s">
        <v>1</v>
      </c>
      <c r="F299" s="35">
        <v>0</v>
      </c>
      <c r="G299" s="35">
        <v>0</v>
      </c>
      <c r="H299" s="35">
        <v>0</v>
      </c>
      <c r="I299" s="35">
        <v>0</v>
      </c>
      <c r="J299" s="35">
        <v>0</v>
      </c>
      <c r="K299" s="35">
        <v>0</v>
      </c>
      <c r="L299" s="35">
        <v>0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0</v>
      </c>
      <c r="AO299" s="35">
        <v>0</v>
      </c>
      <c r="AP299" s="35">
        <v>0</v>
      </c>
      <c r="AQ299" s="35">
        <v>0</v>
      </c>
      <c r="AR299" s="35">
        <v>0</v>
      </c>
      <c r="AS299" s="35">
        <v>0</v>
      </c>
      <c r="AT299" s="35">
        <v>0</v>
      </c>
      <c r="AU299" s="35">
        <v>0</v>
      </c>
      <c r="AV299" s="35">
        <v>0</v>
      </c>
      <c r="AW299" s="35">
        <v>0</v>
      </c>
      <c r="AX299" s="35">
        <v>0</v>
      </c>
      <c r="AY299" s="35">
        <v>0</v>
      </c>
      <c r="AZ299" s="35">
        <v>0</v>
      </c>
      <c r="BA299" s="35">
        <v>0</v>
      </c>
      <c r="BB299" s="35">
        <v>0</v>
      </c>
      <c r="BC299" s="35">
        <v>0</v>
      </c>
      <c r="BD299" s="35">
        <v>0</v>
      </c>
      <c r="BE299" s="35">
        <v>0</v>
      </c>
      <c r="BF299" s="35">
        <v>0</v>
      </c>
      <c r="BG299" s="35">
        <v>0</v>
      </c>
      <c r="BH299" s="35">
        <v>0</v>
      </c>
      <c r="BI299" s="35">
        <v>0</v>
      </c>
      <c r="BJ299" s="35">
        <v>0</v>
      </c>
      <c r="BK299" s="35">
        <v>0</v>
      </c>
      <c r="BL299" s="35">
        <v>0</v>
      </c>
      <c r="BM299" s="35">
        <v>0</v>
      </c>
      <c r="BN299" s="35">
        <v>0</v>
      </c>
      <c r="BO299" s="35">
        <v>0</v>
      </c>
      <c r="BP299" s="35">
        <v>0</v>
      </c>
      <c r="BQ299" s="35">
        <v>0</v>
      </c>
      <c r="BR299" s="35">
        <v>0</v>
      </c>
      <c r="BS299" s="35">
        <v>0</v>
      </c>
      <c r="BT299" s="35">
        <v>0</v>
      </c>
      <c r="BU299" s="35">
        <v>0</v>
      </c>
      <c r="BV299" s="35">
        <v>0</v>
      </c>
      <c r="BW299" s="35">
        <v>0</v>
      </c>
      <c r="BX299" s="35">
        <v>0</v>
      </c>
      <c r="BY299" s="35">
        <v>0</v>
      </c>
      <c r="BZ299" s="35">
        <v>0</v>
      </c>
      <c r="CA299" s="35">
        <v>0</v>
      </c>
      <c r="CB299" s="35">
        <v>0</v>
      </c>
      <c r="CC299" s="35">
        <v>0</v>
      </c>
      <c r="CD299" s="35">
        <v>0</v>
      </c>
      <c r="CE299" s="35">
        <v>0</v>
      </c>
      <c r="CF299" s="35">
        <v>0</v>
      </c>
      <c r="CG299" s="35">
        <v>0</v>
      </c>
      <c r="CH299" s="35">
        <v>0</v>
      </c>
      <c r="CI299" s="35"/>
      <c r="CJ299" s="35">
        <v>0</v>
      </c>
      <c r="CK299" s="35">
        <v>0</v>
      </c>
      <c r="CL299" s="35">
        <v>0</v>
      </c>
      <c r="CM299" s="35">
        <v>0</v>
      </c>
      <c r="CN299" s="35">
        <v>0</v>
      </c>
      <c r="CO299" s="35">
        <v>0</v>
      </c>
      <c r="CP299" s="35">
        <v>0</v>
      </c>
      <c r="CQ299" s="35">
        <v>0</v>
      </c>
      <c r="CR299" s="35">
        <v>0</v>
      </c>
      <c r="CS299" s="35">
        <v>0</v>
      </c>
      <c r="CT299" s="35">
        <v>0</v>
      </c>
      <c r="CU299" s="35">
        <v>0</v>
      </c>
      <c r="CV299" s="38"/>
    </row>
  </sheetData>
  <mergeCells count="105">
    <mergeCell ref="I1:J1"/>
    <mergeCell ref="F2:J2"/>
    <mergeCell ref="F3:J3"/>
    <mergeCell ref="G4:J4"/>
    <mergeCell ref="G5:J5"/>
    <mergeCell ref="CT13:CT14"/>
    <mergeCell ref="CU13:CU14"/>
    <mergeCell ref="CG13:CG14"/>
    <mergeCell ref="CH13:CH14"/>
    <mergeCell ref="CJ13:CJ14"/>
    <mergeCell ref="CK13:CK14"/>
    <mergeCell ref="CL13:CL14"/>
    <mergeCell ref="CN13:CN14"/>
    <mergeCell ref="CQ13:CQ14"/>
    <mergeCell ref="CM13:CM14"/>
    <mergeCell ref="CP13:CP14"/>
    <mergeCell ref="CS13:CS14"/>
    <mergeCell ref="CR13:CR14"/>
    <mergeCell ref="CB13:CB14"/>
    <mergeCell ref="CC13:CC14"/>
    <mergeCell ref="CD13:CD14"/>
    <mergeCell ref="CE13:CE14"/>
    <mergeCell ref="CO13:CO14"/>
    <mergeCell ref="CI13:CI14"/>
    <mergeCell ref="CF13:CF14"/>
    <mergeCell ref="BZ13:BZ14"/>
    <mergeCell ref="CA13:CA14"/>
    <mergeCell ref="BX13:BX14"/>
    <mergeCell ref="BO13:BO14"/>
    <mergeCell ref="BQ13:BQ14"/>
    <mergeCell ref="BR13:BR14"/>
    <mergeCell ref="BS13:BS14"/>
    <mergeCell ref="BP13:BP14"/>
    <mergeCell ref="BU13:BU14"/>
    <mergeCell ref="BT13:BT14"/>
    <mergeCell ref="BW13:BW14"/>
    <mergeCell ref="BV13:BV14"/>
    <mergeCell ref="BY13:BY14"/>
    <mergeCell ref="BN13:BN14"/>
    <mergeCell ref="AQ13:AQ14"/>
    <mergeCell ref="BE13:BE14"/>
    <mergeCell ref="BL13:BL14"/>
    <mergeCell ref="BM13:BM14"/>
    <mergeCell ref="BK13:BK14"/>
    <mergeCell ref="BH13:BH14"/>
    <mergeCell ref="AX13:AX14"/>
    <mergeCell ref="BF13:BF14"/>
    <mergeCell ref="AU13:AU14"/>
    <mergeCell ref="AT13:AT14"/>
    <mergeCell ref="AZ13:AZ14"/>
    <mergeCell ref="BG13:BG14"/>
    <mergeCell ref="BI13:BI14"/>
    <mergeCell ref="BJ13:BJ14"/>
    <mergeCell ref="BA13:BA14"/>
    <mergeCell ref="BB13:BB14"/>
    <mergeCell ref="BC13:BC14"/>
    <mergeCell ref="BD13:BD14"/>
    <mergeCell ref="AY13:AY14"/>
    <mergeCell ref="AV13:AV14"/>
    <mergeCell ref="AW13:AW14"/>
    <mergeCell ref="AR13:AR14"/>
    <mergeCell ref="AS13:AS14"/>
    <mergeCell ref="A13:B13"/>
    <mergeCell ref="A14:A15"/>
    <mergeCell ref="B14:B15"/>
    <mergeCell ref="C13:C15"/>
    <mergeCell ref="M13:M14"/>
    <mergeCell ref="D13:D15"/>
    <mergeCell ref="I13:I14"/>
    <mergeCell ref="J13:J14"/>
    <mergeCell ref="E13:E15"/>
    <mergeCell ref="F13:F14"/>
    <mergeCell ref="G13:G14"/>
    <mergeCell ref="H13:H14"/>
    <mergeCell ref="K13:K14"/>
    <mergeCell ref="L13:L14"/>
    <mergeCell ref="AM13:AM14"/>
    <mergeCell ref="AN13:AN14"/>
    <mergeCell ref="AJ13:AJ14"/>
    <mergeCell ref="AP13:AP14"/>
    <mergeCell ref="Y13:Y14"/>
    <mergeCell ref="Z13:Z14"/>
    <mergeCell ref="AK13:AK14"/>
    <mergeCell ref="AL13:AL14"/>
    <mergeCell ref="AO13:AO14"/>
    <mergeCell ref="AD13:AD14"/>
    <mergeCell ref="AC13:AC14"/>
    <mergeCell ref="AG13:AG14"/>
    <mergeCell ref="AH13:AH14"/>
    <mergeCell ref="AE13:AE14"/>
    <mergeCell ref="AF13:AF14"/>
    <mergeCell ref="AA13:AA14"/>
    <mergeCell ref="AI13:AI14"/>
    <mergeCell ref="AB13:AB14"/>
    <mergeCell ref="X13:X14"/>
    <mergeCell ref="Q13:Q14"/>
    <mergeCell ref="O13:O14"/>
    <mergeCell ref="R13:R14"/>
    <mergeCell ref="T13:T14"/>
    <mergeCell ref="U13:U14"/>
    <mergeCell ref="V13:V14"/>
    <mergeCell ref="P13:P14"/>
    <mergeCell ref="N13:N14"/>
    <mergeCell ref="S13:S14"/>
    <mergeCell ref="W13:W14"/>
  </mergeCells>
  <phoneticPr fontId="6" type="noConversion"/>
  <pageMargins left="0.15748031496062992" right="0.15748031496062992" top="0.59055118110236227" bottom="0.19685039370078741" header="0" footer="0"/>
  <pageSetup paperSize="9" firstPageNumber="17" orientation="landscape" useFirstPageNumber="1" verticalDpi="0" r:id="rId1"/>
  <headerFooter>
    <oddHeader>&amp;C&amp;"Times New Roman,обычный"&amp;10&amp;P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РБ</vt:lpstr>
      <vt:lpstr>'Расходы РБ'!Заголовки_для_печати</vt:lpstr>
      <vt:lpstr>'Расходы РБ'!Область_печати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Мога Лариса</dc:creator>
  <cp:lastModifiedBy>Шеремет</cp:lastModifiedBy>
  <cp:lastPrinted>2021-03-10T14:19:21Z</cp:lastPrinted>
  <dcterms:created xsi:type="dcterms:W3CDTF">2019-12-19T08:12:45Z</dcterms:created>
  <dcterms:modified xsi:type="dcterms:W3CDTF">2021-03-10T14:19:46Z</dcterms:modified>
</cp:coreProperties>
</file>