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19440" windowHeight="11640"/>
  </bookViews>
  <sheets>
    <sheet name="РБ" sheetId="1" r:id="rId1"/>
  </sheets>
  <definedNames>
    <definedName name="_xlnm.Print_Titles" localSheetId="0">РБ!$A:$B,РБ!$14:$14</definedName>
    <definedName name="_xlnm.Print_Area" localSheetId="0">РБ!$A$1:$K$95</definedName>
  </definedNames>
  <calcPr calcId="152511"/>
</workbook>
</file>

<file path=xl/calcChain.xml><?xml version="1.0" encoding="utf-8"?>
<calcChain xmlns="http://schemas.openxmlformats.org/spreadsheetml/2006/main">
  <c r="C94" i="1" l="1"/>
  <c r="J88" i="1" l="1"/>
  <c r="H88" i="1"/>
  <c r="G88" i="1"/>
  <c r="F88" i="1"/>
  <c r="E88" i="1"/>
  <c r="C88" i="1"/>
  <c r="J46" i="1"/>
  <c r="H46" i="1"/>
  <c r="G46" i="1"/>
  <c r="F46" i="1"/>
  <c r="E46" i="1"/>
  <c r="C46" i="1"/>
  <c r="I94" i="1" l="1"/>
  <c r="C74" i="1"/>
  <c r="D77" i="1" l="1"/>
  <c r="E77" i="1"/>
  <c r="F77" i="1"/>
  <c r="G77" i="1"/>
  <c r="H77" i="1"/>
  <c r="I77" i="1"/>
  <c r="J77" i="1"/>
  <c r="C77" i="1"/>
  <c r="J92" i="1" l="1"/>
  <c r="H92" i="1"/>
  <c r="G92" i="1"/>
  <c r="F92" i="1"/>
  <c r="E92" i="1"/>
  <c r="C92" i="1"/>
  <c r="J90" i="1"/>
  <c r="H90" i="1"/>
  <c r="G90" i="1"/>
  <c r="F90" i="1"/>
  <c r="E90" i="1"/>
  <c r="C90" i="1"/>
  <c r="I88" i="1"/>
  <c r="D88" i="1"/>
  <c r="J86" i="1"/>
  <c r="I86" i="1"/>
  <c r="H86" i="1"/>
  <c r="G86" i="1"/>
  <c r="F86" i="1"/>
  <c r="E86" i="1"/>
  <c r="C86" i="1"/>
  <c r="C84" i="1"/>
  <c r="C82" i="1"/>
  <c r="J80" i="1"/>
  <c r="I80" i="1"/>
  <c r="H80" i="1"/>
  <c r="G80" i="1"/>
  <c r="F80" i="1"/>
  <c r="E80" i="1"/>
  <c r="D80" i="1"/>
  <c r="C80" i="1"/>
  <c r="J78" i="1"/>
  <c r="I78" i="1"/>
  <c r="H78" i="1"/>
  <c r="G78" i="1"/>
  <c r="F78" i="1"/>
  <c r="E78" i="1"/>
  <c r="D78" i="1"/>
  <c r="C78" i="1"/>
  <c r="C73" i="1"/>
  <c r="J50" i="1"/>
  <c r="I50" i="1"/>
  <c r="H50" i="1"/>
  <c r="G50" i="1"/>
  <c r="F50" i="1"/>
  <c r="E50" i="1"/>
  <c r="D50" i="1"/>
  <c r="C50" i="1"/>
  <c r="C47" i="1"/>
  <c r="J42" i="1"/>
  <c r="I42" i="1"/>
  <c r="H42" i="1"/>
  <c r="G42" i="1"/>
  <c r="F42" i="1"/>
  <c r="E42" i="1"/>
  <c r="E41" i="1"/>
  <c r="C41" i="1"/>
  <c r="D38" i="1"/>
  <c r="C38" i="1"/>
  <c r="C37" i="1"/>
  <c r="J35" i="1"/>
  <c r="I35" i="1"/>
  <c r="H35" i="1"/>
  <c r="G35" i="1"/>
  <c r="F35" i="1"/>
  <c r="E35" i="1"/>
  <c r="D35" i="1"/>
  <c r="C35" i="1"/>
  <c r="J30" i="1"/>
  <c r="H30" i="1"/>
  <c r="G30" i="1"/>
  <c r="C30" i="1"/>
  <c r="G29" i="1"/>
  <c r="F29" i="1"/>
  <c r="E29" i="1"/>
  <c r="C29" i="1"/>
  <c r="J28" i="1"/>
  <c r="H28" i="1"/>
  <c r="G28" i="1"/>
  <c r="F28" i="1"/>
  <c r="E28" i="1"/>
  <c r="C28" i="1"/>
  <c r="D24" i="1" l="1"/>
  <c r="C24" i="1"/>
  <c r="D23" i="1"/>
  <c r="C23" i="1"/>
  <c r="C22" i="1"/>
  <c r="J19" i="1"/>
  <c r="I19" i="1"/>
  <c r="H19" i="1"/>
  <c r="G19" i="1"/>
  <c r="F19" i="1"/>
  <c r="E19" i="1"/>
  <c r="D19" i="1"/>
  <c r="D18" i="1" s="1"/>
  <c r="C19" i="1"/>
  <c r="C18" i="1" s="1"/>
  <c r="J20" i="1"/>
  <c r="I20" i="1"/>
  <c r="H20" i="1"/>
  <c r="G20" i="1"/>
  <c r="F20" i="1"/>
  <c r="E20" i="1"/>
  <c r="D20" i="1"/>
  <c r="C20" i="1"/>
  <c r="D22" i="1"/>
  <c r="C61" i="1"/>
  <c r="C60" i="1"/>
  <c r="K74" i="1" l="1"/>
  <c r="K21" i="1"/>
  <c r="J94" i="1" l="1"/>
  <c r="F94" i="1"/>
  <c r="C45" i="1"/>
  <c r="K88" i="1"/>
  <c r="K30" i="1"/>
  <c r="C26" i="1"/>
  <c r="K92" i="1"/>
  <c r="K90" i="1"/>
  <c r="K86" i="1"/>
  <c r="K84" i="1"/>
  <c r="K82" i="1"/>
  <c r="K80" i="1"/>
  <c r="K78" i="1"/>
  <c r="J76" i="1"/>
  <c r="H76" i="1"/>
  <c r="G76" i="1"/>
  <c r="F76" i="1"/>
  <c r="E76" i="1"/>
  <c r="D76" i="1"/>
  <c r="K73" i="1"/>
  <c r="K72" i="1"/>
  <c r="J71" i="1"/>
  <c r="I71" i="1"/>
  <c r="H71" i="1"/>
  <c r="G71" i="1"/>
  <c r="F71" i="1"/>
  <c r="E71" i="1"/>
  <c r="D71" i="1"/>
  <c r="C71" i="1"/>
  <c r="K69" i="1"/>
  <c r="K67" i="1"/>
  <c r="K65" i="1"/>
  <c r="K63" i="1"/>
  <c r="K62" i="1"/>
  <c r="K61" i="1"/>
  <c r="K60" i="1"/>
  <c r="K59" i="1"/>
  <c r="K58" i="1"/>
  <c r="K57" i="1"/>
  <c r="K56" i="1"/>
  <c r="K55" i="1"/>
  <c r="K54" i="1"/>
  <c r="K53" i="1"/>
  <c r="J52" i="1"/>
  <c r="I52" i="1"/>
  <c r="H52" i="1"/>
  <c r="G52" i="1"/>
  <c r="F52" i="1"/>
  <c r="E52" i="1"/>
  <c r="D52" i="1"/>
  <c r="C52" i="1"/>
  <c r="K50" i="1"/>
  <c r="J49" i="1"/>
  <c r="I49" i="1"/>
  <c r="H49" i="1"/>
  <c r="G49" i="1"/>
  <c r="F49" i="1"/>
  <c r="E49" i="1"/>
  <c r="D49" i="1"/>
  <c r="C49" i="1"/>
  <c r="K46" i="1"/>
  <c r="J45" i="1"/>
  <c r="I45" i="1"/>
  <c r="H45" i="1"/>
  <c r="G45" i="1"/>
  <c r="F45" i="1"/>
  <c r="E45" i="1"/>
  <c r="D45" i="1"/>
  <c r="K42" i="1"/>
  <c r="K41" i="1"/>
  <c r="K40" i="1"/>
  <c r="K39" i="1"/>
  <c r="K38" i="1"/>
  <c r="K37" i="1"/>
  <c r="J36" i="1"/>
  <c r="I36" i="1"/>
  <c r="H36" i="1"/>
  <c r="G36" i="1"/>
  <c r="F36" i="1"/>
  <c r="E36" i="1"/>
  <c r="D36" i="1"/>
  <c r="C36" i="1"/>
  <c r="K33" i="1"/>
  <c r="K31" i="1"/>
  <c r="K29" i="1"/>
  <c r="K28" i="1"/>
  <c r="K27" i="1"/>
  <c r="J26" i="1"/>
  <c r="I26" i="1"/>
  <c r="G26" i="1"/>
  <c r="F26" i="1"/>
  <c r="E26" i="1"/>
  <c r="D26" i="1"/>
  <c r="K22" i="1"/>
  <c r="K20" i="1"/>
  <c r="K19" i="1"/>
  <c r="J18" i="1"/>
  <c r="I18" i="1"/>
  <c r="H18" i="1"/>
  <c r="G18" i="1"/>
  <c r="F18" i="1"/>
  <c r="F16" i="1" s="1"/>
  <c r="E18" i="1"/>
  <c r="K17" i="1"/>
  <c r="J16" i="1" l="1"/>
  <c r="I16" i="1"/>
  <c r="H16" i="1"/>
  <c r="G16" i="1"/>
  <c r="E16" i="1"/>
  <c r="C16" i="1"/>
  <c r="D44" i="1"/>
  <c r="F44" i="1"/>
  <c r="H44" i="1"/>
  <c r="K49" i="1"/>
  <c r="C44" i="1"/>
  <c r="J44" i="1"/>
  <c r="E44" i="1"/>
  <c r="G44" i="1"/>
  <c r="I44" i="1"/>
  <c r="D16" i="1"/>
  <c r="H26" i="1"/>
  <c r="K47" i="1"/>
  <c r="K45" i="1" s="1"/>
  <c r="K36" i="1"/>
  <c r="K77" i="1"/>
  <c r="K23" i="1"/>
  <c r="K24" i="1"/>
  <c r="K94" i="1"/>
  <c r="K35" i="1"/>
  <c r="K71" i="1"/>
  <c r="C76" i="1"/>
  <c r="I76" i="1"/>
  <c r="K18" i="1"/>
  <c r="K52" i="1"/>
  <c r="E15" i="1"/>
  <c r="J15" i="1" l="1"/>
  <c r="F15" i="1"/>
  <c r="K44" i="1"/>
  <c r="I15" i="1"/>
  <c r="I95" i="1" s="1"/>
  <c r="G15" i="1"/>
  <c r="H15" i="1"/>
  <c r="G95" i="1"/>
  <c r="K26" i="1"/>
  <c r="K16" i="1"/>
  <c r="D15" i="1"/>
  <c r="E95" i="1"/>
  <c r="C15" i="1"/>
  <c r="K76" i="1"/>
  <c r="J95" i="1" l="1"/>
  <c r="F95" i="1"/>
  <c r="D95" i="1"/>
  <c r="H95" i="1"/>
  <c r="K15" i="1"/>
  <c r="C95" i="1"/>
  <c r="K95" i="1" l="1"/>
</calcChain>
</file>

<file path=xl/sharedStrings.xml><?xml version="1.0" encoding="utf-8"?>
<sst xmlns="http://schemas.openxmlformats.org/spreadsheetml/2006/main" count="84" uniqueCount="84">
  <si>
    <t>Приложение № 1.2</t>
  </si>
  <si>
    <t xml:space="preserve">к Закону Приднестровской Молдавской Республики </t>
  </si>
  <si>
    <t>"О республиканском бюджете на 2020 год"</t>
  </si>
  <si>
    <t xml:space="preserve">Планирование доходной части республиканского бюджета </t>
  </si>
  <si>
    <t xml:space="preserve">в разрезе основных видов налоговых, неналоговых и иных обязательных платежей </t>
  </si>
  <si>
    <t>на 2020 год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</si>
  <si>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</si>
  <si>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</si>
  <si>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</si>
  <si>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</si>
  <si>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</si>
  <si>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</si>
  <si>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</si>
  <si>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</si>
  <si>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</si>
  <si>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</si>
  <si>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</si>
  <si>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</si>
  <si>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</si>
  <si>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</si>
  <si>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</si>
  <si>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</si>
  <si>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</si>
  <si>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</si>
  <si>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</si>
  <si>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</si>
  <si>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</si>
  <si>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</si>
  <si>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</si>
  <si>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</si>
  <si>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импортируемую на территорию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</si>
  <si>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</si>
  <si>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</si>
  <si>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</si>
  <si>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</si>
  <si>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</si>
  <si>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</si>
  <si>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</si>
  <si>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</si>
  <si>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</si>
  <si>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</si>
  <si>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</si>
  <si>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</si>
  <si>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Таможенные пошлины</t>
  </si>
  <si>
    <t>Ввозные таможенные пошлины</t>
  </si>
  <si>
    <t>Вывозные таможенные пошлины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</si>
  <si>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</si>
  <si>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</si>
  <si>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</si>
  <si>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</si>
  <si>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</si>
  <si>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</si>
  <si>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</si>
  <si>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</si>
  <si>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</si>
  <si>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</si>
  <si>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</si>
  <si>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</si>
  <si>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</si>
  <si>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</si>
  <si>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</si>
  <si>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</si>
  <si>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Безвозмездные перечисления</t>
  </si>
  <si>
    <t>От нерезидентов (гуманитарная помощь)</t>
  </si>
  <si>
    <t>3011000</t>
  </si>
  <si>
    <t>От нерезидентов на цели субсидирования хозяйствующих субъектов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</si>
  <si>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</si>
  <si>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</si>
  <si>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</si>
  <si>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</si>
  <si>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Государственного таможенного комитета</t>
  </si>
  <si>
    <t xml:space="preserve">Фонд государственного резерва 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</si>
  <si>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</si>
  <si>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</si>
  <si>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</si>
  <si>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</si>
  <si>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</si>
  <si>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</si>
  <si>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Налог с потенциально возможного к получению годового дохода для индивидуальных предпринимателей</t>
  </si>
  <si>
    <t>Прочие безвозмездные перечисления</t>
  </si>
  <si>
    <t>Приложение № 2</t>
  </si>
  <si>
    <t>к Закону Приднестровской Молдавской Республики</t>
  </si>
  <si>
    <t>"О внесении изменений и дополнений</t>
  </si>
  <si>
    <t>в некоторые законы Приднестровской Молдавской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</si>
</sst>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_р_._-;\-* #,##0_р_._-;_-* &quot;-&quot;_р_._-;_-@_-"/>
    <numFmt numFmtId="165" formatCode="_-* #,##0.00_-;\-* #,##0.00_-;_-* &quot;-&quot;??_-;_-@_-"/>
    <numFmt numFmtId="166" formatCode="_-* #,##0_р_._-;\-* #,##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2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3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7" xfId="0" applyFont="1" applyFill="1" applyBorder="1"/>
    <xf numFmtId="0" fontId="11" fillId="2" borderId="7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8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7" fillId="2" borderId="0" xfId="0" applyFont="1" applyFill="1"/>
    <xf numFmtId="0" fontId="3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6" fillId="3" borderId="2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2" borderId="11" xfId="1" applyNumberFormat="1" applyFont="1" applyFill="1" applyBorder="1" applyAlignment="1">
      <alignment horizontal="center" vertical="center"/>
    </xf>
    <xf numFmtId="164" fontId="9" fillId="2" borderId="14" xfId="1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15" xfId="1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horizontal="center" vertical="center"/>
    </xf>
    <xf numFmtId="164" fontId="10" fillId="2" borderId="15" xfId="1" applyNumberFormat="1" applyFont="1" applyFill="1" applyBorder="1" applyAlignment="1">
      <alignment horizontal="center" vertical="center"/>
    </xf>
    <xf numFmtId="164" fontId="10" fillId="2" borderId="16" xfId="1" applyNumberFormat="1" applyFont="1" applyFill="1" applyBorder="1" applyAlignment="1">
      <alignment horizontal="center" vertical="center"/>
    </xf>
    <xf numFmtId="164" fontId="10" fillId="2" borderId="17" xfId="1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4" fontId="10" fillId="2" borderId="14" xfId="1" applyNumberFormat="1" applyFont="1" applyFill="1" applyBorder="1" applyAlignment="1">
      <alignment horizontal="center" vertical="center"/>
    </xf>
    <xf numFmtId="164" fontId="9" fillId="2" borderId="9" xfId="1" applyNumberFormat="1" applyFont="1" applyFill="1" applyBorder="1" applyAlignment="1">
      <alignment horizontal="center" vertical="center"/>
    </xf>
    <xf numFmtId="164" fontId="9" fillId="2" borderId="18" xfId="1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6" fontId="9" fillId="2" borderId="2" xfId="1" applyNumberFormat="1" applyFont="1" applyFill="1" applyBorder="1" applyAlignment="1">
      <alignment horizontal="center"/>
    </xf>
    <xf numFmtId="166" fontId="9" fillId="2" borderId="3" xfId="1" applyNumberFormat="1" applyFont="1" applyFill="1" applyBorder="1" applyAlignment="1">
      <alignment horizontal="center"/>
    </xf>
    <xf numFmtId="166" fontId="9" fillId="2" borderId="2" xfId="0" applyNumberFormat="1" applyFont="1" applyFill="1" applyBorder="1" applyAlignment="1">
      <alignment horizontal="center"/>
    </xf>
    <xf numFmtId="166" fontId="9" fillId="2" borderId="11" xfId="0" applyNumberFormat="1" applyFont="1" applyFill="1" applyBorder="1" applyAlignment="1">
      <alignment horizontal="center"/>
    </xf>
    <xf numFmtId="166" fontId="9" fillId="2" borderId="14" xfId="0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 vertical="center"/>
    </xf>
    <xf numFmtId="164" fontId="15" fillId="2" borderId="14" xfId="1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164" fontId="9" fillId="2" borderId="13" xfId="1" applyNumberFormat="1" applyFont="1" applyFill="1" applyBorder="1" applyAlignment="1">
      <alignment horizontal="center" vertical="center"/>
    </xf>
    <xf numFmtId="164" fontId="9" fillId="2" borderId="19" xfId="1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164" fontId="9" fillId="2" borderId="20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7" fillId="3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164" fontId="15" fillId="2" borderId="13" xfId="1" applyNumberFormat="1" applyFont="1" applyFill="1" applyBorder="1" applyAlignment="1">
      <alignment horizontal="center" vertical="center"/>
    </xf>
    <xf numFmtId="164" fontId="15" fillId="2" borderId="7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7" fillId="2" borderId="15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7" fillId="2" borderId="1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7" fillId="2" borderId="0" xfId="0" applyFont="1" applyFill="1" applyAlignment="1">
      <alignment horizontal="right"/>
    </xf>
    <xf numFmtId="0" fontId="11" fillId="2" borderId="23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wrapText="1"/>
    </xf>
    <xf numFmtId="164" fontId="9" fillId="2" borderId="16" xfId="1" applyNumberFormat="1" applyFont="1" applyFill="1" applyBorder="1" applyAlignment="1">
      <alignment horizontal="center" vertical="center"/>
    </xf>
    <xf numFmtId="164" fontId="9" fillId="2" borderId="24" xfId="1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/>
    <xf numFmtId="0" fontId="1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3"/>
  <sheetViews>
    <sheetView tabSelected="1" zoomScale="80" zoomScaleNormal="80" workbookViewId="0">
      <pane xSplit="2" ySplit="14" topLeftCell="C89" activePane="bottomRight" state="frozen"/>
      <selection pane="topRight" activeCell="C1" sqref="C1"/>
      <selection pane="bottomLeft" activeCell="A11" sqref="A11"/>
      <selection pane="bottomRight" activeCell="C95" sqref="C95"/>
    </sheetView>
  </sheetViews>
  <sheetFormatPr defaultRowHeight="12.75" x14ac:dyDescent="0.2"/>
  <cols>
    <col min="1" max="1" width="10.7109375" style="1" customWidth="1"/>
    <col min="2" max="2" width="51.7109375" style="22" customWidth="1"/>
    <col min="3" max="3" width="17.42578125" style="22" customWidth="1"/>
    <col min="4" max="4" width="18.5703125" style="22" bestFit="1" customWidth="1"/>
    <col min="5" max="5" width="17.28515625" style="1" bestFit="1" customWidth="1"/>
    <col min="6" max="6" width="14.5703125" style="1" bestFit="1" customWidth="1"/>
    <col min="7" max="7" width="14.28515625" style="1" customWidth="1"/>
    <col min="8" max="8" width="13.7109375" style="1" customWidth="1"/>
    <col min="9" max="9" width="14.42578125" style="1" customWidth="1"/>
    <col min="10" max="10" width="14.28515625" style="1" customWidth="1"/>
    <col min="11" max="11" width="16.7109375" style="1" customWidth="1"/>
    <col min="12" max="16384" width="9.140625" style="1"/>
  </cols>
  <sheetData>
    <row r="1" spans="1:11" ht="18.75" x14ac:dyDescent="0.3">
      <c r="G1" s="118" t="s">
        <v>80</v>
      </c>
      <c r="H1" s="118"/>
      <c r="I1" s="118"/>
      <c r="J1" s="118"/>
      <c r="K1" s="118"/>
    </row>
    <row r="2" spans="1:11" ht="18.75" x14ac:dyDescent="0.3">
      <c r="G2" s="118" t="s">
        <v>81</v>
      </c>
      <c r="H2" s="118"/>
      <c r="I2" s="118"/>
      <c r="J2" s="118"/>
      <c r="K2" s="118"/>
    </row>
    <row r="3" spans="1:11" ht="18.75" x14ac:dyDescent="0.3">
      <c r="G3" s="118" t="s">
        <v>82</v>
      </c>
      <c r="H3" s="118"/>
      <c r="I3" s="118"/>
      <c r="J3" s="118"/>
      <c r="K3" s="118"/>
    </row>
    <row r="4" spans="1:11" ht="18.75" x14ac:dyDescent="0.3">
      <c r="G4" s="118" t="s">
        <v>83</v>
      </c>
      <c r="H4" s="118"/>
      <c r="I4" s="118"/>
      <c r="J4" s="118"/>
      <c r="K4" s="118"/>
    </row>
    <row r="5" spans="1:11" ht="7.5" customHeight="1" x14ac:dyDescent="0.3">
      <c r="G5" s="112"/>
      <c r="H5" s="112"/>
      <c r="I5" s="112"/>
      <c r="J5" s="112"/>
      <c r="K5" s="112"/>
    </row>
    <row r="6" spans="1:11" ht="18.75" x14ac:dyDescent="0.3">
      <c r="A6" s="118" t="s">
        <v>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ht="18.75" x14ac:dyDescent="0.3">
      <c r="A7" s="118" t="s">
        <v>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18.75" x14ac:dyDescent="0.3">
      <c r="A8" s="118" t="s">
        <v>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ht="11.25" customHeight="1" x14ac:dyDescent="0.25">
      <c r="A9" s="2"/>
      <c r="B9" s="2"/>
      <c r="C9" s="2"/>
      <c r="D9" s="2"/>
      <c r="E9" s="3"/>
      <c r="F9" s="3"/>
      <c r="G9" s="2"/>
      <c r="H9" s="2"/>
      <c r="I9" s="2"/>
      <c r="J9" s="2"/>
      <c r="K9" s="2"/>
    </row>
    <row r="10" spans="1:11" ht="18.75" x14ac:dyDescent="0.3">
      <c r="A10" s="119" t="s">
        <v>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</row>
    <row r="11" spans="1:11" ht="18.75" x14ac:dyDescent="0.3">
      <c r="A11" s="119" t="s">
        <v>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ht="15.75" customHeight="1" x14ac:dyDescent="0.3">
      <c r="A12" s="119" t="s">
        <v>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</row>
    <row r="13" spans="1:11" ht="3" customHeight="1" thickBot="1" x14ac:dyDescent="0.35">
      <c r="A13" s="5"/>
      <c r="B13" s="6"/>
      <c r="C13" s="5"/>
      <c r="D13" s="35"/>
      <c r="E13" s="5"/>
      <c r="F13" s="6"/>
      <c r="G13" s="5"/>
      <c r="H13" s="5"/>
      <c r="I13" s="5"/>
      <c r="J13" s="5"/>
      <c r="K13" s="4" t="s">
        <v>6</v>
      </c>
    </row>
    <row r="14" spans="1:11" s="9" customFormat="1" ht="32.25" thickBot="1" x14ac:dyDescent="0.3">
      <c r="A14" s="7" t="s">
        <v>7</v>
      </c>
      <c r="B14" s="88" t="s">
        <v>8</v>
      </c>
      <c r="C14" s="8" t="s">
        <v>9</v>
      </c>
      <c r="D14" s="8" t="s">
        <v>10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  <c r="J14" s="8" t="s">
        <v>16</v>
      </c>
      <c r="K14" s="8" t="s">
        <v>17</v>
      </c>
    </row>
    <row r="15" spans="1:11" s="9" customFormat="1" ht="16.5" thickBot="1" x14ac:dyDescent="0.3">
      <c r="A15" s="77">
        <v>1000000</v>
      </c>
      <c r="B15" s="89" t="s">
        <v>18</v>
      </c>
      <c r="C15" s="36">
        <f t="shared" ref="C15:K15" si="0">SUM(C16+C26+C33+C35+C44+C49)</f>
        <v>607832180</v>
      </c>
      <c r="D15" s="36">
        <f t="shared" si="0"/>
        <v>139059078</v>
      </c>
      <c r="E15" s="36">
        <f t="shared" si="0"/>
        <v>50512743</v>
      </c>
      <c r="F15" s="36">
        <f t="shared" si="0"/>
        <v>36247839</v>
      </c>
      <c r="G15" s="36">
        <f t="shared" si="0"/>
        <v>14490207</v>
      </c>
      <c r="H15" s="36">
        <f t="shared" si="0"/>
        <v>12593571</v>
      </c>
      <c r="I15" s="36">
        <f t="shared" si="0"/>
        <v>5795303</v>
      </c>
      <c r="J15" s="37">
        <f t="shared" si="0"/>
        <v>3702931</v>
      </c>
      <c r="K15" s="36">
        <f t="shared" si="0"/>
        <v>870233852</v>
      </c>
    </row>
    <row r="16" spans="1:11" s="9" customFormat="1" ht="15.75" x14ac:dyDescent="0.25">
      <c r="A16" s="100">
        <v>1010000</v>
      </c>
      <c r="B16" s="90" t="s">
        <v>19</v>
      </c>
      <c r="C16" s="38">
        <f>SUM(C17:C24)-C19</f>
        <v>361342922</v>
      </c>
      <c r="D16" s="38">
        <f t="shared" ref="D16:J16" si="1">SUM(D17:D24)-D19</f>
        <v>135342827</v>
      </c>
      <c r="E16" s="38">
        <f t="shared" si="1"/>
        <v>20927534</v>
      </c>
      <c r="F16" s="38">
        <f t="shared" si="1"/>
        <v>6885146</v>
      </c>
      <c r="G16" s="38">
        <f t="shared" si="1"/>
        <v>3251761</v>
      </c>
      <c r="H16" s="38">
        <f t="shared" si="1"/>
        <v>6113529</v>
      </c>
      <c r="I16" s="38">
        <f t="shared" si="1"/>
        <v>1943265</v>
      </c>
      <c r="J16" s="39">
        <f t="shared" si="1"/>
        <v>1386722</v>
      </c>
      <c r="K16" s="40">
        <f>SUM(C16+D16+E16+F16+G16+H16+I16+J16)</f>
        <v>537193706</v>
      </c>
    </row>
    <row r="17" spans="1:11" s="9" customFormat="1" ht="15.75" x14ac:dyDescent="0.25">
      <c r="A17" s="101">
        <v>1010100</v>
      </c>
      <c r="B17" s="91" t="s">
        <v>20</v>
      </c>
      <c r="C17" s="41">
        <v>0</v>
      </c>
      <c r="D17" s="41">
        <v>0</v>
      </c>
      <c r="E17" s="41">
        <v>0</v>
      </c>
      <c r="F17" s="42">
        <v>0</v>
      </c>
      <c r="G17" s="42">
        <v>0</v>
      </c>
      <c r="H17" s="41">
        <v>0</v>
      </c>
      <c r="I17" s="41">
        <v>0</v>
      </c>
      <c r="J17" s="43">
        <v>0</v>
      </c>
      <c r="K17" s="40">
        <f t="shared" ref="K17:K24" si="2">SUM(C17+D17+E17+F17+G17+H17+I17+J17)</f>
        <v>0</v>
      </c>
    </row>
    <row r="18" spans="1:11" s="9" customFormat="1" ht="31.5" x14ac:dyDescent="0.25">
      <c r="A18" s="101">
        <v>1010200</v>
      </c>
      <c r="B18" s="91" t="s">
        <v>21</v>
      </c>
      <c r="C18" s="41">
        <f>200777316+C19-12132820</f>
        <v>303089610</v>
      </c>
      <c r="D18" s="41">
        <f>102670606+D19-6204307</f>
        <v>122997141</v>
      </c>
      <c r="E18" s="41">
        <f t="shared" ref="E18:J18" si="3">E19</f>
        <v>19537985</v>
      </c>
      <c r="F18" s="41">
        <f t="shared" si="3"/>
        <v>6252129</v>
      </c>
      <c r="G18" s="41">
        <f t="shared" si="3"/>
        <v>2834896</v>
      </c>
      <c r="H18" s="41">
        <f t="shared" si="3"/>
        <v>5480512</v>
      </c>
      <c r="I18" s="41">
        <f t="shared" si="3"/>
        <v>1773432</v>
      </c>
      <c r="J18" s="43">
        <f t="shared" si="3"/>
        <v>1108813</v>
      </c>
      <c r="K18" s="40">
        <f>SUM(C18+D18+E18+F18+G18+H18+I18+J18)</f>
        <v>463074518</v>
      </c>
    </row>
    <row r="19" spans="1:11" s="9" customFormat="1" ht="31.5" x14ac:dyDescent="0.25">
      <c r="A19" s="102">
        <v>1010290</v>
      </c>
      <c r="B19" s="92" t="s">
        <v>22</v>
      </c>
      <c r="C19" s="44">
        <f>126430480-4628630-7356736</f>
        <v>114445114</v>
      </c>
      <c r="D19" s="44">
        <f>28236292-1705450</f>
        <v>26530842</v>
      </c>
      <c r="E19" s="44">
        <f>16165291+4628630-1255936</f>
        <v>19537985</v>
      </c>
      <c r="F19" s="44">
        <f>9026882-2372855-401898</f>
        <v>6252129</v>
      </c>
      <c r="G19" s="44">
        <f>3017128-182232</f>
        <v>2834896</v>
      </c>
      <c r="H19" s="44">
        <f>5832809-352297</f>
        <v>5480512</v>
      </c>
      <c r="I19" s="44">
        <f>1887431-113999</f>
        <v>1773432</v>
      </c>
      <c r="J19" s="45">
        <f>1180090-71277</f>
        <v>1108813</v>
      </c>
      <c r="K19" s="46">
        <f t="shared" si="2"/>
        <v>177963723</v>
      </c>
    </row>
    <row r="20" spans="1:11" s="9" customFormat="1" ht="15.75" x14ac:dyDescent="0.25">
      <c r="A20" s="101">
        <v>1010400</v>
      </c>
      <c r="B20" s="91" t="s">
        <v>23</v>
      </c>
      <c r="C20" s="42">
        <f>3166800-356824</f>
        <v>2809976</v>
      </c>
      <c r="D20" s="42">
        <f>191400-21566</f>
        <v>169834</v>
      </c>
      <c r="E20" s="42">
        <f>1566000-176451</f>
        <v>1389549</v>
      </c>
      <c r="F20" s="42">
        <f>713400-80383</f>
        <v>633017</v>
      </c>
      <c r="G20" s="42">
        <f>469800-52935</f>
        <v>416865</v>
      </c>
      <c r="H20" s="42">
        <f>713400-80383</f>
        <v>633017</v>
      </c>
      <c r="I20" s="42">
        <f>191400-21567</f>
        <v>169833</v>
      </c>
      <c r="J20" s="47">
        <f>313200-35291</f>
        <v>277909</v>
      </c>
      <c r="K20" s="40">
        <f t="shared" si="2"/>
        <v>6500000</v>
      </c>
    </row>
    <row r="21" spans="1:11" s="9" customFormat="1" ht="47.25" x14ac:dyDescent="0.25">
      <c r="A21" s="101">
        <v>1010500</v>
      </c>
      <c r="B21" s="76" t="s">
        <v>78</v>
      </c>
      <c r="C21" s="42"/>
      <c r="D21" s="42"/>
      <c r="E21" s="42"/>
      <c r="F21" s="42"/>
      <c r="G21" s="42"/>
      <c r="H21" s="42"/>
      <c r="I21" s="42"/>
      <c r="J21" s="47"/>
      <c r="K21" s="40">
        <f t="shared" si="2"/>
        <v>0</v>
      </c>
    </row>
    <row r="22" spans="1:11" s="9" customFormat="1" ht="47.25" x14ac:dyDescent="0.25">
      <c r="A22" s="101">
        <v>1010600</v>
      </c>
      <c r="B22" s="91" t="s">
        <v>24</v>
      </c>
      <c r="C22" s="42">
        <f>7832701-978630</f>
        <v>6854071</v>
      </c>
      <c r="D22" s="42">
        <f>140682-17582</f>
        <v>123100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7">
        <v>0</v>
      </c>
      <c r="K22" s="40">
        <f t="shared" si="2"/>
        <v>6977171</v>
      </c>
    </row>
    <row r="23" spans="1:11" s="9" customFormat="1" ht="47.25" x14ac:dyDescent="0.25">
      <c r="A23" s="101">
        <v>1010601</v>
      </c>
      <c r="B23" s="91" t="s">
        <v>25</v>
      </c>
      <c r="C23" s="42">
        <f>4442794+1330085-721178</f>
        <v>5051701</v>
      </c>
      <c r="D23" s="42">
        <f>10829+57749-8132</f>
        <v>60446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7">
        <v>0</v>
      </c>
      <c r="K23" s="40">
        <f t="shared" si="2"/>
        <v>5112147</v>
      </c>
    </row>
    <row r="24" spans="1:11" s="9" customFormat="1" ht="15.75" x14ac:dyDescent="0.25">
      <c r="A24" s="101">
        <v>1010700</v>
      </c>
      <c r="B24" s="91" t="s">
        <v>26</v>
      </c>
      <c r="C24" s="41">
        <f>21561043+180629+5879+26030922+11268-4252177</f>
        <v>43537564</v>
      </c>
      <c r="D24" s="41">
        <f>15188947+131885+12225-2167759+2976-1175968</f>
        <v>11992306</v>
      </c>
      <c r="E24" s="41">
        <v>0</v>
      </c>
      <c r="F24" s="41">
        <v>0</v>
      </c>
      <c r="G24" s="42">
        <v>0</v>
      </c>
      <c r="H24" s="41">
        <v>0</v>
      </c>
      <c r="I24" s="41">
        <v>0</v>
      </c>
      <c r="J24" s="47">
        <v>0</v>
      </c>
      <c r="K24" s="40">
        <f t="shared" si="2"/>
        <v>55529870</v>
      </c>
    </row>
    <row r="25" spans="1:11" s="12" customFormat="1" ht="15.75" x14ac:dyDescent="0.25">
      <c r="A25" s="102"/>
      <c r="B25" s="91"/>
      <c r="C25" s="41"/>
      <c r="D25" s="41"/>
      <c r="E25" s="41"/>
      <c r="F25" s="41"/>
      <c r="G25" s="41"/>
      <c r="H25" s="41"/>
      <c r="I25" s="41"/>
      <c r="J25" s="43"/>
      <c r="K25" s="40"/>
    </row>
    <row r="26" spans="1:11" s="9" customFormat="1" ht="31.5" x14ac:dyDescent="0.25">
      <c r="A26" s="101">
        <v>1020000</v>
      </c>
      <c r="B26" s="91" t="s">
        <v>27</v>
      </c>
      <c r="C26" s="41">
        <f t="shared" ref="C26:J26" si="4">SUM(C27:C31)</f>
        <v>161632963</v>
      </c>
      <c r="D26" s="41">
        <f t="shared" si="4"/>
        <v>118923</v>
      </c>
      <c r="E26" s="41">
        <f t="shared" si="4"/>
        <v>16137479</v>
      </c>
      <c r="F26" s="41">
        <f t="shared" si="4"/>
        <v>5050503</v>
      </c>
      <c r="G26" s="41">
        <f t="shared" si="4"/>
        <v>6372190</v>
      </c>
      <c r="H26" s="41">
        <f t="shared" si="4"/>
        <v>157684</v>
      </c>
      <c r="I26" s="41">
        <f t="shared" si="4"/>
        <v>33408</v>
      </c>
      <c r="J26" s="43">
        <f t="shared" si="4"/>
        <v>141083</v>
      </c>
      <c r="K26" s="40">
        <f t="shared" ref="K26:K31" si="5">SUM(C26+D26+E26+F26+G26+H26+I26+J26)</f>
        <v>189644233</v>
      </c>
    </row>
    <row r="27" spans="1:11" s="9" customFormat="1" ht="15.75" x14ac:dyDescent="0.25">
      <c r="A27" s="101">
        <v>1020100</v>
      </c>
      <c r="B27" s="91" t="s">
        <v>28</v>
      </c>
      <c r="C27" s="41">
        <v>0</v>
      </c>
      <c r="D27" s="41">
        <v>0</v>
      </c>
      <c r="E27" s="42">
        <v>0</v>
      </c>
      <c r="F27" s="42">
        <v>0</v>
      </c>
      <c r="G27" s="42">
        <v>0</v>
      </c>
      <c r="H27" s="41">
        <v>0</v>
      </c>
      <c r="I27" s="41">
        <v>0</v>
      </c>
      <c r="J27" s="43">
        <v>0</v>
      </c>
      <c r="K27" s="40">
        <f t="shared" si="5"/>
        <v>0</v>
      </c>
    </row>
    <row r="28" spans="1:11" s="9" customFormat="1" ht="31.5" x14ac:dyDescent="0.25">
      <c r="A28" s="101">
        <v>1020200</v>
      </c>
      <c r="B28" s="91" t="s">
        <v>29</v>
      </c>
      <c r="C28" s="41">
        <f>29397260-773253</f>
        <v>28624007</v>
      </c>
      <c r="D28" s="41">
        <v>0</v>
      </c>
      <c r="E28" s="41">
        <f>12580105-330902</f>
        <v>12249203</v>
      </c>
      <c r="F28" s="41">
        <f>130268-3427</f>
        <v>126841</v>
      </c>
      <c r="G28" s="41">
        <f>3950429-103911</f>
        <v>3846518</v>
      </c>
      <c r="H28" s="42">
        <f>20434-537</f>
        <v>19897</v>
      </c>
      <c r="I28" s="41">
        <v>0</v>
      </c>
      <c r="J28" s="43">
        <f>74766-1967</f>
        <v>72799</v>
      </c>
      <c r="K28" s="40">
        <f t="shared" si="5"/>
        <v>44939265</v>
      </c>
    </row>
    <row r="29" spans="1:11" s="12" customFormat="1" ht="31.5" x14ac:dyDescent="0.25">
      <c r="A29" s="101">
        <v>1020300</v>
      </c>
      <c r="B29" s="91" t="s">
        <v>30</v>
      </c>
      <c r="C29" s="41">
        <f>152030508-21180554</f>
        <v>130849954</v>
      </c>
      <c r="D29" s="41">
        <v>0</v>
      </c>
      <c r="E29" s="41">
        <f>4218028-587646</f>
        <v>3630382</v>
      </c>
      <c r="F29" s="41">
        <f>5497995-765969</f>
        <v>4732026</v>
      </c>
      <c r="G29" s="41">
        <f>2798537-389886</f>
        <v>2408651</v>
      </c>
      <c r="H29" s="41">
        <v>0</v>
      </c>
      <c r="I29" s="41">
        <v>0</v>
      </c>
      <c r="J29" s="43">
        <v>0</v>
      </c>
      <c r="K29" s="40">
        <f t="shared" si="5"/>
        <v>141621013</v>
      </c>
    </row>
    <row r="30" spans="1:11" s="9" customFormat="1" ht="31.5" x14ac:dyDescent="0.25">
      <c r="A30" s="101">
        <v>1020400</v>
      </c>
      <c r="B30" s="93" t="s">
        <v>31</v>
      </c>
      <c r="C30" s="41">
        <f>5942509-5239286-80563</f>
        <v>622660</v>
      </c>
      <c r="D30" s="41">
        <v>0</v>
      </c>
      <c r="E30" s="41">
        <v>0</v>
      </c>
      <c r="F30" s="41">
        <v>0</v>
      </c>
      <c r="G30" s="41">
        <f>54067-6194</f>
        <v>47873</v>
      </c>
      <c r="H30" s="41">
        <f>288574-284107-512</f>
        <v>3955</v>
      </c>
      <c r="I30" s="41">
        <v>0</v>
      </c>
      <c r="J30" s="43">
        <f>85-9</f>
        <v>76</v>
      </c>
      <c r="K30" s="40">
        <f t="shared" si="5"/>
        <v>674564</v>
      </c>
    </row>
    <row r="31" spans="1:11" s="9" customFormat="1" ht="15.75" x14ac:dyDescent="0.25">
      <c r="A31" s="101">
        <v>1020500</v>
      </c>
      <c r="B31" s="91" t="s">
        <v>32</v>
      </c>
      <c r="C31" s="41">
        <v>1536342</v>
      </c>
      <c r="D31" s="41">
        <v>118923</v>
      </c>
      <c r="E31" s="41">
        <v>257894</v>
      </c>
      <c r="F31" s="41">
        <v>191636</v>
      </c>
      <c r="G31" s="41">
        <v>69148</v>
      </c>
      <c r="H31" s="41">
        <v>133832</v>
      </c>
      <c r="I31" s="41">
        <v>33408</v>
      </c>
      <c r="J31" s="47">
        <v>68208</v>
      </c>
      <c r="K31" s="40">
        <f t="shared" si="5"/>
        <v>2409391</v>
      </c>
    </row>
    <row r="32" spans="1:11" s="9" customFormat="1" ht="15.75" x14ac:dyDescent="0.25">
      <c r="A32" s="101"/>
      <c r="B32" s="91"/>
      <c r="C32" s="41"/>
      <c r="D32" s="41"/>
      <c r="E32" s="41"/>
      <c r="F32" s="41"/>
      <c r="G32" s="41"/>
      <c r="H32" s="41"/>
      <c r="I32" s="41"/>
      <c r="J32" s="43"/>
      <c r="K32" s="40"/>
    </row>
    <row r="33" spans="1:11" s="9" customFormat="1" ht="15.75" x14ac:dyDescent="0.25">
      <c r="A33" s="101">
        <v>1040000</v>
      </c>
      <c r="B33" s="91" t="s">
        <v>33</v>
      </c>
      <c r="C33" s="42">
        <v>0</v>
      </c>
      <c r="D33" s="42">
        <v>0</v>
      </c>
      <c r="E33" s="42">
        <v>0</v>
      </c>
      <c r="F33" s="41">
        <v>0</v>
      </c>
      <c r="G33" s="41">
        <v>0</v>
      </c>
      <c r="H33" s="41">
        <v>0</v>
      </c>
      <c r="I33" s="41">
        <v>0</v>
      </c>
      <c r="J33" s="43">
        <v>0</v>
      </c>
      <c r="K33" s="40">
        <f>SUM(C33+D33+E33+F33+G33+H33+I33+J33)</f>
        <v>0</v>
      </c>
    </row>
    <row r="34" spans="1:11" s="9" customFormat="1" ht="15.75" x14ac:dyDescent="0.25">
      <c r="A34" s="102"/>
      <c r="B34" s="92"/>
      <c r="C34" s="41"/>
      <c r="D34" s="41"/>
      <c r="E34" s="41"/>
      <c r="F34" s="41"/>
      <c r="G34" s="41"/>
      <c r="H34" s="41"/>
      <c r="I34" s="41"/>
      <c r="J34" s="43"/>
      <c r="K34" s="40"/>
    </row>
    <row r="35" spans="1:11" s="9" customFormat="1" ht="31.5" x14ac:dyDescent="0.25">
      <c r="A35" s="101">
        <v>1050000</v>
      </c>
      <c r="B35" s="91" t="s">
        <v>34</v>
      </c>
      <c r="C35" s="42">
        <f>11732721+62996-1063487</f>
        <v>10732230</v>
      </c>
      <c r="D35" s="42">
        <f>3317920-3449</f>
        <v>3314471</v>
      </c>
      <c r="E35" s="42">
        <f>2212109+1232-142651</f>
        <v>2070690</v>
      </c>
      <c r="F35" s="42">
        <f>20871659-1232596-819086</f>
        <v>18819977</v>
      </c>
      <c r="G35" s="42">
        <f>1175851-41401</f>
        <v>1134450</v>
      </c>
      <c r="H35" s="42">
        <f>3022046-714956-146359</f>
        <v>2160731</v>
      </c>
      <c r="I35" s="42">
        <f>3749816-1005435-79666</f>
        <v>2664715</v>
      </c>
      <c r="J35" s="47">
        <f>1250848-478904-6815</f>
        <v>765129</v>
      </c>
      <c r="K35" s="40">
        <f t="shared" ref="K35:K42" si="6">SUM(C35+D35+E35+F35+G35+H35+I35+J35)</f>
        <v>41662393</v>
      </c>
    </row>
    <row r="36" spans="1:11" s="9" customFormat="1" ht="15.75" x14ac:dyDescent="0.25">
      <c r="A36" s="101">
        <v>1050100</v>
      </c>
      <c r="B36" s="91" t="s">
        <v>35</v>
      </c>
      <c r="C36" s="41">
        <f>SUM(C37:C38)</f>
        <v>2891734</v>
      </c>
      <c r="D36" s="41">
        <f t="shared" ref="D36:J36" si="7">SUM(D37:D38)</f>
        <v>27569</v>
      </c>
      <c r="E36" s="41">
        <f t="shared" si="7"/>
        <v>0</v>
      </c>
      <c r="F36" s="41">
        <f t="shared" si="7"/>
        <v>0</v>
      </c>
      <c r="G36" s="41">
        <f t="shared" si="7"/>
        <v>0</v>
      </c>
      <c r="H36" s="41">
        <f t="shared" si="7"/>
        <v>0</v>
      </c>
      <c r="I36" s="41">
        <f t="shared" si="7"/>
        <v>0</v>
      </c>
      <c r="J36" s="43">
        <f t="shared" si="7"/>
        <v>0</v>
      </c>
      <c r="K36" s="40">
        <f t="shared" si="6"/>
        <v>2919303</v>
      </c>
    </row>
    <row r="37" spans="1:11" s="9" customFormat="1" ht="31.5" x14ac:dyDescent="0.25">
      <c r="A37" s="102">
        <v>1050101</v>
      </c>
      <c r="B37" s="92" t="s">
        <v>36</v>
      </c>
      <c r="C37" s="46">
        <f>178853-49972</f>
        <v>128881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8">
        <v>0</v>
      </c>
      <c r="K37" s="46">
        <f t="shared" si="6"/>
        <v>128881</v>
      </c>
    </row>
    <row r="38" spans="1:11" s="9" customFormat="1" ht="31.5" x14ac:dyDescent="0.25">
      <c r="A38" s="102">
        <v>1050102</v>
      </c>
      <c r="B38" s="92" t="s">
        <v>37</v>
      </c>
      <c r="C38" s="44">
        <f>3108487-345634</f>
        <v>2762853</v>
      </c>
      <c r="D38" s="44">
        <f>31018-3449</f>
        <v>27569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5">
        <v>0</v>
      </c>
      <c r="K38" s="46">
        <f t="shared" si="6"/>
        <v>2790422</v>
      </c>
    </row>
    <row r="39" spans="1:11" s="9" customFormat="1" ht="47.25" x14ac:dyDescent="0.25">
      <c r="A39" s="101">
        <v>1050200</v>
      </c>
      <c r="B39" s="91" t="s">
        <v>38</v>
      </c>
      <c r="C39" s="42">
        <v>7051533</v>
      </c>
      <c r="D39" s="42">
        <v>3286902</v>
      </c>
      <c r="E39" s="42">
        <v>1682700</v>
      </c>
      <c r="F39" s="42">
        <v>1483527</v>
      </c>
      <c r="G39" s="42">
        <v>13914</v>
      </c>
      <c r="H39" s="42">
        <v>295504</v>
      </c>
      <c r="I39" s="42">
        <v>96005</v>
      </c>
      <c r="J39" s="47">
        <v>604887</v>
      </c>
      <c r="K39" s="40">
        <f t="shared" si="6"/>
        <v>14514972</v>
      </c>
    </row>
    <row r="40" spans="1:11" s="9" customFormat="1" ht="63" x14ac:dyDescent="0.25">
      <c r="A40" s="101">
        <v>1050400</v>
      </c>
      <c r="B40" s="91" t="s">
        <v>39</v>
      </c>
      <c r="C40" s="42">
        <v>0</v>
      </c>
      <c r="D40" s="42">
        <v>0</v>
      </c>
      <c r="E40" s="41">
        <v>224854</v>
      </c>
      <c r="F40" s="41">
        <v>10990697</v>
      </c>
      <c r="G40" s="42">
        <v>775416</v>
      </c>
      <c r="H40" s="41">
        <v>672977</v>
      </c>
      <c r="I40" s="41">
        <v>1929754</v>
      </c>
      <c r="J40" s="43">
        <v>97044</v>
      </c>
      <c r="K40" s="40">
        <f t="shared" si="6"/>
        <v>14690742</v>
      </c>
    </row>
    <row r="41" spans="1:11" s="12" customFormat="1" ht="31.5" x14ac:dyDescent="0.25">
      <c r="A41" s="101">
        <v>1051100</v>
      </c>
      <c r="B41" s="91" t="s">
        <v>40</v>
      </c>
      <c r="C41" s="42">
        <f>1133040-667881</f>
        <v>465159</v>
      </c>
      <c r="D41" s="42">
        <v>0</v>
      </c>
      <c r="E41" s="42">
        <f>227355-134016</f>
        <v>93339</v>
      </c>
      <c r="F41" s="42">
        <v>0</v>
      </c>
      <c r="G41" s="42">
        <v>0</v>
      </c>
      <c r="H41" s="42">
        <v>0</v>
      </c>
      <c r="I41" s="42">
        <v>0</v>
      </c>
      <c r="J41" s="47">
        <v>0</v>
      </c>
      <c r="K41" s="40">
        <f t="shared" si="6"/>
        <v>558498</v>
      </c>
    </row>
    <row r="42" spans="1:11" s="12" customFormat="1" ht="31.5" x14ac:dyDescent="0.25">
      <c r="A42" s="101">
        <v>1051200</v>
      </c>
      <c r="B42" s="91" t="s">
        <v>41</v>
      </c>
      <c r="C42" s="42">
        <v>0</v>
      </c>
      <c r="D42" s="42">
        <v>0</v>
      </c>
      <c r="E42" s="42">
        <f>75344-8634</f>
        <v>66710</v>
      </c>
      <c r="F42" s="42">
        <f>7147797-819086</f>
        <v>6328711</v>
      </c>
      <c r="G42" s="42">
        <f>361291-41401</f>
        <v>319890</v>
      </c>
      <c r="H42" s="42">
        <f>1277204-146358</f>
        <v>1130846</v>
      </c>
      <c r="I42" s="42">
        <f>695208-79666</f>
        <v>615542</v>
      </c>
      <c r="J42" s="47">
        <f>59471-6815</f>
        <v>52656</v>
      </c>
      <c r="K42" s="40">
        <f t="shared" si="6"/>
        <v>8514355</v>
      </c>
    </row>
    <row r="43" spans="1:11" s="9" customFormat="1" ht="15.75" x14ac:dyDescent="0.25">
      <c r="A43" s="102"/>
      <c r="B43" s="92"/>
      <c r="C43" s="49"/>
      <c r="D43" s="49"/>
      <c r="E43" s="49"/>
      <c r="F43" s="49"/>
      <c r="G43" s="49"/>
      <c r="H43" s="49"/>
      <c r="I43" s="49"/>
      <c r="J43" s="50"/>
      <c r="K43" s="40"/>
    </row>
    <row r="44" spans="1:11" s="9" customFormat="1" ht="31.5" x14ac:dyDescent="0.25">
      <c r="A44" s="101">
        <v>1060000</v>
      </c>
      <c r="B44" s="91" t="s">
        <v>42</v>
      </c>
      <c r="C44" s="41">
        <f>SUM(C45)</f>
        <v>62295570</v>
      </c>
      <c r="D44" s="41">
        <f t="shared" ref="D44:J44" si="8">SUM(D45)</f>
        <v>0</v>
      </c>
      <c r="E44" s="41">
        <f t="shared" si="8"/>
        <v>6490124</v>
      </c>
      <c r="F44" s="41">
        <f t="shared" si="8"/>
        <v>1121911</v>
      </c>
      <c r="G44" s="41">
        <f t="shared" si="8"/>
        <v>515513</v>
      </c>
      <c r="H44" s="41">
        <f t="shared" si="8"/>
        <v>972221</v>
      </c>
      <c r="I44" s="41">
        <f t="shared" si="8"/>
        <v>0</v>
      </c>
      <c r="J44" s="43">
        <f t="shared" si="8"/>
        <v>338181</v>
      </c>
      <c r="K44" s="40">
        <f>SUM(C44+D44+E44+F44+G44+H44+I44+J44)</f>
        <v>71733520</v>
      </c>
    </row>
    <row r="45" spans="1:11" s="9" customFormat="1" ht="15.75" x14ac:dyDescent="0.25">
      <c r="A45" s="101">
        <v>1060100</v>
      </c>
      <c r="B45" s="91" t="s">
        <v>43</v>
      </c>
      <c r="C45" s="41">
        <f t="shared" ref="C45:J45" si="9">SUM(C46:C47)</f>
        <v>62295570</v>
      </c>
      <c r="D45" s="41">
        <f t="shared" si="9"/>
        <v>0</v>
      </c>
      <c r="E45" s="41">
        <f t="shared" si="9"/>
        <v>6490124</v>
      </c>
      <c r="F45" s="41">
        <f t="shared" si="9"/>
        <v>1121911</v>
      </c>
      <c r="G45" s="41">
        <f t="shared" si="9"/>
        <v>515513</v>
      </c>
      <c r="H45" s="41">
        <f t="shared" si="9"/>
        <v>972221</v>
      </c>
      <c r="I45" s="41">
        <f t="shared" si="9"/>
        <v>0</v>
      </c>
      <c r="J45" s="43">
        <f t="shared" si="9"/>
        <v>338181</v>
      </c>
      <c r="K45" s="41">
        <f>SUM(K46:K47)</f>
        <v>71733520</v>
      </c>
    </row>
    <row r="46" spans="1:11" s="9" customFormat="1" ht="15.75" x14ac:dyDescent="0.25">
      <c r="A46" s="102">
        <v>1060101</v>
      </c>
      <c r="B46" s="92" t="s">
        <v>44</v>
      </c>
      <c r="C46" s="44">
        <f>59276867-369385-12370228-10501319+1244504-952532</f>
        <v>36327907</v>
      </c>
      <c r="D46" s="44">
        <v>0</v>
      </c>
      <c r="E46" s="44">
        <f>10590047-65992-2209990-1876103+222336-170174</f>
        <v>6490124</v>
      </c>
      <c r="F46" s="44">
        <f>1830642-11408-382029-324311+38434-29417</f>
        <v>1121911</v>
      </c>
      <c r="G46" s="44">
        <f>841172-5242-175540-149020+17660-13517</f>
        <v>515513</v>
      </c>
      <c r="H46" s="44">
        <f>1586390-9886-331057-281039+33305-25492</f>
        <v>972221</v>
      </c>
      <c r="I46" s="44">
        <v>0</v>
      </c>
      <c r="J46" s="45">
        <f>551816-3438-115156-97758+11585-8868</f>
        <v>338181</v>
      </c>
      <c r="K46" s="46">
        <f>SUM(C46:J46)</f>
        <v>45765857</v>
      </c>
    </row>
    <row r="47" spans="1:11" s="9" customFormat="1" ht="15.75" x14ac:dyDescent="0.25">
      <c r="A47" s="102">
        <v>1060102</v>
      </c>
      <c r="B47" s="92" t="s">
        <v>45</v>
      </c>
      <c r="C47" s="44">
        <f>14651798+1774226+26790813-17249174</f>
        <v>25967663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5">
        <v>0</v>
      </c>
      <c r="K47" s="46">
        <f>SUM(C47+D47+E47+F47+G47+H47+I47+J47)</f>
        <v>25967663</v>
      </c>
    </row>
    <row r="48" spans="1:11" s="9" customFormat="1" ht="15.75" x14ac:dyDescent="0.25">
      <c r="A48" s="101"/>
      <c r="B48" s="91"/>
      <c r="C48" s="49"/>
      <c r="D48" s="49"/>
      <c r="E48" s="49"/>
      <c r="F48" s="49"/>
      <c r="G48" s="49"/>
      <c r="H48" s="49"/>
      <c r="I48" s="49"/>
      <c r="J48" s="50"/>
      <c r="K48" s="40"/>
    </row>
    <row r="49" spans="1:11" s="9" customFormat="1" ht="15.75" x14ac:dyDescent="0.25">
      <c r="A49" s="101">
        <v>1400000</v>
      </c>
      <c r="B49" s="91" t="s">
        <v>46</v>
      </c>
      <c r="C49" s="41">
        <f>SUM(C50)</f>
        <v>11828495</v>
      </c>
      <c r="D49" s="41">
        <f t="shared" ref="D49:J49" si="10">SUM(D50)</f>
        <v>282857</v>
      </c>
      <c r="E49" s="42">
        <f t="shared" si="10"/>
        <v>4886916</v>
      </c>
      <c r="F49" s="42">
        <f t="shared" si="10"/>
        <v>4370302</v>
      </c>
      <c r="G49" s="42">
        <f t="shared" si="10"/>
        <v>3216293</v>
      </c>
      <c r="H49" s="42">
        <f t="shared" si="10"/>
        <v>3189406</v>
      </c>
      <c r="I49" s="42">
        <f t="shared" si="10"/>
        <v>1153915</v>
      </c>
      <c r="J49" s="47">
        <f t="shared" si="10"/>
        <v>1071816</v>
      </c>
      <c r="K49" s="40">
        <f>SUM(C49+D49+E49+F49+G49+H49+I49+J49)</f>
        <v>30000000</v>
      </c>
    </row>
    <row r="50" spans="1:11" s="9" customFormat="1" ht="15.75" x14ac:dyDescent="0.25">
      <c r="A50" s="101">
        <v>1400100</v>
      </c>
      <c r="B50" s="91" t="s">
        <v>47</v>
      </c>
      <c r="C50" s="49">
        <f>12290038-461543</f>
        <v>11828495</v>
      </c>
      <c r="D50" s="49">
        <f>293896-11039</f>
        <v>282857</v>
      </c>
      <c r="E50" s="49">
        <f>5077601-190685</f>
        <v>4886916</v>
      </c>
      <c r="F50" s="44">
        <f>4540829-170527</f>
        <v>4370302</v>
      </c>
      <c r="G50" s="49">
        <f>3341792-125499</f>
        <v>3216293</v>
      </c>
      <c r="H50" s="49">
        <f>3313855-124449</f>
        <v>3189406</v>
      </c>
      <c r="I50" s="49">
        <f>1198939-45024</f>
        <v>1153915</v>
      </c>
      <c r="J50" s="50">
        <f>1113638-41822</f>
        <v>1071816</v>
      </c>
      <c r="K50" s="46">
        <f>SUM(C50+D50+E50+F50+G50+H50+I50+J50)</f>
        <v>30000000</v>
      </c>
    </row>
    <row r="51" spans="1:11" s="9" customFormat="1" ht="16.5" thickBot="1" x14ac:dyDescent="0.3">
      <c r="A51" s="103"/>
      <c r="B51" s="94"/>
      <c r="C51" s="51"/>
      <c r="D51" s="51"/>
      <c r="E51" s="51"/>
      <c r="F51" s="51"/>
      <c r="G51" s="51"/>
      <c r="H51" s="51"/>
      <c r="I51" s="51"/>
      <c r="J51" s="52"/>
      <c r="K51" s="53"/>
    </row>
    <row r="52" spans="1:11" s="9" customFormat="1" ht="16.5" thickBot="1" x14ac:dyDescent="0.3">
      <c r="A52" s="77">
        <v>2000000</v>
      </c>
      <c r="B52" s="95" t="s">
        <v>48</v>
      </c>
      <c r="C52" s="54">
        <f t="shared" ref="C52:K52" si="11">C53+C60+C63+C65+C67+C69</f>
        <v>57293058</v>
      </c>
      <c r="D52" s="54">
        <f t="shared" si="11"/>
        <v>65824</v>
      </c>
      <c r="E52" s="54">
        <f t="shared" si="11"/>
        <v>7255935</v>
      </c>
      <c r="F52" s="54">
        <f t="shared" si="11"/>
        <v>3188068</v>
      </c>
      <c r="G52" s="54">
        <f t="shared" si="11"/>
        <v>2159933</v>
      </c>
      <c r="H52" s="54">
        <f t="shared" si="11"/>
        <v>1701969</v>
      </c>
      <c r="I52" s="54">
        <f t="shared" si="11"/>
        <v>1116275</v>
      </c>
      <c r="J52" s="55">
        <f t="shared" si="11"/>
        <v>1183001</v>
      </c>
      <c r="K52" s="54">
        <f t="shared" si="11"/>
        <v>73964063</v>
      </c>
    </row>
    <row r="53" spans="1:11" s="9" customFormat="1" ht="47.25" x14ac:dyDescent="0.25">
      <c r="A53" s="100">
        <v>2010000</v>
      </c>
      <c r="B53" s="91" t="s">
        <v>49</v>
      </c>
      <c r="C53" s="42">
        <v>22166337</v>
      </c>
      <c r="D53" s="42">
        <v>16761</v>
      </c>
      <c r="E53" s="42">
        <v>1368328</v>
      </c>
      <c r="F53" s="42">
        <v>377668</v>
      </c>
      <c r="G53" s="41">
        <v>333571</v>
      </c>
      <c r="H53" s="56">
        <v>266885</v>
      </c>
      <c r="I53" s="41">
        <v>127624</v>
      </c>
      <c r="J53" s="43">
        <v>354644</v>
      </c>
      <c r="K53" s="40">
        <f>SUM(C53+D53+E53+F53+G53+H53+I53+J53)</f>
        <v>25011818</v>
      </c>
    </row>
    <row r="54" spans="1:11" s="9" customFormat="1" ht="47.25" x14ac:dyDescent="0.25">
      <c r="A54" s="101">
        <v>2010200</v>
      </c>
      <c r="B54" s="91" t="s">
        <v>50</v>
      </c>
      <c r="C54" s="41">
        <v>2027890</v>
      </c>
      <c r="D54" s="41">
        <v>16761</v>
      </c>
      <c r="E54" s="41">
        <v>130253</v>
      </c>
      <c r="F54" s="41">
        <v>265200</v>
      </c>
      <c r="G54" s="42">
        <v>28841</v>
      </c>
      <c r="H54" s="42">
        <v>171671</v>
      </c>
      <c r="I54" s="42">
        <v>63569</v>
      </c>
      <c r="J54" s="43">
        <v>15938</v>
      </c>
      <c r="K54" s="40">
        <f t="shared" ref="K54:K63" si="12">SUM(C54+D54+E54+F54+G54+H54+I54+J54)</f>
        <v>2720123</v>
      </c>
    </row>
    <row r="55" spans="1:11" s="9" customFormat="1" ht="31.5" x14ac:dyDescent="0.25">
      <c r="A55" s="101">
        <v>2010300</v>
      </c>
      <c r="B55" s="91" t="s">
        <v>51</v>
      </c>
      <c r="C55" s="42">
        <v>5223692</v>
      </c>
      <c r="D55" s="42">
        <v>0</v>
      </c>
      <c r="E55" s="42">
        <v>0</v>
      </c>
      <c r="F55" s="42">
        <v>0</v>
      </c>
      <c r="G55" s="42">
        <v>0</v>
      </c>
      <c r="H55" s="41">
        <v>0</v>
      </c>
      <c r="I55" s="41">
        <v>0</v>
      </c>
      <c r="J55" s="43">
        <v>0</v>
      </c>
      <c r="K55" s="40">
        <f t="shared" si="12"/>
        <v>5223692</v>
      </c>
    </row>
    <row r="56" spans="1:11" s="9" customFormat="1" ht="31.5" x14ac:dyDescent="0.25">
      <c r="A56" s="101">
        <v>2010400</v>
      </c>
      <c r="B56" s="91" t="s">
        <v>52</v>
      </c>
      <c r="C56" s="40">
        <v>0</v>
      </c>
      <c r="D56" s="40">
        <v>0</v>
      </c>
      <c r="E56" s="42">
        <v>0</v>
      </c>
      <c r="F56" s="42">
        <v>0</v>
      </c>
      <c r="G56" s="42">
        <v>0</v>
      </c>
      <c r="H56" s="41">
        <v>0</v>
      </c>
      <c r="I56" s="41">
        <v>0</v>
      </c>
      <c r="J56" s="43">
        <v>0</v>
      </c>
      <c r="K56" s="40">
        <f t="shared" si="12"/>
        <v>0</v>
      </c>
    </row>
    <row r="57" spans="1:11" s="9" customFormat="1" ht="31.5" x14ac:dyDescent="0.25">
      <c r="A57" s="101">
        <v>2010500</v>
      </c>
      <c r="B57" s="91" t="s">
        <v>53</v>
      </c>
      <c r="C57" s="42">
        <v>4980</v>
      </c>
      <c r="D57" s="42">
        <v>0</v>
      </c>
      <c r="E57" s="42">
        <v>5838</v>
      </c>
      <c r="F57" s="42">
        <v>1730</v>
      </c>
      <c r="G57" s="42">
        <v>0</v>
      </c>
      <c r="H57" s="41">
        <v>5550</v>
      </c>
      <c r="I57" s="41">
        <v>5666</v>
      </c>
      <c r="J57" s="43">
        <v>0</v>
      </c>
      <c r="K57" s="40">
        <f t="shared" si="12"/>
        <v>23764</v>
      </c>
    </row>
    <row r="58" spans="1:11" s="9" customFormat="1" ht="31.5" x14ac:dyDescent="0.25">
      <c r="A58" s="101">
        <v>2010900</v>
      </c>
      <c r="B58" s="91" t="s">
        <v>54</v>
      </c>
      <c r="C58" s="42">
        <v>3984257</v>
      </c>
      <c r="D58" s="42">
        <v>0</v>
      </c>
      <c r="E58" s="42">
        <v>1150850</v>
      </c>
      <c r="F58" s="42">
        <v>42560</v>
      </c>
      <c r="G58" s="42">
        <v>233695</v>
      </c>
      <c r="H58" s="41">
        <v>66500</v>
      </c>
      <c r="I58" s="42">
        <v>56845</v>
      </c>
      <c r="J58" s="47">
        <v>332500</v>
      </c>
      <c r="K58" s="40">
        <f t="shared" si="12"/>
        <v>5867207</v>
      </c>
    </row>
    <row r="59" spans="1:11" s="9" customFormat="1" ht="31.5" x14ac:dyDescent="0.25">
      <c r="A59" s="101">
        <v>2011000</v>
      </c>
      <c r="B59" s="91" t="s">
        <v>55</v>
      </c>
      <c r="C59" s="42">
        <v>10000000</v>
      </c>
      <c r="D59" s="42">
        <v>0</v>
      </c>
      <c r="E59" s="41">
        <v>0</v>
      </c>
      <c r="F59" s="41">
        <v>0</v>
      </c>
      <c r="G59" s="41">
        <v>0</v>
      </c>
      <c r="H59" s="117">
        <v>0</v>
      </c>
      <c r="I59" s="41">
        <v>0</v>
      </c>
      <c r="J59" s="43">
        <v>0</v>
      </c>
      <c r="K59" s="40">
        <f t="shared" si="12"/>
        <v>10000000</v>
      </c>
    </row>
    <row r="60" spans="1:11" s="9" customFormat="1" ht="47.25" x14ac:dyDescent="0.25">
      <c r="A60" s="101">
        <v>2020000</v>
      </c>
      <c r="B60" s="91" t="s">
        <v>56</v>
      </c>
      <c r="C60" s="41">
        <f>3208556+16873262+1160000+88693</f>
        <v>21330511</v>
      </c>
      <c r="D60" s="41">
        <v>2209</v>
      </c>
      <c r="E60" s="42">
        <v>120364</v>
      </c>
      <c r="F60" s="41">
        <v>87020</v>
      </c>
      <c r="G60" s="41">
        <v>84050</v>
      </c>
      <c r="H60" s="41">
        <v>61843</v>
      </c>
      <c r="I60" s="41">
        <v>49888</v>
      </c>
      <c r="J60" s="43">
        <v>6614</v>
      </c>
      <c r="K60" s="40">
        <f t="shared" si="12"/>
        <v>21742499</v>
      </c>
    </row>
    <row r="61" spans="1:11" s="9" customFormat="1" ht="47.25" x14ac:dyDescent="0.25">
      <c r="A61" s="102">
        <v>2020100</v>
      </c>
      <c r="B61" s="92" t="s">
        <v>57</v>
      </c>
      <c r="C61" s="44">
        <f>1500000+1160000+88693</f>
        <v>2748693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57">
        <v>0</v>
      </c>
      <c r="K61" s="46">
        <f t="shared" si="12"/>
        <v>2748693</v>
      </c>
    </row>
    <row r="62" spans="1:11" s="9" customFormat="1" ht="15.75" x14ac:dyDescent="0.25">
      <c r="A62" s="102"/>
      <c r="B62" s="92"/>
      <c r="C62" s="49"/>
      <c r="D62" s="49"/>
      <c r="E62" s="49"/>
      <c r="F62" s="49"/>
      <c r="G62" s="49"/>
      <c r="H62" s="49"/>
      <c r="I62" s="49"/>
      <c r="J62" s="50"/>
      <c r="K62" s="40">
        <f t="shared" si="12"/>
        <v>0</v>
      </c>
    </row>
    <row r="63" spans="1:11" s="9" customFormat="1" ht="15.75" x14ac:dyDescent="0.25">
      <c r="A63" s="104">
        <v>2060000</v>
      </c>
      <c r="B63" s="91" t="s">
        <v>58</v>
      </c>
      <c r="C63" s="41">
        <v>3423125</v>
      </c>
      <c r="D63" s="41">
        <v>44212</v>
      </c>
      <c r="E63" s="41">
        <v>772541</v>
      </c>
      <c r="F63" s="41">
        <v>674264</v>
      </c>
      <c r="G63" s="41">
        <v>462230</v>
      </c>
      <c r="H63" s="41">
        <v>492210</v>
      </c>
      <c r="I63" s="41">
        <v>240584</v>
      </c>
      <c r="J63" s="43">
        <v>200138</v>
      </c>
      <c r="K63" s="40">
        <f t="shared" si="12"/>
        <v>6309304</v>
      </c>
    </row>
    <row r="64" spans="1:11" s="9" customFormat="1" ht="15.75" x14ac:dyDescent="0.25">
      <c r="A64" s="105"/>
      <c r="B64" s="92"/>
      <c r="C64" s="49"/>
      <c r="D64" s="49"/>
      <c r="E64" s="49"/>
      <c r="F64" s="49"/>
      <c r="G64" s="49"/>
      <c r="H64" s="49"/>
      <c r="I64" s="49"/>
      <c r="J64" s="50"/>
      <c r="K64" s="40"/>
    </row>
    <row r="65" spans="1:11" s="9" customFormat="1" ht="15.75" x14ac:dyDescent="0.25">
      <c r="A65" s="104">
        <v>2070000</v>
      </c>
      <c r="B65" s="91" t="s">
        <v>59</v>
      </c>
      <c r="C65" s="41">
        <v>9956894</v>
      </c>
      <c r="D65" s="41">
        <v>2642</v>
      </c>
      <c r="E65" s="41">
        <v>4252157</v>
      </c>
      <c r="F65" s="41">
        <v>1837257</v>
      </c>
      <c r="G65" s="41">
        <v>952684</v>
      </c>
      <c r="H65" s="41">
        <v>881031</v>
      </c>
      <c r="I65" s="41">
        <v>698179</v>
      </c>
      <c r="J65" s="43">
        <v>514553</v>
      </c>
      <c r="K65" s="40">
        <f>SUM(C65+D65+E65+F65+G65+H65+I65+J65)</f>
        <v>19095397</v>
      </c>
    </row>
    <row r="66" spans="1:11" s="9" customFormat="1" ht="15.75" x14ac:dyDescent="0.25">
      <c r="A66" s="105"/>
      <c r="B66" s="92"/>
      <c r="C66" s="41"/>
      <c r="D66" s="49"/>
      <c r="E66" s="49"/>
      <c r="F66" s="49"/>
      <c r="G66" s="49"/>
      <c r="H66" s="49"/>
      <c r="I66" s="49"/>
      <c r="J66" s="50"/>
      <c r="K66" s="40"/>
    </row>
    <row r="67" spans="1:11" s="9" customFormat="1" ht="31.5" x14ac:dyDescent="0.25">
      <c r="A67" s="104">
        <v>2080000</v>
      </c>
      <c r="B67" s="91" t="s">
        <v>60</v>
      </c>
      <c r="C67" s="41">
        <v>416191</v>
      </c>
      <c r="D67" s="41">
        <v>0</v>
      </c>
      <c r="E67" s="41">
        <v>742545</v>
      </c>
      <c r="F67" s="41">
        <v>211859</v>
      </c>
      <c r="G67" s="41">
        <v>327398</v>
      </c>
      <c r="H67" s="41">
        <v>0</v>
      </c>
      <c r="I67" s="41">
        <v>0</v>
      </c>
      <c r="J67" s="43">
        <v>107052</v>
      </c>
      <c r="K67" s="40">
        <f>SUM(C67+D67+E67+F67+G67+H67+I67+J67)</f>
        <v>1805045</v>
      </c>
    </row>
    <row r="68" spans="1:11" s="9" customFormat="1" ht="15.75" x14ac:dyDescent="0.25">
      <c r="A68" s="105"/>
      <c r="B68" s="92"/>
      <c r="C68" s="49"/>
      <c r="D68" s="49"/>
      <c r="E68" s="49"/>
      <c r="F68" s="49"/>
      <c r="G68" s="49"/>
      <c r="H68" s="49"/>
      <c r="I68" s="49"/>
      <c r="J68" s="50"/>
      <c r="K68" s="40"/>
    </row>
    <row r="69" spans="1:11" s="9" customFormat="1" ht="15.75" x14ac:dyDescent="0.25">
      <c r="A69" s="104">
        <v>2090000</v>
      </c>
      <c r="B69" s="91" t="s">
        <v>61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3">
        <v>0</v>
      </c>
      <c r="K69" s="40">
        <f>SUM(C69+D69+E69+F69+G69+H69+I69+J69)</f>
        <v>0</v>
      </c>
    </row>
    <row r="70" spans="1:11" s="9" customFormat="1" ht="16.5" thickBot="1" x14ac:dyDescent="0.3">
      <c r="A70" s="106"/>
      <c r="B70" s="96"/>
      <c r="C70" s="58"/>
      <c r="D70" s="58"/>
      <c r="E70" s="58"/>
      <c r="F70" s="58"/>
      <c r="G70" s="58"/>
      <c r="H70" s="58"/>
      <c r="I70" s="58"/>
      <c r="J70" s="59"/>
      <c r="K70" s="60"/>
    </row>
    <row r="71" spans="1:11" s="9" customFormat="1" ht="15" thickBot="1" x14ac:dyDescent="0.25">
      <c r="A71" s="107">
        <v>3000000</v>
      </c>
      <c r="B71" s="97" t="s">
        <v>62</v>
      </c>
      <c r="C71" s="61">
        <f>SUM(C72:C75)</f>
        <v>30696779</v>
      </c>
      <c r="D71" s="61">
        <f t="shared" ref="D71:J71" si="13">SUM(D72)</f>
        <v>0</v>
      </c>
      <c r="E71" s="61">
        <f t="shared" si="13"/>
        <v>0</v>
      </c>
      <c r="F71" s="61">
        <f t="shared" si="13"/>
        <v>0</v>
      </c>
      <c r="G71" s="61">
        <f t="shared" si="13"/>
        <v>0</v>
      </c>
      <c r="H71" s="61">
        <f t="shared" si="13"/>
        <v>0</v>
      </c>
      <c r="I71" s="61">
        <f t="shared" si="13"/>
        <v>0</v>
      </c>
      <c r="J71" s="62">
        <f t="shared" si="13"/>
        <v>0</v>
      </c>
      <c r="K71" s="63">
        <f>SUM(C71:J71)</f>
        <v>30696779</v>
      </c>
    </row>
    <row r="72" spans="1:11" s="9" customFormat="1" ht="15" x14ac:dyDescent="0.25">
      <c r="A72" s="108">
        <v>3010000</v>
      </c>
      <c r="B72" s="98" t="s">
        <v>63</v>
      </c>
      <c r="C72" s="64"/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5">
        <v>0</v>
      </c>
      <c r="K72" s="64">
        <f>SUM(C72:J72)</f>
        <v>0</v>
      </c>
    </row>
    <row r="73" spans="1:11" s="9" customFormat="1" ht="30" x14ac:dyDescent="0.25">
      <c r="A73" s="109" t="s">
        <v>64</v>
      </c>
      <c r="B73" s="98" t="s">
        <v>65</v>
      </c>
      <c r="C73" s="66">
        <f>0+11536817</f>
        <v>11536817</v>
      </c>
      <c r="D73" s="66">
        <v>0</v>
      </c>
      <c r="E73" s="66">
        <v>0</v>
      </c>
      <c r="F73" s="86">
        <v>0</v>
      </c>
      <c r="G73" s="66">
        <v>0</v>
      </c>
      <c r="H73" s="66">
        <v>0</v>
      </c>
      <c r="I73" s="66">
        <v>0</v>
      </c>
      <c r="J73" s="67">
        <v>0</v>
      </c>
      <c r="K73" s="68">
        <f>SUM(C73:J73)</f>
        <v>11536817</v>
      </c>
    </row>
    <row r="74" spans="1:11" s="9" customFormat="1" ht="15" x14ac:dyDescent="0.25">
      <c r="A74" s="109">
        <v>3060000</v>
      </c>
      <c r="B74" s="98" t="s">
        <v>79</v>
      </c>
      <c r="C74" s="66">
        <f>0+16759360+2400602</f>
        <v>19159962</v>
      </c>
      <c r="D74" s="66">
        <v>0</v>
      </c>
      <c r="E74" s="66">
        <v>0</v>
      </c>
      <c r="F74" s="87">
        <v>0</v>
      </c>
      <c r="G74" s="66">
        <v>0</v>
      </c>
      <c r="H74" s="66">
        <v>0</v>
      </c>
      <c r="I74" s="66">
        <v>0</v>
      </c>
      <c r="J74" s="67">
        <v>0</v>
      </c>
      <c r="K74" s="68">
        <f>SUM(C74:J74)</f>
        <v>19159962</v>
      </c>
    </row>
    <row r="75" spans="1:11" s="9" customFormat="1" ht="16.5" thickBot="1" x14ac:dyDescent="0.3">
      <c r="A75" s="110"/>
      <c r="B75" s="99"/>
      <c r="C75" s="41"/>
      <c r="D75" s="41"/>
      <c r="E75" s="41"/>
      <c r="F75" s="41"/>
      <c r="G75" s="41"/>
      <c r="H75" s="41"/>
      <c r="I75" s="41"/>
      <c r="J75" s="43"/>
      <c r="K75" s="40"/>
    </row>
    <row r="76" spans="1:11" s="9" customFormat="1" ht="16.5" thickBot="1" x14ac:dyDescent="0.3">
      <c r="A76" s="111">
        <v>4000000</v>
      </c>
      <c r="B76" s="95" t="s">
        <v>66</v>
      </c>
      <c r="C76" s="54">
        <f t="shared" ref="C76:J76" si="14">SUM(C77+C80+C82+C84+C86+C88+C90+C92)</f>
        <v>521684581</v>
      </c>
      <c r="D76" s="54">
        <f t="shared" si="14"/>
        <v>13873172</v>
      </c>
      <c r="E76" s="54">
        <f t="shared" si="14"/>
        <v>72537729</v>
      </c>
      <c r="F76" s="54">
        <f t="shared" si="14"/>
        <v>32880180</v>
      </c>
      <c r="G76" s="54">
        <f t="shared" si="14"/>
        <v>15832794</v>
      </c>
      <c r="H76" s="54">
        <f t="shared" si="14"/>
        <v>22929410</v>
      </c>
      <c r="I76" s="54">
        <f t="shared" si="14"/>
        <v>11218656</v>
      </c>
      <c r="J76" s="55">
        <f t="shared" si="14"/>
        <v>6901009</v>
      </c>
      <c r="K76" s="54">
        <f>SUM(K77+K80+K82+K84+K86+K88+K90+K92)</f>
        <v>697857531</v>
      </c>
    </row>
    <row r="77" spans="1:11" s="9" customFormat="1" ht="15.75" x14ac:dyDescent="0.25">
      <c r="A77" s="83">
        <v>4010000</v>
      </c>
      <c r="B77" s="16" t="s">
        <v>67</v>
      </c>
      <c r="C77" s="41">
        <f>143394701-3492857-13399378</f>
        <v>126502466</v>
      </c>
      <c r="D77" s="41">
        <f>11602335-1111237</f>
        <v>10491098</v>
      </c>
      <c r="E77" s="41">
        <f>16280783-1559325</f>
        <v>14721458</v>
      </c>
      <c r="F77" s="41">
        <f>12754927-949142-1130723</f>
        <v>10675062</v>
      </c>
      <c r="G77" s="41">
        <f>7207997-690360</f>
        <v>6517637</v>
      </c>
      <c r="H77" s="41">
        <f>3581692-189405-324903</f>
        <v>3067384</v>
      </c>
      <c r="I77" s="41">
        <f>1153466-110476</f>
        <v>1042990</v>
      </c>
      <c r="J77" s="43">
        <f>1330165-127399</f>
        <v>1202766</v>
      </c>
      <c r="K77" s="40">
        <f>SUM(C77+D77+E77+F77+G77+H77+I77+J77)</f>
        <v>174220861</v>
      </c>
    </row>
    <row r="78" spans="1:11" s="9" customFormat="1" ht="15.75" x14ac:dyDescent="0.25">
      <c r="A78" s="79">
        <v>4010104</v>
      </c>
      <c r="B78" s="11" t="s">
        <v>68</v>
      </c>
      <c r="C78" s="71">
        <f>48703426-2944060</f>
        <v>45759366</v>
      </c>
      <c r="D78" s="71">
        <f>11294517-682738</f>
        <v>10611779</v>
      </c>
      <c r="E78" s="71">
        <f>8322603-503091</f>
        <v>7819512</v>
      </c>
      <c r="F78" s="71">
        <f>3596601-949142-160036</f>
        <v>2487423</v>
      </c>
      <c r="G78" s="71">
        <f>1315474-79519</f>
        <v>1235955</v>
      </c>
      <c r="H78" s="71">
        <f>2335075-141152</f>
        <v>2193923</v>
      </c>
      <c r="I78" s="71">
        <f>780744-47195</f>
        <v>733549</v>
      </c>
      <c r="J78" s="72">
        <f>480218-29028</f>
        <v>451190</v>
      </c>
      <c r="K78" s="46">
        <f>SUM(C78+D78+E78+F78+G78+H78+I78+J78)</f>
        <v>71292697</v>
      </c>
    </row>
    <row r="79" spans="1:11" s="9" customFormat="1" ht="15.75" x14ac:dyDescent="0.25">
      <c r="A79" s="79"/>
      <c r="B79" s="11"/>
      <c r="C79" s="49"/>
      <c r="D79" s="49"/>
      <c r="E79" s="49"/>
      <c r="F79" s="49"/>
      <c r="G79" s="49"/>
      <c r="H79" s="49"/>
      <c r="I79" s="49"/>
      <c r="J79" s="50"/>
      <c r="K79" s="40"/>
    </row>
    <row r="80" spans="1:11" s="12" customFormat="1" ht="31.5" x14ac:dyDescent="0.25">
      <c r="A80" s="78">
        <v>4020100</v>
      </c>
      <c r="B80" s="10" t="s">
        <v>69</v>
      </c>
      <c r="C80" s="41">
        <f>2125141-113327</f>
        <v>2011814</v>
      </c>
      <c r="D80" s="41">
        <f>953228-50833</f>
        <v>902395</v>
      </c>
      <c r="E80" s="41">
        <f>668637-35656</f>
        <v>632981</v>
      </c>
      <c r="F80" s="41">
        <f>1195955-63777</f>
        <v>1132178</v>
      </c>
      <c r="G80" s="41">
        <f>317782-16946</f>
        <v>300836</v>
      </c>
      <c r="H80" s="41">
        <f>872781-46543</f>
        <v>826238</v>
      </c>
      <c r="I80" s="41">
        <f>280586-14963</f>
        <v>265623</v>
      </c>
      <c r="J80" s="43">
        <f>164050-8748</f>
        <v>155302</v>
      </c>
      <c r="K80" s="40">
        <f>SUM(C80+D80+E80+F80+G80+H80+I80+J80)</f>
        <v>6227367</v>
      </c>
    </row>
    <row r="81" spans="1:11" s="12" customFormat="1" ht="15.75" x14ac:dyDescent="0.25">
      <c r="A81" s="79"/>
      <c r="B81" s="11"/>
      <c r="C81" s="49"/>
      <c r="D81" s="49"/>
      <c r="E81" s="49"/>
      <c r="F81" s="49"/>
      <c r="G81" s="49"/>
      <c r="H81" s="49"/>
      <c r="I81" s="49"/>
      <c r="J81" s="50"/>
      <c r="K81" s="40"/>
    </row>
    <row r="82" spans="1:11" s="12" customFormat="1" ht="15.75" x14ac:dyDescent="0.25">
      <c r="A82" s="78">
        <v>4040000</v>
      </c>
      <c r="B82" s="17" t="s">
        <v>70</v>
      </c>
      <c r="C82" s="41">
        <f>71696482-6769373</f>
        <v>64927109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3">
        <v>0</v>
      </c>
      <c r="K82" s="40">
        <f>SUM(C82+D82+E82+F82+G82+H82+I82+J82)</f>
        <v>64927109</v>
      </c>
    </row>
    <row r="83" spans="1:11" s="12" customFormat="1" ht="15.75" x14ac:dyDescent="0.25">
      <c r="A83" s="78"/>
      <c r="B83" s="10"/>
      <c r="C83" s="41"/>
      <c r="D83" s="41"/>
      <c r="E83" s="41"/>
      <c r="F83" s="41"/>
      <c r="G83" s="41"/>
      <c r="H83" s="41"/>
      <c r="I83" s="41"/>
      <c r="J83" s="43"/>
      <c r="K83" s="40"/>
    </row>
    <row r="84" spans="1:11" ht="15.75" x14ac:dyDescent="0.25">
      <c r="A84" s="78">
        <v>4060000</v>
      </c>
      <c r="B84" s="17" t="s">
        <v>71</v>
      </c>
      <c r="C84" s="41">
        <f>0+20110000+238000</f>
        <v>20348000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3">
        <v>0</v>
      </c>
      <c r="K84" s="40">
        <f>SUM(C84+D84+E84+F84+G84+H84+I84+J84)</f>
        <v>20348000</v>
      </c>
    </row>
    <row r="85" spans="1:11" ht="15.75" x14ac:dyDescent="0.25">
      <c r="A85" s="78"/>
      <c r="B85" s="17"/>
      <c r="C85" s="41"/>
      <c r="D85" s="41"/>
      <c r="E85" s="41"/>
      <c r="F85" s="41"/>
      <c r="G85" s="41"/>
      <c r="H85" s="41"/>
      <c r="I85" s="41"/>
      <c r="J85" s="43"/>
      <c r="K85" s="40"/>
    </row>
    <row r="86" spans="1:11" ht="78.75" x14ac:dyDescent="0.25">
      <c r="A86" s="13">
        <v>4080000</v>
      </c>
      <c r="B86" s="10" t="s">
        <v>72</v>
      </c>
      <c r="C86" s="41">
        <f>527761-161590</f>
        <v>366171</v>
      </c>
      <c r="D86" s="41">
        <v>0</v>
      </c>
      <c r="E86" s="41">
        <f>712229-218071</f>
        <v>494158</v>
      </c>
      <c r="F86" s="41">
        <f>10228812-3131869</f>
        <v>7096943</v>
      </c>
      <c r="G86" s="41">
        <f>5150765-1577067</f>
        <v>3573698</v>
      </c>
      <c r="H86" s="41">
        <f>13476736-4126322</f>
        <v>9350414</v>
      </c>
      <c r="I86" s="41">
        <f>12438043-3808294</f>
        <v>8629749</v>
      </c>
      <c r="J86" s="43">
        <f>3119636-955174</f>
        <v>2164462</v>
      </c>
      <c r="K86" s="40">
        <f>SUM(C86+D86+E86+F86+G86+H86+I86+J86)</f>
        <v>31675595</v>
      </c>
    </row>
    <row r="87" spans="1:11" ht="15.75" x14ac:dyDescent="0.25">
      <c r="A87" s="80"/>
      <c r="B87" s="14"/>
      <c r="C87" s="41">
        <v>0</v>
      </c>
      <c r="D87" s="41"/>
      <c r="E87" s="41"/>
      <c r="F87" s="41"/>
      <c r="G87" s="41"/>
      <c r="H87" s="41"/>
      <c r="I87" s="41"/>
      <c r="J87" s="43"/>
      <c r="K87" s="42"/>
    </row>
    <row r="88" spans="1:11" ht="15.75" x14ac:dyDescent="0.25">
      <c r="A88" s="78">
        <v>4100000</v>
      </c>
      <c r="B88" s="10" t="s">
        <v>73</v>
      </c>
      <c r="C88" s="41">
        <f>227221497+12370228+10501319+5062325+15716794+952532+1505656</f>
        <v>273330351</v>
      </c>
      <c r="D88" s="41">
        <f>2701623-221944</f>
        <v>2479679</v>
      </c>
      <c r="E88" s="41">
        <f>42498980+2209990+1876103+747300+2807868+170174+268990</f>
        <v>50579405</v>
      </c>
      <c r="F88" s="41">
        <f>11896013+382029+324311-243806+485380+29417+46499</f>
        <v>12919843</v>
      </c>
      <c r="G88" s="41">
        <f>4395290+175540+149020-22438+223030+13517+21366</f>
        <v>4955325</v>
      </c>
      <c r="H88" s="41">
        <f>7662173+331057+281039+9461+420618+25492+40296</f>
        <v>8770136</v>
      </c>
      <c r="I88" s="41">
        <f>1396730-116436</f>
        <v>1280294</v>
      </c>
      <c r="J88" s="43">
        <f>2679325+115156+97758-1314+146310+8868+14016</f>
        <v>3060119</v>
      </c>
      <c r="K88" s="40">
        <f>SUM(C88+D88+E88+F88+G88+H88+I88+J88)</f>
        <v>357375152</v>
      </c>
    </row>
    <row r="89" spans="1:11" ht="15.75" x14ac:dyDescent="0.25">
      <c r="A89" s="81"/>
      <c r="B89" s="15"/>
      <c r="C89" s="69"/>
      <c r="D89" s="69"/>
      <c r="E89" s="69"/>
      <c r="F89" s="69"/>
      <c r="G89" s="69"/>
      <c r="H89" s="69"/>
      <c r="I89" s="69"/>
      <c r="J89" s="70"/>
      <c r="K89" s="40">
        <v>0</v>
      </c>
    </row>
    <row r="90" spans="1:11" ht="15.75" x14ac:dyDescent="0.25">
      <c r="A90" s="84">
        <v>4110000</v>
      </c>
      <c r="B90" s="18" t="s">
        <v>74</v>
      </c>
      <c r="C90" s="41">
        <f>21206479+695031</f>
        <v>21901510</v>
      </c>
      <c r="D90" s="41">
        <v>0</v>
      </c>
      <c r="E90" s="41">
        <f>3788621+124170</f>
        <v>3912791</v>
      </c>
      <c r="F90" s="41">
        <f>654918+21464</f>
        <v>676382</v>
      </c>
      <c r="G90" s="41">
        <f>300932+9863</f>
        <v>310795</v>
      </c>
      <c r="H90" s="41">
        <f>567536+18601</f>
        <v>586137</v>
      </c>
      <c r="I90" s="41">
        <v>0</v>
      </c>
      <c r="J90" s="73">
        <f>197414+6470</f>
        <v>203884</v>
      </c>
      <c r="K90" s="40">
        <f>SUM(C90+D90+E90+F90+G90+H90+I90+J90)</f>
        <v>27591499</v>
      </c>
    </row>
    <row r="91" spans="1:11" ht="15.75" x14ac:dyDescent="0.25">
      <c r="A91" s="85"/>
      <c r="B91" s="19"/>
      <c r="C91" s="41"/>
      <c r="D91" s="41"/>
      <c r="E91" s="41"/>
      <c r="F91" s="41"/>
      <c r="G91" s="41"/>
      <c r="H91" s="41"/>
      <c r="I91" s="41"/>
      <c r="J91" s="43"/>
      <c r="K91" s="40"/>
    </row>
    <row r="92" spans="1:11" ht="15.75" x14ac:dyDescent="0.25">
      <c r="A92" s="84">
        <v>4120000</v>
      </c>
      <c r="B92" s="18" t="s">
        <v>75</v>
      </c>
      <c r="C92" s="69">
        <f>11906662+390498</f>
        <v>12297160</v>
      </c>
      <c r="D92" s="69">
        <v>0</v>
      </c>
      <c r="E92" s="69">
        <f>2127172+69764</f>
        <v>2196936</v>
      </c>
      <c r="F92" s="69">
        <f>367712+12060</f>
        <v>379772</v>
      </c>
      <c r="G92" s="69">
        <f>168962+5541</f>
        <v>174503</v>
      </c>
      <c r="H92" s="69">
        <f>318651+10450</f>
        <v>329101</v>
      </c>
      <c r="I92" s="69">
        <v>0</v>
      </c>
      <c r="J92" s="70">
        <f>110841+3635</f>
        <v>114476</v>
      </c>
      <c r="K92" s="40">
        <f>SUM(C92:J92)</f>
        <v>15491948</v>
      </c>
    </row>
    <row r="93" spans="1:11" ht="16.5" thickBot="1" x14ac:dyDescent="0.3">
      <c r="A93" s="113"/>
      <c r="B93" s="114"/>
      <c r="C93" s="115"/>
      <c r="D93" s="115"/>
      <c r="E93" s="115"/>
      <c r="F93" s="115"/>
      <c r="G93" s="115"/>
      <c r="H93" s="115"/>
      <c r="I93" s="115"/>
      <c r="J93" s="116"/>
      <c r="K93" s="53"/>
    </row>
    <row r="94" spans="1:11" ht="49.5" customHeight="1" thickBot="1" x14ac:dyDescent="0.3">
      <c r="A94" s="82">
        <v>5000000</v>
      </c>
      <c r="B94" s="34" t="s">
        <v>76</v>
      </c>
      <c r="C94" s="54">
        <f>134924672+303433+7749506+600000</f>
        <v>143577611</v>
      </c>
      <c r="D94" s="54">
        <v>6691397</v>
      </c>
      <c r="E94" s="54">
        <v>37419309</v>
      </c>
      <c r="F94" s="54">
        <f>18675514-163020</f>
        <v>18512494</v>
      </c>
      <c r="G94" s="54">
        <v>9425546</v>
      </c>
      <c r="H94" s="54">
        <v>6106262</v>
      </c>
      <c r="I94" s="54">
        <f>19297284+99587+8511162</f>
        <v>27908033</v>
      </c>
      <c r="J94" s="55">
        <f>3232098+300000</f>
        <v>3532098</v>
      </c>
      <c r="K94" s="36">
        <f>SUM(C94+D94+E94+F94+G94+H94+I94+J94)</f>
        <v>253172750</v>
      </c>
    </row>
    <row r="95" spans="1:11" ht="16.5" thickBot="1" x14ac:dyDescent="0.3">
      <c r="A95" s="20"/>
      <c r="B95" s="21" t="s">
        <v>77</v>
      </c>
      <c r="C95" s="74">
        <f>SUM(C15+C52++C76+C94+C71)</f>
        <v>1361084209</v>
      </c>
      <c r="D95" s="74">
        <f t="shared" ref="D95:J95" si="15">SUM(D15+D52++D76+D94)</f>
        <v>159689471</v>
      </c>
      <c r="E95" s="74">
        <f t="shared" si="15"/>
        <v>167725716</v>
      </c>
      <c r="F95" s="74">
        <f t="shared" si="15"/>
        <v>90828581</v>
      </c>
      <c r="G95" s="74">
        <f t="shared" si="15"/>
        <v>41908480</v>
      </c>
      <c r="H95" s="74">
        <f t="shared" si="15"/>
        <v>43331212</v>
      </c>
      <c r="I95" s="74">
        <f t="shared" si="15"/>
        <v>46038267</v>
      </c>
      <c r="J95" s="75">
        <f t="shared" si="15"/>
        <v>15319039</v>
      </c>
      <c r="K95" s="74">
        <f>SUM(K15+K52++K76+K94+K71)</f>
        <v>1925924975</v>
      </c>
    </row>
    <row r="99" spans="2:11" ht="18.75" x14ac:dyDescent="0.3">
      <c r="B99" s="23"/>
      <c r="C99" s="23"/>
      <c r="D99" s="23"/>
      <c r="E99" s="31"/>
      <c r="F99" s="31"/>
      <c r="G99" s="31"/>
      <c r="H99" s="31"/>
      <c r="I99" s="31"/>
      <c r="J99" s="31"/>
      <c r="K99" s="31"/>
    </row>
    <row r="100" spans="2:11" ht="18.75" x14ac:dyDescent="0.3">
      <c r="B100" s="23"/>
      <c r="C100" s="23"/>
      <c r="D100" s="23"/>
      <c r="E100" s="31"/>
      <c r="F100" s="31"/>
      <c r="G100" s="31"/>
      <c r="H100" s="31"/>
      <c r="I100" s="31"/>
      <c r="J100" s="31"/>
      <c r="K100" s="31"/>
    </row>
    <row r="102" spans="2:11" x14ac:dyDescent="0.2">
      <c r="B102" s="25"/>
      <c r="C102" s="25"/>
      <c r="D102" s="25"/>
      <c r="E102" s="29"/>
      <c r="F102" s="29"/>
      <c r="G102" s="29"/>
      <c r="H102" s="29"/>
      <c r="I102" s="29"/>
      <c r="J102" s="29"/>
      <c r="K102" s="29"/>
    </row>
    <row r="103" spans="2:11" x14ac:dyDescent="0.2">
      <c r="B103" s="25"/>
      <c r="C103" s="25"/>
      <c r="D103" s="25"/>
      <c r="E103" s="29"/>
      <c r="F103" s="29"/>
      <c r="G103" s="29"/>
      <c r="H103" s="29"/>
      <c r="I103" s="29"/>
      <c r="J103" s="29"/>
      <c r="K103" s="29"/>
    </row>
    <row r="104" spans="2:11" x14ac:dyDescent="0.2">
      <c r="B104" s="25"/>
      <c r="C104" s="25"/>
      <c r="D104" s="25"/>
      <c r="E104" s="29"/>
      <c r="F104" s="29"/>
      <c r="G104" s="29"/>
      <c r="H104" s="29"/>
      <c r="I104" s="29"/>
      <c r="J104" s="29"/>
      <c r="K104" s="29"/>
    </row>
    <row r="105" spans="2:11" x14ac:dyDescent="0.2">
      <c r="B105" s="25"/>
      <c r="C105" s="25"/>
      <c r="D105" s="25"/>
      <c r="E105" s="29"/>
      <c r="F105" s="29"/>
      <c r="G105" s="29"/>
      <c r="H105" s="29"/>
      <c r="I105" s="29"/>
      <c r="J105" s="29"/>
      <c r="K105" s="29"/>
    </row>
    <row r="106" spans="2:11" ht="15.75" x14ac:dyDescent="0.25">
      <c r="B106" s="23"/>
      <c r="C106" s="23"/>
      <c r="D106" s="23"/>
      <c r="E106" s="28"/>
      <c r="F106" s="28"/>
      <c r="G106" s="28"/>
      <c r="H106" s="28"/>
      <c r="I106" s="28"/>
      <c r="J106" s="28"/>
      <c r="K106" s="28"/>
    </row>
    <row r="107" spans="2:11" ht="14.25" x14ac:dyDescent="0.2">
      <c r="B107" s="26"/>
      <c r="C107" s="26"/>
      <c r="D107" s="26"/>
      <c r="E107" s="32"/>
      <c r="F107" s="32"/>
      <c r="G107" s="32"/>
      <c r="H107" s="32"/>
      <c r="I107" s="32"/>
      <c r="J107" s="32"/>
      <c r="K107" s="32"/>
    </row>
    <row r="108" spans="2:11" x14ac:dyDescent="0.2">
      <c r="B108" s="27"/>
      <c r="C108" s="27"/>
      <c r="D108" s="27"/>
      <c r="E108" s="33"/>
      <c r="F108" s="33"/>
      <c r="G108" s="33"/>
      <c r="H108" s="33"/>
      <c r="I108" s="33"/>
      <c r="J108" s="33"/>
      <c r="K108" s="33"/>
    </row>
    <row r="109" spans="2:11" x14ac:dyDescent="0.2">
      <c r="B109" s="23"/>
      <c r="C109" s="23"/>
      <c r="D109" s="23"/>
      <c r="E109" s="24"/>
      <c r="F109" s="24"/>
      <c r="G109" s="24"/>
      <c r="H109" s="24"/>
      <c r="I109" s="24"/>
      <c r="J109" s="24"/>
      <c r="K109" s="24"/>
    </row>
    <row r="126" spans="2:11" x14ac:dyDescent="0.2">
      <c r="B126" s="23"/>
      <c r="C126" s="23"/>
      <c r="D126" s="23"/>
      <c r="E126" s="24"/>
      <c r="F126" s="24"/>
      <c r="G126" s="24"/>
      <c r="H126" s="24"/>
      <c r="I126" s="24"/>
      <c r="J126" s="24"/>
      <c r="K126" s="24"/>
    </row>
    <row r="127" spans="2:11" x14ac:dyDescent="0.2">
      <c r="B127" s="23"/>
      <c r="C127" s="23"/>
      <c r="D127" s="23"/>
      <c r="E127" s="24"/>
      <c r="F127" s="24"/>
      <c r="G127" s="24"/>
      <c r="H127" s="24"/>
      <c r="I127" s="24"/>
      <c r="J127" s="24"/>
      <c r="K127" s="24"/>
    </row>
    <row r="194" spans="1:11" x14ac:dyDescent="0.2">
      <c r="A194" s="24"/>
      <c r="B194" s="23"/>
      <c r="C194" s="23"/>
      <c r="D194" s="23"/>
      <c r="E194" s="24"/>
      <c r="F194" s="24"/>
      <c r="G194" s="24"/>
      <c r="H194" s="24"/>
      <c r="I194" s="24"/>
      <c r="J194" s="24"/>
      <c r="K194" s="24"/>
    </row>
    <row r="195" spans="1:11" x14ac:dyDescent="0.2">
      <c r="A195" s="24"/>
    </row>
    <row r="212" spans="1:11" x14ac:dyDescent="0.2">
      <c r="A212" s="24"/>
      <c r="B212" s="23"/>
      <c r="C212" s="23"/>
      <c r="D212" s="23"/>
      <c r="E212" s="24"/>
      <c r="F212" s="24"/>
      <c r="G212" s="24"/>
      <c r="H212" s="24"/>
      <c r="I212" s="24"/>
      <c r="J212" s="24"/>
      <c r="K212" s="24"/>
    </row>
    <row r="213" spans="1:11" x14ac:dyDescent="0.2">
      <c r="A213" s="24"/>
      <c r="B213" s="23"/>
      <c r="C213" s="23"/>
      <c r="D213" s="23"/>
      <c r="E213" s="24"/>
      <c r="F213" s="24"/>
      <c r="G213" s="24"/>
      <c r="H213" s="24"/>
      <c r="I213" s="24"/>
      <c r="J213" s="24"/>
      <c r="K213" s="24"/>
    </row>
    <row r="216" spans="1:11" x14ac:dyDescent="0.2">
      <c r="A216" s="24"/>
      <c r="B216" s="23"/>
      <c r="C216" s="23"/>
      <c r="D216" s="23"/>
      <c r="E216" s="24"/>
      <c r="F216" s="24"/>
      <c r="G216" s="24"/>
      <c r="H216" s="24"/>
      <c r="I216" s="24"/>
      <c r="J216" s="24"/>
      <c r="K216" s="24"/>
    </row>
    <row r="255" spans="1:11" ht="15.75" x14ac:dyDescent="0.25">
      <c r="A255" s="24"/>
      <c r="B255" s="23"/>
      <c r="C255" s="23"/>
      <c r="D255" s="23"/>
      <c r="E255" s="28"/>
      <c r="F255" s="28"/>
      <c r="G255" s="28"/>
      <c r="H255" s="28"/>
      <c r="I255" s="28"/>
      <c r="J255" s="28"/>
      <c r="K255" s="28"/>
    </row>
    <row r="269" spans="1:11" ht="15.75" x14ac:dyDescent="0.25">
      <c r="A269" s="24"/>
      <c r="B269" s="23"/>
      <c r="C269" s="23"/>
      <c r="D269" s="23"/>
      <c r="E269" s="28"/>
      <c r="F269" s="28"/>
      <c r="G269" s="28"/>
      <c r="H269" s="28"/>
      <c r="I269" s="28"/>
      <c r="J269" s="28"/>
      <c r="K269" s="28"/>
    </row>
    <row r="278" spans="1:11" ht="14.25" x14ac:dyDescent="0.2">
      <c r="A278" s="24"/>
      <c r="B278" s="23"/>
      <c r="C278" s="23"/>
      <c r="D278" s="23"/>
      <c r="E278" s="30"/>
      <c r="F278" s="30"/>
      <c r="G278" s="30"/>
      <c r="H278" s="30"/>
      <c r="I278" s="30"/>
      <c r="J278" s="30"/>
      <c r="K278" s="30"/>
    </row>
    <row r="279" spans="1:11" ht="14.25" x14ac:dyDescent="0.2">
      <c r="A279" s="24"/>
      <c r="B279" s="23"/>
      <c r="C279" s="23"/>
      <c r="D279" s="23"/>
      <c r="E279" s="30"/>
      <c r="F279" s="30"/>
      <c r="G279" s="30"/>
      <c r="H279" s="30"/>
      <c r="I279" s="30"/>
      <c r="J279" s="30"/>
      <c r="K279" s="30"/>
    </row>
    <row r="280" spans="1:11" x14ac:dyDescent="0.2">
      <c r="A280" s="24"/>
      <c r="B280" s="23"/>
      <c r="C280" s="23"/>
      <c r="D280" s="23"/>
      <c r="E280" s="24"/>
      <c r="F280" s="24"/>
      <c r="G280" s="24"/>
      <c r="H280" s="24"/>
      <c r="I280" s="24"/>
      <c r="J280" s="24"/>
      <c r="K280" s="24"/>
    </row>
    <row r="314" spans="1:11" x14ac:dyDescent="0.2">
      <c r="A314" s="24"/>
      <c r="B314" s="23"/>
      <c r="C314" s="23"/>
      <c r="D314" s="23"/>
      <c r="E314" s="24"/>
      <c r="F314" s="24"/>
      <c r="G314" s="24"/>
      <c r="H314" s="24"/>
      <c r="I314" s="24"/>
      <c r="J314" s="24"/>
      <c r="K314" s="24"/>
    </row>
    <row r="337" spans="2:11" ht="15.75" x14ac:dyDescent="0.25">
      <c r="B337" s="23"/>
      <c r="C337" s="23"/>
      <c r="D337" s="23"/>
      <c r="E337" s="28"/>
      <c r="F337" s="28"/>
      <c r="G337" s="28"/>
      <c r="H337" s="28"/>
      <c r="I337" s="28"/>
      <c r="J337" s="28"/>
      <c r="K337" s="28"/>
    </row>
    <row r="338" spans="2:11" ht="15.75" x14ac:dyDescent="0.25">
      <c r="B338" s="23"/>
      <c r="C338" s="23"/>
      <c r="D338" s="23"/>
      <c r="E338" s="28"/>
      <c r="F338" s="28"/>
      <c r="G338" s="28"/>
      <c r="H338" s="28"/>
      <c r="I338" s="28"/>
      <c r="J338" s="28"/>
      <c r="K338" s="28"/>
    </row>
    <row r="362" spans="2:11" ht="14.25" x14ac:dyDescent="0.2">
      <c r="B362" s="23"/>
      <c r="C362" s="23"/>
      <c r="D362" s="23"/>
      <c r="E362" s="30"/>
      <c r="F362" s="30"/>
      <c r="G362" s="30"/>
      <c r="H362" s="30"/>
      <c r="I362" s="30"/>
      <c r="J362" s="30"/>
      <c r="K362" s="30"/>
    </row>
    <row r="363" spans="2:11" x14ac:dyDescent="0.2">
      <c r="B363" s="23"/>
      <c r="C363" s="23"/>
      <c r="D363" s="23"/>
      <c r="E363" s="24"/>
      <c r="F363" s="24"/>
      <c r="G363" s="24"/>
      <c r="H363" s="24"/>
      <c r="I363" s="24"/>
      <c r="J363" s="24"/>
      <c r="K363" s="24"/>
    </row>
    <row r="364" spans="2:11" x14ac:dyDescent="0.2">
      <c r="B364" s="23"/>
      <c r="C364" s="23"/>
      <c r="D364" s="23"/>
      <c r="E364" s="24"/>
      <c r="F364" s="24"/>
      <c r="G364" s="24"/>
      <c r="H364" s="24"/>
      <c r="I364" s="24"/>
      <c r="J364" s="24"/>
      <c r="K364" s="24"/>
    </row>
    <row r="365" spans="2:11" x14ac:dyDescent="0.2">
      <c r="B365" s="23"/>
      <c r="C365" s="23"/>
      <c r="D365" s="23"/>
      <c r="E365" s="24"/>
      <c r="F365" s="24"/>
      <c r="G365" s="24"/>
      <c r="H365" s="24"/>
      <c r="I365" s="24"/>
      <c r="J365" s="24"/>
      <c r="K365" s="24"/>
    </row>
    <row r="371" spans="1:11" x14ac:dyDescent="0.2">
      <c r="A371" s="24"/>
      <c r="B371" s="23"/>
      <c r="C371" s="23"/>
      <c r="D371" s="23"/>
      <c r="E371" s="24"/>
      <c r="F371" s="24"/>
      <c r="G371" s="24"/>
      <c r="H371" s="24"/>
      <c r="I371" s="24"/>
      <c r="J371" s="24"/>
      <c r="K371" s="24"/>
    </row>
    <row r="372" spans="1:11" x14ac:dyDescent="0.2">
      <c r="B372" s="23"/>
      <c r="C372" s="23"/>
      <c r="D372" s="23"/>
      <c r="E372" s="24"/>
      <c r="F372" s="24"/>
      <c r="G372" s="24"/>
      <c r="H372" s="24"/>
      <c r="I372" s="24"/>
      <c r="J372" s="24"/>
      <c r="K372" s="24"/>
    </row>
    <row r="373" spans="1:11" ht="15.75" x14ac:dyDescent="0.25">
      <c r="B373" s="23"/>
      <c r="C373" s="23"/>
      <c r="D373" s="23"/>
      <c r="E373" s="28"/>
      <c r="F373" s="28"/>
      <c r="G373" s="28"/>
      <c r="H373" s="28"/>
      <c r="I373" s="28"/>
      <c r="J373" s="28"/>
      <c r="K373" s="28"/>
    </row>
  </sheetData>
  <mergeCells count="10">
    <mergeCell ref="G1:K1"/>
    <mergeCell ref="G2:K2"/>
    <mergeCell ref="G3:K3"/>
    <mergeCell ref="G4:K4"/>
    <mergeCell ref="A12:K12"/>
    <mergeCell ref="A6:K6"/>
    <mergeCell ref="A7:K7"/>
    <mergeCell ref="A8:K8"/>
    <mergeCell ref="A10:K10"/>
    <mergeCell ref="A11:K11"/>
  </mergeCells>
  <phoneticPr fontId="14" type="noConversion"/>
  <pageMargins left="0.39370078740157483" right="0.39370078740157483" top="0.78740157480314965" bottom="0.39370078740157483" header="0" footer="0"/>
  <pageSetup paperSize="9" scale="68" firstPageNumber="2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2019-12-24T14:05:34Z</cp:lastPrinted>
  <dcterms:created xsi:type="dcterms:W3CDTF">2015-06-05T18:19:34Z</dcterms:created>
  <dcterms:modified xsi:type="dcterms:W3CDTF">2020-10-05T08:40:31Z</dcterms:modified>
</cp:coreProperties>
</file>