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а подпись\"/>
    </mc:Choice>
  </mc:AlternateContent>
  <bookViews>
    <workbookView xWindow="-120" yWindow="-120" windowWidth="29040" windowHeight="15840"/>
  </bookViews>
  <sheets>
    <sheet name="Приложение №___" sheetId="1" r:id="rId1"/>
  </sheets>
  <definedNames>
    <definedName name="_xlnm.Print_Titles" localSheetId="0">'Приложение №___'!$22:$22</definedName>
    <definedName name="_xlnm.Print_Area" localSheetId="0">'Приложение №___'!$A$1:$E$499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4" i="1" l="1"/>
  <c r="E331" i="1"/>
  <c r="E335" i="1"/>
  <c r="E326" i="1"/>
  <c r="E322" i="1"/>
  <c r="E323" i="1"/>
  <c r="E327" i="1"/>
  <c r="E273" i="1"/>
  <c r="E14" i="1"/>
  <c r="E11" i="1"/>
  <c r="E274" i="1"/>
  <c r="E184" i="1"/>
  <c r="E185" i="1"/>
  <c r="E186" i="1"/>
  <c r="E187" i="1"/>
  <c r="E188" i="1"/>
  <c r="E189" i="1"/>
  <c r="E190" i="1"/>
  <c r="E191" i="1"/>
  <c r="E194" i="1"/>
  <c r="E199" i="1"/>
  <c r="E201" i="1"/>
  <c r="E202" i="1"/>
  <c r="E204" i="1"/>
  <c r="E206" i="1"/>
  <c r="E208" i="1"/>
  <c r="E210" i="1"/>
  <c r="E211" i="1"/>
  <c r="E214" i="1"/>
  <c r="E228" i="1"/>
  <c r="E229" i="1"/>
  <c r="E230" i="1"/>
  <c r="E231" i="1"/>
  <c r="E235" i="1"/>
  <c r="E240" i="1"/>
  <c r="E243" i="1"/>
  <c r="E245" i="1"/>
  <c r="E247" i="1"/>
  <c r="E263" i="1"/>
  <c r="E264" i="1"/>
  <c r="E266" i="1"/>
  <c r="E255" i="1"/>
  <c r="E256" i="1"/>
  <c r="E261" i="1"/>
  <c r="E271" i="1"/>
  <c r="E276" i="1"/>
  <c r="E277" i="1"/>
  <c r="E216" i="1"/>
  <c r="E217" i="1"/>
  <c r="E218" i="1"/>
  <c r="E219" i="1"/>
  <c r="E220" i="1"/>
  <c r="E221" i="1"/>
  <c r="E226" i="1"/>
  <c r="E278" i="1"/>
  <c r="E296" i="1"/>
  <c r="E297" i="1"/>
  <c r="E300" i="1"/>
  <c r="E288" i="1"/>
  <c r="E289" i="1"/>
  <c r="E286" i="1"/>
  <c r="E293" i="1"/>
  <c r="E294" i="1"/>
  <c r="E305" i="1"/>
  <c r="E306" i="1"/>
  <c r="E309" i="1"/>
  <c r="E281" i="1"/>
  <c r="E282" i="1"/>
  <c r="E303" i="1"/>
  <c r="E312" i="1"/>
  <c r="E313" i="1"/>
  <c r="E179" i="1"/>
  <c r="E180" i="1"/>
  <c r="E181" i="1"/>
  <c r="E318" i="1"/>
  <c r="E319" i="1"/>
  <c r="E336" i="1"/>
  <c r="E49" i="1"/>
  <c r="E172" i="1"/>
  <c r="E497" i="1"/>
  <c r="E495" i="1"/>
  <c r="E494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D479" i="1"/>
  <c r="E479" i="1"/>
  <c r="E475" i="1"/>
  <c r="E474" i="1"/>
  <c r="E473" i="1"/>
  <c r="E470" i="1"/>
  <c r="E469" i="1"/>
  <c r="E468" i="1"/>
  <c r="E467" i="1"/>
  <c r="E466" i="1"/>
  <c r="E465" i="1"/>
  <c r="E464" i="1"/>
  <c r="E463" i="1"/>
  <c r="E462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2" i="1"/>
  <c r="E391" i="1"/>
  <c r="E388" i="1"/>
  <c r="E384" i="1"/>
  <c r="E383" i="1"/>
  <c r="E382" i="1"/>
  <c r="E381" i="1"/>
  <c r="E380" i="1"/>
  <c r="E411" i="1"/>
  <c r="E444" i="1"/>
  <c r="E459" i="1"/>
  <c r="E476" i="1"/>
  <c r="E389" i="1"/>
  <c r="E428" i="1"/>
  <c r="E471" i="1"/>
  <c r="E492" i="1"/>
  <c r="E496" i="1"/>
  <c r="E385" i="1"/>
  <c r="E393" i="1"/>
  <c r="E477" i="1"/>
  <c r="E394" i="1"/>
  <c r="E42" i="1"/>
  <c r="E58" i="1"/>
  <c r="E351" i="1"/>
  <c r="E144" i="1"/>
  <c r="E136" i="1"/>
  <c r="E115" i="1"/>
  <c r="E107" i="1"/>
  <c r="E50" i="1"/>
  <c r="E64" i="1"/>
  <c r="E68" i="1"/>
  <c r="E135" i="1"/>
  <c r="E46" i="1"/>
  <c r="E149" i="1"/>
  <c r="E67" i="1"/>
  <c r="E66" i="1"/>
  <c r="E124" i="1"/>
  <c r="E93" i="1"/>
  <c r="E31" i="1"/>
  <c r="E346" i="1"/>
  <c r="E343" i="1"/>
  <c r="E340" i="1"/>
  <c r="E37" i="1"/>
  <c r="E347" i="1"/>
  <c r="E26" i="1"/>
  <c r="E27" i="1"/>
  <c r="E28" i="1"/>
  <c r="E84" i="1"/>
  <c r="E94" i="1"/>
  <c r="E92" i="1"/>
  <c r="E100" i="1"/>
  <c r="E91" i="1"/>
  <c r="E69" i="1"/>
  <c r="E59" i="1"/>
  <c r="E368" i="1"/>
  <c r="E498" i="1"/>
  <c r="E167" i="1"/>
  <c r="E163" i="1"/>
  <c r="E158" i="1"/>
  <c r="E155" i="1"/>
  <c r="E151" i="1"/>
  <c r="E145" i="1"/>
  <c r="E142" i="1"/>
  <c r="E130" i="1"/>
  <c r="E128" i="1"/>
  <c r="E122" i="1"/>
  <c r="E118" i="1"/>
  <c r="E119" i="1"/>
  <c r="E113" i="1"/>
  <c r="E116" i="1"/>
  <c r="E106" i="1"/>
  <c r="E98" i="1"/>
  <c r="E89" i="1"/>
  <c r="E85" i="1"/>
  <c r="E81" i="1"/>
  <c r="E82" i="1"/>
  <c r="E63" i="1"/>
  <c r="E56" i="1"/>
  <c r="E53" i="1"/>
  <c r="E38" i="1"/>
  <c r="E35" i="1"/>
  <c r="E32" i="1"/>
  <c r="E79" i="1"/>
  <c r="E103" i="1"/>
  <c r="E86" i="1"/>
  <c r="E60" i="1"/>
  <c r="E111" i="1"/>
  <c r="E138" i="1"/>
  <c r="E146" i="1"/>
  <c r="E164" i="1"/>
  <c r="E125" i="1"/>
  <c r="E131" i="1"/>
  <c r="E159" i="1"/>
  <c r="E169" i="1"/>
  <c r="E173" i="1"/>
  <c r="E353" i="1"/>
  <c r="E357" i="1"/>
  <c r="E96" i="1"/>
  <c r="E132" i="1"/>
  <c r="E174" i="1"/>
  <c r="E358" i="1"/>
  <c r="E499" i="1"/>
</calcChain>
</file>

<file path=xl/sharedStrings.xml><?xml version="1.0" encoding="utf-8"?>
<sst xmlns="http://schemas.openxmlformats.org/spreadsheetml/2006/main" count="502" uniqueCount="350">
  <si>
    <t>Создание  парка имени  Александра Невского на территории исторического военно-мемориального комплекса "Бендерская крепость" и реконструкция исторического военно-мемориального  комплекса "Бендерская крепость", в том числе проектные работы</t>
  </si>
  <si>
    <t>Реконструкция Дома культуры с. Владимировка</t>
  </si>
  <si>
    <t>Благоустройство территории в МОУ "Фрунзенская СОШ"</t>
  </si>
  <si>
    <t>Строительство нового здания для МУ "Центр социально-психологической реабилитации детей с ОПЖ", г. Дубоссары, в том числе проектные работы</t>
  </si>
  <si>
    <t>Строительство спортивного комплекса в г. Дубоссары, в том числе проектные работы</t>
  </si>
  <si>
    <t xml:space="preserve">Государственная администрация Рыбницкого района и г. Рыбницы </t>
  </si>
  <si>
    <t>Итого по подстатье 240 230</t>
  </si>
  <si>
    <t>Министерство обороны Приднестровской Молдавской Республики</t>
  </si>
  <si>
    <t xml:space="preserve">Министерство внутренних дел Приднестровской Молдавской Республики </t>
  </si>
  <si>
    <t xml:space="preserve">Государственная служба исполнения наказаний Министерства юстиции 
Приднестровской Молдавской Республики </t>
  </si>
  <si>
    <t>Итого по подстатье 240 240</t>
  </si>
  <si>
    <t>Капитальные вложения в строительство коммунальных объектов (240 250)</t>
  </si>
  <si>
    <t>Итого по подстатье 240 250</t>
  </si>
  <si>
    <t>Приобретение прочих расходных материалов и предметов снабжения (110 360)</t>
  </si>
  <si>
    <t xml:space="preserve">Министерство обороны Приднестровской Молдавской Республики </t>
  </si>
  <si>
    <t>Итого по подстатье 110 360</t>
  </si>
  <si>
    <t>Программа "Пожарная безопасность объектов социально-культурного назначения"</t>
  </si>
  <si>
    <t>Государственная администрация Григориопольского района и г. Григориополя</t>
  </si>
  <si>
    <t>Итого по подстатье 290 000</t>
  </si>
  <si>
    <t>Итого по программе капитальных вложений</t>
  </si>
  <si>
    <t>Капитальный ремонт жилого фонда (240 310)</t>
  </si>
  <si>
    <t>Итого по подстатье 240 310</t>
  </si>
  <si>
    <t>Капитальный ремонт объектов социально-культурного назначения (240 330)</t>
  </si>
  <si>
    <t>Завершение капитального ремонта инфекционного отделения ГУ "Рыбницкая центральная районная больница"</t>
  </si>
  <si>
    <t>Капитальный ремонт входной группы поликлиники ГУ "Каменская центральная районная больница"</t>
  </si>
  <si>
    <t xml:space="preserve">Капитальный ремонт СВА в селе Воронково по адресу ул. Ленина, 22 </t>
  </si>
  <si>
    <t>Капитальный ремонт оконных и дверных блоков ГУ "Республиканская туберкулезная больница"</t>
  </si>
  <si>
    <t>Министерство по социальной защите и труду  Приднестровской Молдавской Республики</t>
  </si>
  <si>
    <t>количе-ство</t>
  </si>
  <si>
    <t>Государственная администрация г. Тирасполя и г. Днестровска</t>
  </si>
  <si>
    <t>Капитальный ремонт МДОУ "БДС № 24", ул. Космонавтов, 32</t>
  </si>
  <si>
    <t>Капитальный ремонт  МДОУ "БДС № 27", ул. 50 лет ВЛКСМ,11</t>
  </si>
  <si>
    <t>Государственная администрация Слобоздейского района и г. Слободзеи</t>
  </si>
  <si>
    <t>Государственная администрация  Рыбницкого района и г. Рыбницы</t>
  </si>
  <si>
    <t>Государственная администрация Каменского района и г. Каменки</t>
  </si>
  <si>
    <t xml:space="preserve">Государственная служба по культуре и историческому наследию Приднестровской Молдавской Республики </t>
  </si>
  <si>
    <t xml:space="preserve">Государственная служба по спорту Приднестровской Молдавской Республики </t>
  </si>
  <si>
    <t xml:space="preserve">Итого </t>
  </si>
  <si>
    <t>Итого по подстатье 240 330</t>
  </si>
  <si>
    <t xml:space="preserve">Прокуратура Приднестровской Молдавской Республики </t>
  </si>
  <si>
    <t xml:space="preserve">Следственный комитет Приднестровской Молдавской Республики </t>
  </si>
  <si>
    <t>Капитальный ремонт кровли боксов на территории Слободзейского РОВД МВД ПМР</t>
  </si>
  <si>
    <t>Капитальный ремонт спортивного зала Слободзейского РОВД МВД ПМР</t>
  </si>
  <si>
    <t>Судебный департамент при Верховном суде Приднестровской Молдавской Республики</t>
  </si>
  <si>
    <t xml:space="preserve">Администрация Президента Приднестровской Молдавской Республики </t>
  </si>
  <si>
    <t xml:space="preserve">Министерство просвещения Приднестровской Молдавской Республики </t>
  </si>
  <si>
    <t xml:space="preserve">Центральная избирательная комиссия Приднестровской Молдавской Республики </t>
  </si>
  <si>
    <t>Итого по подстатье 240 340</t>
  </si>
  <si>
    <t>Капитальный ремонт прочих объектов (240 360)</t>
  </si>
  <si>
    <t>Итого по подстатье 240 360</t>
  </si>
  <si>
    <t>Приобретение материалов для капитального ремонта здания Следственного комитета ПМР</t>
  </si>
  <si>
    <t>Итого по программе капитального ремонта</t>
  </si>
  <si>
    <t>Государственная администрация города Бендеры</t>
  </si>
  <si>
    <t>Программа развития материально-технической базы</t>
  </si>
  <si>
    <t xml:space="preserve">Министерство здравоохранения Приднестровской Молдавской Республики </t>
  </si>
  <si>
    <t>Приобретение инвалидных колясок для инвалидов (статья 130 630)</t>
  </si>
  <si>
    <t>ИТОГО ПО ВСЕМ ПРОГРАММАМ</t>
  </si>
  <si>
    <t>Министерство по социальной защите и труду Приднестровской Молдавской Республики</t>
  </si>
  <si>
    <t xml:space="preserve">Приобретение оборудования, предметов длительного пользования и специализированного медицинского автотранспорта </t>
  </si>
  <si>
    <t>в том числе:</t>
  </si>
  <si>
    <t>наименование медицинской техники</t>
  </si>
  <si>
    <t>Бактерицидный облучатель</t>
  </si>
  <si>
    <t>Автомобиль СМП класса В</t>
  </si>
  <si>
    <t>Светильник потолочный бестеневой</t>
  </si>
  <si>
    <t xml:space="preserve">подстатья 110360 </t>
  </si>
  <si>
    <t>Портативный анализатор глюкозы в крови</t>
  </si>
  <si>
    <t>подстатья 240120</t>
  </si>
  <si>
    <t>Ростомер</t>
  </si>
  <si>
    <t>Весы электронные</t>
  </si>
  <si>
    <t>Завершение капитального ремонта приемного отделения ГУ "Бендерская центральная городская больница" по адресу г. Бендеры, ул. Б. Восстания, 146, в том числе проектные работы</t>
  </si>
  <si>
    <t>Капитальный ремонт МДОУ "БДС № 32", ул. Калинина, 29</t>
  </si>
  <si>
    <t>Капитальный ремонт  МДОУ "БДС № 42", ул. Петровского, 42</t>
  </si>
  <si>
    <t>Капитальный ремонт МДОУ "Гармония", ул. Шестакова, 28</t>
  </si>
  <si>
    <t xml:space="preserve">Весы для новорожденных и детей   </t>
  </si>
  <si>
    <t xml:space="preserve">Кушетка медицинская смотровая </t>
  </si>
  <si>
    <t xml:space="preserve">Облучатель бактерицидный </t>
  </si>
  <si>
    <t xml:space="preserve">Облучатель ультрафиолетовый </t>
  </si>
  <si>
    <t>Офтальмоскоп ручной</t>
  </si>
  <si>
    <t xml:space="preserve">Светильник бестеневой медицинский передвижной          </t>
  </si>
  <si>
    <t xml:space="preserve">Термостат </t>
  </si>
  <si>
    <t xml:space="preserve">Кресло гинекологическое </t>
  </si>
  <si>
    <t xml:space="preserve">Микроскоп бинокулярный               </t>
  </si>
  <si>
    <t xml:space="preserve">Стерилизатор воздушный </t>
  </si>
  <si>
    <t>Холодильник фармацевтический</t>
  </si>
  <si>
    <t xml:space="preserve">Центрифуга лабораторная                        </t>
  </si>
  <si>
    <t>Весы медицинские с ростомером</t>
  </si>
  <si>
    <t>Банкетка</t>
  </si>
  <si>
    <t xml:space="preserve">Столик инструментальный                </t>
  </si>
  <si>
    <t>Облучатель бактерицидный передвижной</t>
  </si>
  <si>
    <t xml:space="preserve">Стол медицинский </t>
  </si>
  <si>
    <t>Сумка-холодильник</t>
  </si>
  <si>
    <t xml:space="preserve">Тумба медицинская под аппаратуру </t>
  </si>
  <si>
    <t>Прибор для определения остроты зрения</t>
  </si>
  <si>
    <t xml:space="preserve">Электрокардиограф </t>
  </si>
  <si>
    <t>Приобретение оборудования для хирургического корпуса ГУ "РКБ"</t>
  </si>
  <si>
    <t>Шкаф для одежды двухдверный</t>
  </si>
  <si>
    <t>Шкаф для хранения медикаментов</t>
  </si>
  <si>
    <t>Шкаф кухонный навесной двухдверный</t>
  </si>
  <si>
    <t>Стол на пост мед. сестры</t>
  </si>
  <si>
    <t>Стол письменный</t>
  </si>
  <si>
    <t>Кухонный гарнитур</t>
  </si>
  <si>
    <t>Кушетка медицинская</t>
  </si>
  <si>
    <t>Диван для медицинских учреждений</t>
  </si>
  <si>
    <t xml:space="preserve">Стеллажи металлические для белья </t>
  </si>
  <si>
    <t>Вешалка стоячая</t>
  </si>
  <si>
    <t>Шкаф для белья</t>
  </si>
  <si>
    <t>Мойка двухсекционная из нержавеющей стали стандартная</t>
  </si>
  <si>
    <t>Кухонный инвентарь</t>
  </si>
  <si>
    <t>Котел варочный</t>
  </si>
  <si>
    <t>Машина картофелеочистительная</t>
  </si>
  <si>
    <t>Машина протирочно-резательная</t>
  </si>
  <si>
    <t>Мясорубка электрическая</t>
  </si>
  <si>
    <t>Сковорода электрическая</t>
  </si>
  <si>
    <t>Стол из нержавеющей стали с полочкой</t>
  </si>
  <si>
    <t>Тестомесилка</t>
  </si>
  <si>
    <t>Приобретение оборудования для оснащения  поликлиники № 5 ГУ "Тираспольский клинический центр  амбулаторной поликлинической помощи"  (подстатья 240120 )</t>
  </si>
  <si>
    <t xml:space="preserve">Капитальный ремонт БПК ГОУ "ТЮИ им. М. И. Кутузова" МВД ПМР </t>
  </si>
  <si>
    <t>Завершение капитального ремонта поликлиники № 2 ГУ "Бендерский центр амбулаторно-поликлинической помощи" по адресу г. Бендеры,                                                                                     ул. Калинина, 62, в том числе проектные работы и благоустройство территории</t>
  </si>
  <si>
    <t>Программное обеспечение медицинской информационной системы</t>
  </si>
  <si>
    <t>Оборудование для обеспечения работы медицинской информационной системы</t>
  </si>
  <si>
    <t>Программа исполнения наказов избирателей                                                                                                                                                       (Участие Правительства в осуществлении отдельных программ (290 000))</t>
  </si>
  <si>
    <t>№ п/п</t>
  </si>
  <si>
    <t xml:space="preserve">Наименование объекта </t>
  </si>
  <si>
    <t>Сумма, руб.</t>
  </si>
  <si>
    <t>Итого</t>
  </si>
  <si>
    <t>Государственная администрация г. Бендеры</t>
  </si>
  <si>
    <t>Итого по подстатье 240 110</t>
  </si>
  <si>
    <t>Приобретение непроизводственного оборудования и предметов длительного пользования для государственных учреждений (240 120)</t>
  </si>
  <si>
    <t>Государственная служба охраны Приднестровской Молдавской Республики</t>
  </si>
  <si>
    <t xml:space="preserve">Министерство экономического развития Приднестровской Молдавской Республики </t>
  </si>
  <si>
    <t>Приобретение программного обеспечения по внедрению ресурсного метода ценообразования в строительстве, разработка и экспертиза проектно-сметной документации зданий и сооружений</t>
  </si>
  <si>
    <t>Министерство внутренних дел Приднестровской Молдавской Республики</t>
  </si>
  <si>
    <t>Создание сквера "Солнечный", г. Бендеры, в том числе проектные работы</t>
  </si>
  <si>
    <t>Государственная администрация Слободзейского района и г. Слободзеи</t>
  </si>
  <si>
    <t>Реконструкция центральной части г. Слободзеи (парк молодоженов), в том числе проектные работы</t>
  </si>
  <si>
    <t xml:space="preserve"> Реконструкция  кинотеатра  "Восток"  в  детский культурно-досуговый центр с доступом ММГН  </t>
  </si>
  <si>
    <t>Создание парка "Набережный" по ул. Вальченко, г. Рыбница, в том числе проектные работы</t>
  </si>
  <si>
    <t>Государственная администрация  Каменского района и г. Каменки</t>
  </si>
  <si>
    <t>Завершение реконструкции здания Главного штаба (надстройка 4-го этажа), военный городок № 1, г. Тирасполь</t>
  </si>
  <si>
    <t>Реконструкция автономной газовой котельной Учреждения исполнения наказаний № 3, г.Тирасполь, ул. Лазо, 7, в том числе проектные работы</t>
  </si>
  <si>
    <t>Строительство газовой котельной в с. Карагаш, ул. С. Лазо, д. 71, Слободзейский район</t>
  </si>
  <si>
    <t xml:space="preserve">Приобретение материалов для строительства хранилища грузовых автомобилей военного городка № 17 г. Бендеры </t>
  </si>
  <si>
    <t xml:space="preserve">Приобретение материалов для завершения строительства хранилища легковых автомобилей  в военном городке № 17 г. Бендеры  </t>
  </si>
  <si>
    <t>Капитальный ремонт (модернизация) лифтового хозяйства п. Первомайск, Слободзейский район</t>
  </si>
  <si>
    <t>Капитальный ремонт МОУ "ТСШ № 16", г. Тирасполь, ул. Юности, 16</t>
  </si>
  <si>
    <t>Капитальный ремонт МОУ "ТСШ № 17", г. Тирасполь, ул. Федько, 5</t>
  </si>
  <si>
    <t>Капитальный ремонт МДОУ № 19, г. Тирасполь, ул. Краснодонская, 74</t>
  </si>
  <si>
    <t>Капитальный ремонт МДОУ № 45, г. Тирасполь, ул. Менделеева, 1</t>
  </si>
  <si>
    <t>Капитальный ремонт  МДОУ "БДС № 26", м-н "Северный"</t>
  </si>
  <si>
    <t>Капитальный ремонт Дома культуры с. Терновка</t>
  </si>
  <si>
    <t>Капитальный ремонт ограждения территории и благоустройство  МОУ "Ближнехуторская СОШ", с. Ближний Хутор, ул. Октябрьская, 125</t>
  </si>
  <si>
    <t>Капитальный ремонт Дома культуры с. Малаешты Григориопольского района</t>
  </si>
  <si>
    <t>Капитальный ремонт детского сада "Извораш", с. Ташлык, ул. Целых, 26 "а"</t>
  </si>
  <si>
    <t>ИТОГО по программе модернизации пищевых блоков в образовательных учреждениях Приднестровской Молдавской Республики</t>
  </si>
  <si>
    <t>Программа материально-технического обеспечения и улучшения условий труда сотрудников налоговых органов</t>
  </si>
  <si>
    <t>Итого по программе материально-технического обеспечения и улучшения условий труда сотрудников налоговых органов</t>
  </si>
  <si>
    <t>ВСЕГО по программе капитальных вложений и капитального ремонта Приднестровской Молдавской Республики на 2020 год</t>
  </si>
  <si>
    <t>итого стоимость, руб.</t>
  </si>
  <si>
    <t>Итого 240120</t>
  </si>
  <si>
    <t>Приобретение оборудования, расходных материалов и предметов снабжения для реализации программы по укреплению материально-технической базы всех звеньев медицинской службы, осуществляющих диспансеризацию</t>
  </si>
  <si>
    <t>Итого 110360</t>
  </si>
  <si>
    <t>Итого  240120</t>
  </si>
  <si>
    <t>Холодильник 2-дверный</t>
  </si>
  <si>
    <t>Шкаф жарочный 2-секц.</t>
  </si>
  <si>
    <t>Шкаф жарочный 3-секц.</t>
  </si>
  <si>
    <t>Итого по программе развития материально-технической базы</t>
  </si>
  <si>
    <t>Приобретение оборудования для системы "Безопасный город"</t>
  </si>
  <si>
    <t>Государственная администрация Дубоссарского района и г. Дубоссары</t>
  </si>
  <si>
    <t xml:space="preserve">Государственная служба средств массовой информации Приднестровской Молдавской Республики </t>
  </si>
  <si>
    <t>Итого по подстатье 240 120</t>
  </si>
  <si>
    <t>Министерство здравоохранения Приднестровской Молдавской Республики</t>
  </si>
  <si>
    <t xml:space="preserve">Завершение строительства здания судебно-медицинской экспертизы и патологоанатомического отделения на территории ГУ "Республиканская клиническая больница" по ул. Мира, 33, г. Тирасполь, в том числе проектные работы </t>
  </si>
  <si>
    <t xml:space="preserve">Строительство надстройки над операционным блоком ГУ "Рыбницкая центральная районная больница" по адресу г. Рыбница, ул. Грибоедова, 3,  в том числе проектные работы </t>
  </si>
  <si>
    <t>Обустройство архитектурной доступности к зданиям и сооружениям для маломобильных групп населения</t>
  </si>
  <si>
    <t>Строительство ФАП с. Броштяны ГУ "Рыбницкая центральная районная больница", в том числе проектные работы</t>
  </si>
  <si>
    <t>Строительство ФАП с. Гидирим  ГУ "Рыбницкая центральная районная больница", в том числе проектные работы</t>
  </si>
  <si>
    <t>Строительство ФАП с. Дубово  ГУ "Дубоссарская центральная районная больница", в том числе проектные работы</t>
  </si>
  <si>
    <t>Строительство ФАП с. Койково  ГУ "Дубоссарская центральная районная больница", в том числе проектные работы</t>
  </si>
  <si>
    <t>Строительство ФАП с. Ивановка  ГУ "Рыбницкая центральная районная больница", в том числе проектные работы</t>
  </si>
  <si>
    <t>Министерство просвещения Приднестровской Молдавской Республики</t>
  </si>
  <si>
    <t>Строительство и обустройство детских игровых и спортивных площадок</t>
  </si>
  <si>
    <t xml:space="preserve">Государственная администрация г. Бендеры </t>
  </si>
  <si>
    <t>Капитальный ремонт  МУ "Спорткомплекс "Юбилейный", г.Рыбница,                                                               ул. Юбилейная, 33А</t>
  </si>
  <si>
    <t>Капитальный ремонт административных зданий (240 340)</t>
  </si>
  <si>
    <t>Капитальный ремонт кровли здания Министерства просвещения Приднестровской Молдавской Республики, г. Тирасполь, ул. Мира, 27</t>
  </si>
  <si>
    <t>Итого по программе"Пожарная безопасность объектов социально-культурного назначения"</t>
  </si>
  <si>
    <t>Итого по программе исполнения наказов избирателей</t>
  </si>
  <si>
    <t>Приобретение оборудования, предметов длительного пользования и специализированного медицинского автотранспорта (подстатья 240120)</t>
  </si>
  <si>
    <t>Приобретение оборудования для оснащения поликлиники № 2 ГУ "Бендерский центр  амбулаторной поликлинической помощи" (подстатья 240120 )</t>
  </si>
  <si>
    <t>(подстатья 240120)</t>
  </si>
  <si>
    <t xml:space="preserve">(подстатья 110360) </t>
  </si>
  <si>
    <t>Пароконвектомат на 6 противней</t>
  </si>
  <si>
    <t>Приобретение и модернизация подвижного состава для МУП "Бендерское троллейбусное управление", г.Бендеры</t>
  </si>
  <si>
    <t xml:space="preserve">Министерство по социальной защите и труду Приднестровской Молдавской Республики </t>
  </si>
  <si>
    <t>Приобретение мебели и оборудования для МУ "Центр социально-психологической реабилитации детей с ОПЖ", г. Дубоссары, в том числе проектные работы</t>
  </si>
  <si>
    <t>Приобретение оборудования и предметов длительного пользования для МОУ ДО "Каменская СДЮШОР"</t>
  </si>
  <si>
    <t>Строительство хлораторной станции на территории ГУ "Республиканская туберкулёзная больница" по адресу г. Бендеры, ул. Б.Восстания, 148, в том числе проектные работы</t>
  </si>
  <si>
    <t>Завершение работ по реконструкции здания пищеблока ГУ "Республиканская туберкулезная больница" по адресу г. Бендеры,  ул. Б. Восстания, 148, в том числе проектные работы</t>
  </si>
  <si>
    <t>Завершение реконструкции комплекса строений под размещение образовательного учреждения для девочек, расположенного по ул. Калинина, 43, в г. Бендеры, в том числе проектные работы</t>
  </si>
  <si>
    <t>Реконструкция гребной базы в г. Бендеры, в том числе проектные работы</t>
  </si>
  <si>
    <t>Восстановление парка Витгенштейна, г. Каменка, в том числе проектные работы</t>
  </si>
  <si>
    <t>Устройство покрытия территории ГОУ ВПО "Приднестровский государственный институт искусств"</t>
  </si>
  <si>
    <t>Создание сквера "Солнечный", г. Тирасполь, ул. Милева,  в том числе проектные работы</t>
  </si>
  <si>
    <t>Капитальные вложения в строительство административных зданий  (240 240)</t>
  </si>
  <si>
    <t>Прокладка резервного силового кабеля в ГОУ "РУВК  им. А. С. Макаренко" МВД ПМР,  г.Тирасполь, ул. Заречная, 46</t>
  </si>
  <si>
    <t>Реконструкция здания Управления Следственного комитета  г. Бендеры, по адресу г. Бендеры, ул. Дзержинского, 55</t>
  </si>
  <si>
    <t>Приобретение мягкого инвентаря (110 320)</t>
  </si>
  <si>
    <t>Приобретение мягкого инвентаря для МОУ ДО "Каменская СДЮШОР"</t>
  </si>
  <si>
    <t>Итого по подстатье 110 320</t>
  </si>
  <si>
    <t>Капитальный ремонт спортивного комплекса ГОУ "ТЮИ им. М. И. Кутузова"  МВД ПМР</t>
  </si>
  <si>
    <t>Капитальный ремонт МОУ ТСШГК № 18</t>
  </si>
  <si>
    <t>Капитальный ремонт  МДОУ "Детский сад "Аленка", с. Коротное,  ул. Фрунзе, 35</t>
  </si>
  <si>
    <t>Капитальный ремонт Дубоссарской общеобразовательной русско-молдавской школы № 7 (мрн. Лунга), ул. Димитрова, 1, в том числе проектные  работы</t>
  </si>
  <si>
    <t>Капитальный ремонт детского сада "Аленушка", г. Дубоссары, ул. Крянгэ,1, в том числе проектные работы</t>
  </si>
  <si>
    <t>Капитальный ремонт  Дома культуры, Каменский район,с. Подойма, ул. Ленина, 92</t>
  </si>
  <si>
    <t>Капитальный ремонт здания столовой № 3 военного городка № 17, г. Бендеры</t>
  </si>
  <si>
    <t xml:space="preserve">Государственная служба управления документацией и архивами Приднестровской Молдавской Республики </t>
  </si>
  <si>
    <t>Министерство сельского хозяйства и природных ресурсов Приднестровской Молдавской Республики</t>
  </si>
  <si>
    <t>Укрепление противопаводковой дамбы Тирасполь-Суклея</t>
  </si>
  <si>
    <t>Участие Правительства в осуществлении отдельных программ (290 000, 240 120)</t>
  </si>
  <si>
    <t>Министерство финансов Приднестровской Молдавской Республики (290 000)</t>
  </si>
  <si>
    <t>Погашение кредиторской задолженности по состоянию на 01.01.2020 года и полное исполнение договорных обязательств 2019 года по содержанию автотранспорта в лечебных учреждениях республики, оказывающих скорую медицинскую помощь, специализированных лечебных учреждениях (республиканские туберкулезная и психиатрическая больницы, Центр по профилактике и борьбе со СПИДом и инфекционными заболеваниями, комиссии врачебной экспертизы жизнеспособности) (статья 110350)</t>
  </si>
  <si>
    <t>Погашение кредиторской задолженности по состоянию на 01.01.2020 года и полное исполнение договорных обязательств   2019 года на приобретение прочих расходных материалов и предметов снабжения (110360)</t>
  </si>
  <si>
    <t>Приобретение и установка кондиционеров в здании Центральной избирательной комисии ПМР по адресу г. Тирасполь, ул. Шевченко, 12в</t>
  </si>
  <si>
    <t>Строительство бельведера-колоннады (ансамбль строений парадного въезда в                                                 г. Тирасполь со стороны г. Бендеры)</t>
  </si>
  <si>
    <t>Строительство 4-этажной казармы на 400 человек, военный городок № 15,                                              г. Тирасполь, в том числе проектные работы</t>
  </si>
  <si>
    <t>Строительство канализационной насосной станции и канализационного напорного коллектора, в т.ч. проектные работы, для обеспечения централизованным водоотведением здания МУ "Центр социально-психологической реабилитации детей с ОПЖ", г. Дубоссары</t>
  </si>
  <si>
    <t>Капитальный ремонт Мемориала Славы, г. Тирасполь</t>
  </si>
  <si>
    <t>Капитальный ремонт МДОУ "БДС № 9", ул. С. Лазо, 27</t>
  </si>
  <si>
    <t>Капитальный ремонт физкультурно-оздоровительного комплекса "Северный"                                                                         г. Бендеры</t>
  </si>
  <si>
    <t>Капитальный ремонт детского сада комбинированного вида "Радуга",                                                     г. Дубоссары, ул. Петровского, 7</t>
  </si>
  <si>
    <t>Капитальный ремонт специализированной детско-юношеской спортивной школы олимпийского резерва гребли и велоспорта г. Дубоссары</t>
  </si>
  <si>
    <t>Замена оконных блоков административных зданий ИАКЦ, УФиТО МВД ПМР,                                           г. Тирасполь, ул. Манойлова, 68</t>
  </si>
  <si>
    <t>Капитальный ремонт здания Бендерского городского суда, по адресу г. Бендеры, ул. Пушкина, 50</t>
  </si>
  <si>
    <t>Приобретение оборудования для цифрового обеспечения отрасли здравоохранения                                                               (подстатья 240120)</t>
  </si>
  <si>
    <t>Министерство внтуренних дел Приднестровской Молдавской Республики</t>
  </si>
  <si>
    <t>Строительство сетей водопровода в с. Слобода-Рашково Каменского района</t>
  </si>
  <si>
    <t xml:space="preserve">Капитальный ремонт здания прокуратуры г. Каменки, по адресу г. Каменка,                                                           ул. Ленина, 21 </t>
  </si>
  <si>
    <t>Капитальный ремонт кровли административного здания (литер А), по адресу                                                г. Тирасполь, пер. Энгельса, д. 5</t>
  </si>
  <si>
    <t>Погашение кредиторской задолженности по состоянию на 01.01.2020 года и полное исполнение договорных обязательств   2019 года на протезирование льготной категории граждан (за исключением зубопротезирования)                                                                        (статья 111 054)</t>
  </si>
  <si>
    <t>цена за единицу, руб.</t>
  </si>
  <si>
    <t>Капитальный ремонт кровли ГУ "Республиканская психиатрическая больница" с. Выхватинцы по  ул. Днестровской,  83</t>
  </si>
  <si>
    <t>Капитальный ремонт ГУ "Республиканский специализированный Дом ребенка",  г. Тирасполь, ул. 1 Мая, 26</t>
  </si>
  <si>
    <t>Капитальный ремонт зданий и сооружений ГОУ СПО "Тираспольский аграрно-технический колледж им. М.В. Фрунзе",  г. Тирасполь, пгт. Новотираспольский,  ул. Советская, 14</t>
  </si>
  <si>
    <r>
      <t>Приобретение производственного оборудования и предметов длительного пользования для государственных предприятий</t>
    </r>
    <r>
      <rPr>
        <sz val="11.5"/>
        <rFont val="Times New Roman"/>
        <family val="1"/>
        <charset val="204"/>
      </rPr>
      <t xml:space="preserve"> </t>
    </r>
    <r>
      <rPr>
        <b/>
        <u/>
        <sz val="11.5"/>
        <rFont val="Times New Roman"/>
        <family val="1"/>
        <charset val="204"/>
      </rPr>
      <t>(240 110)</t>
    </r>
  </si>
  <si>
    <r>
      <t xml:space="preserve">Реконструкция ГУ "Тираспольский клинический центр амбулаторно-поликлинической помощи" по ул.Свердлова, 50, г. Тирасполь (обустройство шахты и монтаж лифта), в том числе проектные работы </t>
    </r>
    <r>
      <rPr>
        <b/>
        <sz val="11.5"/>
        <rFont val="Times New Roman"/>
        <family val="1"/>
        <charset val="204"/>
      </rPr>
      <t>(кредиторская задолженность за 2019 г.)</t>
    </r>
  </si>
  <si>
    <r>
      <t xml:space="preserve">Завершение капитального ремонта приемного отделения ГУ "Бендерская центральная городская больница" по адресу г. Бендеры, ул. Б. Восстания, 146, в том числе проектные работы </t>
    </r>
    <r>
      <rPr>
        <b/>
        <sz val="11.5"/>
        <rFont val="Times New Roman"/>
        <family val="1"/>
        <charset val="204"/>
      </rPr>
      <t>(кредиторская задолженость за 2019 г.)</t>
    </r>
  </si>
  <si>
    <r>
      <t xml:space="preserve">Программа модернизации пищевых блоков в образовательных учреждениях Приднестровской Молдавской Республики  </t>
    </r>
    <r>
      <rPr>
        <sz val="11.5"/>
        <rFont val="Times New Roman"/>
        <family val="1"/>
        <charset val="204"/>
      </rPr>
      <t>(в соответствии с распоряжением Правительства ПМР от 19.06.19г.  № 479р)</t>
    </r>
  </si>
  <si>
    <t>Завершение капитального ремонта поликлиники № 5  ГУ "Тираспольский клинический центр амбулаторно-поликлинической помощи" по адресу г. Тирасполь, ул. Шевченко, 81/10, в том числе проектные работы</t>
  </si>
  <si>
    <t>Приобретение оборудования и предметов длительного пользования  (статья 240 120)</t>
  </si>
  <si>
    <t>Приобретение оборудования и предметов длительного пользования    (статья 240 120)</t>
  </si>
  <si>
    <t xml:space="preserve">Приобретение оборудования и предметов длительного пользования  (статья 240 120)                                                                                                                                                                               </t>
  </si>
  <si>
    <t>Приложение №9</t>
  </si>
  <si>
    <t>к Закону Приднестровской Молдавской Республики</t>
  </si>
  <si>
    <t>" О республиканском бюджете на 2020 год"</t>
  </si>
  <si>
    <t>Смета расходов Фонда капитальных вложений Приднестровской Молдавской Республики 
на 2020 год</t>
  </si>
  <si>
    <t>исключен</t>
  </si>
  <si>
    <t>Строительство ФАП с. Янтарное ГУ "Каменская центральная районная больница", в том числе проектные работы</t>
  </si>
  <si>
    <t xml:space="preserve">Замена оконных блоков в общеобразовательных, коррекционных и дошкольных учреждениях </t>
  </si>
  <si>
    <t>Капитальный ремонт кровель и фасадов зданий центральной части города в границах улиц Шевченко и Луначарского по ул. 25 Октября (четная сторона)</t>
  </si>
  <si>
    <t>Реконструкция зданий в ГУП ОК "Днестровские зори", в том числе проектные работы</t>
  </si>
  <si>
    <t xml:space="preserve">Капитальный ремонт ГОУ " Глинойская специальная коррекционная школа-интернат для детей-сирот и детей, оставшихся без попечения родителей, VIII вида", с. Глиное, Слободзейский район, ул. Котовского, 1, в том числе проектные работы </t>
  </si>
  <si>
    <t>Капитальный ремонт ГОУ ДО "Республиканская специализированная детско-юношеская школа олимпийского резерва настольного тенниса", г. Дубоссары</t>
  </si>
  <si>
    <t>Фиброгастроскоп детский</t>
  </si>
  <si>
    <t>Конвексный датчик 4C1 для УЗИ</t>
  </si>
  <si>
    <t xml:space="preserve">"О внесении изменений и дополнений </t>
  </si>
  <si>
    <t xml:space="preserve">в Закон Приднестровской Молдавской Республики </t>
  </si>
  <si>
    <t>"О республиканском бюджете на 2020 год"</t>
  </si>
  <si>
    <t xml:space="preserve">Капитальный ремонт кровли корпуса № 1, г. Тирасполь, ул. К. Маркса, 187 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</si>
  <si>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</si>
  <si>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</si>
  <si>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</si>
  <si>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</si>
  <si>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</si>
  <si>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</si>
  <si>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</si>
  <si>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</si>
  <si>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</si>
  <si>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Итого по подпункту 7.7</t>
  </si>
  <si>
    <t>Итого по подпункту 7.2</t>
  </si>
  <si>
    <t>Капитальный ремонт  МДОУ "БДС № 16", ул. Кишиневская, 67а, в том числе проектные работы</t>
  </si>
  <si>
    <t>к поправкам к проекту закона Приднестровской Молдавской Республики</t>
  </si>
  <si>
    <t>Приложение № 13</t>
  </si>
  <si>
    <t>ПРОГРАММА КАПИТАЛЬНЫХ ВЛОЖЕНИЙ</t>
  </si>
  <si>
    <t>ПРОГРАММА КАПИТАЛЬНОГО РЕМОНТА</t>
  </si>
  <si>
    <t>Капитальный ремонт МОУ ТСШ № 10, г. Тирасполь, ул. Комарова, 3</t>
  </si>
  <si>
    <t>Капитальный ремонт государственных мелиоративных объектов</t>
  </si>
  <si>
    <t>Приобретение оборудования для ремонта государственных мелиоративных объектов</t>
  </si>
  <si>
    <t>"О внесении изменений и дополнений</t>
  </si>
  <si>
    <t xml:space="preserve"> в Закон Приднестровской Молдавской Республики </t>
  </si>
  <si>
    <t xml:space="preserve">к Закону Приднестровской Молдавской Республики </t>
  </si>
  <si>
    <t>Приложение № 9</t>
  </si>
  <si>
    <t>Приобретение оборудования для специализированного учреждения МСКОУ № 2,                                                                    ул. К. Либкнехта, 144а, г. Тирасполь</t>
  </si>
  <si>
    <t>Приобретение мебели, музыкального оборудования и оборудования сцены для Дома культуры с. Катериновка, Каменский район</t>
  </si>
  <si>
    <t>Приобретение оборудования для модернизации  и переоборудования  производственной мастерской по изготовлению протезно-ортопедических изделий ГУ "Республиканский центр по протезированию и ортопедии", г. Тирасполь, ул. Ленина, 22</t>
  </si>
  <si>
    <t>Приобретение оборудования, мебели и оргтехники для ГУ "Республиканский спортивный реабилитационно-восстановительный центр инвалидов", расположенного по адресу г.Тирасполь, ул. Ленина,1/3</t>
  </si>
  <si>
    <t>Приобретение спортивного оборудования, инвентаря и мебели для гребной базы г. Бендеры</t>
  </si>
  <si>
    <t>Капитальные вложения в строительство объектов социально-культурного назначения                                                                               (240 230)</t>
  </si>
  <si>
    <t xml:space="preserve">Реконструкция терапевтического корпуса ГУ "Республиканская клиническая больница" по                                                                                       ул. Мира, 33, в том числе проектные работы </t>
  </si>
  <si>
    <t>Реконструкция объекта, не завершенного строительством, "Стоматологическая поликлиника", г. Тирасполь, под акушерско-гинекологический стационар  ГУ "Республиканский центр матери и ребенка" по адресу г. Тирасполь, ул. Свердлова, 84, в том числе проектные работы</t>
  </si>
  <si>
    <t>Завершение строительства здания  по линии АНО "Евразийская интеграция" по адресу                                                          г. Бендеры , ул. Б. Восстания, 148,  под лечебный корпус № 1  ГУ "Республиканская туберкулезная больница", в том числе проектные работы</t>
  </si>
  <si>
    <t>Реконструкция пищеблока ГУ "Бендерский центр матери и ребенка" по адресу  г. Бендеры, ул. Протягайловская, 6, в том числе проектные работы</t>
  </si>
  <si>
    <t>Реконструкция ГУ "Республиканский кожно-венерологический диспансер" по  адресу                                                            г. Тирасполь, ул. Восстания, 57/1, в том числе проектные работы</t>
  </si>
  <si>
    <t>Завершение строительства ГУ "Республиканский спортивный  реабилитационно-восстановительный центр инвалидов",  расположенного по адресу г. Тирасполь,                                                                                    ул. Ленина,1/3, в том числе проектные работы (в т. ч. кредиторская задолженность 2019 года в сумме 5 655 рублей)</t>
  </si>
  <si>
    <t>Создание Центрального Екатерининского парка по ул. 25 Октября (от ул. Шевченко до                                                          пер. Бочковского) и строительство уличной городской звукофикации, в том числе проектные работы</t>
  </si>
  <si>
    <t>Завершение строительства (2-й этап-реконструкция) специализированного учреждения МСКОУ № 2, ул. К. Либкнехта, 144а, г. Тирасполь, в том числе проектные работы</t>
  </si>
  <si>
    <t>Благоустройство прилегающей территории к поликлинике № 5 ГУ "Тираспольский клинический центр амбулаторно-поликлинической помощи" по адресу г. Тирасполь,                                                            ул. Шевченко, 81/10</t>
  </si>
  <si>
    <r>
      <t xml:space="preserve">Завершение работ по реконструкции  помещения в здании, расположенном по адресу                                                                                                 г. Бендеры, ул. Первомайская, 49, с целью создания центра спортивной подготовки для людей с ограниченными физическими возможностями, в том числе проектные работы </t>
    </r>
    <r>
      <rPr>
        <b/>
        <sz val="11.5"/>
        <rFont val="Times New Roman"/>
        <family val="1"/>
        <charset val="204"/>
      </rPr>
      <t>(кредиторская задолженность за 2019 г.)</t>
    </r>
  </si>
  <si>
    <t xml:space="preserve">Завершение работ по реконструкции  помещения в здании, расположенном по адресу                                                                                                 г. Бендеры, ул. Первомайская, 49, с целью создания центра спортивной подготовки для людей с ограниченными физическими возможностями, в том числе проектные работы </t>
  </si>
  <si>
    <t>Аркада-реконструкция центральной части г. Слободзеи, в том числе обустройство пешеходной зоны по ул. Фрунзе с примыканием к Мемориалу Славы в  г. Слободзее</t>
  </si>
  <si>
    <t>Благоустройство прилегающей территории к Дому культуры по ул. 50 лет Октября в                                                                  г. Слободзее</t>
  </si>
  <si>
    <t>Завершение строительства 2-этажной казармы на 200 человек, военный городок № 4,                                                           г. Тирасполь, в том числе проектные работы</t>
  </si>
  <si>
    <t>Реконструкция автономной газовой котельной воспитательного учреждения, Каменский район, с. Александровка, в том числе проектные работы</t>
  </si>
  <si>
    <t>Завершение капитального ремонта  ГУ "Республиканский центр матери и ребёнка",                                                                г. Тирасполь,  ул. 1 Мая, 58, в том числе проектные работы</t>
  </si>
  <si>
    <t>Капитальный ремонт кровли ГУ "Республиканский госпиталь инвалидов ВОВ", приемное отделение, консультативно-диагностическое отделение и отделение физиотерапии по адресу                                                                          г. Тирасполь, ул. Юности, 33</t>
  </si>
  <si>
    <t>Завершение работ по капитальному ремонту педиатрического стационара ГУ "Бендерский центр матери и ребенка"  по адресу г. Бендеры, ул. Протягайловская, 6, в том числе благоустройство прилегающей территории</t>
  </si>
  <si>
    <r>
      <t xml:space="preserve">Капитальный ремонт педиатрического стационара ГУ "Бендерский центр матери и ребенка" по адресу г. Бендеры,  ул. Протягайловская, 6, в том числе проектные работы </t>
    </r>
    <r>
      <rPr>
        <b/>
        <sz val="11.5"/>
        <rFont val="Times New Roman"/>
        <family val="1"/>
        <charset val="204"/>
      </rPr>
      <t>(кредиторская задолженость за 2019 г.)</t>
    </r>
  </si>
  <si>
    <r>
      <t xml:space="preserve">Капитальный ремонт внутрибольничных дорог ГУЗ «Днестровская городская больница» по адресу г. Днестровск, ул. Терпиловского, 1 </t>
    </r>
    <r>
      <rPr>
        <b/>
        <sz val="11.5"/>
        <rFont val="Times New Roman"/>
        <family val="1"/>
        <charset val="204"/>
      </rPr>
      <t>(кредиторская задолженость за 2019 г.)</t>
    </r>
  </si>
  <si>
    <t xml:space="preserve">Капитальный ремонт прачечной ГУ "Республиканская туберкулезная больница", адресу                                                              г. Бендеры, ул. Б. Восстания,148, в том числе проектные работы </t>
  </si>
  <si>
    <r>
      <t xml:space="preserve">Капитальный ремонт кровли в  ГОУСПО "Тираспольский аграрно-технический колледж                                                                                               им. М. В. Фрунзе" </t>
    </r>
    <r>
      <rPr>
        <b/>
        <sz val="11.5"/>
        <rFont val="Times New Roman"/>
        <family val="1"/>
        <charset val="204"/>
      </rPr>
      <t>(кредиторская задолженность за 2019 г.)</t>
    </r>
  </si>
  <si>
    <t>Капитальный ремонт ГОУ "Республиканский кадетский корпус им. светлейшего князя                                                            Г. А. Потёмкина-Таврического" МВД ПМР</t>
  </si>
  <si>
    <t>Капитальный ремонт санитарных узлов СОООЗТ в ГОУ "РУВК им.  А. С. Макаренко"                                                                                            МВД ПМР,  г.Тирасполь, ул. Заречная, 46</t>
  </si>
  <si>
    <t>Капитальный ремонт здания МОУ "Тираспольская гуманитарно-математическая гимназия",                                                                                    г. Тирасполь,  пер. Бочковского, 2,  в том числе проектные работы</t>
  </si>
  <si>
    <r>
      <t xml:space="preserve">Капитальный ремонт по объекту МОУ "Бендерская гимназия № 1", в г. Бендеры,                                                                  ул. Шестакова, 27 </t>
    </r>
    <r>
      <rPr>
        <b/>
        <sz val="11.5"/>
        <rFont val="Times New Roman"/>
        <family val="1"/>
        <charset val="204"/>
      </rPr>
      <t>(кредиторская задолженность за 2019 г.)</t>
    </r>
  </si>
  <si>
    <t>Капитальный ремонт по объекту бассейн "Дельфин", ул. Горького, 9а</t>
  </si>
  <si>
    <t>Капитальный ремонт детского сада комбинированного вида "Красная шапочка",                                                                                    г. Дубоссары, ул. Ленина,157</t>
  </si>
  <si>
    <t xml:space="preserve">Капитальный ремонт детского сада общеразвивающего вида "Колобок", с. Кр. Виноградарь,                                                                                      ул. Советская, в том числе проектные работы </t>
  </si>
  <si>
    <t>Капитальный ремонт МОУ "Рыбницкая средняя общеобразовательная школа-интернат",                                                                  ул. Маяковского, 41</t>
  </si>
  <si>
    <t xml:space="preserve">Капитальный ремонт ГУ ГКЦ "Дворец Республики", г. Тирасполь,  ул. 25 Октября, 96 </t>
  </si>
  <si>
    <t>Замена оконных блоков и ремонт санузлов в здании прокуратуры г. Слободзеи по адресу                                                                                         г. Слободзея, ул. Фрунзе, 27</t>
  </si>
  <si>
    <t>Капитальный ремонт здания Управления Следственного комитета ПМР по адресу                                                                                                  г. Тирасполь, пер. 8 Марта</t>
  </si>
  <si>
    <t>Капитальный ремонт здания Центральной избирательной комисии ПМР по адресу                                                                                                    г. Тирасполь, ул. Шевченко, 12в</t>
  </si>
  <si>
    <t>Капитальный ремонт кровли здания ГС управления документацией и архивами ПМР, расположенной по адресу г. Тирасполь, ул. Текстильщиков, 36, в том числе проектные работы</t>
  </si>
  <si>
    <t>Министерство финансов Приднестровской Молдавской Республики, полное исполнение договорных обязательств 2019 года (240 120)</t>
  </si>
  <si>
    <t>Протезирование льготной категории граждан (за исключением зубопротезирования)                                                                                                 (статья 111 054)</t>
  </si>
  <si>
    <t>Погашение кредиторской задолженности по состоянию на 01.01.2020 года и полное исполнение договорных обязательств  2019 года по протезированию льготной категории граждан (за исключением зубопротезирования)                                                                                                                                                  (статья 111 054)</t>
  </si>
  <si>
    <t>Содержание автотранспорта в лечебных учреждениях республики, оказывающих скорую медицинскую помощь, специализированных лечебных учреждениях (республиканские туберкулезная и психиатрическая больницы, Центр по профилактике и борьбе со СПИДом и инфекционными заболеваниями, комиссии врачебной экспертизы жизнеспособности)                                                                                                                      (статья 110 350)</t>
  </si>
  <si>
    <t>Протезирование льготной категории граждан (за исключением зубопротезирования)                                                                                                  (статья 111 054)</t>
  </si>
  <si>
    <t>Погашение кредиторской задолженности по состоянию на 01.01.2020 года и полное исполнение договорных обязательств   2019 года на приобретение  оборудования, предметов длительного пользования и специализированного медицинского автотранспорта                                                                                                                   (статья 240 120)</t>
  </si>
  <si>
    <t>Приобретение оборудования для ФАПов ГУ "Дубоссарская центральная районная больница"                                                                         (подстатья 240120)</t>
  </si>
  <si>
    <t>Приобретение оборудования для ФАПов ГУ "Рыбницкая центральная районная больница"                                                                            (подстатья 240120)</t>
  </si>
  <si>
    <t>Приобретение оборудования для оснащения пищеблока ГУ "Бендерский центр матери и ребенка"                                                                                                           (подстатья 240120)</t>
  </si>
  <si>
    <t>Плита эл. 4-конф. без духовки</t>
  </si>
  <si>
    <t>Приобретение, монтаж и наладка осветительного и звукового оборудования, изготовление одежды сцены Большого зала ГУ ГКЦ "Дворец Республики", г. Тирасполь, ул. 25 Октября, 96</t>
  </si>
  <si>
    <t>Приложение № 17</t>
  </si>
  <si>
    <t>Изготовление, поставка и монтаж жалюзи в Малом зале ГУ ГКЦ "Дворец Республики",                                                                                                              г. Тирасполь, ул. 25 Октября, 96</t>
  </si>
  <si>
    <t>Секретно</t>
  </si>
  <si>
    <r>
      <t xml:space="preserve">Капитальный ремонт Каменского районного </t>
    </r>
    <r>
      <rPr>
        <sz val="11.5"/>
        <color rgb="FFFF0000"/>
        <rFont val="Times New Roman"/>
        <family val="1"/>
        <charset val="204"/>
      </rPr>
      <t>Д</t>
    </r>
    <r>
      <rPr>
        <sz val="11.5"/>
        <rFont val="Times New Roman"/>
        <family val="1"/>
        <charset val="204"/>
      </rPr>
      <t>ома культуры, г. Каменка,                                                      ул. Кирова, 266</t>
    </r>
  </si>
  <si>
    <r>
      <t xml:space="preserve">Государственная администрация города Тирасполя </t>
    </r>
    <r>
      <rPr>
        <b/>
        <sz val="11.5"/>
        <color rgb="FFFF0000"/>
        <rFont val="Times New Roman"/>
        <family val="1"/>
        <charset val="204"/>
      </rPr>
      <t>и г. Днестровска</t>
    </r>
  </si>
  <si>
    <t>Приобретение мебели для Выставочного павильона, расположенного на территории Центрального Екатерининского парка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</si>
</sst>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b/>
      <u/>
      <sz val="11.5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u/>
      <sz val="11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.5"/>
      <color indexed="10"/>
      <name val="Times New Roman"/>
      <family val="1"/>
      <charset val="204"/>
    </font>
    <font>
      <sz val="11.5"/>
      <color rgb="FFFF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.5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41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3" fontId="8" fillId="5" borderId="0" xfId="1" applyNumberFormat="1" applyFont="1" applyFill="1" applyAlignment="1">
      <alignment horizontal="right"/>
    </xf>
    <xf numFmtId="0" fontId="8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49" fontId="2" fillId="0" borderId="5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8" fillId="0" borderId="0" xfId="0" applyFont="1" applyAlignment="1">
      <alignment horizontal="right" wrapText="1"/>
    </xf>
    <xf numFmtId="0" fontId="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5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right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00"/>
  <sheetViews>
    <sheetView tabSelected="1" view="pageBreakPreview" zoomScale="75" zoomScaleNormal="80" zoomScaleSheetLayoutView="75" workbookViewId="0">
      <pane ySplit="22" topLeftCell="A42" activePane="bottomLeft" state="frozen"/>
      <selection pane="bottomLeft" activeCell="B42" sqref="A22:E174"/>
    </sheetView>
  </sheetViews>
  <sheetFormatPr defaultColWidth="8.85546875" defaultRowHeight="15" x14ac:dyDescent="0.25"/>
  <cols>
    <col min="1" max="1" width="5.42578125" style="27" customWidth="1"/>
    <col min="2" max="2" width="51.7109375" style="27" customWidth="1"/>
    <col min="3" max="3" width="8.42578125" style="27" customWidth="1"/>
    <col min="4" max="4" width="24.140625" style="27" customWidth="1"/>
    <col min="5" max="5" width="12.5703125" style="27" customWidth="1"/>
    <col min="6" max="16384" width="8.85546875" style="27"/>
  </cols>
  <sheetData>
    <row r="1" spans="1:15" hidden="1" x14ac:dyDescent="0.25">
      <c r="E1" s="24" t="s">
        <v>282</v>
      </c>
    </row>
    <row r="2" spans="1:15" hidden="1" x14ac:dyDescent="0.25">
      <c r="E2" s="24" t="s">
        <v>281</v>
      </c>
    </row>
    <row r="3" spans="1:15" hidden="1" x14ac:dyDescent="0.25">
      <c r="E3" s="24" t="s">
        <v>265</v>
      </c>
    </row>
    <row r="4" spans="1:15" hidden="1" x14ac:dyDescent="0.25">
      <c r="E4" s="24" t="s">
        <v>266</v>
      </c>
    </row>
    <row r="5" spans="1:15" ht="15.75" hidden="1" x14ac:dyDescent="0.25">
      <c r="A5" s="23"/>
      <c r="B5" s="23"/>
      <c r="C5" s="23"/>
      <c r="D5" s="23"/>
      <c r="E5" s="24" t="s">
        <v>267</v>
      </c>
    </row>
    <row r="6" spans="1:15" ht="15.75" hidden="1" x14ac:dyDescent="0.25">
      <c r="A6" s="22"/>
      <c r="B6" s="22"/>
      <c r="C6" s="22"/>
      <c r="D6" s="22"/>
      <c r="E6" s="22"/>
    </row>
    <row r="7" spans="1:15" ht="15" hidden="1" customHeight="1" x14ac:dyDescent="0.25">
      <c r="B7" s="25"/>
      <c r="C7" s="135" t="s">
        <v>252</v>
      </c>
      <c r="D7" s="135"/>
      <c r="E7" s="135"/>
    </row>
    <row r="8" spans="1:15" hidden="1" x14ac:dyDescent="0.25">
      <c r="B8" s="135" t="s">
        <v>253</v>
      </c>
      <c r="C8" s="135"/>
      <c r="D8" s="135"/>
      <c r="E8" s="135"/>
    </row>
    <row r="9" spans="1:15" hidden="1" x14ac:dyDescent="0.25">
      <c r="B9" s="135" t="s">
        <v>254</v>
      </c>
      <c r="C9" s="135"/>
      <c r="D9" s="135"/>
      <c r="E9" s="135"/>
    </row>
    <row r="10" spans="1:15" ht="15.75" x14ac:dyDescent="0.25">
      <c r="B10" s="66"/>
      <c r="C10" s="66"/>
      <c r="D10" s="66"/>
      <c r="E10" s="70" t="s">
        <v>344</v>
      </c>
      <c r="F10" s="69"/>
      <c r="G10" s="69"/>
      <c r="H10" s="69"/>
      <c r="I10" s="69"/>
      <c r="J10" s="69"/>
      <c r="K10" s="69"/>
      <c r="L10" s="69"/>
      <c r="M10" s="69"/>
      <c r="N10" s="69"/>
    </row>
    <row r="11" spans="1:15" ht="15.75" x14ac:dyDescent="0.25">
      <c r="B11" s="66"/>
      <c r="C11" s="66"/>
      <c r="D11" s="66"/>
      <c r="E11" s="70" t="str">
        <f>E17</f>
        <v xml:space="preserve">к Закону Приднестровской Молдавской Республики </v>
      </c>
      <c r="F11" s="69"/>
      <c r="G11" s="69"/>
      <c r="H11" s="69"/>
      <c r="I11" s="69"/>
      <c r="J11" s="69"/>
      <c r="K11" s="69"/>
      <c r="L11" s="69"/>
      <c r="M11" s="69"/>
      <c r="N11" s="69"/>
    </row>
    <row r="12" spans="1:15" ht="15.75" x14ac:dyDescent="0.25">
      <c r="B12" s="66"/>
      <c r="C12" s="66"/>
      <c r="D12" s="66"/>
      <c r="E12" s="70" t="s">
        <v>288</v>
      </c>
      <c r="F12" s="69"/>
      <c r="G12" s="69"/>
      <c r="H12" s="69"/>
      <c r="I12" s="69"/>
      <c r="J12" s="69"/>
      <c r="K12" s="69"/>
      <c r="L12" s="69"/>
      <c r="M12" s="69"/>
      <c r="N12" s="69"/>
    </row>
    <row r="13" spans="1:15" ht="15.75" x14ac:dyDescent="0.25">
      <c r="B13" s="66"/>
      <c r="C13" s="66"/>
      <c r="D13" s="66"/>
      <c r="E13" s="70" t="s">
        <v>289</v>
      </c>
      <c r="F13" s="69"/>
      <c r="G13" s="69"/>
      <c r="H13" s="69"/>
      <c r="I13" s="69"/>
      <c r="J13" s="69"/>
      <c r="K13" s="69"/>
      <c r="L13" s="69"/>
      <c r="M13" s="69"/>
      <c r="N13" s="69"/>
    </row>
    <row r="14" spans="1:15" ht="15.75" x14ac:dyDescent="0.25">
      <c r="B14" s="66"/>
      <c r="C14" s="66"/>
      <c r="D14" s="66"/>
      <c r="E14" s="70" t="str">
        <f>E18</f>
        <v>"О республиканском бюджете на 2020 год"</v>
      </c>
      <c r="F14" s="69"/>
      <c r="G14" s="69"/>
      <c r="H14" s="69"/>
      <c r="I14" s="69"/>
      <c r="J14" s="69"/>
      <c r="K14" s="69"/>
      <c r="L14" s="69"/>
      <c r="M14" s="69"/>
      <c r="N14" s="69"/>
    </row>
    <row r="15" spans="1:15" x14ac:dyDescent="0.25">
      <c r="B15" s="66"/>
      <c r="C15" s="66"/>
      <c r="D15" s="66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1:15" ht="15.75" x14ac:dyDescent="0.25">
      <c r="B16" s="66"/>
      <c r="C16" s="66"/>
      <c r="E16" s="72" t="s">
        <v>291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15.75" x14ac:dyDescent="0.25">
      <c r="B17" s="66"/>
      <c r="C17" s="66"/>
      <c r="E17" s="72" t="s">
        <v>290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ht="15.75" x14ac:dyDescent="0.25">
      <c r="B18" s="66"/>
      <c r="C18" s="66"/>
      <c r="E18" s="72" t="s">
        <v>267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5" x14ac:dyDescent="0.25">
      <c r="A19" s="15"/>
      <c r="B19" s="15"/>
      <c r="C19" s="15"/>
      <c r="D19" s="15"/>
      <c r="E19" s="15"/>
    </row>
    <row r="20" spans="1:15" ht="28.5" customHeight="1" x14ac:dyDescent="0.25">
      <c r="A20" s="80" t="s">
        <v>255</v>
      </c>
      <c r="B20" s="80"/>
      <c r="C20" s="80"/>
      <c r="D20" s="80"/>
      <c r="E20" s="80"/>
    </row>
    <row r="21" spans="1:15" ht="15.75" thickBot="1" x14ac:dyDescent="0.3">
      <c r="A21" s="81"/>
      <c r="B21" s="81"/>
      <c r="C21" s="81"/>
      <c r="D21" s="81"/>
      <c r="E21" s="81"/>
    </row>
    <row r="22" spans="1:15" s="28" customFormat="1" ht="28.5" x14ac:dyDescent="0.25">
      <c r="A22" s="34" t="s">
        <v>121</v>
      </c>
      <c r="B22" s="82" t="s">
        <v>122</v>
      </c>
      <c r="C22" s="83"/>
      <c r="D22" s="84"/>
      <c r="E22" s="35" t="s">
        <v>123</v>
      </c>
    </row>
    <row r="23" spans="1:15" s="28" customFormat="1" ht="15.75" x14ac:dyDescent="0.25">
      <c r="A23" s="85" t="s">
        <v>283</v>
      </c>
      <c r="B23" s="86"/>
      <c r="C23" s="86"/>
      <c r="D23" s="86"/>
      <c r="E23" s="87"/>
    </row>
    <row r="24" spans="1:15" s="29" customFormat="1" ht="32.450000000000003" customHeight="1" x14ac:dyDescent="0.25">
      <c r="A24" s="88" t="s">
        <v>244</v>
      </c>
      <c r="B24" s="89"/>
      <c r="C24" s="89"/>
      <c r="D24" s="89"/>
      <c r="E24" s="90"/>
    </row>
    <row r="25" spans="1:15" s="29" customFormat="1" ht="15" customHeight="1" x14ac:dyDescent="0.25">
      <c r="A25" s="94" t="s">
        <v>125</v>
      </c>
      <c r="B25" s="92"/>
      <c r="C25" s="92"/>
      <c r="D25" s="92"/>
      <c r="E25" s="93"/>
    </row>
    <row r="26" spans="1:15" s="29" customFormat="1" ht="31.9" customHeight="1" x14ac:dyDescent="0.25">
      <c r="A26" s="1">
        <v>1</v>
      </c>
      <c r="B26" s="95" t="s">
        <v>192</v>
      </c>
      <c r="C26" s="95"/>
      <c r="D26" s="95"/>
      <c r="E26" s="2">
        <f>4479782-4180586</f>
        <v>299196</v>
      </c>
    </row>
    <row r="27" spans="1:15" s="29" customFormat="1" x14ac:dyDescent="0.25">
      <c r="A27" s="1"/>
      <c r="B27" s="77" t="s">
        <v>124</v>
      </c>
      <c r="C27" s="77"/>
      <c r="D27" s="77"/>
      <c r="E27" s="3">
        <f>SUM(E26)</f>
        <v>299196</v>
      </c>
    </row>
    <row r="28" spans="1:15" s="29" customFormat="1" x14ac:dyDescent="0.25">
      <c r="A28" s="1"/>
      <c r="B28" s="77" t="s">
        <v>126</v>
      </c>
      <c r="C28" s="77"/>
      <c r="D28" s="77"/>
      <c r="E28" s="3">
        <f>E27</f>
        <v>299196</v>
      </c>
    </row>
    <row r="29" spans="1:15" s="29" customFormat="1" ht="32.450000000000003" customHeight="1" x14ac:dyDescent="0.25">
      <c r="A29" s="88" t="s">
        <v>127</v>
      </c>
      <c r="B29" s="89"/>
      <c r="C29" s="89"/>
      <c r="D29" s="89"/>
      <c r="E29" s="90"/>
    </row>
    <row r="30" spans="1:15" s="29" customFormat="1" ht="15" customHeight="1" x14ac:dyDescent="0.25">
      <c r="A30" s="94" t="s">
        <v>128</v>
      </c>
      <c r="B30" s="92"/>
      <c r="C30" s="92"/>
      <c r="D30" s="92"/>
      <c r="E30" s="93"/>
    </row>
    <row r="31" spans="1:15" s="29" customFormat="1" x14ac:dyDescent="0.25">
      <c r="A31" s="1">
        <v>1</v>
      </c>
      <c r="B31" s="96" t="s">
        <v>346</v>
      </c>
      <c r="C31" s="96"/>
      <c r="D31" s="96"/>
      <c r="E31" s="2">
        <f>3000000-970000</f>
        <v>2030000</v>
      </c>
    </row>
    <row r="32" spans="1:15" s="29" customFormat="1" x14ac:dyDescent="0.25">
      <c r="A32" s="1"/>
      <c r="B32" s="77" t="s">
        <v>124</v>
      </c>
      <c r="C32" s="77"/>
      <c r="D32" s="77"/>
      <c r="E32" s="3">
        <f>E31</f>
        <v>2030000</v>
      </c>
    </row>
    <row r="33" spans="1:5" s="29" customFormat="1" ht="15" customHeight="1" x14ac:dyDescent="0.25">
      <c r="A33" s="94" t="s">
        <v>129</v>
      </c>
      <c r="B33" s="92"/>
      <c r="C33" s="92"/>
      <c r="D33" s="92"/>
      <c r="E33" s="93"/>
    </row>
    <row r="34" spans="1:5" s="29" customFormat="1" ht="46.15" customHeight="1" x14ac:dyDescent="0.25">
      <c r="A34" s="1">
        <v>1</v>
      </c>
      <c r="B34" s="91" t="s">
        <v>130</v>
      </c>
      <c r="C34" s="91"/>
      <c r="D34" s="91"/>
      <c r="E34" s="2">
        <v>470000</v>
      </c>
    </row>
    <row r="35" spans="1:5" s="29" customFormat="1" x14ac:dyDescent="0.25">
      <c r="A35" s="1"/>
      <c r="B35" s="77" t="s">
        <v>124</v>
      </c>
      <c r="C35" s="77"/>
      <c r="D35" s="77"/>
      <c r="E35" s="3">
        <f>E34</f>
        <v>470000</v>
      </c>
    </row>
    <row r="36" spans="1:5" s="29" customFormat="1" ht="15" customHeight="1" x14ac:dyDescent="0.25">
      <c r="A36" s="94" t="s">
        <v>131</v>
      </c>
      <c r="B36" s="92"/>
      <c r="C36" s="92"/>
      <c r="D36" s="92"/>
      <c r="E36" s="93"/>
    </row>
    <row r="37" spans="1:5" s="29" customFormat="1" ht="15" customHeight="1" x14ac:dyDescent="0.25">
      <c r="A37" s="1">
        <v>1</v>
      </c>
      <c r="B37" s="91" t="s">
        <v>166</v>
      </c>
      <c r="C37" s="91"/>
      <c r="D37" s="91"/>
      <c r="E37" s="2">
        <f>4000000-3611819</f>
        <v>388181</v>
      </c>
    </row>
    <row r="38" spans="1:5" s="29" customFormat="1" x14ac:dyDescent="0.25">
      <c r="A38" s="1"/>
      <c r="B38" s="77" t="s">
        <v>124</v>
      </c>
      <c r="C38" s="77"/>
      <c r="D38" s="77"/>
      <c r="E38" s="3">
        <f>SUM(E37)</f>
        <v>388181</v>
      </c>
    </row>
    <row r="39" spans="1:5" s="29" customFormat="1" ht="15" customHeight="1" x14ac:dyDescent="0.25">
      <c r="A39" s="94" t="s">
        <v>29</v>
      </c>
      <c r="B39" s="92"/>
      <c r="C39" s="92"/>
      <c r="D39" s="92"/>
      <c r="E39" s="93"/>
    </row>
    <row r="40" spans="1:5" s="29" customFormat="1" ht="34.5" customHeight="1" x14ac:dyDescent="0.25">
      <c r="A40" s="1">
        <v>1</v>
      </c>
      <c r="B40" s="91" t="s">
        <v>292</v>
      </c>
      <c r="C40" s="91"/>
      <c r="D40" s="91"/>
      <c r="E40" s="2">
        <v>1210410</v>
      </c>
    </row>
    <row r="41" spans="1:5" s="29" customFormat="1" ht="34.5" customHeight="1" x14ac:dyDescent="0.25">
      <c r="A41" s="1">
        <v>2</v>
      </c>
      <c r="B41" s="91" t="s">
        <v>349</v>
      </c>
      <c r="C41" s="91"/>
      <c r="D41" s="91"/>
      <c r="E41" s="2">
        <v>200000</v>
      </c>
    </row>
    <row r="42" spans="1:5" s="29" customFormat="1" x14ac:dyDescent="0.25">
      <c r="A42" s="1"/>
      <c r="B42" s="77" t="s">
        <v>124</v>
      </c>
      <c r="C42" s="77"/>
      <c r="D42" s="77"/>
      <c r="E42" s="3">
        <f>E40+E41</f>
        <v>1410410</v>
      </c>
    </row>
    <row r="43" spans="1:5" s="29" customFormat="1" ht="15" customHeight="1" x14ac:dyDescent="0.25">
      <c r="A43" s="1"/>
      <c r="B43" s="92" t="s">
        <v>34</v>
      </c>
      <c r="C43" s="92"/>
      <c r="D43" s="92"/>
      <c r="E43" s="93"/>
    </row>
    <row r="44" spans="1:5" s="29" customFormat="1" ht="28.9" customHeight="1" x14ac:dyDescent="0.25">
      <c r="A44" s="1">
        <v>1</v>
      </c>
      <c r="B44" s="91" t="s">
        <v>195</v>
      </c>
      <c r="C44" s="91"/>
      <c r="D44" s="91"/>
      <c r="E44" s="2">
        <v>288929</v>
      </c>
    </row>
    <row r="45" spans="1:5" s="29" customFormat="1" ht="30" customHeight="1" x14ac:dyDescent="0.25">
      <c r="A45" s="1">
        <v>2</v>
      </c>
      <c r="B45" s="91" t="s">
        <v>293</v>
      </c>
      <c r="C45" s="91"/>
      <c r="D45" s="91"/>
      <c r="E45" s="2">
        <v>944218</v>
      </c>
    </row>
    <row r="46" spans="1:5" s="29" customFormat="1" x14ac:dyDescent="0.25">
      <c r="A46" s="1"/>
      <c r="B46" s="77" t="s">
        <v>124</v>
      </c>
      <c r="C46" s="77"/>
      <c r="D46" s="77"/>
      <c r="E46" s="3">
        <f>SUM(E44:E45)</f>
        <v>1233147</v>
      </c>
    </row>
    <row r="47" spans="1:5" s="29" customFormat="1" ht="15" customHeight="1" x14ac:dyDescent="0.25">
      <c r="A47" s="94" t="s">
        <v>193</v>
      </c>
      <c r="B47" s="92"/>
      <c r="C47" s="92"/>
      <c r="D47" s="92"/>
      <c r="E47" s="93"/>
    </row>
    <row r="48" spans="1:5" s="29" customFormat="1" ht="49.15" customHeight="1" x14ac:dyDescent="0.25">
      <c r="A48" s="1">
        <v>1</v>
      </c>
      <c r="B48" s="91" t="s">
        <v>294</v>
      </c>
      <c r="C48" s="91"/>
      <c r="D48" s="91"/>
      <c r="E48" s="2">
        <v>180000</v>
      </c>
    </row>
    <row r="49" spans="1:5" s="29" customFormat="1" ht="46.15" customHeight="1" x14ac:dyDescent="0.25">
      <c r="A49" s="1">
        <v>2</v>
      </c>
      <c r="B49" s="91" t="s">
        <v>295</v>
      </c>
      <c r="C49" s="91"/>
      <c r="D49" s="91"/>
      <c r="E49" s="2">
        <f>1014074-97728+121085</f>
        <v>1037431</v>
      </c>
    </row>
    <row r="50" spans="1:5" s="29" customFormat="1" x14ac:dyDescent="0.25">
      <c r="A50" s="1"/>
      <c r="B50" s="77" t="s">
        <v>124</v>
      </c>
      <c r="C50" s="77"/>
      <c r="D50" s="77"/>
      <c r="E50" s="3">
        <f>SUM(E48:E49)</f>
        <v>1217431</v>
      </c>
    </row>
    <row r="51" spans="1:5" s="29" customFormat="1" ht="15" customHeight="1" x14ac:dyDescent="0.25">
      <c r="A51" s="94" t="s">
        <v>46</v>
      </c>
      <c r="B51" s="92"/>
      <c r="C51" s="92"/>
      <c r="D51" s="92"/>
      <c r="E51" s="93"/>
    </row>
    <row r="52" spans="1:5" s="29" customFormat="1" ht="34.9" customHeight="1" x14ac:dyDescent="0.25">
      <c r="A52" s="1">
        <v>1</v>
      </c>
      <c r="B52" s="91" t="s">
        <v>223</v>
      </c>
      <c r="C52" s="91"/>
      <c r="D52" s="91"/>
      <c r="E52" s="2">
        <v>18282</v>
      </c>
    </row>
    <row r="53" spans="1:5" s="29" customFormat="1" x14ac:dyDescent="0.25">
      <c r="A53" s="1"/>
      <c r="B53" s="77" t="s">
        <v>124</v>
      </c>
      <c r="C53" s="77"/>
      <c r="D53" s="77"/>
      <c r="E53" s="3">
        <f>E52</f>
        <v>18282</v>
      </c>
    </row>
    <row r="54" spans="1:5" s="29" customFormat="1" ht="15" customHeight="1" x14ac:dyDescent="0.25">
      <c r="A54" s="94" t="s">
        <v>167</v>
      </c>
      <c r="B54" s="92"/>
      <c r="C54" s="92"/>
      <c r="D54" s="92"/>
      <c r="E54" s="93"/>
    </row>
    <row r="55" spans="1:5" s="29" customFormat="1" ht="31.5" customHeight="1" x14ac:dyDescent="0.25">
      <c r="A55" s="1">
        <v>1</v>
      </c>
      <c r="B55" s="91" t="s">
        <v>194</v>
      </c>
      <c r="C55" s="91"/>
      <c r="D55" s="91"/>
      <c r="E55" s="2">
        <v>2995892</v>
      </c>
    </row>
    <row r="56" spans="1:5" s="29" customFormat="1" x14ac:dyDescent="0.25">
      <c r="A56" s="1"/>
      <c r="B56" s="77" t="s">
        <v>124</v>
      </c>
      <c r="C56" s="77"/>
      <c r="D56" s="77"/>
      <c r="E56" s="3">
        <f>E55</f>
        <v>2995892</v>
      </c>
    </row>
    <row r="57" spans="1:5" s="29" customFormat="1" x14ac:dyDescent="0.25">
      <c r="A57" s="94" t="s">
        <v>125</v>
      </c>
      <c r="B57" s="92"/>
      <c r="C57" s="92"/>
      <c r="D57" s="92"/>
      <c r="E57" s="93"/>
    </row>
    <row r="58" spans="1:5" s="29" customFormat="1" x14ac:dyDescent="0.25">
      <c r="A58" s="1">
        <v>1</v>
      </c>
      <c r="B58" s="91" t="s">
        <v>296</v>
      </c>
      <c r="C58" s="91"/>
      <c r="D58" s="91"/>
      <c r="E58" s="2">
        <f>894574+47944</f>
        <v>942518</v>
      </c>
    </row>
    <row r="59" spans="1:5" s="29" customFormat="1" x14ac:dyDescent="0.25">
      <c r="A59" s="1"/>
      <c r="B59" s="77" t="s">
        <v>124</v>
      </c>
      <c r="C59" s="77"/>
      <c r="D59" s="77"/>
      <c r="E59" s="3">
        <f>E58</f>
        <v>942518</v>
      </c>
    </row>
    <row r="60" spans="1:5" s="29" customFormat="1" x14ac:dyDescent="0.25">
      <c r="A60" s="1"/>
      <c r="B60" s="77" t="s">
        <v>169</v>
      </c>
      <c r="C60" s="77"/>
      <c r="D60" s="77"/>
      <c r="E60" s="3">
        <f>E32+E35+E42+E38+E46+E50+E352+E53+E56+E59</f>
        <v>11004589</v>
      </c>
    </row>
    <row r="61" spans="1:5" s="29" customFormat="1" ht="42.75" customHeight="1" x14ac:dyDescent="0.25">
      <c r="A61" s="88" t="s">
        <v>297</v>
      </c>
      <c r="B61" s="89"/>
      <c r="C61" s="89"/>
      <c r="D61" s="89"/>
      <c r="E61" s="90"/>
    </row>
    <row r="62" spans="1:5" s="29" customFormat="1" ht="15" customHeight="1" x14ac:dyDescent="0.25">
      <c r="A62" s="94" t="s">
        <v>170</v>
      </c>
      <c r="B62" s="92"/>
      <c r="C62" s="92"/>
      <c r="D62" s="92"/>
      <c r="E62" s="93"/>
    </row>
    <row r="63" spans="1:5" s="29" customFormat="1" ht="46.15" customHeight="1" x14ac:dyDescent="0.25">
      <c r="A63" s="36">
        <v>1</v>
      </c>
      <c r="B63" s="97" t="s">
        <v>171</v>
      </c>
      <c r="C63" s="97"/>
      <c r="D63" s="97"/>
      <c r="E63" s="37">
        <f>4401606+2249867+6893174</f>
        <v>13544647</v>
      </c>
    </row>
    <row r="64" spans="1:5" s="29" customFormat="1" ht="33.6" customHeight="1" x14ac:dyDescent="0.25">
      <c r="A64" s="36">
        <v>2</v>
      </c>
      <c r="B64" s="97" t="s">
        <v>298</v>
      </c>
      <c r="C64" s="97"/>
      <c r="D64" s="97"/>
      <c r="E64" s="37">
        <f>2000000-1091225-16613</f>
        <v>892162</v>
      </c>
    </row>
    <row r="65" spans="1:244" s="29" customFormat="1" ht="28.9" customHeight="1" x14ac:dyDescent="0.25">
      <c r="A65" s="36">
        <v>3</v>
      </c>
      <c r="B65" s="91" t="s">
        <v>196</v>
      </c>
      <c r="C65" s="91"/>
      <c r="D65" s="91"/>
      <c r="E65" s="2">
        <v>195000</v>
      </c>
    </row>
    <row r="66" spans="1:244" s="29" customFormat="1" ht="60" customHeight="1" x14ac:dyDescent="0.25">
      <c r="A66" s="36">
        <v>4</v>
      </c>
      <c r="B66" s="97" t="s">
        <v>299</v>
      </c>
      <c r="C66" s="97"/>
      <c r="D66" s="97"/>
      <c r="E66" s="37">
        <f>2000000-305769+2275769</f>
        <v>3970000</v>
      </c>
    </row>
    <row r="67" spans="1:244" s="29" customFormat="1" ht="43.9" customHeight="1" x14ac:dyDescent="0.25">
      <c r="A67" s="36">
        <v>5</v>
      </c>
      <c r="B67" s="97" t="s">
        <v>300</v>
      </c>
      <c r="C67" s="97"/>
      <c r="D67" s="97"/>
      <c r="E67" s="37">
        <f>2400000+1000000-1000000-2144602</f>
        <v>255398</v>
      </c>
    </row>
    <row r="68" spans="1:244" s="29" customFormat="1" ht="33.75" customHeight="1" x14ac:dyDescent="0.25">
      <c r="A68" s="36">
        <v>6</v>
      </c>
      <c r="B68" s="97" t="s">
        <v>172</v>
      </c>
      <c r="C68" s="97"/>
      <c r="D68" s="97"/>
      <c r="E68" s="37">
        <f>1188617-1156515+16613</f>
        <v>48715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5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  <c r="HV68" s="26"/>
      <c r="HW68" s="26"/>
      <c r="HX68" s="26"/>
      <c r="HY68" s="26"/>
      <c r="HZ68" s="26"/>
      <c r="IA68" s="26"/>
      <c r="IB68" s="26"/>
      <c r="IC68" s="26"/>
      <c r="ID68" s="26"/>
      <c r="IE68" s="26"/>
      <c r="IF68" s="26"/>
      <c r="IG68" s="26"/>
      <c r="IH68" s="26"/>
      <c r="II68" s="26"/>
      <c r="IJ68" s="26"/>
    </row>
    <row r="69" spans="1:244" s="29" customFormat="1" ht="31.15" customHeight="1" x14ac:dyDescent="0.25">
      <c r="A69" s="36">
        <v>7</v>
      </c>
      <c r="B69" s="91" t="s">
        <v>301</v>
      </c>
      <c r="C69" s="91"/>
      <c r="D69" s="91"/>
      <c r="E69" s="37">
        <f>673552+295716</f>
        <v>969268</v>
      </c>
    </row>
    <row r="70" spans="1:244" s="29" customFormat="1" ht="38.450000000000003" customHeight="1" x14ac:dyDescent="0.25">
      <c r="A70" s="36">
        <v>8</v>
      </c>
      <c r="B70" s="91" t="s">
        <v>197</v>
      </c>
      <c r="C70" s="91"/>
      <c r="D70" s="91"/>
      <c r="E70" s="37">
        <v>82896</v>
      </c>
    </row>
    <row r="71" spans="1:244" s="29" customFormat="1" ht="34.15" customHeight="1" x14ac:dyDescent="0.25">
      <c r="A71" s="36">
        <v>9</v>
      </c>
      <c r="B71" s="91" t="s">
        <v>174</v>
      </c>
      <c r="C71" s="91"/>
      <c r="D71" s="91"/>
      <c r="E71" s="37">
        <v>185000</v>
      </c>
    </row>
    <row r="72" spans="1:244" s="29" customFormat="1" ht="35.450000000000003" customHeight="1" x14ac:dyDescent="0.25">
      <c r="A72" s="36">
        <v>10</v>
      </c>
      <c r="B72" s="91" t="s">
        <v>175</v>
      </c>
      <c r="C72" s="91"/>
      <c r="D72" s="91"/>
      <c r="E72" s="37">
        <v>335000</v>
      </c>
    </row>
    <row r="73" spans="1:244" s="29" customFormat="1" ht="33.6" customHeight="1" x14ac:dyDescent="0.25">
      <c r="A73" s="36">
        <v>11</v>
      </c>
      <c r="B73" s="91" t="s">
        <v>176</v>
      </c>
      <c r="C73" s="91"/>
      <c r="D73" s="91"/>
      <c r="E73" s="37">
        <v>185000</v>
      </c>
    </row>
    <row r="74" spans="1:244" s="29" customFormat="1" ht="31.9" customHeight="1" x14ac:dyDescent="0.25">
      <c r="A74" s="36">
        <v>12</v>
      </c>
      <c r="B74" s="91" t="s">
        <v>177</v>
      </c>
      <c r="C74" s="91"/>
      <c r="D74" s="91"/>
      <c r="E74" s="37">
        <v>185000</v>
      </c>
    </row>
    <row r="75" spans="1:244" s="29" customFormat="1" ht="31.15" customHeight="1" x14ac:dyDescent="0.25">
      <c r="A75" s="36">
        <v>13</v>
      </c>
      <c r="B75" s="91" t="s">
        <v>178</v>
      </c>
      <c r="C75" s="91"/>
      <c r="D75" s="91"/>
      <c r="E75" s="37">
        <v>185000</v>
      </c>
    </row>
    <row r="76" spans="1:244" s="29" customFormat="1" ht="30" customHeight="1" x14ac:dyDescent="0.25">
      <c r="A76" s="36">
        <v>14</v>
      </c>
      <c r="B76" s="91" t="s">
        <v>302</v>
      </c>
      <c r="C76" s="91"/>
      <c r="D76" s="91"/>
      <c r="E76" s="37">
        <v>829945</v>
      </c>
    </row>
    <row r="77" spans="1:244" s="29" customFormat="1" ht="49.15" customHeight="1" x14ac:dyDescent="0.25">
      <c r="A77" s="36">
        <v>15</v>
      </c>
      <c r="B77" s="95" t="s">
        <v>245</v>
      </c>
      <c r="C77" s="95"/>
      <c r="D77" s="95"/>
      <c r="E77" s="37">
        <v>5702</v>
      </c>
    </row>
    <row r="78" spans="1:244" s="29" customFormat="1" ht="32.450000000000003" customHeight="1" x14ac:dyDescent="0.25">
      <c r="A78" s="36">
        <v>16</v>
      </c>
      <c r="B78" s="95" t="s">
        <v>257</v>
      </c>
      <c r="C78" s="95"/>
      <c r="D78" s="95"/>
      <c r="E78" s="37">
        <v>185000</v>
      </c>
    </row>
    <row r="79" spans="1:244" s="29" customFormat="1" x14ac:dyDescent="0.25">
      <c r="A79" s="1"/>
      <c r="B79" s="77" t="s">
        <v>124</v>
      </c>
      <c r="C79" s="77"/>
      <c r="D79" s="77"/>
      <c r="E79" s="3">
        <f>SUM(E63:E78)</f>
        <v>22053733</v>
      </c>
    </row>
    <row r="80" spans="1:244" s="29" customFormat="1" ht="15" customHeight="1" x14ac:dyDescent="0.25">
      <c r="A80" s="94" t="s">
        <v>57</v>
      </c>
      <c r="B80" s="92"/>
      <c r="C80" s="92"/>
      <c r="D80" s="92"/>
      <c r="E80" s="93"/>
    </row>
    <row r="81" spans="1:5" s="29" customFormat="1" ht="63.6" customHeight="1" x14ac:dyDescent="0.25">
      <c r="A81" s="1">
        <v>1</v>
      </c>
      <c r="B81" s="91" t="s">
        <v>303</v>
      </c>
      <c r="C81" s="91"/>
      <c r="D81" s="91"/>
      <c r="E81" s="2">
        <f>1600000+1718228-199809</f>
        <v>3118419</v>
      </c>
    </row>
    <row r="82" spans="1:5" s="29" customFormat="1" x14ac:dyDescent="0.25">
      <c r="A82" s="1"/>
      <c r="B82" s="77" t="s">
        <v>124</v>
      </c>
      <c r="C82" s="77"/>
      <c r="D82" s="77"/>
      <c r="E82" s="3">
        <f>E81</f>
        <v>3118419</v>
      </c>
    </row>
    <row r="83" spans="1:5" s="29" customFormat="1" ht="15" customHeight="1" x14ac:dyDescent="0.25">
      <c r="A83" s="94" t="s">
        <v>179</v>
      </c>
      <c r="B83" s="92"/>
      <c r="C83" s="92"/>
      <c r="D83" s="92"/>
      <c r="E83" s="93"/>
    </row>
    <row r="84" spans="1:5" s="29" customFormat="1" ht="33" customHeight="1" x14ac:dyDescent="0.25">
      <c r="A84" s="1">
        <v>1</v>
      </c>
      <c r="B84" s="97" t="s">
        <v>173</v>
      </c>
      <c r="C84" s="97"/>
      <c r="D84" s="97"/>
      <c r="E84" s="37">
        <f>154073-154073</f>
        <v>0</v>
      </c>
    </row>
    <row r="85" spans="1:5" s="29" customFormat="1" ht="45.6" customHeight="1" x14ac:dyDescent="0.25">
      <c r="A85" s="1">
        <v>2</v>
      </c>
      <c r="B85" s="97" t="s">
        <v>198</v>
      </c>
      <c r="C85" s="97"/>
      <c r="D85" s="97"/>
      <c r="E85" s="37">
        <f>2000000+1002624</f>
        <v>3002624</v>
      </c>
    </row>
    <row r="86" spans="1:5" s="29" customFormat="1" x14ac:dyDescent="0.25">
      <c r="A86" s="1"/>
      <c r="B86" s="77" t="s">
        <v>124</v>
      </c>
      <c r="C86" s="77"/>
      <c r="D86" s="77"/>
      <c r="E86" s="3">
        <f>SUM(E84:E85)</f>
        <v>3002624</v>
      </c>
    </row>
    <row r="87" spans="1:5" s="29" customFormat="1" ht="15" customHeight="1" x14ac:dyDescent="0.25">
      <c r="A87" s="100" t="s">
        <v>14</v>
      </c>
      <c r="B87" s="101"/>
      <c r="C87" s="101"/>
      <c r="D87" s="101"/>
      <c r="E87" s="102"/>
    </row>
    <row r="88" spans="1:5" s="29" customFormat="1" ht="19.5" customHeight="1" x14ac:dyDescent="0.25">
      <c r="A88" s="1">
        <v>1</v>
      </c>
      <c r="B88" s="91" t="s">
        <v>260</v>
      </c>
      <c r="C88" s="91"/>
      <c r="D88" s="91"/>
      <c r="E88" s="2">
        <v>84159</v>
      </c>
    </row>
    <row r="89" spans="1:5" s="29" customFormat="1" x14ac:dyDescent="0.25">
      <c r="A89" s="1"/>
      <c r="B89" s="77" t="s">
        <v>124</v>
      </c>
      <c r="C89" s="77"/>
      <c r="D89" s="77"/>
      <c r="E89" s="3">
        <f>E88</f>
        <v>84159</v>
      </c>
    </row>
    <row r="90" spans="1:5" s="29" customFormat="1" ht="15" customHeight="1" x14ac:dyDescent="0.25">
      <c r="A90" s="94" t="s">
        <v>29</v>
      </c>
      <c r="B90" s="92"/>
      <c r="C90" s="92"/>
      <c r="D90" s="92"/>
      <c r="E90" s="93"/>
    </row>
    <row r="91" spans="1:5" s="29" customFormat="1" ht="48" customHeight="1" x14ac:dyDescent="0.25">
      <c r="A91" s="1">
        <v>1</v>
      </c>
      <c r="B91" s="91" t="s">
        <v>304</v>
      </c>
      <c r="C91" s="91"/>
      <c r="D91" s="91"/>
      <c r="E91" s="2">
        <f>5900000-600000+234076+10890317+16000000</f>
        <v>32424393</v>
      </c>
    </row>
    <row r="92" spans="1:5" s="29" customFormat="1" ht="30.6" customHeight="1" x14ac:dyDescent="0.25">
      <c r="A92" s="1">
        <v>2</v>
      </c>
      <c r="B92" s="98" t="s">
        <v>224</v>
      </c>
      <c r="C92" s="98"/>
      <c r="D92" s="98"/>
      <c r="E92" s="2">
        <f>700000+2338283-119079</f>
        <v>2919204</v>
      </c>
    </row>
    <row r="93" spans="1:5" s="29" customFormat="1" ht="19.899999999999999" customHeight="1" x14ac:dyDescent="0.25">
      <c r="A93" s="1">
        <v>3</v>
      </c>
      <c r="B93" s="99" t="s">
        <v>180</v>
      </c>
      <c r="C93" s="99"/>
      <c r="D93" s="99"/>
      <c r="E93" s="2">
        <f>691784+150475-7319</f>
        <v>834940</v>
      </c>
    </row>
    <row r="94" spans="1:5" s="29" customFormat="1" ht="34.9" customHeight="1" x14ac:dyDescent="0.25">
      <c r="A94" s="1">
        <v>4</v>
      </c>
      <c r="B94" s="97" t="s">
        <v>305</v>
      </c>
      <c r="C94" s="97"/>
      <c r="D94" s="97"/>
      <c r="E94" s="37">
        <f>2800000-15000</f>
        <v>2785000</v>
      </c>
    </row>
    <row r="95" spans="1:5" s="29" customFormat="1" ht="43.15" customHeight="1" x14ac:dyDescent="0.25">
      <c r="A95" s="1">
        <v>5</v>
      </c>
      <c r="B95" s="97" t="s">
        <v>306</v>
      </c>
      <c r="C95" s="97"/>
      <c r="D95" s="97"/>
      <c r="E95" s="37">
        <v>98745</v>
      </c>
    </row>
    <row r="96" spans="1:5" s="29" customFormat="1" x14ac:dyDescent="0.25">
      <c r="A96" s="1"/>
      <c r="B96" s="77" t="s">
        <v>124</v>
      </c>
      <c r="C96" s="77"/>
      <c r="D96" s="77"/>
      <c r="E96" s="3">
        <f>SUM(E91:E95)</f>
        <v>39062282</v>
      </c>
    </row>
    <row r="97" spans="1:5" s="29" customFormat="1" ht="15" customHeight="1" x14ac:dyDescent="0.25">
      <c r="A97" s="94" t="s">
        <v>181</v>
      </c>
      <c r="B97" s="92"/>
      <c r="C97" s="92"/>
      <c r="D97" s="92"/>
      <c r="E97" s="93"/>
    </row>
    <row r="98" spans="1:5" s="29" customFormat="1" ht="48" customHeight="1" x14ac:dyDescent="0.25">
      <c r="A98" s="1">
        <v>1</v>
      </c>
      <c r="B98" s="97" t="s">
        <v>0</v>
      </c>
      <c r="C98" s="97"/>
      <c r="D98" s="97"/>
      <c r="E98" s="2">
        <f>1200000+800000</f>
        <v>2000000</v>
      </c>
    </row>
    <row r="99" spans="1:5" s="29" customFormat="1" ht="19.149999999999999" customHeight="1" x14ac:dyDescent="0.25">
      <c r="A99" s="1">
        <v>2</v>
      </c>
      <c r="B99" s="97" t="s">
        <v>132</v>
      </c>
      <c r="C99" s="97"/>
      <c r="D99" s="97"/>
      <c r="E99" s="2">
        <v>1000000</v>
      </c>
    </row>
    <row r="100" spans="1:5" s="29" customFormat="1" ht="22.9" customHeight="1" x14ac:dyDescent="0.25">
      <c r="A100" s="1">
        <v>3</v>
      </c>
      <c r="B100" s="97" t="s">
        <v>199</v>
      </c>
      <c r="C100" s="97"/>
      <c r="D100" s="97"/>
      <c r="E100" s="2">
        <f>1871901+1870210</f>
        <v>3742111</v>
      </c>
    </row>
    <row r="101" spans="1:5" s="29" customFormat="1" ht="61.9" customHeight="1" x14ac:dyDescent="0.25">
      <c r="A101" s="1">
        <v>4</v>
      </c>
      <c r="B101" s="97" t="s">
        <v>307</v>
      </c>
      <c r="C101" s="97"/>
      <c r="D101" s="97"/>
      <c r="E101" s="2">
        <v>57009</v>
      </c>
    </row>
    <row r="102" spans="1:5" s="29" customFormat="1" ht="52.15" customHeight="1" x14ac:dyDescent="0.25">
      <c r="A102" s="1">
        <v>5</v>
      </c>
      <c r="B102" s="97" t="s">
        <v>308</v>
      </c>
      <c r="C102" s="97"/>
      <c r="D102" s="97"/>
      <c r="E102" s="2">
        <v>804518</v>
      </c>
    </row>
    <row r="103" spans="1:5" s="29" customFormat="1" x14ac:dyDescent="0.25">
      <c r="A103" s="1"/>
      <c r="B103" s="77" t="s">
        <v>124</v>
      </c>
      <c r="C103" s="77"/>
      <c r="D103" s="77"/>
      <c r="E103" s="3">
        <f>SUM(E98:E102)</f>
        <v>7603638</v>
      </c>
    </row>
    <row r="104" spans="1:5" s="29" customFormat="1" ht="15" customHeight="1" x14ac:dyDescent="0.25">
      <c r="A104" s="94" t="s">
        <v>133</v>
      </c>
      <c r="B104" s="92"/>
      <c r="C104" s="92"/>
      <c r="D104" s="92"/>
      <c r="E104" s="93"/>
    </row>
    <row r="105" spans="1:5" s="29" customFormat="1" ht="32.450000000000003" customHeight="1" x14ac:dyDescent="0.25">
      <c r="A105" s="1">
        <v>1</v>
      </c>
      <c r="B105" s="97" t="s">
        <v>173</v>
      </c>
      <c r="C105" s="97"/>
      <c r="D105" s="97"/>
      <c r="E105" s="38">
        <v>212752</v>
      </c>
    </row>
    <row r="106" spans="1:5" s="29" customFormat="1" x14ac:dyDescent="0.25">
      <c r="A106" s="1">
        <v>2</v>
      </c>
      <c r="B106" s="99" t="s">
        <v>1</v>
      </c>
      <c r="C106" s="99"/>
      <c r="D106" s="99"/>
      <c r="E106" s="2">
        <f>1000000+1466685</f>
        <v>2466685</v>
      </c>
    </row>
    <row r="107" spans="1:5" s="29" customFormat="1" ht="34.5" customHeight="1" x14ac:dyDescent="0.25">
      <c r="A107" s="1">
        <v>3</v>
      </c>
      <c r="B107" s="99" t="s">
        <v>134</v>
      </c>
      <c r="C107" s="99"/>
      <c r="D107" s="99"/>
      <c r="E107" s="2">
        <f>2000000-1400000</f>
        <v>600000</v>
      </c>
    </row>
    <row r="108" spans="1:5" s="29" customFormat="1" ht="19.899999999999999" customHeight="1" x14ac:dyDescent="0.25">
      <c r="A108" s="1">
        <v>4</v>
      </c>
      <c r="B108" s="99" t="s">
        <v>2</v>
      </c>
      <c r="C108" s="99"/>
      <c r="D108" s="99"/>
      <c r="E108" s="2">
        <v>378332</v>
      </c>
    </row>
    <row r="109" spans="1:5" s="29" customFormat="1" ht="32.450000000000003" customHeight="1" x14ac:dyDescent="0.25">
      <c r="A109" s="1">
        <v>5</v>
      </c>
      <c r="B109" s="91" t="s">
        <v>309</v>
      </c>
      <c r="C109" s="91"/>
      <c r="D109" s="91"/>
      <c r="E109" s="2">
        <v>570755</v>
      </c>
    </row>
    <row r="110" spans="1:5" s="29" customFormat="1" ht="29.45" customHeight="1" x14ac:dyDescent="0.25">
      <c r="A110" s="1">
        <v>6</v>
      </c>
      <c r="B110" s="91" t="s">
        <v>310</v>
      </c>
      <c r="C110" s="91"/>
      <c r="D110" s="91"/>
      <c r="E110" s="2">
        <v>198717</v>
      </c>
    </row>
    <row r="111" spans="1:5" s="29" customFormat="1" x14ac:dyDescent="0.25">
      <c r="A111" s="1"/>
      <c r="B111" s="77" t="s">
        <v>124</v>
      </c>
      <c r="C111" s="77"/>
      <c r="D111" s="77"/>
      <c r="E111" s="3">
        <f>SUM(E105:E110)</f>
        <v>4427241</v>
      </c>
    </row>
    <row r="112" spans="1:5" s="29" customFormat="1" ht="15" customHeight="1" x14ac:dyDescent="0.25">
      <c r="A112" s="94" t="s">
        <v>167</v>
      </c>
      <c r="B112" s="92"/>
      <c r="C112" s="92"/>
      <c r="D112" s="92"/>
      <c r="E112" s="93"/>
    </row>
    <row r="113" spans="1:244" s="29" customFormat="1" ht="32.450000000000003" customHeight="1" x14ac:dyDescent="0.25">
      <c r="A113" s="1">
        <v>1</v>
      </c>
      <c r="B113" s="91" t="s">
        <v>3</v>
      </c>
      <c r="C113" s="91"/>
      <c r="D113" s="91"/>
      <c r="E113" s="2">
        <f>9200000-2000000-335546+4000000</f>
        <v>10864454</v>
      </c>
    </row>
    <row r="114" spans="1:244" s="29" customFormat="1" ht="31.5" customHeight="1" x14ac:dyDescent="0.25">
      <c r="A114" s="1">
        <v>2</v>
      </c>
      <c r="B114" s="97" t="s">
        <v>173</v>
      </c>
      <c r="C114" s="97"/>
      <c r="D114" s="97"/>
      <c r="E114" s="2">
        <v>0</v>
      </c>
    </row>
    <row r="115" spans="1:244" s="29" customFormat="1" x14ac:dyDescent="0.25">
      <c r="A115" s="1">
        <v>3</v>
      </c>
      <c r="B115" s="97" t="s">
        <v>4</v>
      </c>
      <c r="C115" s="97"/>
      <c r="D115" s="97"/>
      <c r="E115" s="2">
        <f>1000000-740849</f>
        <v>259151</v>
      </c>
    </row>
    <row r="116" spans="1:244" s="29" customFormat="1" x14ac:dyDescent="0.25">
      <c r="A116" s="1"/>
      <c r="B116" s="77" t="s">
        <v>124</v>
      </c>
      <c r="C116" s="77"/>
      <c r="D116" s="77"/>
      <c r="E116" s="3">
        <f>SUM(E113:E115)</f>
        <v>11123605</v>
      </c>
    </row>
    <row r="117" spans="1:244" s="29" customFormat="1" ht="15" customHeight="1" x14ac:dyDescent="0.25">
      <c r="A117" s="94" t="s">
        <v>17</v>
      </c>
      <c r="B117" s="92"/>
      <c r="C117" s="92"/>
      <c r="D117" s="92"/>
      <c r="E117" s="93"/>
    </row>
    <row r="118" spans="1:244" s="29" customFormat="1" ht="31.9" customHeight="1" x14ac:dyDescent="0.25">
      <c r="A118" s="1">
        <v>1</v>
      </c>
      <c r="B118" s="91" t="s">
        <v>135</v>
      </c>
      <c r="C118" s="91"/>
      <c r="D118" s="91"/>
      <c r="E118" s="2">
        <f>2559808+1747000+200701</f>
        <v>4507509</v>
      </c>
    </row>
    <row r="119" spans="1:244" s="29" customFormat="1" x14ac:dyDescent="0.25">
      <c r="A119" s="1"/>
      <c r="B119" s="77" t="s">
        <v>124</v>
      </c>
      <c r="C119" s="77"/>
      <c r="D119" s="77"/>
      <c r="E119" s="3">
        <f>SUM(E118:E118)</f>
        <v>4507509</v>
      </c>
    </row>
    <row r="120" spans="1:244" s="29" customFormat="1" ht="15" customHeight="1" x14ac:dyDescent="0.25">
      <c r="A120" s="94" t="s">
        <v>5</v>
      </c>
      <c r="B120" s="92"/>
      <c r="C120" s="92"/>
      <c r="D120" s="92"/>
      <c r="E120" s="93"/>
    </row>
    <row r="121" spans="1:244" s="29" customFormat="1" x14ac:dyDescent="0.25">
      <c r="A121" s="1">
        <v>1</v>
      </c>
      <c r="B121" s="99" t="s">
        <v>136</v>
      </c>
      <c r="C121" s="99"/>
      <c r="D121" s="99"/>
      <c r="E121" s="2">
        <v>1000000</v>
      </c>
    </row>
    <row r="122" spans="1:244" s="29" customFormat="1" x14ac:dyDescent="0.25">
      <c r="A122" s="1"/>
      <c r="B122" s="77" t="s">
        <v>124</v>
      </c>
      <c r="C122" s="77"/>
      <c r="D122" s="77"/>
      <c r="E122" s="3">
        <f>SUM(E121:E121)</f>
        <v>1000000</v>
      </c>
    </row>
    <row r="123" spans="1:244" s="29" customFormat="1" ht="15" customHeight="1" x14ac:dyDescent="0.25">
      <c r="A123" s="94" t="s">
        <v>137</v>
      </c>
      <c r="B123" s="92"/>
      <c r="C123" s="92"/>
      <c r="D123" s="92"/>
      <c r="E123" s="93"/>
    </row>
    <row r="124" spans="1:244" s="29" customFormat="1" ht="20.45" customHeight="1" x14ac:dyDescent="0.25">
      <c r="A124" s="1">
        <v>1</v>
      </c>
      <c r="B124" s="103" t="s">
        <v>200</v>
      </c>
      <c r="C124" s="103"/>
      <c r="D124" s="103"/>
      <c r="E124" s="2">
        <f>3000000-500000+531784</f>
        <v>3031784</v>
      </c>
    </row>
    <row r="125" spans="1:244" s="29" customFormat="1" x14ac:dyDescent="0.25">
      <c r="A125" s="1"/>
      <c r="B125" s="77" t="s">
        <v>124</v>
      </c>
      <c r="C125" s="77"/>
      <c r="D125" s="77"/>
      <c r="E125" s="3">
        <f>SUM(E124:E124)</f>
        <v>3031784</v>
      </c>
    </row>
    <row r="126" spans="1:244" s="29" customFormat="1" ht="31.15" customHeight="1" x14ac:dyDescent="0.25">
      <c r="A126" s="94" t="s">
        <v>35</v>
      </c>
      <c r="B126" s="92"/>
      <c r="C126" s="92"/>
      <c r="D126" s="92"/>
      <c r="E126" s="93"/>
    </row>
    <row r="127" spans="1:244" s="29" customFormat="1" ht="31.9" customHeight="1" x14ac:dyDescent="0.25">
      <c r="A127" s="1">
        <v>1</v>
      </c>
      <c r="B127" s="91" t="s">
        <v>201</v>
      </c>
      <c r="C127" s="91"/>
      <c r="D127" s="91"/>
      <c r="E127" s="2">
        <v>387598</v>
      </c>
    </row>
    <row r="128" spans="1:244" s="29" customFormat="1" x14ac:dyDescent="0.25">
      <c r="A128" s="1"/>
      <c r="B128" s="73" t="s">
        <v>124</v>
      </c>
      <c r="C128" s="73"/>
      <c r="D128" s="73"/>
      <c r="E128" s="3">
        <f>E127</f>
        <v>387598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</row>
    <row r="129" spans="1:244" s="29" customFormat="1" ht="15" customHeight="1" x14ac:dyDescent="0.25">
      <c r="A129" s="94" t="s">
        <v>129</v>
      </c>
      <c r="B129" s="92"/>
      <c r="C129" s="92"/>
      <c r="D129" s="92"/>
      <c r="E129" s="9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</row>
    <row r="130" spans="1:244" s="29" customFormat="1" x14ac:dyDescent="0.25">
      <c r="A130" s="1">
        <v>1</v>
      </c>
      <c r="B130" s="97" t="s">
        <v>202</v>
      </c>
      <c r="C130" s="97"/>
      <c r="D130" s="97"/>
      <c r="E130" s="37">
        <f>800000+156840</f>
        <v>956840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</row>
    <row r="131" spans="1:244" s="29" customFormat="1" x14ac:dyDescent="0.25">
      <c r="A131" s="1"/>
      <c r="B131" s="73" t="s">
        <v>124</v>
      </c>
      <c r="C131" s="73"/>
      <c r="D131" s="73"/>
      <c r="E131" s="3">
        <f>E130</f>
        <v>956840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</row>
    <row r="132" spans="1:244" s="29" customFormat="1" x14ac:dyDescent="0.25">
      <c r="A132" s="1"/>
      <c r="B132" s="77" t="s">
        <v>6</v>
      </c>
      <c r="C132" s="77"/>
      <c r="D132" s="77"/>
      <c r="E132" s="3">
        <f>E125+E122+E119+E116+E111+E103+E96+E86+E79+E82+E128+E89+E131</f>
        <v>100359432</v>
      </c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</row>
    <row r="133" spans="1:244" s="29" customFormat="1" ht="15" customHeight="1" x14ac:dyDescent="0.25">
      <c r="A133" s="88" t="s">
        <v>203</v>
      </c>
      <c r="B133" s="89"/>
      <c r="C133" s="89"/>
      <c r="D133" s="89"/>
      <c r="E133" s="90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</row>
    <row r="134" spans="1:244" s="29" customFormat="1" ht="15" customHeight="1" x14ac:dyDescent="0.25">
      <c r="A134" s="94" t="s">
        <v>7</v>
      </c>
      <c r="B134" s="92"/>
      <c r="C134" s="92"/>
      <c r="D134" s="92"/>
      <c r="E134" s="9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</row>
    <row r="135" spans="1:244" s="29" customFormat="1" ht="31.9" customHeight="1" x14ac:dyDescent="0.25">
      <c r="A135" s="1">
        <v>1</v>
      </c>
      <c r="B135" s="91" t="s">
        <v>311</v>
      </c>
      <c r="C135" s="91"/>
      <c r="D135" s="91"/>
      <c r="E135" s="2">
        <f>4319815-300000+2802743</f>
        <v>6822558</v>
      </c>
    </row>
    <row r="136" spans="1:244" s="29" customFormat="1" ht="31.9" customHeight="1" x14ac:dyDescent="0.25">
      <c r="A136" s="1">
        <v>2</v>
      </c>
      <c r="B136" s="91" t="s">
        <v>225</v>
      </c>
      <c r="C136" s="91"/>
      <c r="D136" s="91"/>
      <c r="E136" s="2">
        <f>2363034-200000-1913454</f>
        <v>249580</v>
      </c>
    </row>
    <row r="137" spans="1:244" s="29" customFormat="1" ht="32.450000000000003" customHeight="1" x14ac:dyDescent="0.25">
      <c r="A137" s="1">
        <v>3</v>
      </c>
      <c r="B137" s="91" t="s">
        <v>138</v>
      </c>
      <c r="C137" s="91"/>
      <c r="D137" s="91"/>
      <c r="E137" s="2">
        <v>2730500</v>
      </c>
    </row>
    <row r="138" spans="1:244" s="29" customFormat="1" x14ac:dyDescent="0.25">
      <c r="A138" s="1"/>
      <c r="B138" s="77" t="s">
        <v>124</v>
      </c>
      <c r="C138" s="77"/>
      <c r="D138" s="77"/>
      <c r="E138" s="3">
        <f>SUM(E135:E137)</f>
        <v>9802638</v>
      </c>
    </row>
    <row r="139" spans="1:244" s="29" customFormat="1" ht="15" customHeight="1" x14ac:dyDescent="0.25">
      <c r="A139" s="94" t="s">
        <v>8</v>
      </c>
      <c r="B139" s="92"/>
      <c r="C139" s="92"/>
      <c r="D139" s="92"/>
      <c r="E139" s="93"/>
    </row>
    <row r="140" spans="1:244" s="29" customFormat="1" ht="19.149999999999999" customHeight="1" x14ac:dyDescent="0.25">
      <c r="A140" s="1">
        <v>1</v>
      </c>
      <c r="B140" s="75" t="s">
        <v>256</v>
      </c>
      <c r="C140" s="75"/>
      <c r="D140" s="75"/>
      <c r="E140" s="2"/>
    </row>
    <row r="141" spans="1:244" s="29" customFormat="1" ht="33" customHeight="1" x14ac:dyDescent="0.25">
      <c r="A141" s="1">
        <v>2</v>
      </c>
      <c r="B141" s="91" t="s">
        <v>204</v>
      </c>
      <c r="C141" s="91"/>
      <c r="D141" s="91"/>
      <c r="E141" s="2">
        <v>29323</v>
      </c>
    </row>
    <row r="142" spans="1:244" s="29" customFormat="1" x14ac:dyDescent="0.25">
      <c r="A142" s="1"/>
      <c r="B142" s="77" t="s">
        <v>124</v>
      </c>
      <c r="C142" s="77"/>
      <c r="D142" s="77"/>
      <c r="E142" s="3">
        <f>E140+E141</f>
        <v>29323</v>
      </c>
    </row>
    <row r="143" spans="1:244" s="29" customFormat="1" ht="15" customHeight="1" x14ac:dyDescent="0.25">
      <c r="A143" s="94" t="s">
        <v>40</v>
      </c>
      <c r="B143" s="92"/>
      <c r="C143" s="92"/>
      <c r="D143" s="92"/>
      <c r="E143" s="93"/>
    </row>
    <row r="144" spans="1:244" s="29" customFormat="1" ht="30.6" customHeight="1" x14ac:dyDescent="0.25">
      <c r="A144" s="1">
        <v>1</v>
      </c>
      <c r="B144" s="91" t="s">
        <v>205</v>
      </c>
      <c r="C144" s="91"/>
      <c r="D144" s="91"/>
      <c r="E144" s="2">
        <f>775280-233535</f>
        <v>541745</v>
      </c>
    </row>
    <row r="145" spans="1:5" s="29" customFormat="1" x14ac:dyDescent="0.25">
      <c r="A145" s="1"/>
      <c r="B145" s="77" t="s">
        <v>124</v>
      </c>
      <c r="C145" s="77"/>
      <c r="D145" s="77"/>
      <c r="E145" s="3">
        <f>E144</f>
        <v>541745</v>
      </c>
    </row>
    <row r="146" spans="1:5" s="29" customFormat="1" x14ac:dyDescent="0.25">
      <c r="A146" s="1"/>
      <c r="B146" s="77" t="s">
        <v>10</v>
      </c>
      <c r="C146" s="77"/>
      <c r="D146" s="77"/>
      <c r="E146" s="3">
        <f>E138+E142+E145</f>
        <v>10373706</v>
      </c>
    </row>
    <row r="147" spans="1:5" s="29" customFormat="1" ht="15" customHeight="1" x14ac:dyDescent="0.25">
      <c r="A147" s="88" t="s">
        <v>11</v>
      </c>
      <c r="B147" s="89"/>
      <c r="C147" s="89"/>
      <c r="D147" s="89"/>
      <c r="E147" s="90"/>
    </row>
    <row r="148" spans="1:5" s="29" customFormat="1" ht="31.9" customHeight="1" x14ac:dyDescent="0.25">
      <c r="A148" s="94" t="s">
        <v>9</v>
      </c>
      <c r="B148" s="92"/>
      <c r="C148" s="92"/>
      <c r="D148" s="92"/>
      <c r="E148" s="93"/>
    </row>
    <row r="149" spans="1:5" s="29" customFormat="1" ht="31.15" customHeight="1" x14ac:dyDescent="0.25">
      <c r="A149" s="1">
        <v>1</v>
      </c>
      <c r="B149" s="91" t="s">
        <v>139</v>
      </c>
      <c r="C149" s="91"/>
      <c r="D149" s="91"/>
      <c r="E149" s="2">
        <f>1700000-261946</f>
        <v>1438054</v>
      </c>
    </row>
    <row r="150" spans="1:5" s="29" customFormat="1" ht="35.450000000000003" customHeight="1" x14ac:dyDescent="0.25">
      <c r="A150" s="1">
        <v>2</v>
      </c>
      <c r="B150" s="91" t="s">
        <v>312</v>
      </c>
      <c r="C150" s="91"/>
      <c r="D150" s="91"/>
      <c r="E150" s="2">
        <v>800000</v>
      </c>
    </row>
    <row r="151" spans="1:5" s="29" customFormat="1" x14ac:dyDescent="0.25">
      <c r="A151" s="74"/>
      <c r="B151" s="77" t="s">
        <v>124</v>
      </c>
      <c r="C151" s="77"/>
      <c r="D151" s="77"/>
      <c r="E151" s="3">
        <f>SUM(E149:E150)</f>
        <v>2238054</v>
      </c>
    </row>
    <row r="152" spans="1:5" s="29" customFormat="1" ht="22.9" customHeight="1" x14ac:dyDescent="0.25">
      <c r="A152" s="94" t="s">
        <v>129</v>
      </c>
      <c r="B152" s="92"/>
      <c r="C152" s="92"/>
      <c r="D152" s="92"/>
      <c r="E152" s="93"/>
    </row>
    <row r="153" spans="1:5" s="29" customFormat="1" ht="51.75" customHeight="1" x14ac:dyDescent="0.25">
      <c r="A153" s="1">
        <v>1</v>
      </c>
      <c r="B153" s="91" t="s">
        <v>226</v>
      </c>
      <c r="C153" s="91"/>
      <c r="D153" s="91"/>
      <c r="E153" s="39">
        <v>589000</v>
      </c>
    </row>
    <row r="154" spans="1:5" s="30" customFormat="1" ht="19.899999999999999" customHeight="1" x14ac:dyDescent="0.25">
      <c r="A154" s="1">
        <v>2</v>
      </c>
      <c r="B154" s="97" t="s">
        <v>236</v>
      </c>
      <c r="C154" s="97"/>
      <c r="D154" s="97"/>
      <c r="E154" s="39">
        <v>3708000</v>
      </c>
    </row>
    <row r="155" spans="1:5" s="29" customFormat="1" x14ac:dyDescent="0.25">
      <c r="A155" s="1"/>
      <c r="B155" s="77" t="s">
        <v>124</v>
      </c>
      <c r="C155" s="77"/>
      <c r="D155" s="77"/>
      <c r="E155" s="3">
        <f>SUM(E153:E154)</f>
        <v>4297000</v>
      </c>
    </row>
    <row r="156" spans="1:5" s="29" customFormat="1" ht="15" customHeight="1" x14ac:dyDescent="0.25">
      <c r="A156" s="94" t="s">
        <v>133</v>
      </c>
      <c r="B156" s="92"/>
      <c r="C156" s="92"/>
      <c r="D156" s="92"/>
      <c r="E156" s="93"/>
    </row>
    <row r="157" spans="1:5" s="29" customFormat="1" ht="33" customHeight="1" x14ac:dyDescent="0.25">
      <c r="A157" s="1">
        <v>1</v>
      </c>
      <c r="B157" s="97" t="s">
        <v>140</v>
      </c>
      <c r="C157" s="97"/>
      <c r="D157" s="97"/>
      <c r="E157" s="39">
        <v>112800</v>
      </c>
    </row>
    <row r="158" spans="1:5" s="29" customFormat="1" x14ac:dyDescent="0.25">
      <c r="A158" s="1"/>
      <c r="B158" s="77" t="s">
        <v>124</v>
      </c>
      <c r="C158" s="77"/>
      <c r="D158" s="77"/>
      <c r="E158" s="3">
        <f>E157</f>
        <v>112800</v>
      </c>
    </row>
    <row r="159" spans="1:5" s="29" customFormat="1" x14ac:dyDescent="0.25">
      <c r="A159" s="1"/>
      <c r="B159" s="77" t="s">
        <v>12</v>
      </c>
      <c r="C159" s="77"/>
      <c r="D159" s="77"/>
      <c r="E159" s="3">
        <f>E155+E151+E158</f>
        <v>6647854</v>
      </c>
    </row>
    <row r="160" spans="1:5" s="29" customFormat="1" ht="15" customHeight="1" x14ac:dyDescent="0.25">
      <c r="A160" s="88" t="s">
        <v>206</v>
      </c>
      <c r="B160" s="89"/>
      <c r="C160" s="89"/>
      <c r="D160" s="89"/>
      <c r="E160" s="90"/>
    </row>
    <row r="161" spans="1:244" s="29" customFormat="1" ht="15" customHeight="1" x14ac:dyDescent="0.25">
      <c r="A161" s="94" t="s">
        <v>34</v>
      </c>
      <c r="B161" s="92"/>
      <c r="C161" s="92"/>
      <c r="D161" s="92"/>
      <c r="E161" s="93"/>
    </row>
    <row r="162" spans="1:244" s="29" customFormat="1" ht="22.9" customHeight="1" x14ac:dyDescent="0.25">
      <c r="A162" s="1">
        <v>1</v>
      </c>
      <c r="B162" s="91" t="s">
        <v>207</v>
      </c>
      <c r="C162" s="91"/>
      <c r="D162" s="91"/>
      <c r="E162" s="2">
        <v>86900</v>
      </c>
    </row>
    <row r="163" spans="1:244" s="29" customFormat="1" x14ac:dyDescent="0.25">
      <c r="A163" s="1"/>
      <c r="B163" s="77" t="s">
        <v>124</v>
      </c>
      <c r="C163" s="77"/>
      <c r="D163" s="77"/>
      <c r="E163" s="3">
        <f>E162</f>
        <v>86900</v>
      </c>
    </row>
    <row r="164" spans="1:244" s="29" customFormat="1" x14ac:dyDescent="0.25">
      <c r="A164" s="1"/>
      <c r="B164" s="73" t="s">
        <v>208</v>
      </c>
      <c r="C164" s="73"/>
      <c r="D164" s="73"/>
      <c r="E164" s="3">
        <f>E163</f>
        <v>86900</v>
      </c>
    </row>
    <row r="165" spans="1:244" s="29" customFormat="1" ht="15" customHeight="1" x14ac:dyDescent="0.25">
      <c r="A165" s="88" t="s">
        <v>13</v>
      </c>
      <c r="B165" s="89"/>
      <c r="C165" s="89"/>
      <c r="D165" s="89"/>
      <c r="E165" s="90"/>
    </row>
    <row r="166" spans="1:244" s="29" customFormat="1" ht="15" customHeight="1" x14ac:dyDescent="0.25">
      <c r="A166" s="94" t="s">
        <v>14</v>
      </c>
      <c r="B166" s="92"/>
      <c r="C166" s="92"/>
      <c r="D166" s="92"/>
      <c r="E166" s="93"/>
    </row>
    <row r="167" spans="1:244" s="29" customFormat="1" ht="30" customHeight="1" x14ac:dyDescent="0.25">
      <c r="A167" s="1">
        <v>1</v>
      </c>
      <c r="B167" s="91" t="s">
        <v>141</v>
      </c>
      <c r="C167" s="91"/>
      <c r="D167" s="91"/>
      <c r="E167" s="2">
        <f>1324452-500000</f>
        <v>824452</v>
      </c>
    </row>
    <row r="168" spans="1:244" s="29" customFormat="1" ht="33" customHeight="1" x14ac:dyDescent="0.25">
      <c r="A168" s="1">
        <v>2</v>
      </c>
      <c r="B168" s="91" t="s">
        <v>142</v>
      </c>
      <c r="C168" s="91"/>
      <c r="D168" s="91"/>
      <c r="E168" s="2">
        <v>228651</v>
      </c>
    </row>
    <row r="169" spans="1:244" s="29" customFormat="1" x14ac:dyDescent="0.25">
      <c r="A169" s="1"/>
      <c r="B169" s="77" t="s">
        <v>124</v>
      </c>
      <c r="C169" s="77"/>
      <c r="D169" s="77"/>
      <c r="E169" s="3">
        <f>SUM(E167:E168)</f>
        <v>1053103</v>
      </c>
    </row>
    <row r="170" spans="1:244" s="29" customFormat="1" x14ac:dyDescent="0.25">
      <c r="A170" s="94" t="s">
        <v>193</v>
      </c>
      <c r="B170" s="92"/>
      <c r="C170" s="92"/>
      <c r="D170" s="92"/>
      <c r="E170" s="93"/>
    </row>
    <row r="171" spans="1:244" s="29" customFormat="1" ht="47.25" customHeight="1" x14ac:dyDescent="0.25">
      <c r="A171" s="1">
        <v>1</v>
      </c>
      <c r="B171" s="91" t="s">
        <v>295</v>
      </c>
      <c r="C171" s="91"/>
      <c r="D171" s="91"/>
      <c r="E171" s="2">
        <v>97728</v>
      </c>
    </row>
    <row r="172" spans="1:244" s="29" customFormat="1" x14ac:dyDescent="0.25">
      <c r="A172" s="1"/>
      <c r="B172" s="77" t="s">
        <v>124</v>
      </c>
      <c r="C172" s="77"/>
      <c r="D172" s="77"/>
      <c r="E172" s="3">
        <f>SUM(E171:E171)</f>
        <v>97728</v>
      </c>
    </row>
    <row r="173" spans="1:244" s="29" customFormat="1" x14ac:dyDescent="0.25">
      <c r="A173" s="1"/>
      <c r="B173" s="77" t="s">
        <v>15</v>
      </c>
      <c r="C173" s="77"/>
      <c r="D173" s="77"/>
      <c r="E173" s="3">
        <f>E169+E172</f>
        <v>1150831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</row>
    <row r="174" spans="1:244" s="29" customFormat="1" ht="22.15" customHeight="1" x14ac:dyDescent="0.25">
      <c r="A174" s="40"/>
      <c r="B174" s="104" t="s">
        <v>19</v>
      </c>
      <c r="C174" s="104"/>
      <c r="D174" s="104"/>
      <c r="E174" s="41">
        <f>E159+E146+E132+E60+E173+E28+E164</f>
        <v>129922508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</row>
    <row r="175" spans="1:244" s="68" customFormat="1" x14ac:dyDescent="0.25">
      <c r="A175" s="108"/>
      <c r="B175" s="109"/>
      <c r="C175" s="109"/>
      <c r="D175" s="109"/>
      <c r="E175" s="110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67"/>
      <c r="CN175" s="67"/>
      <c r="CO175" s="67"/>
      <c r="CP175" s="67"/>
      <c r="CQ175" s="67"/>
      <c r="CR175" s="67"/>
      <c r="CS175" s="67"/>
      <c r="CT175" s="67"/>
      <c r="CU175" s="67"/>
      <c r="CV175" s="67"/>
      <c r="CW175" s="67"/>
      <c r="CX175" s="67"/>
      <c r="CY175" s="67"/>
      <c r="CZ175" s="67"/>
      <c r="DA175" s="67"/>
      <c r="DB175" s="67"/>
      <c r="DC175" s="67"/>
      <c r="DD175" s="67"/>
      <c r="DE175" s="67"/>
      <c r="DF175" s="67"/>
      <c r="DG175" s="67"/>
      <c r="DH175" s="67"/>
      <c r="DI175" s="67"/>
      <c r="DJ175" s="67"/>
      <c r="DK175" s="67"/>
      <c r="DL175" s="67"/>
      <c r="DM175" s="67"/>
      <c r="DN175" s="67"/>
      <c r="DO175" s="67"/>
      <c r="DP175" s="67"/>
      <c r="DQ175" s="67"/>
      <c r="DR175" s="67"/>
      <c r="DS175" s="67"/>
      <c r="DT175" s="67"/>
      <c r="DU175" s="67"/>
      <c r="DV175" s="67"/>
      <c r="DW175" s="67"/>
      <c r="DX175" s="67"/>
      <c r="DY175" s="67"/>
      <c r="DZ175" s="67"/>
      <c r="EA175" s="67"/>
      <c r="EB175" s="67"/>
      <c r="EC175" s="67"/>
      <c r="ED175" s="67"/>
      <c r="EE175" s="67"/>
      <c r="EF175" s="67"/>
      <c r="EG175" s="67"/>
      <c r="EH175" s="67"/>
      <c r="EI175" s="67"/>
      <c r="EJ175" s="67"/>
      <c r="EK175" s="67"/>
      <c r="EL175" s="67"/>
      <c r="EM175" s="67"/>
      <c r="EN175" s="67"/>
      <c r="EO175" s="67"/>
      <c r="EP175" s="67"/>
      <c r="EQ175" s="67"/>
      <c r="ER175" s="67"/>
      <c r="ES175" s="67"/>
      <c r="ET175" s="67"/>
      <c r="EU175" s="67"/>
      <c r="EV175" s="67"/>
      <c r="EW175" s="67"/>
      <c r="EX175" s="67"/>
      <c r="EY175" s="67"/>
      <c r="EZ175" s="67"/>
      <c r="FA175" s="67"/>
      <c r="FB175" s="67"/>
      <c r="FC175" s="67"/>
      <c r="FD175" s="67"/>
      <c r="FE175" s="67"/>
      <c r="FF175" s="67"/>
      <c r="FG175" s="67"/>
      <c r="FH175" s="67"/>
      <c r="FI175" s="67"/>
      <c r="FJ175" s="67"/>
      <c r="FK175" s="67"/>
      <c r="FL175" s="67"/>
      <c r="FM175" s="67"/>
      <c r="FN175" s="67"/>
      <c r="FO175" s="67"/>
      <c r="FP175" s="67"/>
      <c r="FQ175" s="67"/>
      <c r="FR175" s="67"/>
      <c r="FS175" s="67"/>
      <c r="FT175" s="67"/>
      <c r="FU175" s="67"/>
      <c r="FV175" s="67"/>
      <c r="FW175" s="67"/>
      <c r="FX175" s="67"/>
      <c r="FY175" s="67"/>
      <c r="FZ175" s="67"/>
      <c r="GA175" s="67"/>
      <c r="GB175" s="67"/>
      <c r="GC175" s="67"/>
      <c r="GD175" s="67"/>
      <c r="GE175" s="67"/>
      <c r="GF175" s="67"/>
      <c r="GG175" s="67"/>
      <c r="GH175" s="67"/>
      <c r="GI175" s="67"/>
      <c r="GJ175" s="67"/>
      <c r="GK175" s="67"/>
      <c r="GL175" s="67"/>
      <c r="GM175" s="67"/>
      <c r="GN175" s="67"/>
      <c r="GO175" s="67"/>
      <c r="GP175" s="67"/>
      <c r="GQ175" s="67"/>
      <c r="GR175" s="67"/>
      <c r="GS175" s="67"/>
      <c r="GT175" s="67"/>
      <c r="GU175" s="67"/>
      <c r="GV175" s="67"/>
      <c r="GW175" s="67"/>
      <c r="GX175" s="67"/>
      <c r="GY175" s="67"/>
      <c r="GZ175" s="67"/>
      <c r="HA175" s="67"/>
      <c r="HB175" s="67"/>
      <c r="HC175" s="67"/>
      <c r="HD175" s="67"/>
      <c r="HE175" s="67"/>
      <c r="HF175" s="67"/>
      <c r="HG175" s="67"/>
      <c r="HH175" s="67"/>
      <c r="HI175" s="67"/>
      <c r="HJ175" s="67"/>
      <c r="HK175" s="67"/>
      <c r="HL175" s="67"/>
      <c r="HM175" s="67"/>
      <c r="HN175" s="67"/>
      <c r="HO175" s="67"/>
      <c r="HP175" s="67"/>
      <c r="HQ175" s="67"/>
      <c r="HR175" s="67"/>
      <c r="HS175" s="67"/>
      <c r="HT175" s="67"/>
      <c r="HU175" s="67"/>
      <c r="HV175" s="67"/>
      <c r="HW175" s="67"/>
      <c r="HX175" s="67"/>
      <c r="HY175" s="67"/>
      <c r="HZ175" s="67"/>
      <c r="IA175" s="67"/>
      <c r="IB175" s="67"/>
      <c r="IC175" s="67"/>
      <c r="ID175" s="67"/>
      <c r="IE175" s="67"/>
      <c r="IF175" s="67"/>
      <c r="IG175" s="67"/>
      <c r="IH175" s="67"/>
      <c r="II175" s="67"/>
      <c r="IJ175" s="67"/>
    </row>
    <row r="176" spans="1:244" s="29" customFormat="1" ht="18.600000000000001" customHeight="1" x14ac:dyDescent="0.25">
      <c r="A176" s="105" t="s">
        <v>284</v>
      </c>
      <c r="B176" s="106"/>
      <c r="C176" s="106"/>
      <c r="D176" s="106"/>
      <c r="E176" s="107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</row>
    <row r="177" spans="1:244" s="29" customFormat="1" ht="15" customHeight="1" x14ac:dyDescent="0.25">
      <c r="A177" s="88" t="s">
        <v>20</v>
      </c>
      <c r="B177" s="89"/>
      <c r="C177" s="89"/>
      <c r="D177" s="89"/>
      <c r="E177" s="90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</row>
    <row r="178" spans="1:244" s="29" customFormat="1" ht="15" customHeight="1" x14ac:dyDescent="0.25">
      <c r="A178" s="94" t="s">
        <v>133</v>
      </c>
      <c r="B178" s="92"/>
      <c r="C178" s="92"/>
      <c r="D178" s="92"/>
      <c r="E178" s="9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</row>
    <row r="179" spans="1:244" s="29" customFormat="1" ht="35.25" customHeight="1" x14ac:dyDescent="0.25">
      <c r="A179" s="1">
        <v>1</v>
      </c>
      <c r="B179" s="91" t="s">
        <v>143</v>
      </c>
      <c r="C179" s="91"/>
      <c r="D179" s="91"/>
      <c r="E179" s="2">
        <f>1973298-378332</f>
        <v>1594966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</row>
    <row r="180" spans="1:244" s="29" customFormat="1" x14ac:dyDescent="0.25">
      <c r="A180" s="58"/>
      <c r="B180" s="77" t="s">
        <v>124</v>
      </c>
      <c r="C180" s="77"/>
      <c r="D180" s="77"/>
      <c r="E180" s="3">
        <f>E179</f>
        <v>1594966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</row>
    <row r="181" spans="1:244" s="31" customFormat="1" x14ac:dyDescent="0.25">
      <c r="A181" s="58"/>
      <c r="B181" s="77" t="s">
        <v>21</v>
      </c>
      <c r="C181" s="77"/>
      <c r="D181" s="77"/>
      <c r="E181" s="3">
        <f>E180</f>
        <v>1594966</v>
      </c>
    </row>
    <row r="182" spans="1:244" s="29" customFormat="1" ht="15" customHeight="1" x14ac:dyDescent="0.25">
      <c r="A182" s="88" t="s">
        <v>22</v>
      </c>
      <c r="B182" s="89"/>
      <c r="C182" s="89"/>
      <c r="D182" s="89"/>
      <c r="E182" s="90"/>
    </row>
    <row r="183" spans="1:244" s="29" customFormat="1" ht="15" customHeight="1" x14ac:dyDescent="0.25">
      <c r="A183" s="94" t="s">
        <v>170</v>
      </c>
      <c r="B183" s="92"/>
      <c r="C183" s="92"/>
      <c r="D183" s="92"/>
      <c r="E183" s="93"/>
    </row>
    <row r="184" spans="1:244" s="29" customFormat="1" ht="29.45" customHeight="1" x14ac:dyDescent="0.25">
      <c r="A184" s="1">
        <v>1</v>
      </c>
      <c r="B184" s="91" t="s">
        <v>23</v>
      </c>
      <c r="C184" s="91"/>
      <c r="D184" s="91"/>
      <c r="E184" s="2">
        <f>650000+657872</f>
        <v>1307872</v>
      </c>
    </row>
    <row r="185" spans="1:244" s="29" customFormat="1" ht="32.450000000000003" customHeight="1" x14ac:dyDescent="0.25">
      <c r="A185" s="1">
        <v>2</v>
      </c>
      <c r="B185" s="91" t="s">
        <v>313</v>
      </c>
      <c r="C185" s="91"/>
      <c r="D185" s="91"/>
      <c r="E185" s="2">
        <f>2000000+906520</f>
        <v>2906520</v>
      </c>
    </row>
    <row r="186" spans="1:244" s="29" customFormat="1" ht="45.6" customHeight="1" x14ac:dyDescent="0.25">
      <c r="A186" s="1">
        <v>3</v>
      </c>
      <c r="B186" s="91" t="s">
        <v>248</v>
      </c>
      <c r="C186" s="91"/>
      <c r="D186" s="91"/>
      <c r="E186" s="2">
        <f>800000+737970+1058450</f>
        <v>2596420</v>
      </c>
    </row>
    <row r="187" spans="1:244" s="29" customFormat="1" ht="47.45" customHeight="1" x14ac:dyDescent="0.25">
      <c r="A187" s="1">
        <v>4</v>
      </c>
      <c r="B187" s="91" t="s">
        <v>117</v>
      </c>
      <c r="C187" s="91"/>
      <c r="D187" s="91"/>
      <c r="E187" s="2">
        <f>1500000+1681000+2597308</f>
        <v>5778308</v>
      </c>
    </row>
    <row r="188" spans="1:244" s="29" customFormat="1" ht="45" customHeight="1" x14ac:dyDescent="0.25">
      <c r="A188" s="1">
        <v>5</v>
      </c>
      <c r="B188" s="91" t="s">
        <v>69</v>
      </c>
      <c r="C188" s="91"/>
      <c r="D188" s="91"/>
      <c r="E188" s="2">
        <f>1992900+163045+124760</f>
        <v>2280705</v>
      </c>
    </row>
    <row r="189" spans="1:244" s="29" customFormat="1" ht="33.6" customHeight="1" x14ac:dyDescent="0.25">
      <c r="A189" s="1">
        <v>6</v>
      </c>
      <c r="B189" s="97" t="s">
        <v>241</v>
      </c>
      <c r="C189" s="97"/>
      <c r="D189" s="97"/>
      <c r="E189" s="37">
        <f>575622-102861</f>
        <v>472761</v>
      </c>
    </row>
    <row r="190" spans="1:244" s="29" customFormat="1" ht="52.9" customHeight="1" x14ac:dyDescent="0.25">
      <c r="A190" s="1">
        <v>7</v>
      </c>
      <c r="B190" s="97" t="s">
        <v>314</v>
      </c>
      <c r="C190" s="97"/>
      <c r="D190" s="97"/>
      <c r="E190" s="37">
        <f>254428-25622</f>
        <v>228806</v>
      </c>
    </row>
    <row r="191" spans="1:244" s="29" customFormat="1" ht="49.9" customHeight="1" x14ac:dyDescent="0.25">
      <c r="A191" s="1">
        <v>8</v>
      </c>
      <c r="B191" s="97" t="s">
        <v>315</v>
      </c>
      <c r="C191" s="97"/>
      <c r="D191" s="97"/>
      <c r="E191" s="37">
        <f>2719985+2285139-195000-650000</f>
        <v>4160124</v>
      </c>
    </row>
    <row r="192" spans="1:244" s="29" customFormat="1" ht="33.6" customHeight="1" x14ac:dyDescent="0.25">
      <c r="A192" s="1">
        <v>9</v>
      </c>
      <c r="B192" s="91" t="s">
        <v>24</v>
      </c>
      <c r="C192" s="91"/>
      <c r="D192" s="91"/>
      <c r="E192" s="2">
        <v>733014</v>
      </c>
    </row>
    <row r="193" spans="1:5" s="29" customFormat="1" ht="21.6" customHeight="1" x14ac:dyDescent="0.25">
      <c r="A193" s="1">
        <v>10</v>
      </c>
      <c r="B193" s="97" t="s">
        <v>25</v>
      </c>
      <c r="C193" s="97"/>
      <c r="D193" s="97"/>
      <c r="E193" s="37">
        <v>650000</v>
      </c>
    </row>
    <row r="194" spans="1:5" s="29" customFormat="1" ht="30" customHeight="1" x14ac:dyDescent="0.25">
      <c r="A194" s="1">
        <v>11</v>
      </c>
      <c r="B194" s="97" t="s">
        <v>26</v>
      </c>
      <c r="C194" s="97"/>
      <c r="D194" s="97"/>
      <c r="E194" s="37">
        <f>428710-59421</f>
        <v>369289</v>
      </c>
    </row>
    <row r="195" spans="1:5" s="8" customFormat="1" ht="43.15" customHeight="1" x14ac:dyDescent="0.25">
      <c r="A195" s="1">
        <v>12</v>
      </c>
      <c r="B195" s="91" t="s">
        <v>246</v>
      </c>
      <c r="C195" s="91"/>
      <c r="D195" s="91"/>
      <c r="E195" s="37">
        <v>5240</v>
      </c>
    </row>
    <row r="196" spans="1:5" s="8" customFormat="1" ht="47.45" customHeight="1" x14ac:dyDescent="0.25">
      <c r="A196" s="1">
        <v>13</v>
      </c>
      <c r="B196" s="91" t="s">
        <v>316</v>
      </c>
      <c r="C196" s="91"/>
      <c r="D196" s="91"/>
      <c r="E196" s="37">
        <v>48052</v>
      </c>
    </row>
    <row r="197" spans="1:5" s="8" customFormat="1" ht="35.450000000000003" customHeight="1" x14ac:dyDescent="0.25">
      <c r="A197" s="1">
        <v>14</v>
      </c>
      <c r="B197" s="91" t="s">
        <v>317</v>
      </c>
      <c r="C197" s="91"/>
      <c r="D197" s="91"/>
      <c r="E197" s="37">
        <v>77605</v>
      </c>
    </row>
    <row r="198" spans="1:5" s="29" customFormat="1" ht="32.450000000000003" customHeight="1" x14ac:dyDescent="0.25">
      <c r="A198" s="1">
        <v>15</v>
      </c>
      <c r="B198" s="91" t="s">
        <v>318</v>
      </c>
      <c r="C198" s="91"/>
      <c r="D198" s="91"/>
      <c r="E198" s="37">
        <v>48229</v>
      </c>
    </row>
    <row r="199" spans="1:5" s="29" customFormat="1" x14ac:dyDescent="0.25">
      <c r="A199" s="1"/>
      <c r="B199" s="77" t="s">
        <v>124</v>
      </c>
      <c r="C199" s="77"/>
      <c r="D199" s="77"/>
      <c r="E199" s="3">
        <f>SUM(E184:E198)</f>
        <v>21662945</v>
      </c>
    </row>
    <row r="200" spans="1:5" s="29" customFormat="1" ht="15" customHeight="1" x14ac:dyDescent="0.25">
      <c r="A200" s="94" t="s">
        <v>27</v>
      </c>
      <c r="B200" s="92"/>
      <c r="C200" s="92"/>
      <c r="D200" s="92"/>
      <c r="E200" s="93"/>
    </row>
    <row r="201" spans="1:5" s="29" customFormat="1" ht="33.6" customHeight="1" x14ac:dyDescent="0.25">
      <c r="A201" s="1">
        <v>1</v>
      </c>
      <c r="B201" s="91" t="s">
        <v>242</v>
      </c>
      <c r="C201" s="91"/>
      <c r="D201" s="91"/>
      <c r="E201" s="2">
        <f>518502-10700</f>
        <v>507802</v>
      </c>
    </row>
    <row r="202" spans="1:5" s="29" customFormat="1" ht="47.25" customHeight="1" x14ac:dyDescent="0.25">
      <c r="A202" s="1">
        <v>2</v>
      </c>
      <c r="B202" s="91" t="s">
        <v>261</v>
      </c>
      <c r="C202" s="91"/>
      <c r="D202" s="91"/>
      <c r="E202" s="2">
        <f>3352677-719109-600000-1000000</f>
        <v>1033568</v>
      </c>
    </row>
    <row r="203" spans="1:5" s="29" customFormat="1" x14ac:dyDescent="0.25">
      <c r="A203" s="1">
        <v>3</v>
      </c>
      <c r="B203" s="91" t="s">
        <v>258</v>
      </c>
      <c r="C203" s="91"/>
      <c r="D203" s="91"/>
      <c r="E203" s="2">
        <v>327800</v>
      </c>
    </row>
    <row r="204" spans="1:5" s="29" customFormat="1" ht="21" customHeight="1" x14ac:dyDescent="0.25">
      <c r="A204" s="1"/>
      <c r="B204" s="77" t="s">
        <v>124</v>
      </c>
      <c r="C204" s="77"/>
      <c r="D204" s="77"/>
      <c r="E204" s="3">
        <f>SUM(E201:E203)</f>
        <v>1869170</v>
      </c>
    </row>
    <row r="205" spans="1:5" s="29" customFormat="1" ht="15" customHeight="1" x14ac:dyDescent="0.25">
      <c r="A205" s="94" t="s">
        <v>179</v>
      </c>
      <c r="B205" s="92"/>
      <c r="C205" s="92"/>
      <c r="D205" s="92"/>
      <c r="E205" s="93"/>
    </row>
    <row r="206" spans="1:5" s="29" customFormat="1" ht="33.75" customHeight="1" x14ac:dyDescent="0.25">
      <c r="A206" s="1">
        <v>1</v>
      </c>
      <c r="B206" s="97" t="s">
        <v>243</v>
      </c>
      <c r="C206" s="97"/>
      <c r="D206" s="97"/>
      <c r="E206" s="37">
        <f>1256165+743835</f>
        <v>2000000</v>
      </c>
    </row>
    <row r="207" spans="1:5" s="29" customFormat="1" ht="33.6" customHeight="1" x14ac:dyDescent="0.25">
      <c r="A207" s="1">
        <v>2</v>
      </c>
      <c r="B207" s="97" t="s">
        <v>319</v>
      </c>
      <c r="C207" s="97"/>
      <c r="D207" s="97"/>
      <c r="E207" s="37">
        <v>159172</v>
      </c>
    </row>
    <row r="208" spans="1:5" s="29" customFormat="1" x14ac:dyDescent="0.25">
      <c r="A208" s="1"/>
      <c r="B208" s="77" t="s">
        <v>124</v>
      </c>
      <c r="C208" s="77"/>
      <c r="D208" s="77"/>
      <c r="E208" s="3">
        <f>SUM(E206:E207)</f>
        <v>2159172</v>
      </c>
    </row>
    <row r="209" spans="1:5" s="29" customFormat="1" ht="15" customHeight="1" x14ac:dyDescent="0.25">
      <c r="A209" s="94" t="s">
        <v>131</v>
      </c>
      <c r="B209" s="92"/>
      <c r="C209" s="92"/>
      <c r="D209" s="92"/>
      <c r="E209" s="93"/>
    </row>
    <row r="210" spans="1:5" s="29" customFormat="1" ht="34.15" customHeight="1" x14ac:dyDescent="0.25">
      <c r="A210" s="1">
        <v>1</v>
      </c>
      <c r="B210" s="91" t="s">
        <v>320</v>
      </c>
      <c r="C210" s="91"/>
      <c r="D210" s="91"/>
      <c r="E210" s="2">
        <f>281870+209484+583610+4281736+1223700+37800-1167265-921408-474527</f>
        <v>4055000</v>
      </c>
    </row>
    <row r="211" spans="1:5" s="29" customFormat="1" x14ac:dyDescent="0.25">
      <c r="A211" s="1">
        <v>2</v>
      </c>
      <c r="B211" s="91" t="s">
        <v>209</v>
      </c>
      <c r="C211" s="91"/>
      <c r="D211" s="91"/>
      <c r="E211" s="2">
        <f>1500000+475000-500000-307249</f>
        <v>1167751</v>
      </c>
    </row>
    <row r="212" spans="1:5" s="29" customFormat="1" ht="18" customHeight="1" x14ac:dyDescent="0.25">
      <c r="A212" s="1">
        <v>3</v>
      </c>
      <c r="B212" s="91" t="s">
        <v>116</v>
      </c>
      <c r="C212" s="91"/>
      <c r="D212" s="91"/>
      <c r="E212" s="2">
        <v>200000</v>
      </c>
    </row>
    <row r="213" spans="1:5" s="29" customFormat="1" ht="31.15" customHeight="1" x14ac:dyDescent="0.25">
      <c r="A213" s="1">
        <v>4</v>
      </c>
      <c r="B213" s="91" t="s">
        <v>321</v>
      </c>
      <c r="C213" s="91"/>
      <c r="D213" s="91"/>
      <c r="E213" s="2">
        <v>185980</v>
      </c>
    </row>
    <row r="214" spans="1:5" s="29" customFormat="1" x14ac:dyDescent="0.25">
      <c r="A214" s="42"/>
      <c r="B214" s="77" t="s">
        <v>124</v>
      </c>
      <c r="C214" s="77"/>
      <c r="D214" s="77"/>
      <c r="E214" s="3">
        <f>SUM(E210:E213)</f>
        <v>5608731</v>
      </c>
    </row>
    <row r="215" spans="1:5" s="29" customFormat="1" ht="22.5" customHeight="1" x14ac:dyDescent="0.25">
      <c r="A215" s="94" t="s">
        <v>29</v>
      </c>
      <c r="B215" s="92"/>
      <c r="C215" s="92"/>
      <c r="D215" s="92"/>
      <c r="E215" s="93"/>
    </row>
    <row r="216" spans="1:5" s="29" customFormat="1" ht="31.9" customHeight="1" x14ac:dyDescent="0.25">
      <c r="A216" s="36">
        <v>1</v>
      </c>
      <c r="B216" s="98" t="s">
        <v>322</v>
      </c>
      <c r="C216" s="98"/>
      <c r="D216" s="98"/>
      <c r="E216" s="37">
        <f>2500000-1000000</f>
        <v>1500000</v>
      </c>
    </row>
    <row r="217" spans="1:5" s="29" customFormat="1" ht="15" customHeight="1" x14ac:dyDescent="0.25">
      <c r="A217" s="36">
        <v>2</v>
      </c>
      <c r="B217" s="98" t="s">
        <v>144</v>
      </c>
      <c r="C217" s="98"/>
      <c r="D217" s="98"/>
      <c r="E217" s="37">
        <f>1605488-89456</f>
        <v>1516032</v>
      </c>
    </row>
    <row r="218" spans="1:5" s="29" customFormat="1" ht="15" customHeight="1" x14ac:dyDescent="0.25">
      <c r="A218" s="36">
        <v>3</v>
      </c>
      <c r="B218" s="98" t="s">
        <v>145</v>
      </c>
      <c r="C218" s="98"/>
      <c r="D218" s="98"/>
      <c r="E218" s="37">
        <f>1713000-17888</f>
        <v>1695112</v>
      </c>
    </row>
    <row r="219" spans="1:5" s="29" customFormat="1" ht="15" customHeight="1" x14ac:dyDescent="0.25">
      <c r="A219" s="36">
        <v>4</v>
      </c>
      <c r="B219" s="98" t="s">
        <v>146</v>
      </c>
      <c r="C219" s="98"/>
      <c r="D219" s="98"/>
      <c r="E219" s="37">
        <f>146634-1863</f>
        <v>144771</v>
      </c>
    </row>
    <row r="220" spans="1:5" s="29" customFormat="1" ht="15" customHeight="1" x14ac:dyDescent="0.25">
      <c r="A220" s="36">
        <v>5</v>
      </c>
      <c r="B220" s="98" t="s">
        <v>147</v>
      </c>
      <c r="C220" s="98"/>
      <c r="D220" s="98"/>
      <c r="E220" s="37">
        <f>107032-5561</f>
        <v>101471</v>
      </c>
    </row>
    <row r="221" spans="1:5" s="29" customFormat="1" x14ac:dyDescent="0.25">
      <c r="A221" s="36">
        <v>6</v>
      </c>
      <c r="B221" s="98" t="s">
        <v>210</v>
      </c>
      <c r="C221" s="98"/>
      <c r="D221" s="98"/>
      <c r="E221" s="37">
        <f>800000-59771</f>
        <v>740229</v>
      </c>
    </row>
    <row r="222" spans="1:5" s="29" customFormat="1" x14ac:dyDescent="0.25">
      <c r="A222" s="36">
        <v>7</v>
      </c>
      <c r="B222" s="98" t="s">
        <v>227</v>
      </c>
      <c r="C222" s="98"/>
      <c r="D222" s="98"/>
      <c r="E222" s="37">
        <v>757748</v>
      </c>
    </row>
    <row r="223" spans="1:5" s="29" customFormat="1" x14ac:dyDescent="0.25">
      <c r="A223" s="36">
        <v>8</v>
      </c>
      <c r="B223" s="98" t="s">
        <v>258</v>
      </c>
      <c r="C223" s="98"/>
      <c r="D223" s="98"/>
      <c r="E223" s="37">
        <v>333300</v>
      </c>
    </row>
    <row r="224" spans="1:5" s="29" customFormat="1" ht="27" customHeight="1" x14ac:dyDescent="0.25">
      <c r="A224" s="36">
        <v>9</v>
      </c>
      <c r="B224" s="98" t="s">
        <v>259</v>
      </c>
      <c r="C224" s="98"/>
      <c r="D224" s="98"/>
      <c r="E224" s="37">
        <v>1108231</v>
      </c>
    </row>
    <row r="225" spans="1:5" s="30" customFormat="1" x14ac:dyDescent="0.25">
      <c r="A225" s="36">
        <v>10</v>
      </c>
      <c r="B225" s="98" t="s">
        <v>285</v>
      </c>
      <c r="C225" s="98"/>
      <c r="D225" s="98"/>
      <c r="E225" s="37">
        <v>1427846</v>
      </c>
    </row>
    <row r="226" spans="1:5" s="29" customFormat="1" x14ac:dyDescent="0.25">
      <c r="A226" s="1"/>
      <c r="B226" s="77" t="s">
        <v>124</v>
      </c>
      <c r="C226" s="77"/>
      <c r="D226" s="77"/>
      <c r="E226" s="3">
        <f>SUM(E216:E225)</f>
        <v>9324740</v>
      </c>
    </row>
    <row r="227" spans="1:5" s="29" customFormat="1" ht="15" customHeight="1" x14ac:dyDescent="0.25">
      <c r="A227" s="94" t="s">
        <v>125</v>
      </c>
      <c r="B227" s="92"/>
      <c r="C227" s="92"/>
      <c r="D227" s="92"/>
      <c r="E227" s="93"/>
    </row>
    <row r="228" spans="1:5" s="29" customFormat="1" ht="15" customHeight="1" x14ac:dyDescent="0.25">
      <c r="A228" s="1">
        <v>1</v>
      </c>
      <c r="B228" s="91" t="s">
        <v>228</v>
      </c>
      <c r="C228" s="91"/>
      <c r="D228" s="91"/>
      <c r="E228" s="2">
        <f>1384494-1101720+998000+45169</f>
        <v>1325943</v>
      </c>
    </row>
    <row r="229" spans="1:5" s="29" customFormat="1" ht="15" customHeight="1" x14ac:dyDescent="0.25">
      <c r="A229" s="1">
        <v>2</v>
      </c>
      <c r="B229" s="91" t="s">
        <v>30</v>
      </c>
      <c r="C229" s="91"/>
      <c r="D229" s="91"/>
      <c r="E229" s="2">
        <f>564045</f>
        <v>564045</v>
      </c>
    </row>
    <row r="230" spans="1:5" s="29" customFormat="1" ht="15" customHeight="1" x14ac:dyDescent="0.25">
      <c r="A230" s="1">
        <v>3</v>
      </c>
      <c r="B230" s="91" t="s">
        <v>148</v>
      </c>
      <c r="C230" s="91"/>
      <c r="D230" s="91"/>
      <c r="E230" s="2">
        <f>2096301</f>
        <v>2096301</v>
      </c>
    </row>
    <row r="231" spans="1:5" s="29" customFormat="1" ht="15" customHeight="1" x14ac:dyDescent="0.25">
      <c r="A231" s="1">
        <v>4</v>
      </c>
      <c r="B231" s="91" t="s">
        <v>31</v>
      </c>
      <c r="C231" s="91"/>
      <c r="D231" s="91"/>
      <c r="E231" s="2">
        <f>865351</f>
        <v>865351</v>
      </c>
    </row>
    <row r="232" spans="1:5" s="29" customFormat="1" ht="15" customHeight="1" x14ac:dyDescent="0.25">
      <c r="A232" s="1">
        <v>5</v>
      </c>
      <c r="B232" s="91" t="s">
        <v>70</v>
      </c>
      <c r="C232" s="91"/>
      <c r="D232" s="91"/>
      <c r="E232" s="2">
        <v>314913</v>
      </c>
    </row>
    <row r="233" spans="1:5" s="29" customFormat="1" ht="27.75" customHeight="1" x14ac:dyDescent="0.25">
      <c r="A233" s="1">
        <v>6</v>
      </c>
      <c r="B233" s="111" t="s">
        <v>280</v>
      </c>
      <c r="C233" s="112"/>
      <c r="D233" s="113"/>
      <c r="E233" s="2">
        <v>630069</v>
      </c>
    </row>
    <row r="234" spans="1:5" s="29" customFormat="1" ht="24.75" customHeight="1" x14ac:dyDescent="0.25">
      <c r="A234" s="1">
        <v>7</v>
      </c>
      <c r="B234" s="91" t="s">
        <v>71</v>
      </c>
      <c r="C234" s="91"/>
      <c r="D234" s="91"/>
      <c r="E234" s="2">
        <v>249813</v>
      </c>
    </row>
    <row r="235" spans="1:5" s="29" customFormat="1" ht="15" customHeight="1" x14ac:dyDescent="0.25">
      <c r="A235" s="1">
        <v>8</v>
      </c>
      <c r="B235" s="91" t="s">
        <v>72</v>
      </c>
      <c r="C235" s="91"/>
      <c r="D235" s="91"/>
      <c r="E235" s="2">
        <f>250000-9379</f>
        <v>240621</v>
      </c>
    </row>
    <row r="236" spans="1:5" s="29" customFormat="1" ht="26.25" customHeight="1" x14ac:dyDescent="0.25">
      <c r="A236" s="1">
        <v>9</v>
      </c>
      <c r="B236" s="91" t="s">
        <v>229</v>
      </c>
      <c r="C236" s="91"/>
      <c r="D236" s="91"/>
      <c r="E236" s="2">
        <v>263508</v>
      </c>
    </row>
    <row r="237" spans="1:5" s="29" customFormat="1" ht="34.15" customHeight="1" x14ac:dyDescent="0.25">
      <c r="A237" s="1">
        <v>10</v>
      </c>
      <c r="B237" s="91" t="s">
        <v>323</v>
      </c>
      <c r="C237" s="91"/>
      <c r="D237" s="91"/>
      <c r="E237" s="2">
        <v>298760</v>
      </c>
    </row>
    <row r="238" spans="1:5" s="29" customFormat="1" x14ac:dyDescent="0.25">
      <c r="A238" s="1">
        <v>11</v>
      </c>
      <c r="B238" s="97" t="s">
        <v>324</v>
      </c>
      <c r="C238" s="97"/>
      <c r="D238" s="97"/>
      <c r="E238" s="2">
        <v>3147818</v>
      </c>
    </row>
    <row r="239" spans="1:5" s="29" customFormat="1" x14ac:dyDescent="0.25">
      <c r="A239" s="1">
        <v>12</v>
      </c>
      <c r="B239" s="97" t="s">
        <v>258</v>
      </c>
      <c r="C239" s="97"/>
      <c r="D239" s="97"/>
      <c r="E239" s="2">
        <v>967400</v>
      </c>
    </row>
    <row r="240" spans="1:5" s="29" customFormat="1" x14ac:dyDescent="0.25">
      <c r="A240" s="1"/>
      <c r="B240" s="77" t="s">
        <v>124</v>
      </c>
      <c r="C240" s="77"/>
      <c r="D240" s="77"/>
      <c r="E240" s="3">
        <f>SUM(E228:E239)</f>
        <v>10964542</v>
      </c>
    </row>
    <row r="241" spans="1:5" s="29" customFormat="1" hidden="1" x14ac:dyDescent="0.25">
      <c r="A241" s="1"/>
      <c r="B241" s="52"/>
      <c r="C241" s="52"/>
      <c r="D241" s="52"/>
      <c r="E241" s="3"/>
    </row>
    <row r="242" spans="1:5" s="29" customFormat="1" ht="15" customHeight="1" x14ac:dyDescent="0.25">
      <c r="A242" s="94" t="s">
        <v>32</v>
      </c>
      <c r="B242" s="92"/>
      <c r="C242" s="92"/>
      <c r="D242" s="92"/>
      <c r="E242" s="93"/>
    </row>
    <row r="243" spans="1:5" s="29" customFormat="1" x14ac:dyDescent="0.25">
      <c r="A243" s="1">
        <v>1</v>
      </c>
      <c r="B243" s="91" t="s">
        <v>149</v>
      </c>
      <c r="C243" s="91"/>
      <c r="D243" s="91"/>
      <c r="E243" s="2">
        <f>1191001-378322+1275339</f>
        <v>2088018</v>
      </c>
    </row>
    <row r="244" spans="1:5" s="29" customFormat="1" ht="18.600000000000001" customHeight="1" x14ac:dyDescent="0.25">
      <c r="A244" s="1">
        <v>2</v>
      </c>
      <c r="B244" s="114" t="s">
        <v>211</v>
      </c>
      <c r="C244" s="114"/>
      <c r="D244" s="114"/>
      <c r="E244" s="2">
        <v>1092510</v>
      </c>
    </row>
    <row r="245" spans="1:5" s="29" customFormat="1" ht="30" customHeight="1" x14ac:dyDescent="0.25">
      <c r="A245" s="1">
        <v>3</v>
      </c>
      <c r="B245" s="114" t="s">
        <v>150</v>
      </c>
      <c r="C245" s="114"/>
      <c r="D245" s="114"/>
      <c r="E245" s="2">
        <f>952516-452516</f>
        <v>500000</v>
      </c>
    </row>
    <row r="246" spans="1:5" s="29" customFormat="1" ht="18" customHeight="1" x14ac:dyDescent="0.25">
      <c r="A246" s="1">
        <v>4</v>
      </c>
      <c r="B246" s="114" t="s">
        <v>258</v>
      </c>
      <c r="C246" s="114"/>
      <c r="D246" s="114"/>
      <c r="E246" s="2">
        <v>579800</v>
      </c>
    </row>
    <row r="247" spans="1:5" s="29" customFormat="1" x14ac:dyDescent="0.25">
      <c r="A247" s="1"/>
      <c r="B247" s="77" t="s">
        <v>124</v>
      </c>
      <c r="C247" s="77"/>
      <c r="D247" s="77"/>
      <c r="E247" s="3">
        <f>SUM(E243:E246)</f>
        <v>4260328</v>
      </c>
    </row>
    <row r="248" spans="1:5" s="29" customFormat="1" ht="15" customHeight="1" x14ac:dyDescent="0.25">
      <c r="A248" s="94" t="s">
        <v>167</v>
      </c>
      <c r="B248" s="92"/>
      <c r="C248" s="92"/>
      <c r="D248" s="92"/>
      <c r="E248" s="93"/>
    </row>
    <row r="249" spans="1:5" s="29" customFormat="1" ht="32.450000000000003" customHeight="1" x14ac:dyDescent="0.25">
      <c r="A249" s="1">
        <v>1</v>
      </c>
      <c r="B249" s="91" t="s">
        <v>212</v>
      </c>
      <c r="C249" s="91"/>
      <c r="D249" s="91"/>
      <c r="E249" s="2">
        <v>18858</v>
      </c>
    </row>
    <row r="250" spans="1:5" s="29" customFormat="1" ht="29.45" customHeight="1" x14ac:dyDescent="0.25">
      <c r="A250" s="1">
        <v>2</v>
      </c>
      <c r="B250" s="99" t="s">
        <v>230</v>
      </c>
      <c r="C250" s="99"/>
      <c r="D250" s="99"/>
      <c r="E250" s="2">
        <v>1480000</v>
      </c>
    </row>
    <row r="251" spans="1:5" s="29" customFormat="1" ht="34.9" customHeight="1" x14ac:dyDescent="0.25">
      <c r="A251" s="1">
        <v>3</v>
      </c>
      <c r="B251" s="99" t="s">
        <v>325</v>
      </c>
      <c r="C251" s="99"/>
      <c r="D251" s="99"/>
      <c r="E251" s="2">
        <v>1268036</v>
      </c>
    </row>
    <row r="252" spans="1:5" s="29" customFormat="1" ht="32.450000000000003" customHeight="1" x14ac:dyDescent="0.25">
      <c r="A252" s="1">
        <v>4</v>
      </c>
      <c r="B252" s="99" t="s">
        <v>326</v>
      </c>
      <c r="C252" s="99"/>
      <c r="D252" s="99"/>
      <c r="E252" s="2">
        <v>1185000</v>
      </c>
    </row>
    <row r="253" spans="1:5" s="29" customFormat="1" ht="31.15" customHeight="1" x14ac:dyDescent="0.25">
      <c r="A253" s="1">
        <v>5</v>
      </c>
      <c r="B253" s="99" t="s">
        <v>213</v>
      </c>
      <c r="C253" s="99"/>
      <c r="D253" s="99"/>
      <c r="E253" s="2">
        <v>1825000</v>
      </c>
    </row>
    <row r="254" spans="1:5" s="29" customFormat="1" ht="31.15" customHeight="1" x14ac:dyDescent="0.25">
      <c r="A254" s="1">
        <v>6</v>
      </c>
      <c r="B254" s="99" t="s">
        <v>231</v>
      </c>
      <c r="C254" s="99"/>
      <c r="D254" s="99"/>
      <c r="E254" s="2">
        <v>272555</v>
      </c>
    </row>
    <row r="255" spans="1:5" s="29" customFormat="1" x14ac:dyDescent="0.25">
      <c r="A255" s="1">
        <v>7</v>
      </c>
      <c r="B255" s="99" t="s">
        <v>258</v>
      </c>
      <c r="C255" s="99"/>
      <c r="D255" s="99"/>
      <c r="E255" s="2">
        <f>776600-10836</f>
        <v>765764</v>
      </c>
    </row>
    <row r="256" spans="1:5" s="29" customFormat="1" x14ac:dyDescent="0.25">
      <c r="A256" s="1"/>
      <c r="B256" s="77" t="s">
        <v>124</v>
      </c>
      <c r="C256" s="77"/>
      <c r="D256" s="77"/>
      <c r="E256" s="3">
        <f>SUM(E249:E255)</f>
        <v>6815213</v>
      </c>
    </row>
    <row r="257" spans="1:5" s="29" customFormat="1" ht="15" customHeight="1" x14ac:dyDescent="0.25">
      <c r="A257" s="94" t="s">
        <v>17</v>
      </c>
      <c r="B257" s="92"/>
      <c r="C257" s="92"/>
      <c r="D257" s="92"/>
      <c r="E257" s="93"/>
    </row>
    <row r="258" spans="1:5" s="29" customFormat="1" ht="19.149999999999999" customHeight="1" x14ac:dyDescent="0.25">
      <c r="A258" s="1">
        <v>1</v>
      </c>
      <c r="B258" s="91" t="s">
        <v>151</v>
      </c>
      <c r="C258" s="91"/>
      <c r="D258" s="91"/>
      <c r="E258" s="2">
        <v>2005690</v>
      </c>
    </row>
    <row r="259" spans="1:5" s="29" customFormat="1" ht="20.45" customHeight="1" x14ac:dyDescent="0.25">
      <c r="A259" s="1">
        <v>2</v>
      </c>
      <c r="B259" s="91" t="s">
        <v>152</v>
      </c>
      <c r="C259" s="91"/>
      <c r="D259" s="91"/>
      <c r="E259" s="2">
        <v>1227901</v>
      </c>
    </row>
    <row r="260" spans="1:5" s="29" customFormat="1" x14ac:dyDescent="0.25">
      <c r="A260" s="1">
        <v>3</v>
      </c>
      <c r="B260" s="91" t="s">
        <v>258</v>
      </c>
      <c r="C260" s="91"/>
      <c r="D260" s="91"/>
      <c r="E260" s="2">
        <v>340200</v>
      </c>
    </row>
    <row r="261" spans="1:5" s="29" customFormat="1" x14ac:dyDescent="0.25">
      <c r="A261" s="1"/>
      <c r="B261" s="77" t="s">
        <v>124</v>
      </c>
      <c r="C261" s="77"/>
      <c r="D261" s="77"/>
      <c r="E261" s="3">
        <f>SUM(E258:E260)</f>
        <v>3573791</v>
      </c>
    </row>
    <row r="262" spans="1:5" s="29" customFormat="1" ht="15" customHeight="1" x14ac:dyDescent="0.25">
      <c r="A262" s="94" t="s">
        <v>33</v>
      </c>
      <c r="B262" s="92"/>
      <c r="C262" s="92"/>
      <c r="D262" s="92"/>
      <c r="E262" s="93"/>
    </row>
    <row r="263" spans="1:5" s="29" customFormat="1" ht="32.25" customHeight="1" x14ac:dyDescent="0.25">
      <c r="A263" s="1">
        <v>1</v>
      </c>
      <c r="B263" s="91" t="s">
        <v>327</v>
      </c>
      <c r="C263" s="91"/>
      <c r="D263" s="91"/>
      <c r="E263" s="2">
        <f>603880+74179+3597147-751568-600000</f>
        <v>2923638</v>
      </c>
    </row>
    <row r="264" spans="1:5" s="29" customFormat="1" ht="28.9" customHeight="1" x14ac:dyDescent="0.25">
      <c r="A264" s="1">
        <v>2</v>
      </c>
      <c r="B264" s="91" t="s">
        <v>182</v>
      </c>
      <c r="C264" s="91"/>
      <c r="D264" s="91"/>
      <c r="E264" s="2">
        <f>4405861-300000-1774340</f>
        <v>2331521</v>
      </c>
    </row>
    <row r="265" spans="1:5" s="29" customFormat="1" x14ac:dyDescent="0.25">
      <c r="A265" s="1">
        <v>3</v>
      </c>
      <c r="B265" s="91" t="s">
        <v>258</v>
      </c>
      <c r="C265" s="91"/>
      <c r="D265" s="91"/>
      <c r="E265" s="2">
        <v>475500</v>
      </c>
    </row>
    <row r="266" spans="1:5" s="29" customFormat="1" x14ac:dyDescent="0.25">
      <c r="A266" s="1"/>
      <c r="B266" s="77" t="s">
        <v>124</v>
      </c>
      <c r="C266" s="77"/>
      <c r="D266" s="77"/>
      <c r="E266" s="3">
        <f>SUM(E263:E265)</f>
        <v>5730659</v>
      </c>
    </row>
    <row r="267" spans="1:5" s="29" customFormat="1" ht="15" customHeight="1" x14ac:dyDescent="0.25">
      <c r="A267" s="94" t="s">
        <v>34</v>
      </c>
      <c r="B267" s="92"/>
      <c r="C267" s="92"/>
      <c r="D267" s="92"/>
      <c r="E267" s="93"/>
    </row>
    <row r="268" spans="1:5" s="29" customFormat="1" ht="30.6" customHeight="1" x14ac:dyDescent="0.25">
      <c r="A268" s="1">
        <v>1</v>
      </c>
      <c r="B268" s="91" t="s">
        <v>347</v>
      </c>
      <c r="C268" s="91"/>
      <c r="D268" s="91"/>
      <c r="E268" s="2">
        <v>1174606</v>
      </c>
    </row>
    <row r="269" spans="1:5" s="29" customFormat="1" x14ac:dyDescent="0.25">
      <c r="A269" s="1">
        <v>2</v>
      </c>
      <c r="B269" s="91" t="s">
        <v>214</v>
      </c>
      <c r="C269" s="91"/>
      <c r="D269" s="91"/>
      <c r="E269" s="2">
        <v>883254</v>
      </c>
    </row>
    <row r="270" spans="1:5" s="29" customFormat="1" x14ac:dyDescent="0.25">
      <c r="A270" s="1">
        <v>3</v>
      </c>
      <c r="B270" s="91" t="s">
        <v>258</v>
      </c>
      <c r="C270" s="91"/>
      <c r="D270" s="91"/>
      <c r="E270" s="2">
        <v>298972</v>
      </c>
    </row>
    <row r="271" spans="1:5" s="29" customFormat="1" x14ac:dyDescent="0.25">
      <c r="A271" s="1"/>
      <c r="B271" s="77" t="s">
        <v>124</v>
      </c>
      <c r="C271" s="77"/>
      <c r="D271" s="77"/>
      <c r="E271" s="3">
        <f>SUM(E268:E270)</f>
        <v>2356832</v>
      </c>
    </row>
    <row r="272" spans="1:5" s="29" customFormat="1" ht="29.45" customHeight="1" x14ac:dyDescent="0.25">
      <c r="A272" s="94" t="s">
        <v>35</v>
      </c>
      <c r="B272" s="92"/>
      <c r="C272" s="92"/>
      <c r="D272" s="92"/>
      <c r="E272" s="93"/>
    </row>
    <row r="273" spans="1:5" s="29" customFormat="1" x14ac:dyDescent="0.25">
      <c r="A273" s="1">
        <v>1</v>
      </c>
      <c r="B273" s="91" t="s">
        <v>328</v>
      </c>
      <c r="C273" s="91"/>
      <c r="D273" s="91"/>
      <c r="E273" s="2">
        <f>163048+105302+3455000-1694298</f>
        <v>2029052</v>
      </c>
    </row>
    <row r="274" spans="1:5" s="29" customFormat="1" x14ac:dyDescent="0.25">
      <c r="A274" s="1"/>
      <c r="B274" s="77" t="s">
        <v>124</v>
      </c>
      <c r="C274" s="77"/>
      <c r="D274" s="77"/>
      <c r="E274" s="3">
        <f>SUM(E273:E273)</f>
        <v>2029052</v>
      </c>
    </row>
    <row r="275" spans="1:5" s="29" customFormat="1" ht="15" customHeight="1" x14ac:dyDescent="0.25">
      <c r="A275" s="94" t="s">
        <v>36</v>
      </c>
      <c r="B275" s="92"/>
      <c r="C275" s="92"/>
      <c r="D275" s="92"/>
      <c r="E275" s="93"/>
    </row>
    <row r="276" spans="1:5" s="29" customFormat="1" ht="32.450000000000003" customHeight="1" x14ac:dyDescent="0.25">
      <c r="A276" s="1">
        <v>1</v>
      </c>
      <c r="B276" s="91" t="s">
        <v>262</v>
      </c>
      <c r="C276" s="91"/>
      <c r="D276" s="91"/>
      <c r="E276" s="2">
        <f>490950+590000</f>
        <v>1080950</v>
      </c>
    </row>
    <row r="277" spans="1:5" s="29" customFormat="1" x14ac:dyDescent="0.25">
      <c r="A277" s="1"/>
      <c r="B277" s="77" t="s">
        <v>37</v>
      </c>
      <c r="C277" s="77"/>
      <c r="D277" s="77"/>
      <c r="E277" s="3">
        <f>E276</f>
        <v>1080950</v>
      </c>
    </row>
    <row r="278" spans="1:5" s="29" customFormat="1" x14ac:dyDescent="0.25">
      <c r="A278" s="1"/>
      <c r="B278" s="77" t="s">
        <v>38</v>
      </c>
      <c r="C278" s="77"/>
      <c r="D278" s="77"/>
      <c r="E278" s="3">
        <f>E199+E204+E208+E214+E240+E247+E266+E256+E261+E271+E274+E277+E226</f>
        <v>77436125</v>
      </c>
    </row>
    <row r="279" spans="1:5" s="29" customFormat="1" ht="15" customHeight="1" x14ac:dyDescent="0.25">
      <c r="A279" s="88" t="s">
        <v>183</v>
      </c>
      <c r="B279" s="89"/>
      <c r="C279" s="89"/>
      <c r="D279" s="89"/>
      <c r="E279" s="90"/>
    </row>
    <row r="280" spans="1:5" s="29" customFormat="1" ht="15" customHeight="1" x14ac:dyDescent="0.25">
      <c r="A280" s="94" t="s">
        <v>14</v>
      </c>
      <c r="B280" s="92"/>
      <c r="C280" s="92"/>
      <c r="D280" s="92"/>
      <c r="E280" s="93"/>
    </row>
    <row r="281" spans="1:5" s="29" customFormat="1" x14ac:dyDescent="0.25">
      <c r="A281" s="1">
        <v>1</v>
      </c>
      <c r="B281" s="91" t="s">
        <v>215</v>
      </c>
      <c r="C281" s="91"/>
      <c r="D281" s="91"/>
      <c r="E281" s="2">
        <f>2214688-300000</f>
        <v>1914688</v>
      </c>
    </row>
    <row r="282" spans="1:5" s="29" customFormat="1" x14ac:dyDescent="0.25">
      <c r="A282" s="43"/>
      <c r="B282" s="77" t="s">
        <v>124</v>
      </c>
      <c r="C282" s="77"/>
      <c r="D282" s="77"/>
      <c r="E282" s="3">
        <f>E281</f>
        <v>1914688</v>
      </c>
    </row>
    <row r="283" spans="1:5" s="29" customFormat="1" ht="15" customHeight="1" x14ac:dyDescent="0.25">
      <c r="A283" s="94" t="s">
        <v>39</v>
      </c>
      <c r="B283" s="115"/>
      <c r="C283" s="115"/>
      <c r="D283" s="115"/>
      <c r="E283" s="116"/>
    </row>
    <row r="284" spans="1:5" s="29" customFormat="1" ht="30.6" customHeight="1" x14ac:dyDescent="0.25">
      <c r="A284" s="1">
        <v>1</v>
      </c>
      <c r="B284" s="115" t="s">
        <v>329</v>
      </c>
      <c r="C284" s="115"/>
      <c r="D284" s="115"/>
      <c r="E284" s="2">
        <v>103070</v>
      </c>
    </row>
    <row r="285" spans="1:5" s="29" customFormat="1" ht="33" customHeight="1" x14ac:dyDescent="0.25">
      <c r="A285" s="1">
        <v>2</v>
      </c>
      <c r="B285" s="115" t="s">
        <v>237</v>
      </c>
      <c r="C285" s="115"/>
      <c r="D285" s="115"/>
      <c r="E285" s="2">
        <v>73641</v>
      </c>
    </row>
    <row r="286" spans="1:5" s="29" customFormat="1" x14ac:dyDescent="0.25">
      <c r="A286" s="43"/>
      <c r="B286" s="117" t="s">
        <v>124</v>
      </c>
      <c r="C286" s="117"/>
      <c r="D286" s="117"/>
      <c r="E286" s="3">
        <f>SUM(E284:E285)</f>
        <v>176711</v>
      </c>
    </row>
    <row r="287" spans="1:5" s="29" customFormat="1" ht="15" customHeight="1" x14ac:dyDescent="0.25">
      <c r="A287" s="94" t="s">
        <v>40</v>
      </c>
      <c r="B287" s="92"/>
      <c r="C287" s="92"/>
      <c r="D287" s="92"/>
      <c r="E287" s="93"/>
    </row>
    <row r="288" spans="1:5" s="29" customFormat="1" ht="30.75" customHeight="1" x14ac:dyDescent="0.25">
      <c r="A288" s="43">
        <v>1</v>
      </c>
      <c r="B288" s="91" t="s">
        <v>330</v>
      </c>
      <c r="C288" s="91"/>
      <c r="D288" s="91"/>
      <c r="E288" s="2">
        <f>519449-289914</f>
        <v>229535</v>
      </c>
    </row>
    <row r="289" spans="1:5" s="29" customFormat="1" x14ac:dyDescent="0.25">
      <c r="A289" s="43"/>
      <c r="B289" s="77" t="s">
        <v>124</v>
      </c>
      <c r="C289" s="77"/>
      <c r="D289" s="77"/>
      <c r="E289" s="3">
        <f>SUM(E288:E288)</f>
        <v>229535</v>
      </c>
    </row>
    <row r="290" spans="1:5" s="29" customFormat="1" ht="15" customHeight="1" x14ac:dyDescent="0.25">
      <c r="A290" s="94" t="s">
        <v>131</v>
      </c>
      <c r="B290" s="92"/>
      <c r="C290" s="92"/>
      <c r="D290" s="92"/>
      <c r="E290" s="93"/>
    </row>
    <row r="291" spans="1:5" s="29" customFormat="1" x14ac:dyDescent="0.25">
      <c r="A291" s="1">
        <v>1</v>
      </c>
      <c r="B291" s="91" t="s">
        <v>41</v>
      </c>
      <c r="C291" s="91"/>
      <c r="D291" s="91"/>
      <c r="E291" s="2">
        <v>150000</v>
      </c>
    </row>
    <row r="292" spans="1:5" s="29" customFormat="1" ht="17.45" customHeight="1" x14ac:dyDescent="0.25">
      <c r="A292" s="1">
        <v>2</v>
      </c>
      <c r="B292" s="91" t="s">
        <v>42</v>
      </c>
      <c r="C292" s="91"/>
      <c r="D292" s="91"/>
      <c r="E292" s="2">
        <v>40000</v>
      </c>
    </row>
    <row r="293" spans="1:5" s="29" customFormat="1" ht="29.25" customHeight="1" x14ac:dyDescent="0.25">
      <c r="A293" s="1">
        <v>3</v>
      </c>
      <c r="B293" s="91" t="s">
        <v>232</v>
      </c>
      <c r="C293" s="91"/>
      <c r="D293" s="91"/>
      <c r="E293" s="2">
        <f>39000+31980</f>
        <v>70980</v>
      </c>
    </row>
    <row r="294" spans="1:5" s="29" customFormat="1" x14ac:dyDescent="0.25">
      <c r="A294" s="43"/>
      <c r="B294" s="77" t="s">
        <v>124</v>
      </c>
      <c r="C294" s="77"/>
      <c r="D294" s="77"/>
      <c r="E294" s="3">
        <f>SUM(E291:E293)</f>
        <v>260980</v>
      </c>
    </row>
    <row r="295" spans="1:5" s="29" customFormat="1" ht="20.45" customHeight="1" x14ac:dyDescent="0.25">
      <c r="A295" s="94" t="s">
        <v>43</v>
      </c>
      <c r="B295" s="92"/>
      <c r="C295" s="92"/>
      <c r="D295" s="92"/>
      <c r="E295" s="93"/>
    </row>
    <row r="296" spans="1:5" s="29" customFormat="1" ht="29.25" customHeight="1" x14ac:dyDescent="0.25">
      <c r="A296" s="1">
        <v>1</v>
      </c>
      <c r="B296" s="91" t="s">
        <v>233</v>
      </c>
      <c r="C296" s="91"/>
      <c r="D296" s="91"/>
      <c r="E296" s="2">
        <f>175292+194959</f>
        <v>370251</v>
      </c>
    </row>
    <row r="297" spans="1:5" s="29" customFormat="1" x14ac:dyDescent="0.25">
      <c r="A297" s="1"/>
      <c r="B297" s="77" t="s">
        <v>124</v>
      </c>
      <c r="C297" s="77"/>
      <c r="D297" s="77"/>
      <c r="E297" s="3">
        <f>SUM(E296:E296)</f>
        <v>370251</v>
      </c>
    </row>
    <row r="298" spans="1:5" s="29" customFormat="1" ht="15" customHeight="1" x14ac:dyDescent="0.25">
      <c r="A298" s="94" t="s">
        <v>44</v>
      </c>
      <c r="B298" s="92"/>
      <c r="C298" s="92"/>
      <c r="D298" s="92"/>
      <c r="E298" s="93"/>
    </row>
    <row r="299" spans="1:5" s="29" customFormat="1" x14ac:dyDescent="0.25">
      <c r="A299" s="1">
        <v>1</v>
      </c>
      <c r="B299" s="91" t="s">
        <v>268</v>
      </c>
      <c r="C299" s="91"/>
      <c r="D299" s="91"/>
      <c r="E299" s="2">
        <v>731528</v>
      </c>
    </row>
    <row r="300" spans="1:5" s="29" customFormat="1" x14ac:dyDescent="0.25">
      <c r="A300" s="1"/>
      <c r="B300" s="77" t="s">
        <v>124</v>
      </c>
      <c r="C300" s="77"/>
      <c r="D300" s="77"/>
      <c r="E300" s="3">
        <f>E299</f>
        <v>731528</v>
      </c>
    </row>
    <row r="301" spans="1:5" s="29" customFormat="1" ht="16.149999999999999" customHeight="1" x14ac:dyDescent="0.25">
      <c r="A301" s="94" t="s">
        <v>45</v>
      </c>
      <c r="B301" s="92"/>
      <c r="C301" s="92"/>
      <c r="D301" s="92"/>
      <c r="E301" s="93"/>
    </row>
    <row r="302" spans="1:5" s="29" customFormat="1" ht="28.15" customHeight="1" x14ac:dyDescent="0.25">
      <c r="A302" s="1">
        <v>1</v>
      </c>
      <c r="B302" s="91" t="s">
        <v>184</v>
      </c>
      <c r="C302" s="91"/>
      <c r="D302" s="91"/>
      <c r="E302" s="39">
        <v>508763</v>
      </c>
    </row>
    <row r="303" spans="1:5" s="29" customFormat="1" x14ac:dyDescent="0.25">
      <c r="A303" s="1"/>
      <c r="B303" s="77" t="s">
        <v>124</v>
      </c>
      <c r="C303" s="77"/>
      <c r="D303" s="77"/>
      <c r="E303" s="3">
        <f>E302</f>
        <v>508763</v>
      </c>
    </row>
    <row r="304" spans="1:5" s="29" customFormat="1" ht="15" customHeight="1" x14ac:dyDescent="0.25">
      <c r="A304" s="94" t="s">
        <v>46</v>
      </c>
      <c r="B304" s="92"/>
      <c r="C304" s="92"/>
      <c r="D304" s="92"/>
      <c r="E304" s="93"/>
    </row>
    <row r="305" spans="1:5" s="29" customFormat="1" ht="32.450000000000003" customHeight="1" x14ac:dyDescent="0.25">
      <c r="A305" s="1">
        <v>1</v>
      </c>
      <c r="B305" s="91" t="s">
        <v>331</v>
      </c>
      <c r="C305" s="91"/>
      <c r="D305" s="91"/>
      <c r="E305" s="2">
        <f>72086+90736-18282</f>
        <v>144540</v>
      </c>
    </row>
    <row r="306" spans="1:5" s="29" customFormat="1" x14ac:dyDescent="0.25">
      <c r="A306" s="1"/>
      <c r="B306" s="77" t="s">
        <v>124</v>
      </c>
      <c r="C306" s="77"/>
      <c r="D306" s="77"/>
      <c r="E306" s="3">
        <f>E305</f>
        <v>144540</v>
      </c>
    </row>
    <row r="307" spans="1:5" s="29" customFormat="1" ht="15" customHeight="1" x14ac:dyDescent="0.25">
      <c r="A307" s="94" t="s">
        <v>168</v>
      </c>
      <c r="B307" s="92"/>
      <c r="C307" s="92"/>
      <c r="D307" s="92"/>
      <c r="E307" s="93"/>
    </row>
    <row r="308" spans="1:5" s="29" customFormat="1" ht="33" customHeight="1" x14ac:dyDescent="0.25">
      <c r="A308" s="1">
        <v>1</v>
      </c>
      <c r="B308" s="91" t="s">
        <v>238</v>
      </c>
      <c r="C308" s="91"/>
      <c r="D308" s="91"/>
      <c r="E308" s="2">
        <v>198679</v>
      </c>
    </row>
    <row r="309" spans="1:5" s="29" customFormat="1" x14ac:dyDescent="0.25">
      <c r="A309" s="1"/>
      <c r="B309" s="77" t="s">
        <v>124</v>
      </c>
      <c r="C309" s="77"/>
      <c r="D309" s="77"/>
      <c r="E309" s="3">
        <f>SUM(E308:E308)</f>
        <v>198679</v>
      </c>
    </row>
    <row r="310" spans="1:5" s="29" customFormat="1" ht="29.45" customHeight="1" x14ac:dyDescent="0.25">
      <c r="A310" s="94" t="s">
        <v>216</v>
      </c>
      <c r="B310" s="92"/>
      <c r="C310" s="92"/>
      <c r="D310" s="92"/>
      <c r="E310" s="93"/>
    </row>
    <row r="311" spans="1:5" s="29" customFormat="1" ht="46.9" customHeight="1" x14ac:dyDescent="0.25">
      <c r="A311" s="1">
        <v>1</v>
      </c>
      <c r="B311" s="91" t="s">
        <v>332</v>
      </c>
      <c r="C311" s="91"/>
      <c r="D311" s="91"/>
      <c r="E311" s="2">
        <v>552377</v>
      </c>
    </row>
    <row r="312" spans="1:5" s="29" customFormat="1" x14ac:dyDescent="0.25">
      <c r="A312" s="1"/>
      <c r="B312" s="77" t="s">
        <v>124</v>
      </c>
      <c r="C312" s="77"/>
      <c r="D312" s="77"/>
      <c r="E312" s="3">
        <f>E311</f>
        <v>552377</v>
      </c>
    </row>
    <row r="313" spans="1:5" s="29" customFormat="1" x14ac:dyDescent="0.25">
      <c r="A313" s="1"/>
      <c r="B313" s="77" t="s">
        <v>47</v>
      </c>
      <c r="C313" s="77"/>
      <c r="D313" s="77"/>
      <c r="E313" s="3">
        <f>E297+E300+E289+E286+E294+E306+E309+E282+E303+E312</f>
        <v>5088052</v>
      </c>
    </row>
    <row r="314" spans="1:5" s="29" customFormat="1" ht="15" customHeight="1" x14ac:dyDescent="0.25">
      <c r="A314" s="88" t="s">
        <v>48</v>
      </c>
      <c r="B314" s="89"/>
      <c r="C314" s="89"/>
      <c r="D314" s="89"/>
      <c r="E314" s="90"/>
    </row>
    <row r="315" spans="1:5" s="29" customFormat="1" ht="30.75" customHeight="1" x14ac:dyDescent="0.25">
      <c r="A315" s="1"/>
      <c r="B315" s="92" t="s">
        <v>217</v>
      </c>
      <c r="C315" s="92"/>
      <c r="D315" s="92"/>
      <c r="E315" s="93"/>
    </row>
    <row r="316" spans="1:5" s="29" customFormat="1" ht="15" customHeight="1" x14ac:dyDescent="0.25">
      <c r="A316" s="1">
        <v>1</v>
      </c>
      <c r="B316" s="91" t="s">
        <v>218</v>
      </c>
      <c r="C316" s="91"/>
      <c r="D316" s="91"/>
      <c r="E316" s="2">
        <v>2000000</v>
      </c>
    </row>
    <row r="317" spans="1:5" s="30" customFormat="1" x14ac:dyDescent="0.25">
      <c r="A317" s="1">
        <v>2</v>
      </c>
      <c r="B317" s="91" t="s">
        <v>286</v>
      </c>
      <c r="C317" s="91"/>
      <c r="D317" s="91"/>
      <c r="E317" s="2">
        <v>8000000</v>
      </c>
    </row>
    <row r="318" spans="1:5" s="29" customFormat="1" x14ac:dyDescent="0.25">
      <c r="A318" s="1"/>
      <c r="B318" s="77" t="s">
        <v>124</v>
      </c>
      <c r="C318" s="77"/>
      <c r="D318" s="77"/>
      <c r="E318" s="3">
        <f>SUM(E316:E317)</f>
        <v>10000000</v>
      </c>
    </row>
    <row r="319" spans="1:5" s="29" customFormat="1" x14ac:dyDescent="0.25">
      <c r="A319" s="1"/>
      <c r="B319" s="77" t="s">
        <v>49</v>
      </c>
      <c r="C319" s="77"/>
      <c r="D319" s="77"/>
      <c r="E319" s="3">
        <f>SUM(E318)</f>
        <v>10000000</v>
      </c>
    </row>
    <row r="320" spans="1:5" s="29" customFormat="1" ht="15" customHeight="1" x14ac:dyDescent="0.25">
      <c r="A320" s="1"/>
      <c r="B320" s="89" t="s">
        <v>13</v>
      </c>
      <c r="C320" s="89"/>
      <c r="D320" s="89"/>
      <c r="E320" s="90"/>
    </row>
    <row r="321" spans="1:5" s="29" customFormat="1" ht="15" customHeight="1" x14ac:dyDescent="0.25">
      <c r="A321" s="94" t="s">
        <v>40</v>
      </c>
      <c r="B321" s="92"/>
      <c r="C321" s="92"/>
      <c r="D321" s="92"/>
      <c r="E321" s="93"/>
    </row>
    <row r="322" spans="1:5" s="29" customFormat="1" x14ac:dyDescent="0.25">
      <c r="A322" s="1">
        <v>1</v>
      </c>
      <c r="B322" s="91" t="s">
        <v>50</v>
      </c>
      <c r="C322" s="91"/>
      <c r="D322" s="91"/>
      <c r="E322" s="2">
        <f>166097-77452</f>
        <v>88645</v>
      </c>
    </row>
    <row r="323" spans="1:5" s="29" customFormat="1" x14ac:dyDescent="0.25">
      <c r="A323" s="1"/>
      <c r="B323" s="77" t="s">
        <v>124</v>
      </c>
      <c r="C323" s="77"/>
      <c r="D323" s="77"/>
      <c r="E323" s="3">
        <f>E322</f>
        <v>88645</v>
      </c>
    </row>
    <row r="324" spans="1:5" s="29" customFormat="1" ht="30.75" customHeight="1" x14ac:dyDescent="0.25">
      <c r="A324" s="94" t="s">
        <v>35</v>
      </c>
      <c r="B324" s="92"/>
      <c r="C324" s="92"/>
      <c r="D324" s="92"/>
      <c r="E324" s="93"/>
    </row>
    <row r="325" spans="1:5" s="29" customFormat="1" ht="30" customHeight="1" x14ac:dyDescent="0.25">
      <c r="A325" s="1">
        <v>1</v>
      </c>
      <c r="B325" s="91" t="s">
        <v>345</v>
      </c>
      <c r="C325" s="91"/>
      <c r="D325" s="91"/>
      <c r="E325" s="2">
        <v>26946</v>
      </c>
    </row>
    <row r="326" spans="1:5" s="29" customFormat="1" x14ac:dyDescent="0.25">
      <c r="A326" s="1"/>
      <c r="B326" s="77" t="s">
        <v>124</v>
      </c>
      <c r="C326" s="77"/>
      <c r="D326" s="77"/>
      <c r="E326" s="3">
        <f>SUM(E325:E325)</f>
        <v>26946</v>
      </c>
    </row>
    <row r="327" spans="1:5" s="31" customFormat="1" x14ac:dyDescent="0.25">
      <c r="A327" s="1"/>
      <c r="B327" s="77" t="s">
        <v>15</v>
      </c>
      <c r="C327" s="77"/>
      <c r="D327" s="77"/>
      <c r="E327" s="3">
        <f>E323+E326</f>
        <v>115591</v>
      </c>
    </row>
    <row r="328" spans="1:5" s="30" customFormat="1" ht="33" customHeight="1" x14ac:dyDescent="0.25">
      <c r="A328" s="88" t="s">
        <v>127</v>
      </c>
      <c r="B328" s="89"/>
      <c r="C328" s="89"/>
      <c r="D328" s="89"/>
      <c r="E328" s="90"/>
    </row>
    <row r="329" spans="1:5" s="30" customFormat="1" ht="30" customHeight="1" x14ac:dyDescent="0.25">
      <c r="A329" s="94" t="s">
        <v>217</v>
      </c>
      <c r="B329" s="92"/>
      <c r="C329" s="92"/>
      <c r="D329" s="92"/>
      <c r="E329" s="93"/>
    </row>
    <row r="330" spans="1:5" s="30" customFormat="1" x14ac:dyDescent="0.25">
      <c r="A330" s="1">
        <v>1</v>
      </c>
      <c r="B330" s="91" t="s">
        <v>287</v>
      </c>
      <c r="C330" s="91"/>
      <c r="D330" s="91"/>
      <c r="E330" s="2">
        <v>8000000</v>
      </c>
    </row>
    <row r="331" spans="1:5" s="30" customFormat="1" x14ac:dyDescent="0.25">
      <c r="A331" s="1"/>
      <c r="B331" s="77" t="s">
        <v>124</v>
      </c>
      <c r="C331" s="77"/>
      <c r="D331" s="77"/>
      <c r="E331" s="3">
        <f>E330</f>
        <v>8000000</v>
      </c>
    </row>
    <row r="332" spans="1:5" s="30" customFormat="1" ht="33.75" customHeight="1" x14ac:dyDescent="0.25">
      <c r="A332" s="94" t="s">
        <v>35</v>
      </c>
      <c r="B332" s="92"/>
      <c r="C332" s="92"/>
      <c r="D332" s="92"/>
      <c r="E332" s="93"/>
    </row>
    <row r="333" spans="1:5" s="30" customFormat="1" ht="47.25" customHeight="1" x14ac:dyDescent="0.25">
      <c r="A333" s="1">
        <v>1</v>
      </c>
      <c r="B333" s="91" t="s">
        <v>343</v>
      </c>
      <c r="C333" s="91"/>
      <c r="D333" s="91"/>
      <c r="E333" s="2">
        <v>1667352</v>
      </c>
    </row>
    <row r="334" spans="1:5" s="30" customFormat="1" x14ac:dyDescent="0.25">
      <c r="A334" s="1"/>
      <c r="B334" s="77" t="s">
        <v>124</v>
      </c>
      <c r="C334" s="77"/>
      <c r="D334" s="77"/>
      <c r="E334" s="3">
        <f>SUM(E333:E333)</f>
        <v>1667352</v>
      </c>
    </row>
    <row r="335" spans="1:5" s="30" customFormat="1" x14ac:dyDescent="0.25">
      <c r="A335" s="1"/>
      <c r="B335" s="77" t="s">
        <v>169</v>
      </c>
      <c r="C335" s="77"/>
      <c r="D335" s="77"/>
      <c r="E335" s="3">
        <f>E331+E334</f>
        <v>9667352</v>
      </c>
    </row>
    <row r="336" spans="1:5" s="31" customFormat="1" ht="20.45" customHeight="1" x14ac:dyDescent="0.25">
      <c r="A336" s="40"/>
      <c r="B336" s="104" t="s">
        <v>51</v>
      </c>
      <c r="C336" s="104"/>
      <c r="D336" s="104"/>
      <c r="E336" s="41">
        <f>E278+E313+E327+E181+E319+E335</f>
        <v>103902086</v>
      </c>
    </row>
    <row r="337" spans="1:5" s="31" customFormat="1" ht="34.15" customHeight="1" x14ac:dyDescent="0.25">
      <c r="A337" s="94" t="s">
        <v>247</v>
      </c>
      <c r="B337" s="92"/>
      <c r="C337" s="92"/>
      <c r="D337" s="92"/>
      <c r="E337" s="93"/>
    </row>
    <row r="338" spans="1:5" s="31" customFormat="1" ht="15" customHeight="1" x14ac:dyDescent="0.25">
      <c r="A338" s="94" t="s">
        <v>27</v>
      </c>
      <c r="B338" s="92"/>
      <c r="C338" s="92"/>
      <c r="D338" s="92"/>
      <c r="E338" s="93"/>
    </row>
    <row r="339" spans="1:5" s="31" customFormat="1" x14ac:dyDescent="0.25">
      <c r="A339" s="1">
        <v>1</v>
      </c>
      <c r="B339" s="91" t="s">
        <v>249</v>
      </c>
      <c r="C339" s="91"/>
      <c r="D339" s="91"/>
      <c r="E339" s="2">
        <v>47818</v>
      </c>
    </row>
    <row r="340" spans="1:5" s="32" customFormat="1" x14ac:dyDescent="0.25">
      <c r="A340" s="1"/>
      <c r="B340" s="77" t="s">
        <v>124</v>
      </c>
      <c r="C340" s="77"/>
      <c r="D340" s="77"/>
      <c r="E340" s="3">
        <f>SUM(E339:E339)</f>
        <v>47818</v>
      </c>
    </row>
    <row r="341" spans="1:5" s="32" customFormat="1" x14ac:dyDescent="0.25">
      <c r="A341" s="1"/>
      <c r="B341" s="92" t="s">
        <v>348</v>
      </c>
      <c r="C341" s="92"/>
      <c r="D341" s="92"/>
      <c r="E341" s="93"/>
    </row>
    <row r="342" spans="1:5" s="32" customFormat="1" x14ac:dyDescent="0.25">
      <c r="A342" s="1">
        <v>1</v>
      </c>
      <c r="B342" s="91" t="s">
        <v>250</v>
      </c>
      <c r="C342" s="91"/>
      <c r="D342" s="91"/>
      <c r="E342" s="2">
        <v>592297</v>
      </c>
    </row>
    <row r="343" spans="1:5" s="32" customFormat="1" x14ac:dyDescent="0.25">
      <c r="A343" s="1"/>
      <c r="B343" s="77" t="s">
        <v>124</v>
      </c>
      <c r="C343" s="77"/>
      <c r="D343" s="77"/>
      <c r="E343" s="3">
        <f>SUM(E342)</f>
        <v>592297</v>
      </c>
    </row>
    <row r="344" spans="1:5" s="32" customFormat="1" x14ac:dyDescent="0.25">
      <c r="A344" s="1"/>
      <c r="B344" s="92" t="s">
        <v>52</v>
      </c>
      <c r="C344" s="92"/>
      <c r="D344" s="92"/>
      <c r="E344" s="93"/>
    </row>
    <row r="345" spans="1:5" s="32" customFormat="1" x14ac:dyDescent="0.25">
      <c r="A345" s="1">
        <v>1</v>
      </c>
      <c r="B345" s="91" t="s">
        <v>251</v>
      </c>
      <c r="C345" s="91"/>
      <c r="D345" s="91"/>
      <c r="E345" s="2">
        <v>285835</v>
      </c>
    </row>
    <row r="346" spans="1:5" s="32" customFormat="1" x14ac:dyDescent="0.25">
      <c r="A346" s="1"/>
      <c r="B346" s="77" t="s">
        <v>124</v>
      </c>
      <c r="C346" s="77"/>
      <c r="D346" s="77"/>
      <c r="E346" s="3">
        <f>SUM(E345)</f>
        <v>285835</v>
      </c>
    </row>
    <row r="347" spans="1:5" s="32" customFormat="1" ht="28.5" customHeight="1" x14ac:dyDescent="0.25">
      <c r="A347" s="40"/>
      <c r="B347" s="104" t="s">
        <v>153</v>
      </c>
      <c r="C347" s="104"/>
      <c r="D347" s="104"/>
      <c r="E347" s="41">
        <f>E346+E343+E340</f>
        <v>925950</v>
      </c>
    </row>
    <row r="348" spans="1:5" s="32" customFormat="1" x14ac:dyDescent="0.25">
      <c r="A348" s="44"/>
      <c r="B348" s="21"/>
      <c r="C348" s="21"/>
      <c r="D348" s="21"/>
      <c r="E348" s="45"/>
    </row>
    <row r="349" spans="1:5" s="32" customFormat="1" ht="21" customHeight="1" x14ac:dyDescent="0.25">
      <c r="A349" s="88" t="s">
        <v>219</v>
      </c>
      <c r="B349" s="89"/>
      <c r="C349" s="89"/>
      <c r="D349" s="89"/>
      <c r="E349" s="90"/>
    </row>
    <row r="350" spans="1:5" s="32" customFormat="1" ht="35.25" customHeight="1" x14ac:dyDescent="0.25">
      <c r="A350" s="118" t="s">
        <v>154</v>
      </c>
      <c r="B350" s="119"/>
      <c r="C350" s="119"/>
      <c r="D350" s="119"/>
      <c r="E350" s="120"/>
    </row>
    <row r="351" spans="1:5" s="32" customFormat="1" ht="15" customHeight="1" x14ac:dyDescent="0.25">
      <c r="A351" s="1">
        <v>1</v>
      </c>
      <c r="B351" s="91" t="s">
        <v>220</v>
      </c>
      <c r="C351" s="91"/>
      <c r="D351" s="91"/>
      <c r="E351" s="2">
        <f>2500000-1000000</f>
        <v>1500000</v>
      </c>
    </row>
    <row r="352" spans="1:5" s="32" customFormat="1" ht="31.5" customHeight="1" x14ac:dyDescent="0.25">
      <c r="A352" s="1">
        <v>2</v>
      </c>
      <c r="B352" s="91" t="s">
        <v>333</v>
      </c>
      <c r="C352" s="91"/>
      <c r="D352" s="91"/>
      <c r="E352" s="2">
        <v>298728</v>
      </c>
    </row>
    <row r="353" spans="1:5" s="32" customFormat="1" ht="33.75" customHeight="1" x14ac:dyDescent="0.25">
      <c r="A353" s="40"/>
      <c r="B353" s="104" t="s">
        <v>155</v>
      </c>
      <c r="C353" s="104"/>
      <c r="D353" s="104"/>
      <c r="E353" s="41">
        <f>E351+E352</f>
        <v>1798728</v>
      </c>
    </row>
    <row r="354" spans="1:5" s="32" customFormat="1" ht="25.5" customHeight="1" x14ac:dyDescent="0.25">
      <c r="A354" s="94" t="s">
        <v>16</v>
      </c>
      <c r="B354" s="92"/>
      <c r="C354" s="92"/>
      <c r="D354" s="92"/>
      <c r="E354" s="93"/>
    </row>
    <row r="355" spans="1:5" s="30" customFormat="1" ht="21.75" customHeight="1" x14ac:dyDescent="0.25">
      <c r="A355" s="1">
        <v>1</v>
      </c>
      <c r="B355" s="121" t="s">
        <v>235</v>
      </c>
      <c r="C355" s="121"/>
      <c r="D355" s="121"/>
      <c r="E355" s="2">
        <v>2000000</v>
      </c>
    </row>
    <row r="356" spans="1:5" s="32" customFormat="1" ht="30.75" customHeight="1" x14ac:dyDescent="0.25">
      <c r="A356" s="40"/>
      <c r="B356" s="104" t="s">
        <v>185</v>
      </c>
      <c r="C356" s="104"/>
      <c r="D356" s="104"/>
      <c r="E356" s="41">
        <v>2000000</v>
      </c>
    </row>
    <row r="357" spans="1:5" s="32" customFormat="1" x14ac:dyDescent="0.25">
      <c r="A357" s="1"/>
      <c r="B357" s="77" t="s">
        <v>18</v>
      </c>
      <c r="C357" s="77"/>
      <c r="D357" s="77"/>
      <c r="E357" s="3">
        <f>E356+E353-E352</f>
        <v>3500000</v>
      </c>
    </row>
    <row r="358" spans="1:5" s="32" customFormat="1" ht="37.5" customHeight="1" x14ac:dyDescent="0.25">
      <c r="A358" s="122" t="s">
        <v>156</v>
      </c>
      <c r="B358" s="123"/>
      <c r="C358" s="123"/>
      <c r="D358" s="123"/>
      <c r="E358" s="46">
        <f>E174+E336+E347+E353+E356-E352</f>
        <v>238250544</v>
      </c>
    </row>
    <row r="359" spans="1:5" s="32" customFormat="1" x14ac:dyDescent="0.25">
      <c r="A359" s="9"/>
      <c r="B359" s="16"/>
      <c r="C359" s="16"/>
      <c r="D359" s="17"/>
      <c r="E359" s="7"/>
    </row>
    <row r="360" spans="1:5" s="32" customFormat="1" ht="28.5" customHeight="1" x14ac:dyDescent="0.25">
      <c r="A360" s="124" t="s">
        <v>120</v>
      </c>
      <c r="B360" s="125"/>
      <c r="C360" s="125"/>
      <c r="D360" s="125"/>
      <c r="E360" s="126"/>
    </row>
    <row r="361" spans="1:5" s="32" customFormat="1" ht="15" customHeight="1" x14ac:dyDescent="0.25">
      <c r="A361" s="1"/>
      <c r="B361" s="127" t="s">
        <v>186</v>
      </c>
      <c r="C361" s="128"/>
      <c r="D361" s="129"/>
      <c r="E361" s="3">
        <v>8600000</v>
      </c>
    </row>
    <row r="362" spans="1:5" s="32" customFormat="1" x14ac:dyDescent="0.25">
      <c r="A362" s="1"/>
      <c r="B362" s="61"/>
      <c r="C362" s="59"/>
      <c r="D362" s="60"/>
      <c r="E362" s="3"/>
    </row>
    <row r="363" spans="1:5" s="32" customFormat="1" ht="27.75" customHeight="1" x14ac:dyDescent="0.25">
      <c r="A363" s="130" t="s">
        <v>53</v>
      </c>
      <c r="B363" s="131"/>
      <c r="C363" s="131"/>
      <c r="D363" s="131"/>
      <c r="E363" s="132"/>
    </row>
    <row r="364" spans="1:5" s="32" customFormat="1" ht="15" customHeight="1" x14ac:dyDescent="0.25">
      <c r="A364" s="94" t="s">
        <v>57</v>
      </c>
      <c r="B364" s="92"/>
      <c r="C364" s="92"/>
      <c r="D364" s="92"/>
      <c r="E364" s="93"/>
    </row>
    <row r="365" spans="1:5" s="32" customFormat="1" ht="33.75" customHeight="1" x14ac:dyDescent="0.25">
      <c r="A365" s="1">
        <v>1</v>
      </c>
      <c r="B365" s="111" t="s">
        <v>334</v>
      </c>
      <c r="C365" s="112"/>
      <c r="D365" s="113"/>
      <c r="E365" s="2">
        <v>9167945</v>
      </c>
    </row>
    <row r="366" spans="1:5" s="32" customFormat="1" ht="63.6" customHeight="1" x14ac:dyDescent="0.25">
      <c r="A366" s="1">
        <v>2</v>
      </c>
      <c r="B366" s="111" t="s">
        <v>335</v>
      </c>
      <c r="C366" s="112"/>
      <c r="D366" s="113"/>
      <c r="E366" s="2">
        <v>228370</v>
      </c>
    </row>
    <row r="367" spans="1:5" s="32" customFormat="1" ht="22.9" customHeight="1" x14ac:dyDescent="0.25">
      <c r="A367" s="1">
        <v>3</v>
      </c>
      <c r="B367" s="111" t="s">
        <v>55</v>
      </c>
      <c r="C367" s="112"/>
      <c r="D367" s="113"/>
      <c r="E367" s="2">
        <v>1401135</v>
      </c>
    </row>
    <row r="368" spans="1:5" s="32" customFormat="1" ht="15" customHeight="1" x14ac:dyDescent="0.25">
      <c r="A368" s="133" t="s">
        <v>124</v>
      </c>
      <c r="B368" s="128"/>
      <c r="C368" s="128"/>
      <c r="D368" s="129"/>
      <c r="E368" s="3">
        <f>SUM(E365:E367)</f>
        <v>10797450</v>
      </c>
    </row>
    <row r="369" spans="1:5" s="32" customFormat="1" ht="15" customHeight="1" x14ac:dyDescent="0.25">
      <c r="A369" s="94" t="s">
        <v>54</v>
      </c>
      <c r="B369" s="92"/>
      <c r="C369" s="92"/>
      <c r="D369" s="92"/>
      <c r="E369" s="93"/>
    </row>
    <row r="370" spans="1:5" s="32" customFormat="1" ht="77.25" customHeight="1" x14ac:dyDescent="0.25">
      <c r="A370" s="1">
        <v>1</v>
      </c>
      <c r="B370" s="91" t="s">
        <v>336</v>
      </c>
      <c r="C370" s="91"/>
      <c r="D370" s="91"/>
      <c r="E370" s="2">
        <v>11331550</v>
      </c>
    </row>
    <row r="371" spans="1:5" s="32" customFormat="1" ht="90.75" customHeight="1" x14ac:dyDescent="0.25">
      <c r="A371" s="1">
        <v>2</v>
      </c>
      <c r="B371" s="91" t="s">
        <v>221</v>
      </c>
      <c r="C371" s="91"/>
      <c r="D371" s="91"/>
      <c r="E371" s="2">
        <v>122294</v>
      </c>
    </row>
    <row r="372" spans="1:5" s="32" customFormat="1" ht="33" customHeight="1" x14ac:dyDescent="0.25">
      <c r="A372" s="1">
        <v>3</v>
      </c>
      <c r="B372" s="115" t="s">
        <v>337</v>
      </c>
      <c r="C372" s="115"/>
      <c r="D372" s="115"/>
      <c r="E372" s="2">
        <v>2806906</v>
      </c>
    </row>
    <row r="373" spans="1:5" s="32" customFormat="1" ht="63" customHeight="1" x14ac:dyDescent="0.25">
      <c r="A373" s="1">
        <v>4</v>
      </c>
      <c r="B373" s="91" t="s">
        <v>239</v>
      </c>
      <c r="C373" s="91"/>
      <c r="D373" s="91"/>
      <c r="E373" s="2">
        <v>828328</v>
      </c>
    </row>
    <row r="374" spans="1:5" s="32" customFormat="1" ht="49.15" customHeight="1" x14ac:dyDescent="0.25">
      <c r="A374" s="1">
        <v>5</v>
      </c>
      <c r="B374" s="91" t="s">
        <v>222</v>
      </c>
      <c r="C374" s="91"/>
      <c r="D374" s="91"/>
      <c r="E374" s="2">
        <v>57686</v>
      </c>
    </row>
    <row r="375" spans="1:5" s="32" customFormat="1" ht="60.6" customHeight="1" x14ac:dyDescent="0.25">
      <c r="A375" s="1">
        <v>6</v>
      </c>
      <c r="B375" s="91" t="s">
        <v>338</v>
      </c>
      <c r="C375" s="91"/>
      <c r="D375" s="91"/>
      <c r="E375" s="2">
        <v>8541517</v>
      </c>
    </row>
    <row r="376" spans="1:5" s="32" customFormat="1" ht="31.15" customHeight="1" x14ac:dyDescent="0.25">
      <c r="A376" s="1">
        <v>7</v>
      </c>
      <c r="B376" s="91" t="s">
        <v>58</v>
      </c>
      <c r="C376" s="91"/>
      <c r="D376" s="91"/>
      <c r="E376" s="2">
        <v>9505324</v>
      </c>
    </row>
    <row r="377" spans="1:5" s="32" customFormat="1" ht="15" customHeight="1" x14ac:dyDescent="0.25">
      <c r="A377" s="136" t="s">
        <v>59</v>
      </c>
      <c r="B377" s="91"/>
      <c r="C377" s="91"/>
      <c r="D377" s="91"/>
      <c r="E377" s="137"/>
    </row>
    <row r="378" spans="1:5" s="32" customFormat="1" ht="42.75" x14ac:dyDescent="0.25">
      <c r="A378" s="1"/>
      <c r="B378" s="56" t="s">
        <v>60</v>
      </c>
      <c r="C378" s="56" t="s">
        <v>28</v>
      </c>
      <c r="D378" s="56" t="s">
        <v>240</v>
      </c>
      <c r="E378" s="57" t="s">
        <v>157</v>
      </c>
    </row>
    <row r="379" spans="1:5" s="32" customFormat="1" ht="33.6" customHeight="1" x14ac:dyDescent="0.25">
      <c r="A379" s="47" t="s">
        <v>269</v>
      </c>
      <c r="B379" s="75" t="s">
        <v>187</v>
      </c>
      <c r="C379" s="75"/>
      <c r="D379" s="75"/>
      <c r="E379" s="76"/>
    </row>
    <row r="380" spans="1:5" s="32" customFormat="1" x14ac:dyDescent="0.25">
      <c r="A380" s="36"/>
      <c r="B380" s="62" t="s">
        <v>61</v>
      </c>
      <c r="C380" s="11">
        <v>205</v>
      </c>
      <c r="D380" s="12">
        <v>690</v>
      </c>
      <c r="E380" s="2">
        <f t="shared" ref="E380:E382" si="0">C380*D380</f>
        <v>141450</v>
      </c>
    </row>
    <row r="381" spans="1:5" s="32" customFormat="1" x14ac:dyDescent="0.25">
      <c r="A381" s="36"/>
      <c r="B381" s="13" t="s">
        <v>62</v>
      </c>
      <c r="C381" s="11">
        <v>7</v>
      </c>
      <c r="D381" s="12">
        <v>875000</v>
      </c>
      <c r="E381" s="2">
        <f t="shared" si="0"/>
        <v>6125000</v>
      </c>
    </row>
    <row r="382" spans="1:5" s="32" customFormat="1" x14ac:dyDescent="0.25">
      <c r="A382" s="36"/>
      <c r="B382" s="54" t="s">
        <v>264</v>
      </c>
      <c r="C382" s="55">
        <v>1</v>
      </c>
      <c r="D382" s="10">
        <v>91000</v>
      </c>
      <c r="E382" s="2">
        <f t="shared" si="0"/>
        <v>91000</v>
      </c>
    </row>
    <row r="383" spans="1:5" s="32" customFormat="1" x14ac:dyDescent="0.25">
      <c r="A383" s="36"/>
      <c r="B383" s="53" t="s">
        <v>63</v>
      </c>
      <c r="C383" s="55">
        <v>1</v>
      </c>
      <c r="D383" s="10">
        <v>190000</v>
      </c>
      <c r="E383" s="2">
        <f t="shared" ref="E383" si="1">C383*D383</f>
        <v>190000</v>
      </c>
    </row>
    <row r="384" spans="1:5" s="32" customFormat="1" ht="15.75" x14ac:dyDescent="0.25">
      <c r="A384" s="36"/>
      <c r="B384" s="18" t="s">
        <v>263</v>
      </c>
      <c r="C384" s="19">
        <v>1</v>
      </c>
      <c r="D384" s="20">
        <v>390100</v>
      </c>
      <c r="E384" s="48">
        <f>C384*D384</f>
        <v>390100</v>
      </c>
    </row>
    <row r="385" spans="1:5" s="32" customFormat="1" x14ac:dyDescent="0.25">
      <c r="A385" s="58"/>
      <c r="B385" s="77" t="s">
        <v>158</v>
      </c>
      <c r="C385" s="77"/>
      <c r="D385" s="77"/>
      <c r="E385" s="3">
        <f>SUM(E380:E384)</f>
        <v>6937550</v>
      </c>
    </row>
    <row r="386" spans="1:5" s="32" customFormat="1" ht="46.9" customHeight="1" x14ac:dyDescent="0.25">
      <c r="A386" s="47" t="s">
        <v>270</v>
      </c>
      <c r="B386" s="75" t="s">
        <v>159</v>
      </c>
      <c r="C386" s="75"/>
      <c r="D386" s="75"/>
      <c r="E386" s="76"/>
    </row>
    <row r="387" spans="1:5" s="32" customFormat="1" x14ac:dyDescent="0.25">
      <c r="A387" s="58"/>
      <c r="B387" s="92" t="s">
        <v>64</v>
      </c>
      <c r="C387" s="92"/>
      <c r="D387" s="92"/>
      <c r="E387" s="93"/>
    </row>
    <row r="388" spans="1:5" s="32" customFormat="1" ht="23.45" customHeight="1" x14ac:dyDescent="0.25">
      <c r="A388" s="1"/>
      <c r="B388" s="62" t="s">
        <v>65</v>
      </c>
      <c r="C388" s="11">
        <v>80</v>
      </c>
      <c r="D388" s="10">
        <v>386</v>
      </c>
      <c r="E388" s="2">
        <f t="shared" ref="E388" si="2">C388*D388</f>
        <v>30880</v>
      </c>
    </row>
    <row r="389" spans="1:5" s="32" customFormat="1" x14ac:dyDescent="0.25">
      <c r="A389" s="1"/>
      <c r="B389" s="140" t="s">
        <v>160</v>
      </c>
      <c r="C389" s="140"/>
      <c r="D389" s="140"/>
      <c r="E389" s="3">
        <f>E388</f>
        <v>30880</v>
      </c>
    </row>
    <row r="390" spans="1:5" s="32" customFormat="1" ht="23.45" customHeight="1" x14ac:dyDescent="0.25">
      <c r="A390" s="1"/>
      <c r="B390" s="92" t="s">
        <v>66</v>
      </c>
      <c r="C390" s="92"/>
      <c r="D390" s="92"/>
      <c r="E390" s="93"/>
    </row>
    <row r="391" spans="1:5" s="32" customFormat="1" x14ac:dyDescent="0.25">
      <c r="A391" s="1"/>
      <c r="B391" s="62" t="s">
        <v>67</v>
      </c>
      <c r="C391" s="11">
        <v>137</v>
      </c>
      <c r="D391" s="10">
        <v>930</v>
      </c>
      <c r="E391" s="2">
        <f t="shared" ref="E391:E392" si="3">C391*D391</f>
        <v>127410</v>
      </c>
    </row>
    <row r="392" spans="1:5" s="32" customFormat="1" x14ac:dyDescent="0.25">
      <c r="A392" s="1"/>
      <c r="B392" s="54" t="s">
        <v>68</v>
      </c>
      <c r="C392" s="55">
        <v>109</v>
      </c>
      <c r="D392" s="10">
        <v>1840</v>
      </c>
      <c r="E392" s="2">
        <f t="shared" si="3"/>
        <v>200560</v>
      </c>
    </row>
    <row r="393" spans="1:5" s="32" customFormat="1" x14ac:dyDescent="0.25">
      <c r="A393" s="1"/>
      <c r="B393" s="140" t="s">
        <v>161</v>
      </c>
      <c r="C393" s="140"/>
      <c r="D393" s="140"/>
      <c r="E393" s="3">
        <f>SUM(E391:E392)</f>
        <v>327970</v>
      </c>
    </row>
    <row r="394" spans="1:5" s="32" customFormat="1" x14ac:dyDescent="0.25">
      <c r="A394" s="58"/>
      <c r="B394" s="77" t="s">
        <v>279</v>
      </c>
      <c r="C394" s="77"/>
      <c r="D394" s="77"/>
      <c r="E394" s="3">
        <f>E389+E393</f>
        <v>358850</v>
      </c>
    </row>
    <row r="395" spans="1:5" s="32" customFormat="1" ht="33.75" customHeight="1" x14ac:dyDescent="0.25">
      <c r="A395" s="47" t="s">
        <v>271</v>
      </c>
      <c r="B395" s="75" t="s">
        <v>115</v>
      </c>
      <c r="C395" s="75"/>
      <c r="D395" s="75"/>
      <c r="E395" s="76"/>
    </row>
    <row r="396" spans="1:5" s="32" customFormat="1" x14ac:dyDescent="0.25">
      <c r="A396" s="1"/>
      <c r="B396" s="53" t="s">
        <v>73</v>
      </c>
      <c r="C396" s="55">
        <v>3</v>
      </c>
      <c r="D396" s="10">
        <v>2100</v>
      </c>
      <c r="E396" s="2">
        <f t="shared" ref="E396:E410" si="4">C396*D396</f>
        <v>6300</v>
      </c>
    </row>
    <row r="397" spans="1:5" s="32" customFormat="1" x14ac:dyDescent="0.25">
      <c r="A397" s="1"/>
      <c r="B397" s="53" t="s">
        <v>74</v>
      </c>
      <c r="C397" s="55">
        <v>25</v>
      </c>
      <c r="D397" s="10">
        <v>1720</v>
      </c>
      <c r="E397" s="2">
        <f t="shared" si="4"/>
        <v>43000</v>
      </c>
    </row>
    <row r="398" spans="1:5" s="32" customFormat="1" x14ac:dyDescent="0.25">
      <c r="A398" s="1"/>
      <c r="B398" s="53" t="s">
        <v>75</v>
      </c>
      <c r="C398" s="55">
        <v>1</v>
      </c>
      <c r="D398" s="10">
        <v>1200</v>
      </c>
      <c r="E398" s="2">
        <f t="shared" si="4"/>
        <v>1200</v>
      </c>
    </row>
    <row r="399" spans="1:5" s="32" customFormat="1" x14ac:dyDescent="0.25">
      <c r="A399" s="1"/>
      <c r="B399" s="53" t="s">
        <v>76</v>
      </c>
      <c r="C399" s="55">
        <v>1</v>
      </c>
      <c r="D399" s="10">
        <v>1200</v>
      </c>
      <c r="E399" s="2">
        <f t="shared" si="4"/>
        <v>1200</v>
      </c>
    </row>
    <row r="400" spans="1:5" s="32" customFormat="1" x14ac:dyDescent="0.25">
      <c r="A400" s="1"/>
      <c r="B400" s="53" t="s">
        <v>77</v>
      </c>
      <c r="C400" s="55">
        <v>1</v>
      </c>
      <c r="D400" s="10">
        <v>7830</v>
      </c>
      <c r="E400" s="2">
        <f t="shared" si="4"/>
        <v>7830</v>
      </c>
    </row>
    <row r="401" spans="1:5" s="33" customFormat="1" x14ac:dyDescent="0.25">
      <c r="A401" s="1"/>
      <c r="B401" s="53" t="s">
        <v>78</v>
      </c>
      <c r="C401" s="55">
        <v>4</v>
      </c>
      <c r="D401" s="10">
        <v>8500</v>
      </c>
      <c r="E401" s="2">
        <f t="shared" si="4"/>
        <v>34000</v>
      </c>
    </row>
    <row r="402" spans="1:5" s="32" customFormat="1" x14ac:dyDescent="0.25">
      <c r="A402" s="1"/>
      <c r="B402" s="53" t="s">
        <v>79</v>
      </c>
      <c r="C402" s="55">
        <v>1</v>
      </c>
      <c r="D402" s="10">
        <v>7000</v>
      </c>
      <c r="E402" s="2">
        <f t="shared" si="4"/>
        <v>7000</v>
      </c>
    </row>
    <row r="403" spans="1:5" s="32" customFormat="1" x14ac:dyDescent="0.25">
      <c r="A403" s="1"/>
      <c r="B403" s="53" t="s">
        <v>80</v>
      </c>
      <c r="C403" s="55">
        <v>2</v>
      </c>
      <c r="D403" s="10">
        <v>54000</v>
      </c>
      <c r="E403" s="2">
        <f t="shared" si="4"/>
        <v>108000</v>
      </c>
    </row>
    <row r="404" spans="1:5" s="32" customFormat="1" x14ac:dyDescent="0.25">
      <c r="A404" s="1"/>
      <c r="B404" s="53" t="s">
        <v>81</v>
      </c>
      <c r="C404" s="55">
        <v>2</v>
      </c>
      <c r="D404" s="10">
        <v>6890</v>
      </c>
      <c r="E404" s="2">
        <f t="shared" si="4"/>
        <v>13780</v>
      </c>
    </row>
    <row r="405" spans="1:5" s="32" customFormat="1" x14ac:dyDescent="0.25">
      <c r="A405" s="1"/>
      <c r="B405" s="53" t="s">
        <v>82</v>
      </c>
      <c r="C405" s="55">
        <v>1</v>
      </c>
      <c r="D405" s="10">
        <v>7600</v>
      </c>
      <c r="E405" s="2">
        <f t="shared" si="4"/>
        <v>7600</v>
      </c>
    </row>
    <row r="406" spans="1:5" s="32" customFormat="1" x14ac:dyDescent="0.25">
      <c r="A406" s="1"/>
      <c r="B406" s="53" t="s">
        <v>83</v>
      </c>
      <c r="C406" s="55">
        <v>4</v>
      </c>
      <c r="D406" s="10">
        <v>5150</v>
      </c>
      <c r="E406" s="2">
        <f t="shared" si="4"/>
        <v>20600</v>
      </c>
    </row>
    <row r="407" spans="1:5" s="32" customFormat="1" x14ac:dyDescent="0.25">
      <c r="A407" s="1"/>
      <c r="B407" s="53" t="s">
        <v>84</v>
      </c>
      <c r="C407" s="55">
        <v>1</v>
      </c>
      <c r="D407" s="10">
        <v>19000</v>
      </c>
      <c r="E407" s="2">
        <f t="shared" si="4"/>
        <v>19000</v>
      </c>
    </row>
    <row r="408" spans="1:5" s="32" customFormat="1" x14ac:dyDescent="0.25">
      <c r="A408" s="1"/>
      <c r="B408" s="53" t="s">
        <v>85</v>
      </c>
      <c r="C408" s="55">
        <v>5</v>
      </c>
      <c r="D408" s="10">
        <v>5700</v>
      </c>
      <c r="E408" s="2">
        <f t="shared" si="4"/>
        <v>28500</v>
      </c>
    </row>
    <row r="409" spans="1:5" s="32" customFormat="1" x14ac:dyDescent="0.25">
      <c r="A409" s="1"/>
      <c r="B409" s="53" t="s">
        <v>86</v>
      </c>
      <c r="C409" s="55">
        <v>40</v>
      </c>
      <c r="D409" s="10">
        <v>570</v>
      </c>
      <c r="E409" s="2">
        <f t="shared" si="4"/>
        <v>22800</v>
      </c>
    </row>
    <row r="410" spans="1:5" s="32" customFormat="1" x14ac:dyDescent="0.25">
      <c r="A410" s="1"/>
      <c r="B410" s="54" t="s">
        <v>87</v>
      </c>
      <c r="C410" s="55">
        <v>1</v>
      </c>
      <c r="D410" s="10">
        <v>2182</v>
      </c>
      <c r="E410" s="2">
        <f t="shared" si="4"/>
        <v>2182</v>
      </c>
    </row>
    <row r="411" spans="1:5" s="32" customFormat="1" x14ac:dyDescent="0.25">
      <c r="A411" s="58"/>
      <c r="B411" s="77" t="s">
        <v>158</v>
      </c>
      <c r="C411" s="77"/>
      <c r="D411" s="77"/>
      <c r="E411" s="3">
        <f>SUM(E396:E410)</f>
        <v>322992</v>
      </c>
    </row>
    <row r="412" spans="1:5" s="32" customFormat="1" ht="34.5" customHeight="1" x14ac:dyDescent="0.25">
      <c r="A412" s="47" t="s">
        <v>272</v>
      </c>
      <c r="B412" s="75" t="s">
        <v>188</v>
      </c>
      <c r="C412" s="75"/>
      <c r="D412" s="75"/>
      <c r="E412" s="76"/>
    </row>
    <row r="413" spans="1:5" s="32" customFormat="1" x14ac:dyDescent="0.25">
      <c r="A413" s="1"/>
      <c r="B413" s="53" t="s">
        <v>73</v>
      </c>
      <c r="C413" s="55">
        <v>3</v>
      </c>
      <c r="D413" s="10">
        <v>2100</v>
      </c>
      <c r="E413" s="2">
        <f t="shared" ref="E413:E427" si="5">C413*D413</f>
        <v>6300</v>
      </c>
    </row>
    <row r="414" spans="1:5" s="32" customFormat="1" x14ac:dyDescent="0.25">
      <c r="A414" s="1"/>
      <c r="B414" s="53" t="s">
        <v>74</v>
      </c>
      <c r="C414" s="55">
        <v>25</v>
      </c>
      <c r="D414" s="10">
        <v>1720</v>
      </c>
      <c r="E414" s="2">
        <f t="shared" si="5"/>
        <v>43000</v>
      </c>
    </row>
    <row r="415" spans="1:5" s="32" customFormat="1" x14ac:dyDescent="0.25">
      <c r="A415" s="1"/>
      <c r="B415" s="53" t="s">
        <v>75</v>
      </c>
      <c r="C415" s="55">
        <v>1</v>
      </c>
      <c r="D415" s="10">
        <v>1200</v>
      </c>
      <c r="E415" s="2">
        <f t="shared" si="5"/>
        <v>1200</v>
      </c>
    </row>
    <row r="416" spans="1:5" s="32" customFormat="1" x14ac:dyDescent="0.25">
      <c r="A416" s="1"/>
      <c r="B416" s="53" t="s">
        <v>76</v>
      </c>
      <c r="C416" s="55">
        <v>1</v>
      </c>
      <c r="D416" s="10">
        <v>1200</v>
      </c>
      <c r="E416" s="2">
        <f t="shared" si="5"/>
        <v>1200</v>
      </c>
    </row>
    <row r="417" spans="1:5" s="32" customFormat="1" x14ac:dyDescent="0.25">
      <c r="A417" s="1"/>
      <c r="B417" s="53" t="s">
        <v>77</v>
      </c>
      <c r="C417" s="55">
        <v>1</v>
      </c>
      <c r="D417" s="10">
        <v>7830</v>
      </c>
      <c r="E417" s="2">
        <f t="shared" si="5"/>
        <v>7830</v>
      </c>
    </row>
    <row r="418" spans="1:5" s="32" customFormat="1" x14ac:dyDescent="0.25">
      <c r="A418" s="1"/>
      <c r="B418" s="53" t="s">
        <v>78</v>
      </c>
      <c r="C418" s="55">
        <v>4</v>
      </c>
      <c r="D418" s="10">
        <v>8500</v>
      </c>
      <c r="E418" s="2">
        <f t="shared" si="5"/>
        <v>34000</v>
      </c>
    </row>
    <row r="419" spans="1:5" s="32" customFormat="1" x14ac:dyDescent="0.25">
      <c r="A419" s="1"/>
      <c r="B419" s="53" t="s">
        <v>79</v>
      </c>
      <c r="C419" s="55">
        <v>1</v>
      </c>
      <c r="D419" s="10">
        <v>7000</v>
      </c>
      <c r="E419" s="2">
        <f t="shared" si="5"/>
        <v>7000</v>
      </c>
    </row>
    <row r="420" spans="1:5" s="32" customFormat="1" x14ac:dyDescent="0.25">
      <c r="A420" s="1"/>
      <c r="B420" s="53" t="s">
        <v>80</v>
      </c>
      <c r="C420" s="55">
        <v>2</v>
      </c>
      <c r="D420" s="10">
        <v>54000</v>
      </c>
      <c r="E420" s="2">
        <f t="shared" si="5"/>
        <v>108000</v>
      </c>
    </row>
    <row r="421" spans="1:5" s="32" customFormat="1" x14ac:dyDescent="0.25">
      <c r="A421" s="1"/>
      <c r="B421" s="53" t="s">
        <v>81</v>
      </c>
      <c r="C421" s="55">
        <v>2</v>
      </c>
      <c r="D421" s="10">
        <v>6890</v>
      </c>
      <c r="E421" s="2">
        <f t="shared" si="5"/>
        <v>13780</v>
      </c>
    </row>
    <row r="422" spans="1:5" s="32" customFormat="1" x14ac:dyDescent="0.25">
      <c r="A422" s="1"/>
      <c r="B422" s="53" t="s">
        <v>82</v>
      </c>
      <c r="C422" s="55">
        <v>1</v>
      </c>
      <c r="D422" s="10">
        <v>7600</v>
      </c>
      <c r="E422" s="2">
        <f t="shared" si="5"/>
        <v>7600</v>
      </c>
    </row>
    <row r="423" spans="1:5" s="32" customFormat="1" x14ac:dyDescent="0.25">
      <c r="A423" s="1"/>
      <c r="B423" s="53" t="s">
        <v>83</v>
      </c>
      <c r="C423" s="55">
        <v>4</v>
      </c>
      <c r="D423" s="10">
        <v>5150</v>
      </c>
      <c r="E423" s="2">
        <f t="shared" si="5"/>
        <v>20600</v>
      </c>
    </row>
    <row r="424" spans="1:5" s="32" customFormat="1" x14ac:dyDescent="0.25">
      <c r="A424" s="1"/>
      <c r="B424" s="53" t="s">
        <v>84</v>
      </c>
      <c r="C424" s="55">
        <v>1</v>
      </c>
      <c r="D424" s="10">
        <v>19000</v>
      </c>
      <c r="E424" s="2">
        <f t="shared" si="5"/>
        <v>19000</v>
      </c>
    </row>
    <row r="425" spans="1:5" s="32" customFormat="1" x14ac:dyDescent="0.25">
      <c r="A425" s="1"/>
      <c r="B425" s="53" t="s">
        <v>85</v>
      </c>
      <c r="C425" s="55">
        <v>5</v>
      </c>
      <c r="D425" s="10">
        <v>5700</v>
      </c>
      <c r="E425" s="2">
        <f t="shared" si="5"/>
        <v>28500</v>
      </c>
    </row>
    <row r="426" spans="1:5" s="32" customFormat="1" x14ac:dyDescent="0.25">
      <c r="A426" s="1"/>
      <c r="B426" s="53" t="s">
        <v>86</v>
      </c>
      <c r="C426" s="55">
        <v>40</v>
      </c>
      <c r="D426" s="10">
        <v>570</v>
      </c>
      <c r="E426" s="2">
        <f t="shared" si="5"/>
        <v>22800</v>
      </c>
    </row>
    <row r="427" spans="1:5" s="32" customFormat="1" x14ac:dyDescent="0.25">
      <c r="A427" s="1"/>
      <c r="B427" s="54" t="s">
        <v>87</v>
      </c>
      <c r="C427" s="55">
        <v>1</v>
      </c>
      <c r="D427" s="10">
        <v>2182</v>
      </c>
      <c r="E427" s="2">
        <f t="shared" si="5"/>
        <v>2182</v>
      </c>
    </row>
    <row r="428" spans="1:5" s="32" customFormat="1" ht="21" customHeight="1" x14ac:dyDescent="0.25">
      <c r="A428" s="58"/>
      <c r="B428" s="77" t="s">
        <v>158</v>
      </c>
      <c r="C428" s="77"/>
      <c r="D428" s="77"/>
      <c r="E428" s="3">
        <f>SUM(E413:E427)</f>
        <v>322992</v>
      </c>
    </row>
    <row r="429" spans="1:5" s="32" customFormat="1" ht="30.75" customHeight="1" x14ac:dyDescent="0.25">
      <c r="A429" s="47" t="s">
        <v>273</v>
      </c>
      <c r="B429" s="75" t="s">
        <v>339</v>
      </c>
      <c r="C429" s="75"/>
      <c r="D429" s="75"/>
      <c r="E429" s="76"/>
    </row>
    <row r="430" spans="1:5" s="32" customFormat="1" x14ac:dyDescent="0.25">
      <c r="A430" s="1"/>
      <c r="B430" s="53" t="s">
        <v>73</v>
      </c>
      <c r="C430" s="55">
        <v>2</v>
      </c>
      <c r="D430" s="10">
        <v>2100</v>
      </c>
      <c r="E430" s="2">
        <f t="shared" ref="E430:E443" si="6">C430*D430</f>
        <v>4200</v>
      </c>
    </row>
    <row r="431" spans="1:5" s="32" customFormat="1" x14ac:dyDescent="0.25">
      <c r="A431" s="1"/>
      <c r="B431" s="53" t="s">
        <v>74</v>
      </c>
      <c r="C431" s="55">
        <v>2</v>
      </c>
      <c r="D431" s="10">
        <v>1720</v>
      </c>
      <c r="E431" s="2">
        <f t="shared" si="6"/>
        <v>3440</v>
      </c>
    </row>
    <row r="432" spans="1:5" s="32" customFormat="1" x14ac:dyDescent="0.25">
      <c r="A432" s="1"/>
      <c r="B432" s="53" t="s">
        <v>88</v>
      </c>
      <c r="C432" s="55">
        <v>2</v>
      </c>
      <c r="D432" s="10">
        <v>4950</v>
      </c>
      <c r="E432" s="2">
        <f t="shared" si="6"/>
        <v>9900</v>
      </c>
    </row>
    <row r="433" spans="1:5" s="32" customFormat="1" x14ac:dyDescent="0.25">
      <c r="A433" s="1"/>
      <c r="B433" s="53" t="s">
        <v>75</v>
      </c>
      <c r="C433" s="55">
        <v>2</v>
      </c>
      <c r="D433" s="10">
        <v>1200</v>
      </c>
      <c r="E433" s="2">
        <f t="shared" si="6"/>
        <v>2400</v>
      </c>
    </row>
    <row r="434" spans="1:5" s="32" customFormat="1" x14ac:dyDescent="0.25">
      <c r="A434" s="1"/>
      <c r="B434" s="53" t="s">
        <v>76</v>
      </c>
      <c r="C434" s="55">
        <v>2</v>
      </c>
      <c r="D434" s="10">
        <v>1200</v>
      </c>
      <c r="E434" s="2">
        <f t="shared" si="6"/>
        <v>2400</v>
      </c>
    </row>
    <row r="435" spans="1:5" s="32" customFormat="1" x14ac:dyDescent="0.25">
      <c r="A435" s="1"/>
      <c r="B435" s="53" t="s">
        <v>89</v>
      </c>
      <c r="C435" s="55">
        <v>2</v>
      </c>
      <c r="D435" s="10">
        <v>2900</v>
      </c>
      <c r="E435" s="2">
        <f t="shared" si="6"/>
        <v>5800</v>
      </c>
    </row>
    <row r="436" spans="1:5" s="32" customFormat="1" x14ac:dyDescent="0.25">
      <c r="A436" s="1"/>
      <c r="B436" s="53" t="s">
        <v>90</v>
      </c>
      <c r="C436" s="55">
        <v>2</v>
      </c>
      <c r="D436" s="10">
        <v>2355</v>
      </c>
      <c r="E436" s="2">
        <f t="shared" si="6"/>
        <v>4710</v>
      </c>
    </row>
    <row r="437" spans="1:5" s="32" customFormat="1" x14ac:dyDescent="0.25">
      <c r="A437" s="1"/>
      <c r="B437" s="53" t="s">
        <v>91</v>
      </c>
      <c r="C437" s="55">
        <v>2</v>
      </c>
      <c r="D437" s="10">
        <v>1670</v>
      </c>
      <c r="E437" s="2">
        <f t="shared" si="6"/>
        <v>3340</v>
      </c>
    </row>
    <row r="438" spans="1:5" s="32" customFormat="1" x14ac:dyDescent="0.25">
      <c r="A438" s="1"/>
      <c r="B438" s="53" t="s">
        <v>80</v>
      </c>
      <c r="C438" s="55">
        <v>2</v>
      </c>
      <c r="D438" s="10">
        <v>54000</v>
      </c>
      <c r="E438" s="2">
        <f t="shared" si="6"/>
        <v>108000</v>
      </c>
    </row>
    <row r="439" spans="1:5" s="32" customFormat="1" x14ac:dyDescent="0.25">
      <c r="A439" s="1"/>
      <c r="B439" s="53" t="s">
        <v>92</v>
      </c>
      <c r="C439" s="55">
        <v>2</v>
      </c>
      <c r="D439" s="10">
        <v>7990</v>
      </c>
      <c r="E439" s="2">
        <f t="shared" si="6"/>
        <v>15980</v>
      </c>
    </row>
    <row r="440" spans="1:5" s="32" customFormat="1" x14ac:dyDescent="0.25">
      <c r="A440" s="1"/>
      <c r="B440" s="53" t="s">
        <v>82</v>
      </c>
      <c r="C440" s="55">
        <v>2</v>
      </c>
      <c r="D440" s="10">
        <v>7600</v>
      </c>
      <c r="E440" s="2">
        <f t="shared" si="6"/>
        <v>15200</v>
      </c>
    </row>
    <row r="441" spans="1:5" s="32" customFormat="1" x14ac:dyDescent="0.25">
      <c r="A441" s="1"/>
      <c r="B441" s="53" t="s">
        <v>83</v>
      </c>
      <c r="C441" s="55">
        <v>2</v>
      </c>
      <c r="D441" s="10">
        <v>5150</v>
      </c>
      <c r="E441" s="2">
        <f t="shared" si="6"/>
        <v>10300</v>
      </c>
    </row>
    <row r="442" spans="1:5" s="32" customFormat="1" x14ac:dyDescent="0.25">
      <c r="A442" s="1"/>
      <c r="B442" s="53" t="s">
        <v>93</v>
      </c>
      <c r="C442" s="55">
        <v>2</v>
      </c>
      <c r="D442" s="10">
        <v>10500</v>
      </c>
      <c r="E442" s="2">
        <f t="shared" si="6"/>
        <v>21000</v>
      </c>
    </row>
    <row r="443" spans="1:5" s="32" customFormat="1" x14ac:dyDescent="0.25">
      <c r="A443" s="1"/>
      <c r="B443" s="53" t="s">
        <v>85</v>
      </c>
      <c r="C443" s="55">
        <v>2</v>
      </c>
      <c r="D443" s="10">
        <v>5700</v>
      </c>
      <c r="E443" s="2">
        <f t="shared" si="6"/>
        <v>11400</v>
      </c>
    </row>
    <row r="444" spans="1:5" s="32" customFormat="1" ht="17.25" customHeight="1" x14ac:dyDescent="0.25">
      <c r="A444" s="58"/>
      <c r="B444" s="77" t="s">
        <v>158</v>
      </c>
      <c r="C444" s="77"/>
      <c r="D444" s="77"/>
      <c r="E444" s="3">
        <f>SUM(E430:E443)</f>
        <v>218070</v>
      </c>
    </row>
    <row r="445" spans="1:5" s="32" customFormat="1" ht="32.25" customHeight="1" x14ac:dyDescent="0.25">
      <c r="A445" s="47" t="s">
        <v>274</v>
      </c>
      <c r="B445" s="75" t="s">
        <v>340</v>
      </c>
      <c r="C445" s="75"/>
      <c r="D445" s="75"/>
      <c r="E445" s="76"/>
    </row>
    <row r="446" spans="1:5" s="32" customFormat="1" x14ac:dyDescent="0.25">
      <c r="A446" s="1"/>
      <c r="B446" s="53" t="s">
        <v>73</v>
      </c>
      <c r="C446" s="55">
        <v>3</v>
      </c>
      <c r="D446" s="10">
        <v>2100</v>
      </c>
      <c r="E446" s="2">
        <f t="shared" ref="E446:E458" si="7">C446*D446</f>
        <v>6300</v>
      </c>
    </row>
    <row r="447" spans="1:5" s="32" customFormat="1" x14ac:dyDescent="0.25">
      <c r="A447" s="1"/>
      <c r="B447" s="53" t="s">
        <v>74</v>
      </c>
      <c r="C447" s="55">
        <v>3</v>
      </c>
      <c r="D447" s="10">
        <v>1720</v>
      </c>
      <c r="E447" s="2">
        <f t="shared" si="7"/>
        <v>5160</v>
      </c>
    </row>
    <row r="448" spans="1:5" s="32" customFormat="1" x14ac:dyDescent="0.25">
      <c r="A448" s="1"/>
      <c r="B448" s="53" t="s">
        <v>88</v>
      </c>
      <c r="C448" s="55">
        <v>3</v>
      </c>
      <c r="D448" s="10">
        <v>4950</v>
      </c>
      <c r="E448" s="2">
        <f t="shared" si="7"/>
        <v>14850</v>
      </c>
    </row>
    <row r="449" spans="1:5" s="32" customFormat="1" x14ac:dyDescent="0.25">
      <c r="A449" s="1"/>
      <c r="B449" s="53" t="s">
        <v>75</v>
      </c>
      <c r="C449" s="55">
        <v>3</v>
      </c>
      <c r="D449" s="10">
        <v>1200</v>
      </c>
      <c r="E449" s="2">
        <f t="shared" si="7"/>
        <v>3600</v>
      </c>
    </row>
    <row r="450" spans="1:5" s="32" customFormat="1" x14ac:dyDescent="0.25">
      <c r="A450" s="1"/>
      <c r="B450" s="53" t="s">
        <v>76</v>
      </c>
      <c r="C450" s="55">
        <v>1</v>
      </c>
      <c r="D450" s="10">
        <v>1200</v>
      </c>
      <c r="E450" s="2">
        <f t="shared" si="7"/>
        <v>1200</v>
      </c>
    </row>
    <row r="451" spans="1:5" s="32" customFormat="1" x14ac:dyDescent="0.25">
      <c r="A451" s="1"/>
      <c r="B451" s="53" t="s">
        <v>89</v>
      </c>
      <c r="C451" s="55">
        <v>3</v>
      </c>
      <c r="D451" s="10">
        <v>2900</v>
      </c>
      <c r="E451" s="2">
        <f t="shared" si="7"/>
        <v>8700</v>
      </c>
    </row>
    <row r="452" spans="1:5" s="32" customFormat="1" x14ac:dyDescent="0.25">
      <c r="A452" s="1"/>
      <c r="B452" s="53" t="s">
        <v>90</v>
      </c>
      <c r="C452" s="55">
        <v>3</v>
      </c>
      <c r="D452" s="10">
        <v>2355</v>
      </c>
      <c r="E452" s="2">
        <f t="shared" si="7"/>
        <v>7065</v>
      </c>
    </row>
    <row r="453" spans="1:5" s="32" customFormat="1" x14ac:dyDescent="0.25">
      <c r="A453" s="1"/>
      <c r="B453" s="53" t="s">
        <v>91</v>
      </c>
      <c r="C453" s="55">
        <v>1</v>
      </c>
      <c r="D453" s="10">
        <v>1670</v>
      </c>
      <c r="E453" s="2">
        <f t="shared" si="7"/>
        <v>1670</v>
      </c>
    </row>
    <row r="454" spans="1:5" s="32" customFormat="1" x14ac:dyDescent="0.25">
      <c r="A454" s="1"/>
      <c r="B454" s="53" t="s">
        <v>80</v>
      </c>
      <c r="C454" s="55">
        <v>3</v>
      </c>
      <c r="D454" s="10">
        <v>54000</v>
      </c>
      <c r="E454" s="2">
        <f t="shared" si="7"/>
        <v>162000</v>
      </c>
    </row>
    <row r="455" spans="1:5" s="32" customFormat="1" x14ac:dyDescent="0.25">
      <c r="A455" s="1"/>
      <c r="B455" s="53" t="s">
        <v>92</v>
      </c>
      <c r="C455" s="55">
        <v>3</v>
      </c>
      <c r="D455" s="10">
        <v>7990</v>
      </c>
      <c r="E455" s="2">
        <f t="shared" si="7"/>
        <v>23970</v>
      </c>
    </row>
    <row r="456" spans="1:5" s="32" customFormat="1" x14ac:dyDescent="0.25">
      <c r="A456" s="1"/>
      <c r="B456" s="53" t="s">
        <v>82</v>
      </c>
      <c r="C456" s="55">
        <v>3</v>
      </c>
      <c r="D456" s="10">
        <v>7600</v>
      </c>
      <c r="E456" s="2">
        <f t="shared" si="7"/>
        <v>22800</v>
      </c>
    </row>
    <row r="457" spans="1:5" s="32" customFormat="1" x14ac:dyDescent="0.25">
      <c r="A457" s="1"/>
      <c r="B457" s="53" t="s">
        <v>93</v>
      </c>
      <c r="C457" s="55">
        <v>1</v>
      </c>
      <c r="D457" s="10">
        <v>10500</v>
      </c>
      <c r="E457" s="2">
        <f t="shared" si="7"/>
        <v>10500</v>
      </c>
    </row>
    <row r="458" spans="1:5" s="32" customFormat="1" x14ac:dyDescent="0.25">
      <c r="A458" s="1"/>
      <c r="B458" s="53" t="s">
        <v>85</v>
      </c>
      <c r="C458" s="55">
        <v>3</v>
      </c>
      <c r="D458" s="10">
        <v>5700</v>
      </c>
      <c r="E458" s="2">
        <f t="shared" si="7"/>
        <v>17100</v>
      </c>
    </row>
    <row r="459" spans="1:5" s="32" customFormat="1" ht="15" customHeight="1" x14ac:dyDescent="0.25">
      <c r="A459" s="58"/>
      <c r="B459" s="77" t="s">
        <v>158</v>
      </c>
      <c r="C459" s="77"/>
      <c r="D459" s="77"/>
      <c r="E459" s="3">
        <f>SUM(E446:E458)</f>
        <v>284915</v>
      </c>
    </row>
    <row r="460" spans="1:5" s="32" customFormat="1" x14ac:dyDescent="0.25">
      <c r="A460" s="47" t="s">
        <v>275</v>
      </c>
      <c r="B460" s="138" t="s">
        <v>94</v>
      </c>
      <c r="C460" s="138"/>
      <c r="D460" s="138"/>
      <c r="E460" s="139"/>
    </row>
    <row r="461" spans="1:5" s="32" customFormat="1" x14ac:dyDescent="0.25">
      <c r="A461" s="58"/>
      <c r="B461" s="78" t="s">
        <v>189</v>
      </c>
      <c r="C461" s="78"/>
      <c r="D461" s="78"/>
      <c r="E461" s="79"/>
    </row>
    <row r="462" spans="1:5" s="32" customFormat="1" x14ac:dyDescent="0.25">
      <c r="A462" s="1"/>
      <c r="B462" s="54" t="s">
        <v>95</v>
      </c>
      <c r="C462" s="55">
        <v>60</v>
      </c>
      <c r="D462" s="14">
        <v>1299</v>
      </c>
      <c r="E462" s="2">
        <f t="shared" ref="E462:E470" si="8">C462*D462</f>
        <v>77940</v>
      </c>
    </row>
    <row r="463" spans="1:5" s="32" customFormat="1" x14ac:dyDescent="0.25">
      <c r="A463" s="1"/>
      <c r="B463" s="54" t="s">
        <v>96</v>
      </c>
      <c r="C463" s="55">
        <v>12</v>
      </c>
      <c r="D463" s="14">
        <v>1300</v>
      </c>
      <c r="E463" s="2">
        <f t="shared" si="8"/>
        <v>15600</v>
      </c>
    </row>
    <row r="464" spans="1:5" s="32" customFormat="1" x14ac:dyDescent="0.25">
      <c r="A464" s="1"/>
      <c r="B464" s="54" t="s">
        <v>97</v>
      </c>
      <c r="C464" s="55">
        <v>12</v>
      </c>
      <c r="D464" s="14">
        <v>2340</v>
      </c>
      <c r="E464" s="2">
        <f t="shared" si="8"/>
        <v>28080</v>
      </c>
    </row>
    <row r="465" spans="1:5" s="32" customFormat="1" x14ac:dyDescent="0.25">
      <c r="A465" s="1"/>
      <c r="B465" s="54" t="s">
        <v>98</v>
      </c>
      <c r="C465" s="55">
        <v>4</v>
      </c>
      <c r="D465" s="14">
        <v>3850</v>
      </c>
      <c r="E465" s="2">
        <f t="shared" si="8"/>
        <v>15400</v>
      </c>
    </row>
    <row r="466" spans="1:5" s="32" customFormat="1" x14ac:dyDescent="0.25">
      <c r="A466" s="1"/>
      <c r="B466" s="54" t="s">
        <v>99</v>
      </c>
      <c r="C466" s="55">
        <v>15</v>
      </c>
      <c r="D466" s="14">
        <v>1904</v>
      </c>
      <c r="E466" s="2">
        <f t="shared" si="8"/>
        <v>28560</v>
      </c>
    </row>
    <row r="467" spans="1:5" s="32" customFormat="1" x14ac:dyDescent="0.25">
      <c r="A467" s="1"/>
      <c r="B467" s="54" t="s">
        <v>100</v>
      </c>
      <c r="C467" s="55">
        <v>1</v>
      </c>
      <c r="D467" s="14">
        <v>4505</v>
      </c>
      <c r="E467" s="2">
        <f t="shared" si="8"/>
        <v>4505</v>
      </c>
    </row>
    <row r="468" spans="1:5" s="32" customFormat="1" x14ac:dyDescent="0.25">
      <c r="A468" s="1"/>
      <c r="B468" s="54" t="s">
        <v>101</v>
      </c>
      <c r="C468" s="55">
        <v>10</v>
      </c>
      <c r="D468" s="14">
        <v>1950</v>
      </c>
      <c r="E468" s="2">
        <f t="shared" si="8"/>
        <v>19500</v>
      </c>
    </row>
    <row r="469" spans="1:5" s="31" customFormat="1" x14ac:dyDescent="0.25">
      <c r="A469" s="1"/>
      <c r="B469" s="54" t="s">
        <v>102</v>
      </c>
      <c r="C469" s="55">
        <v>4</v>
      </c>
      <c r="D469" s="14">
        <v>3870</v>
      </c>
      <c r="E469" s="2">
        <f t="shared" si="8"/>
        <v>15480</v>
      </c>
    </row>
    <row r="470" spans="1:5" s="31" customFormat="1" x14ac:dyDescent="0.25">
      <c r="A470" s="1"/>
      <c r="B470" s="54" t="s">
        <v>103</v>
      </c>
      <c r="C470" s="55">
        <v>10</v>
      </c>
      <c r="D470" s="14">
        <v>3812</v>
      </c>
      <c r="E470" s="2">
        <f t="shared" si="8"/>
        <v>38120</v>
      </c>
    </row>
    <row r="471" spans="1:5" s="31" customFormat="1" x14ac:dyDescent="0.25">
      <c r="A471" s="58"/>
      <c r="B471" s="77" t="s">
        <v>158</v>
      </c>
      <c r="C471" s="77"/>
      <c r="D471" s="77"/>
      <c r="E471" s="3">
        <f>SUM(E462:E470)</f>
        <v>243185</v>
      </c>
    </row>
    <row r="472" spans="1:5" s="31" customFormat="1" x14ac:dyDescent="0.25">
      <c r="A472" s="58"/>
      <c r="B472" s="75" t="s">
        <v>190</v>
      </c>
      <c r="C472" s="75"/>
      <c r="D472" s="75"/>
      <c r="E472" s="76"/>
    </row>
    <row r="473" spans="1:5" s="29" customFormat="1" x14ac:dyDescent="0.25">
      <c r="A473" s="1"/>
      <c r="B473" s="54" t="s">
        <v>104</v>
      </c>
      <c r="C473" s="55">
        <v>10</v>
      </c>
      <c r="D473" s="14">
        <v>272</v>
      </c>
      <c r="E473" s="2">
        <f>C473*D473</f>
        <v>2720</v>
      </c>
    </row>
    <row r="474" spans="1:5" s="32" customFormat="1" x14ac:dyDescent="0.25">
      <c r="A474" s="1"/>
      <c r="B474" s="54" t="s">
        <v>105</v>
      </c>
      <c r="C474" s="55">
        <v>10</v>
      </c>
      <c r="D474" s="14">
        <v>800</v>
      </c>
      <c r="E474" s="2">
        <f>C474*D474</f>
        <v>8000</v>
      </c>
    </row>
    <row r="475" spans="1:5" s="31" customFormat="1" ht="30" x14ac:dyDescent="0.25">
      <c r="A475" s="1"/>
      <c r="B475" s="54" t="s">
        <v>106</v>
      </c>
      <c r="C475" s="55">
        <v>6</v>
      </c>
      <c r="D475" s="14">
        <v>749</v>
      </c>
      <c r="E475" s="2">
        <f t="shared" ref="E475" si="9">C475*D475</f>
        <v>4494</v>
      </c>
    </row>
    <row r="476" spans="1:5" s="31" customFormat="1" x14ac:dyDescent="0.25">
      <c r="A476" s="58"/>
      <c r="B476" s="77" t="s">
        <v>160</v>
      </c>
      <c r="C476" s="77"/>
      <c r="D476" s="77"/>
      <c r="E476" s="3">
        <f>SUM(E473:E475)</f>
        <v>15214</v>
      </c>
    </row>
    <row r="477" spans="1:5" s="31" customFormat="1" x14ac:dyDescent="0.25">
      <c r="A477" s="58"/>
      <c r="B477" s="77" t="s">
        <v>278</v>
      </c>
      <c r="C477" s="77"/>
      <c r="D477" s="77"/>
      <c r="E477" s="3">
        <f>E471+E476</f>
        <v>258399</v>
      </c>
    </row>
    <row r="478" spans="1:5" s="31" customFormat="1" ht="39" customHeight="1" x14ac:dyDescent="0.25">
      <c r="A478" s="49" t="s">
        <v>276</v>
      </c>
      <c r="B478" s="75" t="s">
        <v>341</v>
      </c>
      <c r="C478" s="75"/>
      <c r="D478" s="75"/>
      <c r="E478" s="76"/>
    </row>
    <row r="479" spans="1:5" s="31" customFormat="1" x14ac:dyDescent="0.25">
      <c r="A479" s="1"/>
      <c r="B479" s="53" t="s">
        <v>107</v>
      </c>
      <c r="C479" s="55">
        <v>1</v>
      </c>
      <c r="D479" s="10">
        <f>1180+1220+1545+4332+6720+8640+10140+10920+22608+22260+27600+35016+1175+1550+940+1285+550+600+80+240</f>
        <v>158601</v>
      </c>
      <c r="E479" s="2">
        <f t="shared" ref="E479:E491" si="10">C479*D479</f>
        <v>158601</v>
      </c>
    </row>
    <row r="480" spans="1:5" s="31" customFormat="1" x14ac:dyDescent="0.25">
      <c r="A480" s="1"/>
      <c r="B480" s="53" t="s">
        <v>108</v>
      </c>
      <c r="C480" s="55">
        <v>1</v>
      </c>
      <c r="D480" s="10">
        <v>40715</v>
      </c>
      <c r="E480" s="2">
        <f t="shared" si="10"/>
        <v>40715</v>
      </c>
    </row>
    <row r="481" spans="1:5" s="31" customFormat="1" x14ac:dyDescent="0.25">
      <c r="A481" s="1"/>
      <c r="B481" s="53" t="s">
        <v>109</v>
      </c>
      <c r="C481" s="55">
        <v>1</v>
      </c>
      <c r="D481" s="10">
        <v>20305</v>
      </c>
      <c r="E481" s="2">
        <f t="shared" si="10"/>
        <v>20305</v>
      </c>
    </row>
    <row r="482" spans="1:5" s="31" customFormat="1" x14ac:dyDescent="0.25">
      <c r="A482" s="1"/>
      <c r="B482" s="53" t="s">
        <v>110</v>
      </c>
      <c r="C482" s="55">
        <v>1</v>
      </c>
      <c r="D482" s="10">
        <v>19785</v>
      </c>
      <c r="E482" s="2">
        <f t="shared" si="10"/>
        <v>19785</v>
      </c>
    </row>
    <row r="483" spans="1:5" s="31" customFormat="1" x14ac:dyDescent="0.25">
      <c r="A483" s="1"/>
      <c r="B483" s="53" t="s">
        <v>111</v>
      </c>
      <c r="C483" s="55">
        <v>2</v>
      </c>
      <c r="D483" s="10">
        <v>15437</v>
      </c>
      <c r="E483" s="2">
        <f t="shared" si="10"/>
        <v>30874</v>
      </c>
    </row>
    <row r="484" spans="1:5" s="31" customFormat="1" x14ac:dyDescent="0.25">
      <c r="A484" s="1"/>
      <c r="B484" s="53" t="s">
        <v>191</v>
      </c>
      <c r="C484" s="55">
        <v>2</v>
      </c>
      <c r="D484" s="10">
        <v>50140</v>
      </c>
      <c r="E484" s="2">
        <f t="shared" si="10"/>
        <v>100280</v>
      </c>
    </row>
    <row r="485" spans="1:5" s="31" customFormat="1" x14ac:dyDescent="0.25">
      <c r="A485" s="1"/>
      <c r="B485" s="53" t="s">
        <v>342</v>
      </c>
      <c r="C485" s="55">
        <v>7</v>
      </c>
      <c r="D485" s="10">
        <v>11504</v>
      </c>
      <c r="E485" s="2">
        <f t="shared" si="10"/>
        <v>80528</v>
      </c>
    </row>
    <row r="486" spans="1:5" s="31" customFormat="1" x14ac:dyDescent="0.25">
      <c r="A486" s="1"/>
      <c r="B486" s="53" t="s">
        <v>112</v>
      </c>
      <c r="C486" s="55">
        <v>2</v>
      </c>
      <c r="D486" s="10">
        <v>32398</v>
      </c>
      <c r="E486" s="2">
        <f t="shared" si="10"/>
        <v>64796</v>
      </c>
    </row>
    <row r="487" spans="1:5" s="31" customFormat="1" x14ac:dyDescent="0.25">
      <c r="A487" s="1"/>
      <c r="B487" s="53" t="s">
        <v>113</v>
      </c>
      <c r="C487" s="55">
        <v>6</v>
      </c>
      <c r="D487" s="10">
        <v>2965</v>
      </c>
      <c r="E487" s="2">
        <f t="shared" si="10"/>
        <v>17790</v>
      </c>
    </row>
    <row r="488" spans="1:5" s="31" customFormat="1" ht="19.5" customHeight="1" x14ac:dyDescent="0.25">
      <c r="A488" s="1"/>
      <c r="B488" s="53" t="s">
        <v>114</v>
      </c>
      <c r="C488" s="55">
        <v>1</v>
      </c>
      <c r="D488" s="10">
        <v>28515</v>
      </c>
      <c r="E488" s="2">
        <f t="shared" si="10"/>
        <v>28515</v>
      </c>
    </row>
    <row r="489" spans="1:5" s="31" customFormat="1" x14ac:dyDescent="0.25">
      <c r="A489" s="1"/>
      <c r="B489" s="53" t="s">
        <v>162</v>
      </c>
      <c r="C489" s="55">
        <v>1</v>
      </c>
      <c r="D489" s="10">
        <v>19768</v>
      </c>
      <c r="E489" s="2">
        <f t="shared" si="10"/>
        <v>19768</v>
      </c>
    </row>
    <row r="490" spans="1:5" s="31" customFormat="1" x14ac:dyDescent="0.25">
      <c r="A490" s="1"/>
      <c r="B490" s="53" t="s">
        <v>163</v>
      </c>
      <c r="C490" s="55">
        <v>1</v>
      </c>
      <c r="D490" s="10">
        <v>12734</v>
      </c>
      <c r="E490" s="2">
        <f t="shared" si="10"/>
        <v>12734</v>
      </c>
    </row>
    <row r="491" spans="1:5" s="31" customFormat="1" x14ac:dyDescent="0.25">
      <c r="A491" s="1"/>
      <c r="B491" s="53" t="s">
        <v>164</v>
      </c>
      <c r="C491" s="55">
        <v>1</v>
      </c>
      <c r="D491" s="10">
        <v>18865</v>
      </c>
      <c r="E491" s="2">
        <f t="shared" si="10"/>
        <v>18865</v>
      </c>
    </row>
    <row r="492" spans="1:5" s="31" customFormat="1" x14ac:dyDescent="0.25">
      <c r="A492" s="58"/>
      <c r="B492" s="77" t="s">
        <v>158</v>
      </c>
      <c r="C492" s="77"/>
      <c r="D492" s="77"/>
      <c r="E492" s="3">
        <f>SUM(E479:E491)</f>
        <v>613556</v>
      </c>
    </row>
    <row r="493" spans="1:5" s="31" customFormat="1" x14ac:dyDescent="0.25">
      <c r="A493" s="49" t="s">
        <v>277</v>
      </c>
      <c r="B493" s="75" t="s">
        <v>234</v>
      </c>
      <c r="C493" s="75"/>
      <c r="D493" s="75"/>
      <c r="E493" s="76"/>
    </row>
    <row r="494" spans="1:5" s="31" customFormat="1" ht="30" x14ac:dyDescent="0.25">
      <c r="A494" s="1"/>
      <c r="B494" s="54" t="s">
        <v>118</v>
      </c>
      <c r="C494" s="55">
        <v>1</v>
      </c>
      <c r="D494" s="10">
        <v>110000</v>
      </c>
      <c r="E494" s="2">
        <f>C494*D494</f>
        <v>110000</v>
      </c>
    </row>
    <row r="495" spans="1:5" s="31" customFormat="1" ht="30" x14ac:dyDescent="0.25">
      <c r="A495" s="1"/>
      <c r="B495" s="54" t="s">
        <v>119</v>
      </c>
      <c r="C495" s="55">
        <v>12</v>
      </c>
      <c r="D495" s="10">
        <v>6500</v>
      </c>
      <c r="E495" s="2">
        <f>C495*D495</f>
        <v>78000</v>
      </c>
    </row>
    <row r="496" spans="1:5" s="31" customFormat="1" x14ac:dyDescent="0.25">
      <c r="A496" s="58"/>
      <c r="B496" s="77" t="s">
        <v>158</v>
      </c>
      <c r="C496" s="77"/>
      <c r="D496" s="77"/>
      <c r="E496" s="3">
        <f>SUM(E494:E495)</f>
        <v>188000</v>
      </c>
    </row>
    <row r="497" spans="1:5" s="31" customFormat="1" ht="15" customHeight="1" x14ac:dyDescent="0.25">
      <c r="A497" s="134" t="s">
        <v>124</v>
      </c>
      <c r="B497" s="77"/>
      <c r="C497" s="77"/>
      <c r="D497" s="77"/>
      <c r="E497" s="50">
        <f>E370+E372+E376+E371+E373+E374+E375</f>
        <v>33193605</v>
      </c>
    </row>
    <row r="498" spans="1:5" s="31" customFormat="1" x14ac:dyDescent="0.25">
      <c r="A498" s="134" t="s">
        <v>165</v>
      </c>
      <c r="B498" s="77"/>
      <c r="C498" s="77"/>
      <c r="D498" s="77"/>
      <c r="E498" s="50">
        <f>E497+E368</f>
        <v>43991055</v>
      </c>
    </row>
    <row r="499" spans="1:5" s="31" customFormat="1" x14ac:dyDescent="0.25">
      <c r="A499" s="51"/>
      <c r="B499" s="123" t="s">
        <v>56</v>
      </c>
      <c r="C499" s="123"/>
      <c r="D499" s="123"/>
      <c r="E499" s="46">
        <f>E358+E361+E498</f>
        <v>290841599</v>
      </c>
    </row>
    <row r="500" spans="1:5" ht="15.75" thickBot="1" x14ac:dyDescent="0.3">
      <c r="A500" s="63"/>
      <c r="B500" s="64"/>
      <c r="C500" s="64"/>
      <c r="D500" s="64"/>
      <c r="E500" s="65"/>
    </row>
  </sheetData>
  <mergeCells count="383">
    <mergeCell ref="B499:D499"/>
    <mergeCell ref="A498:D498"/>
    <mergeCell ref="C7:E7"/>
    <mergeCell ref="B8:E8"/>
    <mergeCell ref="B9:E9"/>
    <mergeCell ref="A497:D497"/>
    <mergeCell ref="B476:D476"/>
    <mergeCell ref="B372:D372"/>
    <mergeCell ref="B373:D373"/>
    <mergeCell ref="B374:D374"/>
    <mergeCell ref="B375:D375"/>
    <mergeCell ref="B376:D376"/>
    <mergeCell ref="A377:E377"/>
    <mergeCell ref="B379:E379"/>
    <mergeCell ref="B385:D385"/>
    <mergeCell ref="B460:E460"/>
    <mergeCell ref="B386:E386"/>
    <mergeCell ref="B393:D393"/>
    <mergeCell ref="B387:E387"/>
    <mergeCell ref="B389:D389"/>
    <mergeCell ref="B390:E390"/>
    <mergeCell ref="B394:D394"/>
    <mergeCell ref="B395:E395"/>
    <mergeCell ref="B411:D411"/>
    <mergeCell ref="B412:E412"/>
    <mergeCell ref="B428:D428"/>
    <mergeCell ref="B429:E429"/>
    <mergeCell ref="B444:D444"/>
    <mergeCell ref="A363:E363"/>
    <mergeCell ref="A364:E364"/>
    <mergeCell ref="B365:D365"/>
    <mergeCell ref="B366:D366"/>
    <mergeCell ref="B367:D367"/>
    <mergeCell ref="A368:D368"/>
    <mergeCell ref="A369:E369"/>
    <mergeCell ref="B370:D370"/>
    <mergeCell ref="B371:D371"/>
    <mergeCell ref="A354:E354"/>
    <mergeCell ref="B355:D355"/>
    <mergeCell ref="B356:D356"/>
    <mergeCell ref="B357:D357"/>
    <mergeCell ref="A358:D358"/>
    <mergeCell ref="A360:E360"/>
    <mergeCell ref="B361:D361"/>
    <mergeCell ref="B352:D352"/>
    <mergeCell ref="B353:D353"/>
    <mergeCell ref="B347:D347"/>
    <mergeCell ref="A349:E349"/>
    <mergeCell ref="A350:E350"/>
    <mergeCell ref="B351:D351"/>
    <mergeCell ref="B346:D346"/>
    <mergeCell ref="A338:E338"/>
    <mergeCell ref="B339:D339"/>
    <mergeCell ref="B340:D340"/>
    <mergeCell ref="B341:E341"/>
    <mergeCell ref="B342:D342"/>
    <mergeCell ref="B343:D343"/>
    <mergeCell ref="B344:E344"/>
    <mergeCell ref="B345:D345"/>
    <mergeCell ref="B322:D322"/>
    <mergeCell ref="B323:D323"/>
    <mergeCell ref="B327:D327"/>
    <mergeCell ref="B336:D336"/>
    <mergeCell ref="A337:E337"/>
    <mergeCell ref="B315:E315"/>
    <mergeCell ref="B316:D316"/>
    <mergeCell ref="B318:D318"/>
    <mergeCell ref="B319:D319"/>
    <mergeCell ref="B320:E320"/>
    <mergeCell ref="A321:E321"/>
    <mergeCell ref="B317:D317"/>
    <mergeCell ref="A329:E329"/>
    <mergeCell ref="B330:D330"/>
    <mergeCell ref="B331:D331"/>
    <mergeCell ref="B335:D335"/>
    <mergeCell ref="A328:E328"/>
    <mergeCell ref="A324:E324"/>
    <mergeCell ref="B325:D325"/>
    <mergeCell ref="B326:D326"/>
    <mergeCell ref="A332:E332"/>
    <mergeCell ref="B333:D333"/>
    <mergeCell ref="B334:D334"/>
    <mergeCell ref="B306:D306"/>
    <mergeCell ref="A307:E307"/>
    <mergeCell ref="B308:D308"/>
    <mergeCell ref="B309:D309"/>
    <mergeCell ref="A310:E310"/>
    <mergeCell ref="B311:D311"/>
    <mergeCell ref="B312:D312"/>
    <mergeCell ref="B313:D313"/>
    <mergeCell ref="A314:E314"/>
    <mergeCell ref="A301:E301"/>
    <mergeCell ref="B302:D302"/>
    <mergeCell ref="B303:D303"/>
    <mergeCell ref="A304:E304"/>
    <mergeCell ref="B305:D305"/>
    <mergeCell ref="B296:D296"/>
    <mergeCell ref="B297:D297"/>
    <mergeCell ref="A298:E298"/>
    <mergeCell ref="B299:D299"/>
    <mergeCell ref="B300:D300"/>
    <mergeCell ref="A290:E290"/>
    <mergeCell ref="B291:D291"/>
    <mergeCell ref="B292:D292"/>
    <mergeCell ref="B293:D293"/>
    <mergeCell ref="B294:D294"/>
    <mergeCell ref="A295:E295"/>
    <mergeCell ref="B284:D284"/>
    <mergeCell ref="B285:D285"/>
    <mergeCell ref="B286:D286"/>
    <mergeCell ref="A287:E287"/>
    <mergeCell ref="B288:D288"/>
    <mergeCell ref="B289:D289"/>
    <mergeCell ref="A279:E279"/>
    <mergeCell ref="A280:E280"/>
    <mergeCell ref="B281:D281"/>
    <mergeCell ref="B282:D282"/>
    <mergeCell ref="A283:E283"/>
    <mergeCell ref="B273:D273"/>
    <mergeCell ref="B274:D274"/>
    <mergeCell ref="A275:E275"/>
    <mergeCell ref="B276:D276"/>
    <mergeCell ref="B277:D277"/>
    <mergeCell ref="B271:D271"/>
    <mergeCell ref="A272:E272"/>
    <mergeCell ref="B261:D261"/>
    <mergeCell ref="A262:E262"/>
    <mergeCell ref="B263:D263"/>
    <mergeCell ref="B264:D264"/>
    <mergeCell ref="B266:D266"/>
    <mergeCell ref="A267:E267"/>
    <mergeCell ref="B278:D278"/>
    <mergeCell ref="B260:D260"/>
    <mergeCell ref="B265:D265"/>
    <mergeCell ref="B270:D270"/>
    <mergeCell ref="B252:D252"/>
    <mergeCell ref="B253:D253"/>
    <mergeCell ref="B254:D254"/>
    <mergeCell ref="B256:D256"/>
    <mergeCell ref="A257:E257"/>
    <mergeCell ref="B258:D258"/>
    <mergeCell ref="B259:D259"/>
    <mergeCell ref="B268:D268"/>
    <mergeCell ref="B269:D269"/>
    <mergeCell ref="B244:D244"/>
    <mergeCell ref="B245:D245"/>
    <mergeCell ref="B247:D247"/>
    <mergeCell ref="A248:E248"/>
    <mergeCell ref="B249:D249"/>
    <mergeCell ref="B250:D250"/>
    <mergeCell ref="B251:D251"/>
    <mergeCell ref="B246:D246"/>
    <mergeCell ref="B255:D255"/>
    <mergeCell ref="B235:D235"/>
    <mergeCell ref="B236:D236"/>
    <mergeCell ref="B237:D237"/>
    <mergeCell ref="B240:D240"/>
    <mergeCell ref="A242:E242"/>
    <mergeCell ref="B243:D243"/>
    <mergeCell ref="B228:D228"/>
    <mergeCell ref="B229:D229"/>
    <mergeCell ref="B230:D230"/>
    <mergeCell ref="B231:D231"/>
    <mergeCell ref="B232:D232"/>
    <mergeCell ref="B234:D234"/>
    <mergeCell ref="B238:D238"/>
    <mergeCell ref="B239:D239"/>
    <mergeCell ref="B233:D233"/>
    <mergeCell ref="B218:D218"/>
    <mergeCell ref="B219:D219"/>
    <mergeCell ref="B220:D220"/>
    <mergeCell ref="B221:D221"/>
    <mergeCell ref="B222:D222"/>
    <mergeCell ref="B226:D226"/>
    <mergeCell ref="A227:E227"/>
    <mergeCell ref="B210:D210"/>
    <mergeCell ref="B211:D211"/>
    <mergeCell ref="B212:D212"/>
    <mergeCell ref="B213:D213"/>
    <mergeCell ref="B214:D214"/>
    <mergeCell ref="A215:E215"/>
    <mergeCell ref="B216:D216"/>
    <mergeCell ref="B217:D217"/>
    <mergeCell ref="B223:D223"/>
    <mergeCell ref="B225:D225"/>
    <mergeCell ref="B224:D224"/>
    <mergeCell ref="B204:D204"/>
    <mergeCell ref="A205:E205"/>
    <mergeCell ref="B206:D206"/>
    <mergeCell ref="B207:D207"/>
    <mergeCell ref="B208:D208"/>
    <mergeCell ref="A209:E209"/>
    <mergeCell ref="B196:D196"/>
    <mergeCell ref="B197:D197"/>
    <mergeCell ref="B198:D198"/>
    <mergeCell ref="B199:D199"/>
    <mergeCell ref="A200:E200"/>
    <mergeCell ref="B201:D201"/>
    <mergeCell ref="B202:D202"/>
    <mergeCell ref="B203:D203"/>
    <mergeCell ref="B189:D189"/>
    <mergeCell ref="B190:D190"/>
    <mergeCell ref="B191:D191"/>
    <mergeCell ref="B192:D192"/>
    <mergeCell ref="B193:D193"/>
    <mergeCell ref="B194:D194"/>
    <mergeCell ref="B195:D195"/>
    <mergeCell ref="A182:E182"/>
    <mergeCell ref="A183:E183"/>
    <mergeCell ref="B184:D184"/>
    <mergeCell ref="B185:D185"/>
    <mergeCell ref="B186:D186"/>
    <mergeCell ref="B187:D187"/>
    <mergeCell ref="B188:D188"/>
    <mergeCell ref="B174:D174"/>
    <mergeCell ref="A176:E176"/>
    <mergeCell ref="A177:E177"/>
    <mergeCell ref="A178:E178"/>
    <mergeCell ref="B179:D179"/>
    <mergeCell ref="B180:D180"/>
    <mergeCell ref="B181:D181"/>
    <mergeCell ref="A165:E165"/>
    <mergeCell ref="A166:E166"/>
    <mergeCell ref="B167:D167"/>
    <mergeCell ref="B168:D168"/>
    <mergeCell ref="B169:D169"/>
    <mergeCell ref="B173:D173"/>
    <mergeCell ref="A170:E170"/>
    <mergeCell ref="B171:D171"/>
    <mergeCell ref="B172:D172"/>
    <mergeCell ref="A175:E175"/>
    <mergeCell ref="B155:D155"/>
    <mergeCell ref="A156:E156"/>
    <mergeCell ref="B157:D157"/>
    <mergeCell ref="B158:D158"/>
    <mergeCell ref="B159:D159"/>
    <mergeCell ref="A160:E160"/>
    <mergeCell ref="A161:E161"/>
    <mergeCell ref="B162:D162"/>
    <mergeCell ref="B163:D163"/>
    <mergeCell ref="A152:E152"/>
    <mergeCell ref="B153:D153"/>
    <mergeCell ref="B154:D154"/>
    <mergeCell ref="A143:E143"/>
    <mergeCell ref="B144:D144"/>
    <mergeCell ref="B145:D145"/>
    <mergeCell ref="B146:D146"/>
    <mergeCell ref="A147:E147"/>
    <mergeCell ref="A148:E148"/>
    <mergeCell ref="B149:D149"/>
    <mergeCell ref="B150:D150"/>
    <mergeCell ref="B151:D151"/>
    <mergeCell ref="B125:D125"/>
    <mergeCell ref="B137:D137"/>
    <mergeCell ref="B138:D138"/>
    <mergeCell ref="A139:E139"/>
    <mergeCell ref="B140:D140"/>
    <mergeCell ref="B141:D141"/>
    <mergeCell ref="B142:D142"/>
    <mergeCell ref="B135:D135"/>
    <mergeCell ref="B136:D136"/>
    <mergeCell ref="B116:D116"/>
    <mergeCell ref="A117:E117"/>
    <mergeCell ref="B118:D118"/>
    <mergeCell ref="B119:D119"/>
    <mergeCell ref="B132:D132"/>
    <mergeCell ref="A133:E133"/>
    <mergeCell ref="A134:E134"/>
    <mergeCell ref="B106:D106"/>
    <mergeCell ref="B107:D107"/>
    <mergeCell ref="B108:D108"/>
    <mergeCell ref="B109:D109"/>
    <mergeCell ref="B110:D110"/>
    <mergeCell ref="B111:D111"/>
    <mergeCell ref="A112:E112"/>
    <mergeCell ref="B113:D113"/>
    <mergeCell ref="A126:E126"/>
    <mergeCell ref="B127:D127"/>
    <mergeCell ref="A129:E129"/>
    <mergeCell ref="B130:D130"/>
    <mergeCell ref="A120:E120"/>
    <mergeCell ref="B121:D121"/>
    <mergeCell ref="B122:D122"/>
    <mergeCell ref="A123:E123"/>
    <mergeCell ref="B124:D124"/>
    <mergeCell ref="B100:D100"/>
    <mergeCell ref="B101:D101"/>
    <mergeCell ref="B102:D102"/>
    <mergeCell ref="B103:D103"/>
    <mergeCell ref="A104:E104"/>
    <mergeCell ref="B105:D105"/>
    <mergeCell ref="B114:D114"/>
    <mergeCell ref="B115:D115"/>
    <mergeCell ref="B98:D98"/>
    <mergeCell ref="B99:D99"/>
    <mergeCell ref="B92:D92"/>
    <mergeCell ref="B93:D93"/>
    <mergeCell ref="B94:D94"/>
    <mergeCell ref="B96:D96"/>
    <mergeCell ref="A97:E97"/>
    <mergeCell ref="B65:D65"/>
    <mergeCell ref="B66:D66"/>
    <mergeCell ref="B67:D67"/>
    <mergeCell ref="B68:D68"/>
    <mergeCell ref="B69:D69"/>
    <mergeCell ref="B70:D70"/>
    <mergeCell ref="B71:D71"/>
    <mergeCell ref="B72:D72"/>
    <mergeCell ref="B85:D85"/>
    <mergeCell ref="B86:D86"/>
    <mergeCell ref="A87:E87"/>
    <mergeCell ref="B88:D88"/>
    <mergeCell ref="B89:D89"/>
    <mergeCell ref="A90:E90"/>
    <mergeCell ref="B91:D91"/>
    <mergeCell ref="B95:D95"/>
    <mergeCell ref="A83:E83"/>
    <mergeCell ref="B84:D84"/>
    <mergeCell ref="B73:D73"/>
    <mergeCell ref="B74:D74"/>
    <mergeCell ref="B75:D75"/>
    <mergeCell ref="B76:D76"/>
    <mergeCell ref="B77:D77"/>
    <mergeCell ref="B79:D79"/>
    <mergeCell ref="A80:E80"/>
    <mergeCell ref="B81:D81"/>
    <mergeCell ref="B82:D82"/>
    <mergeCell ref="B78:D78"/>
    <mergeCell ref="A61:E61"/>
    <mergeCell ref="A62:E62"/>
    <mergeCell ref="B63:D63"/>
    <mergeCell ref="B64:D64"/>
    <mergeCell ref="B56:D56"/>
    <mergeCell ref="B44:D44"/>
    <mergeCell ref="B60:D60"/>
    <mergeCell ref="A57:E57"/>
    <mergeCell ref="B58:D58"/>
    <mergeCell ref="B59:D59"/>
    <mergeCell ref="B45:D45"/>
    <mergeCell ref="A47:E47"/>
    <mergeCell ref="B48:D48"/>
    <mergeCell ref="B50:D50"/>
    <mergeCell ref="A51:E51"/>
    <mergeCell ref="B52:D52"/>
    <mergeCell ref="B53:D53"/>
    <mergeCell ref="A54:E54"/>
    <mergeCell ref="B55:D55"/>
    <mergeCell ref="B49:D49"/>
    <mergeCell ref="B46:D46"/>
    <mergeCell ref="A20:E20"/>
    <mergeCell ref="A21:E21"/>
    <mergeCell ref="B22:D22"/>
    <mergeCell ref="A23:E23"/>
    <mergeCell ref="A24:E24"/>
    <mergeCell ref="B34:D34"/>
    <mergeCell ref="B43:E43"/>
    <mergeCell ref="A25:E25"/>
    <mergeCell ref="B35:D35"/>
    <mergeCell ref="A36:E36"/>
    <mergeCell ref="B37:D37"/>
    <mergeCell ref="B38:D38"/>
    <mergeCell ref="A39:E39"/>
    <mergeCell ref="B40:D40"/>
    <mergeCell ref="B42:D42"/>
    <mergeCell ref="B26:D26"/>
    <mergeCell ref="B27:D27"/>
    <mergeCell ref="B28:D28"/>
    <mergeCell ref="A29:E29"/>
    <mergeCell ref="A30:E30"/>
    <mergeCell ref="B31:D31"/>
    <mergeCell ref="B32:D32"/>
    <mergeCell ref="A33:E33"/>
    <mergeCell ref="B41:D41"/>
    <mergeCell ref="B478:E478"/>
    <mergeCell ref="B492:D492"/>
    <mergeCell ref="B493:E493"/>
    <mergeCell ref="B496:D496"/>
    <mergeCell ref="B445:E445"/>
    <mergeCell ref="B459:D459"/>
    <mergeCell ref="B461:E461"/>
    <mergeCell ref="B471:D471"/>
    <mergeCell ref="B472:E472"/>
    <mergeCell ref="B477:D477"/>
  </mergeCells>
  <phoneticPr fontId="1" type="noConversion"/>
  <printOptions horizontalCentered="1"/>
  <pageMargins left="1.1811023622047245" right="0.39370078740157483" top="0.78740157480314965" bottom="0.39370078740157483" header="0" footer="0"/>
  <pageSetup paperSize="9" scale="83" firstPageNumber="268" fitToHeight="24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№___</vt:lpstr>
      <vt:lpstr>'Приложение №___'!Заголовки_для_печати</vt:lpstr>
      <vt:lpstr>'Приложение №___'!Область_печати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</cp:lastModifiedBy>
  <cp:lastPrinted>2020-08-07T07:23:09Z</cp:lastPrinted>
  <dcterms:created xsi:type="dcterms:W3CDTF">2019-12-13T13:54:36Z</dcterms:created>
  <dcterms:modified xsi:type="dcterms:W3CDTF">2020-08-07T07:57:46Z</dcterms:modified>
</cp:coreProperties>
</file>