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1612" sheetId="1" r:id="rId1"/>
  </sheets>
  <definedNames>
    <definedName name="_xlnm.Print_Titles" localSheetId="0">'1612'!$13:$13</definedName>
  </definedNames>
  <calcPr calcId="152511"/>
</workbook>
</file>

<file path=xl/calcChain.xml><?xml version="1.0" encoding="utf-8"?>
<calcChain xmlns="http://schemas.openxmlformats.org/spreadsheetml/2006/main">
  <c r="E61" i="1" l="1"/>
  <c r="D61" i="1"/>
  <c r="C61" i="1"/>
  <c r="J63" i="1"/>
  <c r="I63" i="1"/>
  <c r="H63" i="1"/>
  <c r="G63" i="1"/>
  <c r="F63" i="1"/>
  <c r="E63" i="1"/>
  <c r="D63" i="1"/>
  <c r="C63" i="1"/>
  <c r="J65" i="1"/>
  <c r="I65" i="1"/>
  <c r="H65" i="1"/>
  <c r="G65" i="1"/>
  <c r="F65" i="1"/>
  <c r="E65" i="1"/>
  <c r="D65" i="1"/>
  <c r="C65" i="1"/>
  <c r="J52" i="1" l="1"/>
  <c r="I52" i="1"/>
  <c r="H52" i="1"/>
  <c r="G52" i="1"/>
  <c r="F52" i="1"/>
  <c r="I51" i="1"/>
  <c r="H51" i="1"/>
  <c r="G51" i="1"/>
  <c r="F51" i="1"/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K61" i="1"/>
  <c r="K45" i="1" l="1"/>
  <c r="K44" i="1"/>
  <c r="K46" i="1"/>
  <c r="C64" i="1"/>
  <c r="E52" i="1" l="1"/>
  <c r="D52" i="1"/>
  <c r="C52" i="1"/>
  <c r="K60" i="1" l="1"/>
  <c r="D17" i="1"/>
  <c r="E17" i="1"/>
  <c r="F17" i="1"/>
  <c r="G17" i="1"/>
  <c r="H17" i="1"/>
  <c r="I17" i="1"/>
  <c r="J17" i="1"/>
  <c r="C17" i="1"/>
  <c r="K40" i="1"/>
  <c r="K39" i="1"/>
  <c r="K38" i="1"/>
  <c r="K37" i="1"/>
  <c r="K36" i="1"/>
  <c r="K35" i="1"/>
  <c r="K34" i="1"/>
  <c r="K33" i="1"/>
  <c r="J32" i="1"/>
  <c r="I32" i="1"/>
  <c r="H32" i="1"/>
  <c r="G32" i="1"/>
  <c r="F32" i="1"/>
  <c r="E32" i="1"/>
  <c r="D32" i="1"/>
  <c r="C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32" i="1" l="1"/>
  <c r="I16" i="1"/>
  <c r="I55" i="1" s="1"/>
  <c r="G16" i="1"/>
  <c r="G55" i="1" s="1"/>
  <c r="J16" i="1"/>
  <c r="J55" i="1" s="1"/>
  <c r="H16" i="1"/>
  <c r="H55" i="1" s="1"/>
  <c r="F16" i="1"/>
  <c r="D16" i="1"/>
  <c r="D55" i="1" s="1"/>
  <c r="C16" i="1"/>
  <c r="K17" i="1"/>
  <c r="E16" i="1"/>
  <c r="D50" i="1"/>
  <c r="F50" i="1"/>
  <c r="G50" i="1"/>
  <c r="H50" i="1"/>
  <c r="I50" i="1"/>
  <c r="J50" i="1"/>
  <c r="K15" i="1"/>
  <c r="E51" i="1"/>
  <c r="J47" i="1"/>
  <c r="I47" i="1"/>
  <c r="H47" i="1"/>
  <c r="G47" i="1"/>
  <c r="F47" i="1"/>
  <c r="E47" i="1"/>
  <c r="D47" i="1"/>
  <c r="C47" i="1"/>
  <c r="K54" i="1"/>
  <c r="K53" i="1"/>
  <c r="K63" i="1"/>
  <c r="K43" i="1"/>
  <c r="K42" i="1"/>
  <c r="K64" i="1"/>
  <c r="K65" i="1"/>
  <c r="K52" i="1"/>
  <c r="E50" i="1" l="1"/>
  <c r="E55" i="1"/>
  <c r="C55" i="1"/>
  <c r="K51" i="1"/>
  <c r="H14" i="1"/>
  <c r="F55" i="1"/>
  <c r="I14" i="1"/>
  <c r="D14" i="1"/>
  <c r="G14" i="1"/>
  <c r="F14" i="1"/>
  <c r="K16" i="1"/>
  <c r="J14" i="1"/>
  <c r="J49" i="1"/>
  <c r="G49" i="1"/>
  <c r="D49" i="1"/>
  <c r="H49" i="1"/>
  <c r="H62" i="1" s="1"/>
  <c r="E14" i="1"/>
  <c r="C14" i="1"/>
  <c r="K47" i="1"/>
  <c r="C50" i="1"/>
  <c r="F49" i="1" l="1"/>
  <c r="E49" i="1"/>
  <c r="I49" i="1"/>
  <c r="H57" i="1"/>
  <c r="H59" i="1" s="1"/>
  <c r="G57" i="1"/>
  <c r="G59" i="1" s="1"/>
  <c r="D57" i="1"/>
  <c r="D59" i="1" s="1"/>
  <c r="I57" i="1"/>
  <c r="I59" i="1" s="1"/>
  <c r="K14" i="1"/>
  <c r="J57" i="1"/>
  <c r="J59" i="1" s="1"/>
  <c r="F57" i="1"/>
  <c r="F59" i="1" s="1"/>
  <c r="G62" i="1"/>
  <c r="J62" i="1"/>
  <c r="F62" i="1"/>
  <c r="K55" i="1"/>
  <c r="D62" i="1"/>
  <c r="K50" i="1"/>
  <c r="C49" i="1"/>
  <c r="E57" i="1" l="1"/>
  <c r="E59" i="1" s="1"/>
  <c r="E62" i="1"/>
  <c r="I62" i="1"/>
  <c r="C57" i="1"/>
  <c r="C59" i="1" s="1"/>
  <c r="C62" i="1"/>
  <c r="K49" i="1"/>
  <c r="H58" i="1" l="1"/>
  <c r="G58" i="1"/>
  <c r="D58" i="1"/>
  <c r="I58" i="1"/>
  <c r="F58" i="1"/>
  <c r="J58" i="1"/>
  <c r="E58" i="1"/>
  <c r="K62" i="1"/>
  <c r="K59" i="1"/>
  <c r="K57" i="1"/>
  <c r="C58" i="1" l="1"/>
  <c r="K58" i="1" l="1"/>
</calcChain>
</file>

<file path=xl/sharedStrings.xml><?xml version="1.0" encoding="utf-8"?>
<sst xmlns="http://schemas.openxmlformats.org/spreadsheetml/2006/main" count="118" uniqueCount="112">
  <si>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</si>
  <si>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</si>
  <si>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</si>
  <si>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</si>
  <si>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</si>
  <si>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</si>
  <si>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</si>
  <si>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</si>
  <si>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</si>
  <si>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</si>
  <si>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1.</t>
  </si>
  <si>
    <t>ДОХОДЫ местных бюджетов, из них</t>
  </si>
  <si>
    <t>1.1</t>
  </si>
  <si>
    <t>имеющие целевое назначение</t>
  </si>
  <si>
    <t>ДОХОДЫ к распределению (очищенные)</t>
  </si>
  <si>
    <t>2.</t>
  </si>
  <si>
    <t>РАСХОДЫ местных бюджетов, из них:</t>
  </si>
  <si>
    <t>2.1</t>
  </si>
  <si>
    <t>2.2</t>
  </si>
  <si>
    <t>прочие расходы, из них:</t>
  </si>
  <si>
    <t>расходы на проведение выборов</t>
  </si>
  <si>
    <t>3.</t>
  </si>
  <si>
    <t>ПРЕДЕЛЬНЫЙ ДЕФИЦИТ местных бюджетов</t>
  </si>
  <si>
    <t>4.</t>
  </si>
  <si>
    <t>Источники покрытия дефицита, из них:</t>
  </si>
  <si>
    <t xml:space="preserve">ДОТАЦИИ (трансферты) из  РБ </t>
  </si>
  <si>
    <t>ПРЕДЕЛЬНЫЕ РАСХОДЫ местных бюджетов, из них:</t>
  </si>
  <si>
    <t>5.1</t>
  </si>
  <si>
    <t>Фонд развития и стимулирования территорий городов и районов</t>
  </si>
  <si>
    <t>мероприятия по программе "Столица"</t>
  </si>
  <si>
    <t>субсидии  из РБ  на развитие дорожной отрасли</t>
  </si>
  <si>
    <t>Приложение № 3</t>
  </si>
  <si>
    <t>к Закону Приднестровской Молдавской Республики</t>
  </si>
  <si>
    <t>Плановые доходы и расходы местных бюджетов на 2020 год</t>
  </si>
  <si>
    <t>"О республиканском бюджете на 2020 год"</t>
  </si>
  <si>
    <t>ОСТАТКИ по состоянию на 1 января 2020 года всего, в том числе:</t>
  </si>
  <si>
    <t>6.3</t>
  </si>
  <si>
    <t>3.1</t>
  </si>
  <si>
    <t>3.2</t>
  </si>
  <si>
    <t>3.1.1</t>
  </si>
  <si>
    <t>3.1.2</t>
  </si>
  <si>
    <t>3.1.2.1</t>
  </si>
  <si>
    <t>3.1.2.2</t>
  </si>
  <si>
    <t>5.</t>
  </si>
  <si>
    <t>6.</t>
  </si>
  <si>
    <t>за счет целевых источников</t>
  </si>
  <si>
    <t>6.1</t>
  </si>
  <si>
    <t>6.2</t>
  </si>
  <si>
    <t>1.2</t>
  </si>
  <si>
    <t>1.2.1</t>
  </si>
  <si>
    <t>1.2.1.1</t>
  </si>
  <si>
    <t>целевой сбор на благоустройство территории сел (поселков)</t>
  </si>
  <si>
    <t>1.2.1.2</t>
  </si>
  <si>
    <t>целевой сбор на содержание и развитие социальной сферы и инфраструктуры сел (поселков)</t>
  </si>
  <si>
    <t>1.2.1.3</t>
  </si>
  <si>
    <t>налог на содержание жилищного фонда, объектов социально-культурной сферы и иные цели</t>
  </si>
  <si>
    <t>1.2.1.4</t>
  </si>
  <si>
    <t>целевой сбор землеустроителей</t>
  </si>
  <si>
    <t>1.2.1.5</t>
  </si>
  <si>
    <t>плата за услуги, осуществляемые органами местного самоуправления в связи с утверждением схем домовладений и (или) иных построек хозяйственного назначения, расположенных в сельских населенных пунктах</t>
  </si>
  <si>
    <t>1.2.1.6</t>
  </si>
  <si>
    <t>средства  от приватизации</t>
  </si>
  <si>
    <t>1.2.1.7</t>
  </si>
  <si>
    <t>средства, направляемые на кредитование крестьянских (фермерских) хозяйств (и проценты)</t>
  </si>
  <si>
    <t>1.2.1.8</t>
  </si>
  <si>
    <t>средства, направляемые на кредитование молодых специалистов на приобретение строительных материалов для строительства жилья (и проценты)</t>
  </si>
  <si>
    <t>1.2.1.9</t>
  </si>
  <si>
    <t>средства, направляемые на кредитование молодых семей на приобретение строительных материалов для строительства жилья (и проценты)</t>
  </si>
  <si>
    <t>1.2.1.10</t>
  </si>
  <si>
    <t>1.2.1.11</t>
  </si>
  <si>
    <t>фонд социального развития</t>
  </si>
  <si>
    <t>1.2.1.12</t>
  </si>
  <si>
    <t>1.2.2.</t>
  </si>
  <si>
    <t xml:space="preserve"> на специальных бюджетных счетах</t>
  </si>
  <si>
    <t>1.2.3.</t>
  </si>
  <si>
    <t>территориального экологического фонда</t>
  </si>
  <si>
    <t>1.2.4.</t>
  </si>
  <si>
    <t>средства из РБ  на развитие дорожной отрасли, в том числе:</t>
  </si>
  <si>
    <t>1.2.4.1</t>
  </si>
  <si>
    <t>на развитие автомобильных дорог общего пользования, находящихся в государственной собственности</t>
  </si>
  <si>
    <t>1.2.4.2</t>
  </si>
  <si>
    <t>на развитие автомобильных дорог общего пользования, находящихся в муниципальной  собственности</t>
  </si>
  <si>
    <t>1.2.4.3</t>
  </si>
  <si>
    <t>на обустройство мест стоянок и парковок</t>
  </si>
  <si>
    <t>1.2.4.4</t>
  </si>
  <si>
    <t>по сельским дорогам и дорогам, являющимся продолжением дорог</t>
  </si>
  <si>
    <t>1.2.4.5</t>
  </si>
  <si>
    <t>1.2.4.6</t>
  </si>
  <si>
    <t xml:space="preserve">строительство и реконструкция сельских дорог </t>
  </si>
  <si>
    <t>1.2.4.7</t>
  </si>
  <si>
    <t>благоустройство территорий образовательных учреждений</t>
  </si>
  <si>
    <t>1.2.5</t>
  </si>
  <si>
    <t>* секретно</t>
  </si>
  <si>
    <t xml:space="preserve"> целевые сборы и платежи всего, в том числе:</t>
  </si>
  <si>
    <t>расходы по социально защищенным статьям</t>
  </si>
  <si>
    <t>расходы к распределению (очищенные)</t>
  </si>
  <si>
    <t>приобретение ГСМ для обеспечения работы милиции общественной безопасности (местной милиции)</t>
  </si>
  <si>
    <t>средства из резервных фондов  Президента и Правительства</t>
  </si>
  <si>
    <t xml:space="preserve"> не имеющие целевого назначения  (очищенные)</t>
  </si>
  <si>
    <t xml:space="preserve"> имеющие целевые назначение, в том числе:</t>
  </si>
  <si>
    <t>(руб.)</t>
  </si>
  <si>
    <t xml:space="preserve">фонд экономического развития </t>
  </si>
  <si>
    <t>2.1.1</t>
  </si>
  <si>
    <t>2.1.2</t>
  </si>
  <si>
    <t>территориальный экологический фонд</t>
  </si>
  <si>
    <t>2.1.3</t>
  </si>
  <si>
    <t>5.2</t>
  </si>
  <si>
    <t>иные источники, установленные настоящим Законом</t>
  </si>
  <si>
    <t>"О внесении изменений и дополнений</t>
  </si>
  <si>
    <t xml:space="preserve">в Закон Приднестровской Молдавской Республики </t>
  </si>
  <si>
    <t>ремонтные работы дорог от пер. Западный до                                        ул. Правды</t>
  </si>
  <si>
    <t>Приложение №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</si>
</sst>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/>
    <xf numFmtId="0" fontId="8" fillId="0" borderId="0" xfId="0" applyFont="1" applyAlignment="1">
      <alignment horizontal="right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3" fontId="2" fillId="2" borderId="4" xfId="1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49" fontId="9" fillId="0" borderId="5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center"/>
    </xf>
    <xf numFmtId="164" fontId="9" fillId="0" borderId="4" xfId="0" applyNumberFormat="1" applyFont="1" applyFill="1" applyBorder="1" applyAlignment="1">
      <alignment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164" fontId="8" fillId="0" borderId="4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horizontal="left"/>
    </xf>
    <xf numFmtId="3" fontId="8" fillId="0" borderId="5" xfId="0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vertical="center" wrapText="1"/>
    </xf>
    <xf numFmtId="3" fontId="8" fillId="0" borderId="4" xfId="1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14" fillId="0" borderId="4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left" vertical="center" wrapText="1"/>
    </xf>
    <xf numFmtId="3" fontId="14" fillId="0" borderId="4" xfId="1" applyNumberFormat="1" applyFont="1" applyBorder="1"/>
    <xf numFmtId="3" fontId="2" fillId="0" borderId="4" xfId="1" applyNumberFormat="1" applyFont="1" applyBorder="1" applyAlignment="1">
      <alignment vertical="center" wrapText="1"/>
    </xf>
    <xf numFmtId="3" fontId="8" fillId="0" borderId="4" xfId="0" applyNumberFormat="1" applyFont="1" applyBorder="1" applyAlignment="1">
      <alignment vertical="center" wrapText="1"/>
    </xf>
    <xf numFmtId="3" fontId="8" fillId="0" borderId="4" xfId="0" applyNumberFormat="1" applyFont="1" applyFill="1" applyBorder="1" applyAlignment="1">
      <alignment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vertical="center" wrapText="1"/>
    </xf>
    <xf numFmtId="3" fontId="8" fillId="0" borderId="11" xfId="0" applyNumberFormat="1" applyFont="1" applyFill="1" applyBorder="1" applyAlignment="1">
      <alignment horizontal="right" vertical="center"/>
    </xf>
    <xf numFmtId="3" fontId="8" fillId="0" borderId="12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10" fillId="0" borderId="4" xfId="1" applyNumberFormat="1" applyFont="1" applyFill="1" applyBorder="1" applyAlignment="1">
      <alignment horizontal="right" vertical="center"/>
    </xf>
    <xf numFmtId="49" fontId="8" fillId="0" borderId="7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vertical="center" wrapText="1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tabSelected="1" zoomScale="90" zoomScaleNormal="90" workbookViewId="0">
      <pane xSplit="11" ySplit="13" topLeftCell="L22" activePane="bottomRight" state="frozenSplit"/>
      <selection pane="topRight" activeCell="G1" sqref="G1"/>
      <selection pane="bottomLeft" activeCell="A13" sqref="A13"/>
      <selection pane="bottomRight" activeCell="A55" sqref="A55:XFD56"/>
    </sheetView>
  </sheetViews>
  <sheetFormatPr defaultRowHeight="15" x14ac:dyDescent="0.25"/>
  <cols>
    <col min="1" max="1" width="8.5703125" bestFit="1" customWidth="1"/>
    <col min="2" max="2" width="46.5703125" customWidth="1"/>
    <col min="3" max="3" width="12.42578125" bestFit="1" customWidth="1"/>
    <col min="4" max="4" width="13.140625" bestFit="1" customWidth="1"/>
    <col min="5" max="7" width="12.42578125" bestFit="1" customWidth="1"/>
    <col min="8" max="8" width="13" bestFit="1" customWidth="1"/>
    <col min="9" max="9" width="15.5703125" bestFit="1" customWidth="1"/>
    <col min="10" max="10" width="11.85546875" bestFit="1" customWidth="1"/>
    <col min="11" max="11" width="14.85546875" bestFit="1" customWidth="1"/>
    <col min="12" max="12" width="15.5703125" bestFit="1" customWidth="1"/>
    <col min="13" max="13" width="14.42578125" bestFit="1" customWidth="1"/>
  </cols>
  <sheetData>
    <row r="1" spans="1:31" ht="15.75" x14ac:dyDescent="0.25">
      <c r="K1" s="14" t="s">
        <v>111</v>
      </c>
    </row>
    <row r="2" spans="1:31" ht="15.75" x14ac:dyDescent="0.25">
      <c r="K2" s="14" t="s">
        <v>32</v>
      </c>
    </row>
    <row r="3" spans="1:31" ht="15.75" x14ac:dyDescent="0.25">
      <c r="K3" s="55" t="s">
        <v>108</v>
      </c>
    </row>
    <row r="4" spans="1:31" ht="15.75" x14ac:dyDescent="0.25">
      <c r="K4" s="55" t="s">
        <v>109</v>
      </c>
    </row>
    <row r="5" spans="1:31" ht="21" customHeight="1" x14ac:dyDescent="0.25">
      <c r="K5" s="14" t="s">
        <v>34</v>
      </c>
    </row>
    <row r="7" spans="1:31" ht="18.75" x14ac:dyDescent="0.3">
      <c r="A7" s="13"/>
      <c r="B7" s="31"/>
      <c r="C7" s="13"/>
      <c r="D7" s="13"/>
      <c r="E7" s="13"/>
      <c r="F7" s="13"/>
      <c r="G7" s="13"/>
      <c r="H7" s="13"/>
      <c r="I7" s="13"/>
      <c r="J7" s="13"/>
      <c r="K7" s="14" t="s">
        <v>31</v>
      </c>
    </row>
    <row r="8" spans="1:31" ht="15.7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4" t="s">
        <v>32</v>
      </c>
    </row>
    <row r="9" spans="1:31" ht="15.7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4" t="s">
        <v>34</v>
      </c>
    </row>
    <row r="10" spans="1:31" ht="15.7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/>
    </row>
    <row r="11" spans="1:31" ht="16.5" x14ac:dyDescent="0.25">
      <c r="A11" s="57" t="s">
        <v>33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31" ht="16.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56" t="s">
        <v>100</v>
      </c>
    </row>
    <row r="13" spans="1:31" s="6" customFormat="1" ht="16.5" thickBot="1" x14ac:dyDescent="0.3">
      <c r="A13" s="1"/>
      <c r="B13" s="2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4" t="s">
        <v>9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s="6" customFormat="1" ht="31.5" x14ac:dyDescent="0.25">
      <c r="A14" s="15" t="s">
        <v>10</v>
      </c>
      <c r="B14" s="16" t="s">
        <v>35</v>
      </c>
      <c r="C14" s="17">
        <f>SUM(C15:C16)</f>
        <v>16824561</v>
      </c>
      <c r="D14" s="17">
        <f t="shared" ref="D14:J14" si="0">SUM(D15:D16)</f>
        <v>2640717</v>
      </c>
      <c r="E14" s="17">
        <f t="shared" si="0"/>
        <v>7194680</v>
      </c>
      <c r="F14" s="17">
        <f t="shared" si="0"/>
        <v>7995917</v>
      </c>
      <c r="G14" s="17">
        <f t="shared" si="0"/>
        <v>9115542</v>
      </c>
      <c r="H14" s="17">
        <f t="shared" si="0"/>
        <v>5245990</v>
      </c>
      <c r="I14" s="17">
        <f t="shared" si="0"/>
        <v>3398777</v>
      </c>
      <c r="J14" s="17">
        <f t="shared" si="0"/>
        <v>1743935</v>
      </c>
      <c r="K14" s="19">
        <f>SUM(C14:J14)</f>
        <v>54160119</v>
      </c>
      <c r="L14" s="48"/>
      <c r="M14" s="48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s="6" customFormat="1" ht="31.5" x14ac:dyDescent="0.25">
      <c r="A15" s="15" t="s">
        <v>12</v>
      </c>
      <c r="B15" s="41" t="s">
        <v>98</v>
      </c>
      <c r="C15" s="18">
        <v>7552279</v>
      </c>
      <c r="D15" s="18">
        <v>788988</v>
      </c>
      <c r="E15" s="18">
        <v>3969519</v>
      </c>
      <c r="F15" s="18">
        <v>2689060</v>
      </c>
      <c r="G15" s="18">
        <v>2972295</v>
      </c>
      <c r="H15" s="18">
        <v>2278536</v>
      </c>
      <c r="I15" s="18">
        <v>403528</v>
      </c>
      <c r="J15" s="18">
        <v>81769</v>
      </c>
      <c r="K15" s="19">
        <f>SUM(C15:J15)</f>
        <v>20735974</v>
      </c>
      <c r="L15" s="48"/>
      <c r="M15" s="48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s="6" customFormat="1" ht="31.5" x14ac:dyDescent="0.25">
      <c r="A16" s="15" t="s">
        <v>48</v>
      </c>
      <c r="B16" s="41" t="s">
        <v>99</v>
      </c>
      <c r="C16" s="18">
        <f>SUM(C17+C30+C31+C32+C40)</f>
        <v>9272282</v>
      </c>
      <c r="D16" s="18">
        <f t="shared" ref="D16:J16" si="1">SUM(D17+D30+D31+D32+D40)</f>
        <v>1851729</v>
      </c>
      <c r="E16" s="18">
        <f t="shared" si="1"/>
        <v>3225161</v>
      </c>
      <c r="F16" s="18">
        <f t="shared" si="1"/>
        <v>5306857</v>
      </c>
      <c r="G16" s="18">
        <f t="shared" si="1"/>
        <v>6143247</v>
      </c>
      <c r="H16" s="18">
        <f t="shared" si="1"/>
        <v>2967454</v>
      </c>
      <c r="I16" s="18">
        <f t="shared" si="1"/>
        <v>2995249</v>
      </c>
      <c r="J16" s="18">
        <f t="shared" si="1"/>
        <v>1662166</v>
      </c>
      <c r="K16" s="19">
        <f>SUM(C16:J16)</f>
        <v>33424145</v>
      </c>
      <c r="L16" s="48"/>
      <c r="M16" s="48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s="6" customFormat="1" ht="31.5" x14ac:dyDescent="0.25">
      <c r="A17" s="32" t="s">
        <v>49</v>
      </c>
      <c r="B17" s="33" t="s">
        <v>93</v>
      </c>
      <c r="C17" s="34">
        <f>SUM(C18:C29)</f>
        <v>1950893</v>
      </c>
      <c r="D17" s="34">
        <f t="shared" ref="D17:J17" si="2">SUM(D18:D29)</f>
        <v>1303799</v>
      </c>
      <c r="E17" s="34">
        <f t="shared" si="2"/>
        <v>1965827</v>
      </c>
      <c r="F17" s="34">
        <f t="shared" si="2"/>
        <v>3357782</v>
      </c>
      <c r="G17" s="34">
        <f t="shared" si="2"/>
        <v>3147290</v>
      </c>
      <c r="H17" s="34">
        <f t="shared" si="2"/>
        <v>1589874</v>
      </c>
      <c r="I17" s="34">
        <f t="shared" si="2"/>
        <v>1969472</v>
      </c>
      <c r="J17" s="34">
        <f t="shared" si="2"/>
        <v>983295</v>
      </c>
      <c r="K17" s="36">
        <f>SUM(C17:J17)</f>
        <v>16268232</v>
      </c>
      <c r="L17" s="48"/>
      <c r="M17" s="4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s="6" customFormat="1" ht="31.5" x14ac:dyDescent="0.25">
      <c r="A18" s="32" t="s">
        <v>50</v>
      </c>
      <c r="B18" s="33" t="s">
        <v>51</v>
      </c>
      <c r="C18" s="34">
        <v>16067</v>
      </c>
      <c r="D18" s="34"/>
      <c r="E18" s="34"/>
      <c r="F18" s="34">
        <v>341010</v>
      </c>
      <c r="G18" s="34">
        <v>355958</v>
      </c>
      <c r="H18" s="34">
        <v>368219</v>
      </c>
      <c r="I18" s="34">
        <v>206570</v>
      </c>
      <c r="J18" s="34">
        <v>214431</v>
      </c>
      <c r="K18" s="36">
        <f t="shared" ref="K18:K40" si="3">SUM(C18:J18)</f>
        <v>1502255</v>
      </c>
      <c r="L18" s="48"/>
      <c r="M18" s="48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s="6" customFormat="1" ht="47.25" x14ac:dyDescent="0.25">
      <c r="A19" s="32" t="s">
        <v>52</v>
      </c>
      <c r="B19" s="33" t="s">
        <v>53</v>
      </c>
      <c r="C19" s="34">
        <v>2429</v>
      </c>
      <c r="D19" s="34"/>
      <c r="E19" s="34">
        <v>10978</v>
      </c>
      <c r="F19" s="34">
        <v>839787</v>
      </c>
      <c r="G19" s="34">
        <v>100063</v>
      </c>
      <c r="H19" s="34">
        <v>5878</v>
      </c>
      <c r="I19" s="34">
        <v>332324</v>
      </c>
      <c r="J19" s="34">
        <v>154211</v>
      </c>
      <c r="K19" s="36">
        <f t="shared" si="3"/>
        <v>1445670</v>
      </c>
      <c r="L19" s="48"/>
      <c r="M19" s="48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s="6" customFormat="1" ht="47.25" x14ac:dyDescent="0.25">
      <c r="A20" s="32" t="s">
        <v>54</v>
      </c>
      <c r="B20" s="33" t="s">
        <v>55</v>
      </c>
      <c r="C20" s="34">
        <v>987531</v>
      </c>
      <c r="D20" s="34">
        <v>1189415</v>
      </c>
      <c r="E20" s="34">
        <v>1726465</v>
      </c>
      <c r="F20" s="34">
        <v>1262973</v>
      </c>
      <c r="G20" s="34">
        <v>1259544</v>
      </c>
      <c r="H20" s="34">
        <v>400566</v>
      </c>
      <c r="I20" s="34">
        <v>252904</v>
      </c>
      <c r="J20" s="34">
        <v>139157</v>
      </c>
      <c r="K20" s="36">
        <f t="shared" si="3"/>
        <v>7218555</v>
      </c>
      <c r="L20" s="48"/>
      <c r="M20" s="4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s="6" customFormat="1" ht="15.75" x14ac:dyDescent="0.25">
      <c r="A21" s="32" t="s">
        <v>56</v>
      </c>
      <c r="B21" s="33" t="s">
        <v>57</v>
      </c>
      <c r="C21" s="34"/>
      <c r="D21" s="34"/>
      <c r="E21" s="34">
        <v>1930</v>
      </c>
      <c r="F21" s="34"/>
      <c r="G21" s="34">
        <v>8684</v>
      </c>
      <c r="H21" s="34">
        <v>4020</v>
      </c>
      <c r="I21" s="34">
        <v>9771</v>
      </c>
      <c r="J21" s="34">
        <v>11655</v>
      </c>
      <c r="K21" s="36">
        <f t="shared" si="3"/>
        <v>36060</v>
      </c>
      <c r="L21" s="48"/>
      <c r="M21" s="48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s="6" customFormat="1" ht="94.5" x14ac:dyDescent="0.25">
      <c r="A22" s="32" t="s">
        <v>58</v>
      </c>
      <c r="B22" s="33" t="s">
        <v>59</v>
      </c>
      <c r="C22" s="34"/>
      <c r="D22" s="34"/>
      <c r="E22" s="34"/>
      <c r="F22" s="34">
        <v>11548</v>
      </c>
      <c r="G22" s="34"/>
      <c r="H22" s="34"/>
      <c r="I22" s="34"/>
      <c r="J22" s="34"/>
      <c r="K22" s="36">
        <f t="shared" si="3"/>
        <v>11548</v>
      </c>
      <c r="L22" s="48"/>
      <c r="M22" s="48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s="6" customFormat="1" ht="15.75" x14ac:dyDescent="0.25">
      <c r="A23" s="32" t="s">
        <v>60</v>
      </c>
      <c r="B23" s="33" t="s">
        <v>61</v>
      </c>
      <c r="C23" s="34">
        <v>803441</v>
      </c>
      <c r="D23" s="34">
        <v>114384</v>
      </c>
      <c r="E23" s="34"/>
      <c r="F23" s="34">
        <v>28000</v>
      </c>
      <c r="G23" s="34">
        <v>1391413</v>
      </c>
      <c r="H23" s="34">
        <v>98719</v>
      </c>
      <c r="I23" s="34"/>
      <c r="J23" s="34"/>
      <c r="K23" s="36">
        <f t="shared" si="3"/>
        <v>2435957</v>
      </c>
      <c r="L23" s="48"/>
      <c r="M23" s="48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s="6" customFormat="1" ht="47.25" x14ac:dyDescent="0.25">
      <c r="A24" s="32" t="s">
        <v>62</v>
      </c>
      <c r="B24" s="33" t="s">
        <v>63</v>
      </c>
      <c r="C24" s="34">
        <v>34999</v>
      </c>
      <c r="D24" s="34"/>
      <c r="E24" s="34"/>
      <c r="F24" s="34">
        <v>541915</v>
      </c>
      <c r="G24" s="34"/>
      <c r="H24" s="34">
        <v>646395</v>
      </c>
      <c r="I24" s="34">
        <v>1004322</v>
      </c>
      <c r="J24" s="34">
        <v>352498</v>
      </c>
      <c r="K24" s="36">
        <f t="shared" si="3"/>
        <v>2580129</v>
      </c>
      <c r="L24" s="48"/>
      <c r="M24" s="48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s="6" customFormat="1" ht="63" x14ac:dyDescent="0.25">
      <c r="A25" s="32" t="s">
        <v>64</v>
      </c>
      <c r="B25" s="33" t="s">
        <v>65</v>
      </c>
      <c r="C25" s="34"/>
      <c r="D25" s="34"/>
      <c r="E25" s="34"/>
      <c r="F25" s="34">
        <v>24746</v>
      </c>
      <c r="G25" s="34"/>
      <c r="H25" s="34">
        <v>7143</v>
      </c>
      <c r="I25" s="34">
        <v>81778</v>
      </c>
      <c r="J25" s="34">
        <v>12246</v>
      </c>
      <c r="K25" s="37">
        <f t="shared" si="3"/>
        <v>125913</v>
      </c>
      <c r="L25" s="48"/>
      <c r="M25" s="48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s="6" customFormat="1" ht="63" x14ac:dyDescent="0.25">
      <c r="A26" s="32" t="s">
        <v>66</v>
      </c>
      <c r="B26" s="33" t="s">
        <v>67</v>
      </c>
      <c r="C26" s="34">
        <v>106426</v>
      </c>
      <c r="D26" s="34"/>
      <c r="E26" s="34">
        <v>152189</v>
      </c>
      <c r="F26" s="34">
        <v>307803</v>
      </c>
      <c r="G26" s="34">
        <v>31628</v>
      </c>
      <c r="H26" s="34">
        <v>58934</v>
      </c>
      <c r="I26" s="34">
        <v>55175</v>
      </c>
      <c r="J26" s="34">
        <v>99097</v>
      </c>
      <c r="K26" s="37">
        <f t="shared" si="3"/>
        <v>811252</v>
      </c>
      <c r="L26" s="48"/>
      <c r="M26" s="48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s="6" customFormat="1" ht="94.5" x14ac:dyDescent="0.25">
      <c r="A27" s="32" t="s">
        <v>68</v>
      </c>
      <c r="B27" s="33" t="s">
        <v>59</v>
      </c>
      <c r="C27" s="34"/>
      <c r="D27" s="34"/>
      <c r="E27" s="34"/>
      <c r="F27" s="34"/>
      <c r="G27" s="34"/>
      <c r="H27" s="34"/>
      <c r="I27" s="34"/>
      <c r="J27" s="34"/>
      <c r="K27" s="37">
        <f t="shared" si="3"/>
        <v>0</v>
      </c>
      <c r="L27" s="48"/>
      <c r="M27" s="48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s="6" customFormat="1" ht="15.75" x14ac:dyDescent="0.25">
      <c r="A28" s="32" t="s">
        <v>69</v>
      </c>
      <c r="B28" s="33" t="s">
        <v>70</v>
      </c>
      <c r="C28" s="34"/>
      <c r="D28" s="34"/>
      <c r="E28" s="34">
        <v>53519</v>
      </c>
      <c r="F28" s="34"/>
      <c r="G28" s="34"/>
      <c r="H28" s="34"/>
      <c r="I28" s="34">
        <v>21078</v>
      </c>
      <c r="J28" s="34"/>
      <c r="K28" s="37">
        <f t="shared" si="3"/>
        <v>74597</v>
      </c>
      <c r="L28" s="48"/>
      <c r="M28" s="48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s="6" customFormat="1" ht="15.75" x14ac:dyDescent="0.25">
      <c r="A29" s="32" t="s">
        <v>71</v>
      </c>
      <c r="B29" s="33" t="s">
        <v>101</v>
      </c>
      <c r="C29" s="34"/>
      <c r="D29" s="34"/>
      <c r="E29" s="34">
        <v>20746</v>
      </c>
      <c r="F29" s="34"/>
      <c r="G29" s="34"/>
      <c r="H29" s="34"/>
      <c r="I29" s="34">
        <v>5550</v>
      </c>
      <c r="J29" s="34"/>
      <c r="K29" s="37">
        <f t="shared" si="3"/>
        <v>26296</v>
      </c>
      <c r="L29" s="48"/>
      <c r="M29" s="48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s="6" customFormat="1" ht="15.75" x14ac:dyDescent="0.25">
      <c r="A30" s="32" t="s">
        <v>72</v>
      </c>
      <c r="B30" s="33" t="s">
        <v>73</v>
      </c>
      <c r="C30" s="38">
        <v>1488853</v>
      </c>
      <c r="D30" s="38">
        <v>284101</v>
      </c>
      <c r="E30" s="38">
        <v>938747</v>
      </c>
      <c r="F30" s="38">
        <v>917835</v>
      </c>
      <c r="G30" s="38">
        <v>2158680</v>
      </c>
      <c r="H30" s="38">
        <v>501201</v>
      </c>
      <c r="I30" s="38">
        <v>255472</v>
      </c>
      <c r="J30" s="38">
        <v>300723</v>
      </c>
      <c r="K30" s="37">
        <f t="shared" si="3"/>
        <v>6845612</v>
      </c>
      <c r="L30" s="48"/>
      <c r="M30" s="48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s="6" customFormat="1" ht="15.75" x14ac:dyDescent="0.25">
      <c r="A31" s="32" t="s">
        <v>74</v>
      </c>
      <c r="B31" s="33" t="s">
        <v>75</v>
      </c>
      <c r="C31" s="38">
        <v>21442</v>
      </c>
      <c r="D31" s="38">
        <v>212528</v>
      </c>
      <c r="E31" s="38">
        <v>6633</v>
      </c>
      <c r="F31" s="38">
        <v>411530</v>
      </c>
      <c r="G31" s="38">
        <v>158571</v>
      </c>
      <c r="H31" s="38">
        <v>648970</v>
      </c>
      <c r="I31" s="38">
        <v>432635</v>
      </c>
      <c r="J31" s="38">
        <v>258700</v>
      </c>
      <c r="K31" s="37">
        <f t="shared" si="3"/>
        <v>2151009</v>
      </c>
      <c r="L31" s="48"/>
      <c r="M31" s="48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6" customFormat="1" ht="31.5" x14ac:dyDescent="0.25">
      <c r="A32" s="32" t="s">
        <v>76</v>
      </c>
      <c r="B32" s="39" t="s">
        <v>77</v>
      </c>
      <c r="C32" s="34">
        <f>SUM(C33:C39)</f>
        <v>811094</v>
      </c>
      <c r="D32" s="34">
        <f t="shared" ref="D32:J32" si="4">SUM(D33:D39)</f>
        <v>51301</v>
      </c>
      <c r="E32" s="34">
        <f t="shared" si="4"/>
        <v>313954</v>
      </c>
      <c r="F32" s="34">
        <f t="shared" si="4"/>
        <v>619710</v>
      </c>
      <c r="G32" s="34">
        <f t="shared" si="4"/>
        <v>678706</v>
      </c>
      <c r="H32" s="34">
        <f t="shared" si="4"/>
        <v>227409</v>
      </c>
      <c r="I32" s="34">
        <f t="shared" si="4"/>
        <v>337670</v>
      </c>
      <c r="J32" s="34">
        <f t="shared" si="4"/>
        <v>119448</v>
      </c>
      <c r="K32" s="36">
        <f t="shared" si="3"/>
        <v>3159292</v>
      </c>
      <c r="L32" s="48"/>
      <c r="M32" s="48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6" customFormat="1" ht="47.25" x14ac:dyDescent="0.25">
      <c r="A33" s="32" t="s">
        <v>78</v>
      </c>
      <c r="B33" s="33" t="s">
        <v>79</v>
      </c>
      <c r="C33" s="38"/>
      <c r="D33" s="38"/>
      <c r="E33" s="38"/>
      <c r="F33" s="38">
        <v>619708</v>
      </c>
      <c r="G33" s="38"/>
      <c r="H33" s="38">
        <v>227409</v>
      </c>
      <c r="I33" s="38">
        <v>176366</v>
      </c>
      <c r="J33" s="38">
        <v>9</v>
      </c>
      <c r="K33" s="37">
        <f t="shared" si="3"/>
        <v>1023492</v>
      </c>
      <c r="L33" s="48"/>
      <c r="M33" s="48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s="6" customFormat="1" ht="47.25" x14ac:dyDescent="0.25">
      <c r="A34" s="32" t="s">
        <v>80</v>
      </c>
      <c r="B34" s="33" t="s">
        <v>81</v>
      </c>
      <c r="C34" s="38">
        <v>464227</v>
      </c>
      <c r="D34" s="38"/>
      <c r="E34" s="38"/>
      <c r="F34" s="38"/>
      <c r="G34" s="38">
        <v>632893</v>
      </c>
      <c r="H34" s="38"/>
      <c r="I34" s="38">
        <v>161304</v>
      </c>
      <c r="J34" s="38">
        <v>7269</v>
      </c>
      <c r="K34" s="37">
        <f t="shared" si="3"/>
        <v>1265693</v>
      </c>
      <c r="L34" s="48"/>
      <c r="M34" s="48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s="6" customFormat="1" ht="15.75" x14ac:dyDescent="0.25">
      <c r="A35" s="32" t="s">
        <v>82</v>
      </c>
      <c r="B35" s="33" t="s">
        <v>83</v>
      </c>
      <c r="C35" s="38">
        <v>866</v>
      </c>
      <c r="D35" s="38">
        <v>22768</v>
      </c>
      <c r="E35" s="38">
        <v>313953</v>
      </c>
      <c r="F35" s="38">
        <v>2</v>
      </c>
      <c r="G35" s="38">
        <v>45813</v>
      </c>
      <c r="H35" s="38"/>
      <c r="I35" s="38"/>
      <c r="J35" s="38">
        <v>12650</v>
      </c>
      <c r="K35" s="37">
        <f t="shared" si="3"/>
        <v>396052</v>
      </c>
      <c r="L35" s="48"/>
      <c r="M35" s="48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s="6" customFormat="1" ht="31.5" x14ac:dyDescent="0.25">
      <c r="A36" s="32" t="s">
        <v>84</v>
      </c>
      <c r="B36" s="33" t="s">
        <v>85</v>
      </c>
      <c r="C36" s="38"/>
      <c r="D36" s="38"/>
      <c r="E36" s="38"/>
      <c r="F36" s="38"/>
      <c r="G36" s="38"/>
      <c r="H36" s="38"/>
      <c r="I36" s="38"/>
      <c r="J36" s="38"/>
      <c r="K36" s="37">
        <f t="shared" si="3"/>
        <v>0</v>
      </c>
      <c r="L36" s="48"/>
      <c r="M36" s="48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s="6" customFormat="1" ht="31.5" x14ac:dyDescent="0.25">
      <c r="A37" s="32" t="s">
        <v>86</v>
      </c>
      <c r="B37" s="33" t="s">
        <v>110</v>
      </c>
      <c r="C37" s="38">
        <v>346001</v>
      </c>
      <c r="D37" s="38"/>
      <c r="E37" s="38"/>
      <c r="F37" s="38"/>
      <c r="G37" s="38"/>
      <c r="H37" s="38"/>
      <c r="I37" s="38"/>
      <c r="J37" s="38"/>
      <c r="K37" s="37">
        <f t="shared" si="3"/>
        <v>346001</v>
      </c>
      <c r="L37" s="48"/>
      <c r="M37" s="48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s="6" customFormat="1" ht="31.5" x14ac:dyDescent="0.25">
      <c r="A38" s="32" t="s">
        <v>87</v>
      </c>
      <c r="B38" s="33" t="s">
        <v>88</v>
      </c>
      <c r="C38" s="38"/>
      <c r="D38" s="38"/>
      <c r="E38" s="38"/>
      <c r="F38" s="38"/>
      <c r="G38" s="38"/>
      <c r="H38" s="38"/>
      <c r="I38" s="38"/>
      <c r="J38" s="38"/>
      <c r="K38" s="37">
        <f t="shared" si="3"/>
        <v>0</v>
      </c>
      <c r="L38" s="48"/>
      <c r="M38" s="48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s="6" customFormat="1" ht="31.5" x14ac:dyDescent="0.25">
      <c r="A39" s="32" t="s">
        <v>89</v>
      </c>
      <c r="B39" s="33" t="s">
        <v>90</v>
      </c>
      <c r="C39" s="38"/>
      <c r="D39" s="38">
        <v>28533</v>
      </c>
      <c r="E39" s="38">
        <v>1</v>
      </c>
      <c r="F39" s="38"/>
      <c r="G39" s="38"/>
      <c r="H39" s="38"/>
      <c r="I39" s="38"/>
      <c r="J39" s="38">
        <v>99520</v>
      </c>
      <c r="K39" s="37">
        <f t="shared" si="3"/>
        <v>128054</v>
      </c>
      <c r="L39" s="48"/>
      <c r="M39" s="48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s="6" customFormat="1" ht="15.75" x14ac:dyDescent="0.25">
      <c r="A40" s="32" t="s">
        <v>91</v>
      </c>
      <c r="B40" s="40" t="s">
        <v>92</v>
      </c>
      <c r="C40" s="34">
        <v>5000000</v>
      </c>
      <c r="D40" s="35"/>
      <c r="E40" s="35"/>
      <c r="F40" s="35"/>
      <c r="G40" s="35"/>
      <c r="H40" s="35"/>
      <c r="I40" s="35"/>
      <c r="J40" s="35"/>
      <c r="K40" s="37">
        <f t="shared" si="3"/>
        <v>5000000</v>
      </c>
      <c r="L40" s="48"/>
      <c r="M40" s="48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s="6" customFormat="1" ht="15.75" x14ac:dyDescent="0.25">
      <c r="A41" s="32"/>
      <c r="B41" s="40"/>
      <c r="C41" s="34"/>
      <c r="D41" s="35"/>
      <c r="E41" s="35"/>
      <c r="F41" s="35"/>
      <c r="G41" s="35"/>
      <c r="H41" s="35"/>
      <c r="I41" s="35"/>
      <c r="J41" s="35"/>
      <c r="K41" s="37"/>
      <c r="L41" s="48"/>
      <c r="M41" s="4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s="8" customFormat="1" ht="15.75" x14ac:dyDescent="0.25">
      <c r="A42" s="15" t="s">
        <v>15</v>
      </c>
      <c r="B42" s="16" t="s">
        <v>11</v>
      </c>
      <c r="C42" s="17">
        <f>329396975-31773104</f>
        <v>297623871</v>
      </c>
      <c r="D42" s="18">
        <f>34127851-3186419</f>
        <v>30941432</v>
      </c>
      <c r="E42" s="18">
        <f>248113512-21381354</f>
        <v>226732158</v>
      </c>
      <c r="F42" s="18">
        <f>209721674-9748292-19665425</f>
        <v>180307957</v>
      </c>
      <c r="G42" s="18">
        <f>88978882-10502829</f>
        <v>78476053</v>
      </c>
      <c r="H42" s="18">
        <f>124948061-15094663</f>
        <v>109853398</v>
      </c>
      <c r="I42" s="18">
        <f>70974361-10934446</f>
        <v>60039915</v>
      </c>
      <c r="J42" s="18">
        <f>39423185-4862146</f>
        <v>34561039</v>
      </c>
      <c r="K42" s="19">
        <f>SUM(C42:J42)</f>
        <v>1018535823</v>
      </c>
      <c r="L42" s="48"/>
      <c r="M42" s="48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s="30" customFormat="1" ht="15.75" x14ac:dyDescent="0.25">
      <c r="A43" s="24" t="s">
        <v>17</v>
      </c>
      <c r="B43" s="26" t="s">
        <v>13</v>
      </c>
      <c r="C43" s="27">
        <f>47474868-9470719</f>
        <v>38004149</v>
      </c>
      <c r="D43" s="27">
        <f>9138485-1183539</f>
        <v>7954946</v>
      </c>
      <c r="E43" s="27">
        <f>27874188-4827178</f>
        <v>23047010</v>
      </c>
      <c r="F43" s="27">
        <f>21778646-1206017-1990172</f>
        <v>18582457</v>
      </c>
      <c r="G43" s="27">
        <f>7576533-3138764</f>
        <v>4437769</v>
      </c>
      <c r="H43" s="27">
        <f>16302131-2649614</f>
        <v>13652517</v>
      </c>
      <c r="I43" s="27">
        <f>13052138-2405967</f>
        <v>10646171</v>
      </c>
      <c r="J43" s="27">
        <f>7681291-1247673</f>
        <v>6433618</v>
      </c>
      <c r="K43" s="28">
        <f>SUM(C43:J43)</f>
        <v>122758637</v>
      </c>
      <c r="L43" s="48"/>
      <c r="M43" s="48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8" customFormat="1" ht="47.25" x14ac:dyDescent="0.25">
      <c r="A44" s="24" t="s">
        <v>102</v>
      </c>
      <c r="B44" s="26" t="s">
        <v>55</v>
      </c>
      <c r="C44" s="27">
        <f>0+15003699</f>
        <v>15003699</v>
      </c>
      <c r="D44" s="27">
        <f>0+5423528</f>
        <v>5423528</v>
      </c>
      <c r="E44" s="27">
        <f>0+6732821</f>
        <v>6732821</v>
      </c>
      <c r="F44" s="27">
        <f>0+4180828</f>
        <v>4180828</v>
      </c>
      <c r="G44" s="27">
        <f>0+1955570</f>
        <v>1955570</v>
      </c>
      <c r="H44" s="27">
        <f>3612385</f>
        <v>3612385</v>
      </c>
      <c r="I44" s="27">
        <f>0+1356346</f>
        <v>1356346</v>
      </c>
      <c r="J44" s="27">
        <f>0+944567</f>
        <v>944567</v>
      </c>
      <c r="K44" s="28">
        <f t="shared" ref="K44:K46" si="5">SUM(C44:J44)</f>
        <v>39209744</v>
      </c>
      <c r="L44" s="48"/>
      <c r="M44" s="48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s="8" customFormat="1" ht="15.75" x14ac:dyDescent="0.25">
      <c r="A45" s="24" t="s">
        <v>103</v>
      </c>
      <c r="B45" s="43" t="s">
        <v>104</v>
      </c>
      <c r="C45" s="27">
        <f>0+4179111</f>
        <v>4179111</v>
      </c>
      <c r="D45" s="27">
        <f>0+1892309</f>
        <v>1892309</v>
      </c>
      <c r="E45" s="27">
        <f>0+1630425</f>
        <v>1630425</v>
      </c>
      <c r="F45" s="27">
        <f>0+2475678</f>
        <v>2475678</v>
      </c>
      <c r="G45" s="27">
        <f>0+544065</f>
        <v>544065</v>
      </c>
      <c r="H45" s="27">
        <f>0+1637865</f>
        <v>1637865</v>
      </c>
      <c r="I45" s="27">
        <f>0+535106</f>
        <v>535106</v>
      </c>
      <c r="J45" s="27">
        <f>0+386259</f>
        <v>386259</v>
      </c>
      <c r="K45" s="28">
        <f t="shared" si="5"/>
        <v>13280818</v>
      </c>
      <c r="L45" s="48"/>
      <c r="M45" s="48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8" customFormat="1" ht="15.75" x14ac:dyDescent="0.25">
      <c r="A46" s="24" t="s">
        <v>105</v>
      </c>
      <c r="B46" s="43" t="s">
        <v>73</v>
      </c>
      <c r="C46" s="27">
        <f>0+17475224</f>
        <v>17475224</v>
      </c>
      <c r="D46" s="27">
        <f>0+569213</f>
        <v>569213</v>
      </c>
      <c r="E46" s="27">
        <f>0+13706885</f>
        <v>13706885</v>
      </c>
      <c r="F46" s="27">
        <f>0+8596711</f>
        <v>8596711</v>
      </c>
      <c r="G46" s="27">
        <f>0+811436</f>
        <v>811436</v>
      </c>
      <c r="H46" s="27">
        <f>0+5416497</f>
        <v>5416497</v>
      </c>
      <c r="I46" s="27">
        <f>0+3617412</f>
        <v>3617412</v>
      </c>
      <c r="J46" s="27">
        <f>0+2015386</f>
        <v>2015386</v>
      </c>
      <c r="K46" s="28">
        <f t="shared" si="5"/>
        <v>52208764</v>
      </c>
      <c r="L46" s="48"/>
      <c r="M46" s="48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s="8" customFormat="1" ht="15.75" x14ac:dyDescent="0.25">
      <c r="A47" s="24" t="s">
        <v>18</v>
      </c>
      <c r="B47" s="25" t="s">
        <v>14</v>
      </c>
      <c r="C47" s="27">
        <f t="shared" ref="C47:J47" si="6">C42-C43</f>
        <v>259619722</v>
      </c>
      <c r="D47" s="27">
        <f t="shared" si="6"/>
        <v>22986486</v>
      </c>
      <c r="E47" s="27">
        <f t="shared" si="6"/>
        <v>203685148</v>
      </c>
      <c r="F47" s="27">
        <f t="shared" si="6"/>
        <v>161725500</v>
      </c>
      <c r="G47" s="27">
        <f t="shared" si="6"/>
        <v>74038284</v>
      </c>
      <c r="H47" s="27">
        <f t="shared" si="6"/>
        <v>96200881</v>
      </c>
      <c r="I47" s="27">
        <f t="shared" si="6"/>
        <v>49393744</v>
      </c>
      <c r="J47" s="27">
        <f t="shared" si="6"/>
        <v>28127421</v>
      </c>
      <c r="K47" s="28">
        <f>SUM(C47:J47)</f>
        <v>895777186</v>
      </c>
      <c r="L47" s="48"/>
      <c r="M47" s="48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s="30" customFormat="1" ht="15.75" x14ac:dyDescent="0.25">
      <c r="A48" s="15"/>
      <c r="B48" s="16"/>
      <c r="C48" s="18"/>
      <c r="D48" s="18"/>
      <c r="E48" s="18"/>
      <c r="F48" s="18"/>
      <c r="G48" s="18"/>
      <c r="H48" s="18"/>
      <c r="I48" s="18"/>
      <c r="J48" s="18"/>
      <c r="K48" s="19"/>
      <c r="L48" s="48"/>
      <c r="M48" s="48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</row>
    <row r="49" spans="1:31" s="30" customFormat="1" ht="15.75" x14ac:dyDescent="0.25">
      <c r="A49" s="15" t="s">
        <v>21</v>
      </c>
      <c r="B49" s="16" t="s">
        <v>16</v>
      </c>
      <c r="C49" s="18">
        <f>SUM(C50+C55)</f>
        <v>336750817</v>
      </c>
      <c r="D49" s="18">
        <f>SUM(D50+D55)</f>
        <v>35585029</v>
      </c>
      <c r="E49" s="18">
        <f>SUM(E50+E55)</f>
        <v>250481014</v>
      </c>
      <c r="F49" s="18">
        <f>SUM(F50+F55)</f>
        <v>214740346</v>
      </c>
      <c r="G49" s="18">
        <f>SUM(G50+G55)</f>
        <v>105853531</v>
      </c>
      <c r="H49" s="18">
        <f>SUM(H50+H55)</f>
        <v>174382448</v>
      </c>
      <c r="I49" s="18">
        <f>SUM(I50+I55)</f>
        <v>110291506</v>
      </c>
      <c r="J49" s="18">
        <f>SUM(J50+J55)</f>
        <v>61847188</v>
      </c>
      <c r="K49" s="19">
        <f t="shared" ref="K49:K55" si="7">SUM(C49:J49)</f>
        <v>1289931879</v>
      </c>
      <c r="L49" s="48"/>
      <c r="M49" s="48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1" s="30" customFormat="1" ht="15.75" x14ac:dyDescent="0.25">
      <c r="A50" s="15" t="s">
        <v>37</v>
      </c>
      <c r="B50" s="16" t="s">
        <v>95</v>
      </c>
      <c r="C50" s="18">
        <f>SUM(C51:C52)</f>
        <v>289474386</v>
      </c>
      <c r="D50" s="18">
        <f t="shared" ref="D50:J50" si="8">SUM(D51:D52)</f>
        <v>25778354</v>
      </c>
      <c r="E50" s="18">
        <f t="shared" si="8"/>
        <v>224208843</v>
      </c>
      <c r="F50" s="18">
        <f t="shared" si="8"/>
        <v>190851032</v>
      </c>
      <c r="G50" s="18">
        <f t="shared" si="8"/>
        <v>95266355</v>
      </c>
      <c r="H50" s="18">
        <f t="shared" si="8"/>
        <v>157762477</v>
      </c>
      <c r="I50" s="18">
        <f t="shared" si="8"/>
        <v>96650086</v>
      </c>
      <c r="J50" s="18">
        <f t="shared" si="8"/>
        <v>53751404</v>
      </c>
      <c r="K50" s="19">
        <f t="shared" si="7"/>
        <v>1133742937</v>
      </c>
      <c r="L50" s="48"/>
      <c r="M50" s="48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</row>
    <row r="51" spans="1:31" s="30" customFormat="1" ht="15.75" x14ac:dyDescent="0.25">
      <c r="A51" s="24" t="s">
        <v>39</v>
      </c>
      <c r="B51" s="26" t="s">
        <v>94</v>
      </c>
      <c r="C51" s="27">
        <v>252648294</v>
      </c>
      <c r="D51" s="27">
        <v>22417947</v>
      </c>
      <c r="E51" s="27">
        <f>197885112+3456121</f>
        <v>201341233</v>
      </c>
      <c r="F51" s="27">
        <f>173230810-816485</f>
        <v>172414325</v>
      </c>
      <c r="G51" s="27">
        <f>87617042-718863</f>
        <v>86898179</v>
      </c>
      <c r="H51" s="27">
        <f>142603440+382582+3845916</f>
        <v>146831938</v>
      </c>
      <c r="I51" s="27">
        <f>87665424-49454</f>
        <v>87615970</v>
      </c>
      <c r="J51" s="27">
        <v>48471887</v>
      </c>
      <c r="K51" s="28">
        <f t="shared" si="7"/>
        <v>1018639773</v>
      </c>
      <c r="L51" s="48"/>
      <c r="M51" s="48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1:31" s="8" customFormat="1" ht="15.75" x14ac:dyDescent="0.25">
      <c r="A52" s="24" t="s">
        <v>40</v>
      </c>
      <c r="B52" s="26" t="s">
        <v>19</v>
      </c>
      <c r="C52" s="27">
        <f>29273813+C15</f>
        <v>36826092</v>
      </c>
      <c r="D52" s="27">
        <f>2571419+D15</f>
        <v>3360407</v>
      </c>
      <c r="E52" s="27">
        <f>18898091+E15</f>
        <v>22867610</v>
      </c>
      <c r="F52" s="27">
        <f>20458518-2021811</f>
        <v>18436707</v>
      </c>
      <c r="G52" s="27">
        <f>10449667-2081491</f>
        <v>8368176</v>
      </c>
      <c r="H52" s="27">
        <f>16691109-5760570</f>
        <v>10930539</v>
      </c>
      <c r="I52" s="27">
        <f>10592407-1558291</f>
        <v>9034116</v>
      </c>
      <c r="J52" s="27">
        <f>5959078-679561</f>
        <v>5279517</v>
      </c>
      <c r="K52" s="28">
        <f t="shared" si="7"/>
        <v>115103164</v>
      </c>
      <c r="L52" s="48"/>
      <c r="M52" s="48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s="10" customFormat="1" ht="15.75" x14ac:dyDescent="0.25">
      <c r="A53" s="24" t="s">
        <v>41</v>
      </c>
      <c r="B53" s="26" t="s">
        <v>20</v>
      </c>
      <c r="C53" s="27">
        <v>217630</v>
      </c>
      <c r="D53" s="27">
        <v>53292</v>
      </c>
      <c r="E53" s="27">
        <v>285890</v>
      </c>
      <c r="F53" s="27">
        <v>1056667</v>
      </c>
      <c r="G53" s="27">
        <v>636558</v>
      </c>
      <c r="H53" s="27">
        <v>773880</v>
      </c>
      <c r="I53" s="27">
        <v>719524</v>
      </c>
      <c r="J53" s="27">
        <v>530227</v>
      </c>
      <c r="K53" s="28">
        <f t="shared" si="7"/>
        <v>4273668</v>
      </c>
      <c r="L53" s="48"/>
      <c r="M53" s="4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s="8" customFormat="1" ht="47.25" x14ac:dyDescent="0.25">
      <c r="A54" s="24" t="s">
        <v>42</v>
      </c>
      <c r="B54" s="26" t="s">
        <v>96</v>
      </c>
      <c r="C54" s="27">
        <v>889015</v>
      </c>
      <c r="D54" s="27">
        <v>0</v>
      </c>
      <c r="E54" s="27">
        <v>858125</v>
      </c>
      <c r="F54" s="27">
        <v>240504</v>
      </c>
      <c r="G54" s="27">
        <v>183048</v>
      </c>
      <c r="H54" s="27">
        <v>218637</v>
      </c>
      <c r="I54" s="27">
        <v>119287</v>
      </c>
      <c r="J54" s="27">
        <v>52940</v>
      </c>
      <c r="K54" s="28">
        <f t="shared" si="7"/>
        <v>2561556</v>
      </c>
      <c r="L54" s="48"/>
      <c r="M54" s="48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s="8" customFormat="1" ht="15.75" x14ac:dyDescent="0.25">
      <c r="A55" s="15" t="s">
        <v>38</v>
      </c>
      <c r="B55" s="16" t="s">
        <v>45</v>
      </c>
      <c r="C55" s="18">
        <f>52474868+C16-C40-9470719</f>
        <v>47276431</v>
      </c>
      <c r="D55" s="18">
        <f>9138485+D16-1183539</f>
        <v>9806675</v>
      </c>
      <c r="E55" s="18">
        <f>27874188+E16-4827178</f>
        <v>26272171</v>
      </c>
      <c r="F55" s="18">
        <f>21778646+F16-1206017-1990172</f>
        <v>23889314</v>
      </c>
      <c r="G55" s="18">
        <f>7576533+G16+6160-3138764</f>
        <v>10587176</v>
      </c>
      <c r="H55" s="18">
        <f>16302131+H16-2649614</f>
        <v>16619971</v>
      </c>
      <c r="I55" s="18">
        <f>13052138+I16-2405967</f>
        <v>13641420</v>
      </c>
      <c r="J55" s="18">
        <f>7681291+J16-1247673</f>
        <v>8095784</v>
      </c>
      <c r="K55" s="19">
        <f t="shared" si="7"/>
        <v>156188942</v>
      </c>
      <c r="L55" s="48"/>
      <c r="M55" s="48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s="12" customFormat="1" ht="15.75" x14ac:dyDescent="0.2">
      <c r="A56" s="20"/>
      <c r="B56" s="23"/>
      <c r="C56" s="21"/>
      <c r="D56" s="21"/>
      <c r="E56" s="21"/>
      <c r="F56" s="21"/>
      <c r="G56" s="21"/>
      <c r="H56" s="21"/>
      <c r="I56" s="21"/>
      <c r="J56" s="21"/>
      <c r="K56" s="22"/>
      <c r="L56" s="48"/>
      <c r="M56" s="48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s="8" customFormat="1" ht="31.5" x14ac:dyDescent="0.25">
      <c r="A57" s="15" t="s">
        <v>23</v>
      </c>
      <c r="B57" s="16" t="s">
        <v>22</v>
      </c>
      <c r="C57" s="18">
        <f>C49-C14-C42</f>
        <v>22302385</v>
      </c>
      <c r="D57" s="18">
        <f>D49-D14-D42</f>
        <v>2002880</v>
      </c>
      <c r="E57" s="18">
        <f>E49-E14-E42</f>
        <v>16554176</v>
      </c>
      <c r="F57" s="18">
        <f>F49-F14-F42</f>
        <v>26436472</v>
      </c>
      <c r="G57" s="18">
        <f>G49-G14-G42</f>
        <v>18261936</v>
      </c>
      <c r="H57" s="18">
        <f>H49-H14-H42</f>
        <v>59283060</v>
      </c>
      <c r="I57" s="18">
        <f>I49-I14-I42</f>
        <v>46852814</v>
      </c>
      <c r="J57" s="18">
        <f>J49-J14-J42</f>
        <v>25542214</v>
      </c>
      <c r="K57" s="19">
        <f t="shared" ref="K57:K65" si="9">SUM(C57:J57)</f>
        <v>217235937</v>
      </c>
      <c r="L57" s="48"/>
      <c r="M57" s="48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s="30" customFormat="1" ht="15.75" x14ac:dyDescent="0.25">
      <c r="A58" s="15" t="s">
        <v>43</v>
      </c>
      <c r="B58" s="16" t="s">
        <v>24</v>
      </c>
      <c r="C58" s="18">
        <f>SUM(C59:C61)</f>
        <v>22302385</v>
      </c>
      <c r="D58" s="18">
        <f t="shared" ref="D58:J58" si="10">SUM(D59:D61)</f>
        <v>2002880</v>
      </c>
      <c r="E58" s="18">
        <f t="shared" si="10"/>
        <v>16554176</v>
      </c>
      <c r="F58" s="18">
        <f t="shared" si="10"/>
        <v>26436472</v>
      </c>
      <c r="G58" s="18">
        <f t="shared" si="10"/>
        <v>18261936</v>
      </c>
      <c r="H58" s="18">
        <f t="shared" si="10"/>
        <v>59283060</v>
      </c>
      <c r="I58" s="18">
        <f t="shared" si="10"/>
        <v>46852814</v>
      </c>
      <c r="J58" s="18">
        <f t="shared" si="10"/>
        <v>25542214</v>
      </c>
      <c r="K58" s="19">
        <f t="shared" si="9"/>
        <v>217235937</v>
      </c>
      <c r="L58" s="48"/>
      <c r="M58" s="48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</row>
    <row r="59" spans="1:31" s="30" customFormat="1" ht="15.75" x14ac:dyDescent="0.25">
      <c r="A59" s="24" t="s">
        <v>27</v>
      </c>
      <c r="B59" s="26" t="s">
        <v>25</v>
      </c>
      <c r="C59" s="27">
        <f>C57-C60-C61</f>
        <v>0</v>
      </c>
      <c r="D59" s="27">
        <f t="shared" ref="D59:J59" si="11">D57-D60-D61</f>
        <v>0</v>
      </c>
      <c r="E59" s="27">
        <f t="shared" si="11"/>
        <v>0</v>
      </c>
      <c r="F59" s="27">
        <f t="shared" si="11"/>
        <v>26436472</v>
      </c>
      <c r="G59" s="27">
        <f t="shared" si="11"/>
        <v>18255776</v>
      </c>
      <c r="H59" s="27">
        <f t="shared" si="11"/>
        <v>59283060</v>
      </c>
      <c r="I59" s="27">
        <f t="shared" si="11"/>
        <v>46852814</v>
      </c>
      <c r="J59" s="27">
        <f t="shared" si="11"/>
        <v>25542214</v>
      </c>
      <c r="K59" s="19">
        <f t="shared" si="9"/>
        <v>176370336</v>
      </c>
      <c r="L59" s="48"/>
      <c r="M59" s="48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</row>
    <row r="60" spans="1:31" s="30" customFormat="1" ht="31.5" x14ac:dyDescent="0.25">
      <c r="A60" s="24" t="s">
        <v>27</v>
      </c>
      <c r="B60" s="42" t="s">
        <v>97</v>
      </c>
      <c r="C60" s="27"/>
      <c r="D60" s="27"/>
      <c r="E60" s="27"/>
      <c r="F60" s="27"/>
      <c r="G60" s="27">
        <v>6160</v>
      </c>
      <c r="H60" s="27"/>
      <c r="I60" s="27"/>
      <c r="J60" s="27"/>
      <c r="K60" s="19">
        <f t="shared" si="9"/>
        <v>6160</v>
      </c>
      <c r="L60" s="48"/>
      <c r="M60" s="48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</row>
    <row r="61" spans="1:31" ht="31.5" x14ac:dyDescent="0.25">
      <c r="A61" s="24" t="s">
        <v>106</v>
      </c>
      <c r="B61" s="43" t="s">
        <v>107</v>
      </c>
      <c r="C61" s="49">
        <f>0+22302385</f>
        <v>22302385</v>
      </c>
      <c r="D61" s="49">
        <f>0+2002880</f>
        <v>2002880</v>
      </c>
      <c r="E61" s="49">
        <f>0+16554176</f>
        <v>16554176</v>
      </c>
      <c r="F61" s="50"/>
      <c r="G61" s="50"/>
      <c r="H61" s="50"/>
      <c r="I61" s="50"/>
      <c r="J61" s="50"/>
      <c r="K61" s="19">
        <f t="shared" si="9"/>
        <v>40859441</v>
      </c>
      <c r="L61" s="48"/>
      <c r="M61" s="48"/>
    </row>
    <row r="62" spans="1:31" ht="31.5" x14ac:dyDescent="0.25">
      <c r="A62" s="15" t="s">
        <v>44</v>
      </c>
      <c r="B62" s="16" t="s">
        <v>26</v>
      </c>
      <c r="C62" s="18">
        <f>C49+C63+C64+C65</f>
        <v>372023541</v>
      </c>
      <c r="D62" s="18">
        <f>D49+D63+D64+D65</f>
        <v>36645673</v>
      </c>
      <c r="E62" s="18">
        <f>E49+E63+E64+E65</f>
        <v>273993086</v>
      </c>
      <c r="F62" s="18">
        <f>F49+F63+F64+F65</f>
        <v>240374662</v>
      </c>
      <c r="G62" s="18">
        <f>G49+G63+G64+G65</f>
        <v>127310912</v>
      </c>
      <c r="H62" s="18">
        <f>H49+H63+H64+H65</f>
        <v>203196932</v>
      </c>
      <c r="I62" s="18">
        <f>I49+I63+I64+I65</f>
        <v>127625874</v>
      </c>
      <c r="J62" s="18">
        <f>J49+J63+J64+J65</f>
        <v>76933231</v>
      </c>
      <c r="K62" s="19">
        <f t="shared" si="9"/>
        <v>1458103911</v>
      </c>
      <c r="L62" s="48"/>
      <c r="M62" s="48"/>
    </row>
    <row r="63" spans="1:31" ht="31.5" x14ac:dyDescent="0.25">
      <c r="A63" s="24" t="s">
        <v>46</v>
      </c>
      <c r="B63" s="26" t="s">
        <v>28</v>
      </c>
      <c r="C63" s="27">
        <f>2611436-531073</f>
        <v>2080363</v>
      </c>
      <c r="D63" s="27">
        <f>105726-37868</f>
        <v>67858</v>
      </c>
      <c r="E63" s="27">
        <f>2304469-646529</f>
        <v>1657940</v>
      </c>
      <c r="F63" s="27">
        <f>1634532-647693</f>
        <v>986839</v>
      </c>
      <c r="G63" s="27">
        <f>1192680-364424</f>
        <v>828256</v>
      </c>
      <c r="H63" s="27">
        <f>1617405-544084</f>
        <v>1073321</v>
      </c>
      <c r="I63" s="27">
        <f>1169473-316383</f>
        <v>853090</v>
      </c>
      <c r="J63" s="27">
        <f>1009669-220661</f>
        <v>789008</v>
      </c>
      <c r="K63" s="28">
        <f t="shared" si="9"/>
        <v>8336675</v>
      </c>
      <c r="L63" s="48"/>
      <c r="M63" s="48"/>
    </row>
    <row r="64" spans="1:31" ht="15.75" x14ac:dyDescent="0.25">
      <c r="A64" s="24" t="s">
        <v>47</v>
      </c>
      <c r="B64" s="26" t="s">
        <v>29</v>
      </c>
      <c r="C64" s="27">
        <f>1770000+2444513</f>
        <v>4214513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8">
        <f t="shared" si="9"/>
        <v>4214513</v>
      </c>
      <c r="L64" s="48"/>
      <c r="M64" s="48"/>
    </row>
    <row r="65" spans="1:13" ht="31.5" x14ac:dyDescent="0.25">
      <c r="A65" s="44" t="s">
        <v>36</v>
      </c>
      <c r="B65" s="45" t="s">
        <v>30</v>
      </c>
      <c r="C65" s="46">
        <f>35412234+733174-7167560</f>
        <v>28977848</v>
      </c>
      <c r="D65" s="46">
        <f>1200839+25928-233981</f>
        <v>992786</v>
      </c>
      <c r="E65" s="46">
        <f>26640757+583284-5369909</f>
        <v>21854132</v>
      </c>
      <c r="F65" s="46">
        <f>29272548+1495552-6120623</f>
        <v>24647477</v>
      </c>
      <c r="G65" s="46">
        <f>22651824+797430-2820129</f>
        <v>20629125</v>
      </c>
      <c r="H65" s="46">
        <f>32442216+1198947-5900000</f>
        <v>27741163</v>
      </c>
      <c r="I65" s="46">
        <f>19781821+773612-4074155</f>
        <v>16481278</v>
      </c>
      <c r="J65" s="46">
        <f>16788639+627917-3119521</f>
        <v>14297035</v>
      </c>
      <c r="K65" s="47">
        <f t="shared" si="9"/>
        <v>155620844</v>
      </c>
      <c r="L65" s="48"/>
      <c r="M65" s="48"/>
    </row>
    <row r="66" spans="1:13" ht="16.5" thickBot="1" x14ac:dyDescent="0.3">
      <c r="A66" s="51"/>
      <c r="B66" s="52"/>
      <c r="C66" s="53"/>
      <c r="D66" s="53"/>
      <c r="E66" s="53"/>
      <c r="F66" s="53"/>
      <c r="G66" s="53"/>
      <c r="H66" s="53"/>
      <c r="I66" s="53"/>
      <c r="J66" s="53"/>
      <c r="K66" s="54"/>
      <c r="L66" s="48"/>
      <c r="M66" s="48"/>
    </row>
  </sheetData>
  <mergeCells count="1">
    <mergeCell ref="A11:K11"/>
  </mergeCells>
  <phoneticPr fontId="11" type="noConversion"/>
  <pageMargins left="0.23622047244094491" right="0.15748031496062992" top="0.62992125984251968" bottom="0.31496062992125984" header="0.19685039370078741" footer="0.19685039370078741"/>
  <pageSetup paperSize="9" scale="82" firstPageNumber="252" fitToHeight="5" orientation="landscape" useFirstPageNumber="1" horizontalDpi="180" verticalDpi="18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1612</vt:lpstr>
      <vt:lpstr>'1612'!Заголовки_для_печати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2020-08-03T09:01:58Z</dcterms:modified>
</cp:coreProperties>
</file>