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РАБОТА\работа\2020 год\07 июль\22 июля\Законы\Закон № 3613 п. 1689(VI)\Приложения\"/>
    </mc:Choice>
  </mc:AlternateContent>
  <bookViews>
    <workbookView xWindow="0" yWindow="0" windowWidth="20490" windowHeight="7020"/>
  </bookViews>
  <sheets>
    <sheet name="Расходы РБ" sheetId="1" r:id="rId1"/>
  </sheets>
  <definedNames>
    <definedName name="_xlnm.Print_Titles" localSheetId="0">'Расходы РБ'!$A:$D,'Расходы РБ'!$15:$15</definedName>
    <definedName name="_xlnm.Print_Area" localSheetId="0">'Расходы РБ'!$A$1:$CW$304</definedName>
  </definedNames>
  <calcPr calcId="152511" concurrentCalc="0"/>
</workbook>
</file>

<file path=xl/calcChain.xml><?xml version="1.0" encoding="utf-8"?>
<calcChain xmlns="http://schemas.openxmlformats.org/spreadsheetml/2006/main">
  <c r="BX199" i="1" l="1"/>
  <c r="BW199" i="1"/>
  <c r="P297" i="1"/>
  <c r="CC297" i="1"/>
  <c r="CN297" i="1"/>
  <c r="AW221" i="1"/>
  <c r="AR221" i="1"/>
  <c r="AK75" i="1"/>
  <c r="AJ75" i="1"/>
  <c r="AI75" i="1"/>
  <c r="CO84" i="1"/>
  <c r="CC84" i="1"/>
  <c r="AZ84" i="1"/>
  <c r="AK84" i="1"/>
  <c r="P84" i="1"/>
  <c r="AM84" i="1"/>
  <c r="AL84" i="1"/>
  <c r="L84" i="1"/>
  <c r="Y60" i="1"/>
  <c r="Y21" i="1"/>
  <c r="AW82" i="1"/>
  <c r="O82" i="1"/>
  <c r="CP297" i="1"/>
  <c r="BI303" i="1"/>
  <c r="H293" i="1"/>
  <c r="I293" i="1"/>
  <c r="K293" i="1"/>
  <c r="L293" i="1"/>
  <c r="N293" i="1"/>
  <c r="O293" i="1"/>
  <c r="P293" i="1"/>
  <c r="R293" i="1"/>
  <c r="S293" i="1"/>
  <c r="T293" i="1"/>
  <c r="U293" i="1"/>
  <c r="W293" i="1"/>
  <c r="AA293" i="1"/>
  <c r="AG293" i="1"/>
  <c r="AH293" i="1"/>
  <c r="AJ293" i="1"/>
  <c r="AK293" i="1"/>
  <c r="AL293" i="1"/>
  <c r="AM293" i="1"/>
  <c r="AW293" i="1"/>
  <c r="AY293" i="1"/>
  <c r="AZ293" i="1"/>
  <c r="BX293" i="1"/>
  <c r="CC293" i="1"/>
  <c r="CH293" i="1"/>
  <c r="CJ293" i="1"/>
  <c r="CD293" i="1"/>
  <c r="CN293" i="1"/>
  <c r="CO293" i="1"/>
  <c r="AT138" i="1"/>
  <c r="AS138" i="1"/>
  <c r="BX301" i="1"/>
  <c r="AZ299" i="1"/>
  <c r="K297" i="1"/>
  <c r="CB297" i="1"/>
  <c r="CF297" i="1"/>
  <c r="CG297" i="1"/>
  <c r="CH297" i="1"/>
  <c r="CI297" i="1"/>
  <c r="CM297" i="1"/>
  <c r="CO297" i="1"/>
  <c r="CS297" i="1"/>
  <c r="BX295" i="1"/>
  <c r="BW293" i="1"/>
  <c r="BH291" i="1"/>
  <c r="CS281" i="1"/>
  <c r="CS280" i="1"/>
  <c r="CS279" i="1"/>
  <c r="CS278" i="1"/>
  <c r="BI241" i="1"/>
  <c r="AZ239" i="1"/>
  <c r="CC237" i="1"/>
  <c r="CC236" i="1"/>
  <c r="AZ235" i="1"/>
  <c r="P232" i="1"/>
  <c r="AZ229" i="1"/>
  <c r="AZ228" i="1"/>
  <c r="AQ223" i="1"/>
  <c r="CS218" i="1"/>
  <c r="BI214" i="1"/>
  <c r="CR211" i="1"/>
  <c r="BX202" i="1"/>
  <c r="BW201" i="1"/>
  <c r="BW200" i="1"/>
  <c r="BV199" i="1"/>
  <c r="BT189" i="1"/>
  <c r="BW189" i="1"/>
  <c r="BN182" i="1"/>
  <c r="BW182" i="1"/>
  <c r="H176" i="1"/>
  <c r="H173" i="1"/>
  <c r="CC172" i="1"/>
  <c r="K172" i="1"/>
  <c r="I172" i="1"/>
  <c r="H172" i="1"/>
  <c r="M170" i="1"/>
  <c r="I170" i="1"/>
  <c r="H170" i="1"/>
  <c r="AZ154" i="1"/>
  <c r="BX88" i="1"/>
  <c r="AZ88" i="1"/>
  <c r="CC80" i="1"/>
  <c r="I80" i="1"/>
  <c r="H80" i="1"/>
  <c r="H75" i="1"/>
  <c r="H70" i="1"/>
  <c r="AZ67" i="1"/>
  <c r="CC43" i="1"/>
  <c r="AZ43" i="1"/>
  <c r="AY43" i="1"/>
  <c r="S43" i="1"/>
  <c r="P43" i="1"/>
  <c r="AD302" i="1"/>
  <c r="AD300" i="1"/>
  <c r="AD298" i="1"/>
  <c r="AD296" i="1"/>
  <c r="AD294" i="1"/>
  <c r="AD293" i="1"/>
  <c r="AD292" i="1"/>
  <c r="AD290" i="1"/>
  <c r="AD287" i="1"/>
  <c r="AD284" i="1"/>
  <c r="AD270" i="1"/>
  <c r="AD269" i="1"/>
  <c r="AD266" i="1"/>
  <c r="AD264" i="1"/>
  <c r="AD259" i="1"/>
  <c r="AD255" i="1"/>
  <c r="AD254" i="1"/>
  <c r="AD253" i="1"/>
  <c r="AD252" i="1"/>
  <c r="AD251" i="1"/>
  <c r="AD249" i="1"/>
  <c r="AD248" i="1"/>
  <c r="AD247" i="1"/>
  <c r="AD246" i="1"/>
  <c r="AD219" i="1"/>
  <c r="AD217" i="1"/>
  <c r="AD213" i="1"/>
  <c r="AD210" i="1"/>
  <c r="AD207" i="1"/>
  <c r="AD204" i="1"/>
  <c r="AD196" i="1"/>
  <c r="AD194" i="1"/>
  <c r="AD192" i="1"/>
  <c r="AD190" i="1"/>
  <c r="AD188" i="1"/>
  <c r="AD184" i="1"/>
  <c r="AD179" i="1"/>
  <c r="AD177" i="1"/>
  <c r="AD174" i="1"/>
  <c r="AD171" i="1"/>
  <c r="AD169" i="1"/>
  <c r="AD165" i="1"/>
  <c r="AD162" i="1"/>
  <c r="AD155" i="1"/>
  <c r="AD152" i="1"/>
  <c r="AD148" i="1"/>
  <c r="AD143" i="1"/>
  <c r="AD141" i="1"/>
  <c r="AD139" i="1"/>
  <c r="AD135" i="1"/>
  <c r="AD131" i="1"/>
  <c r="AD127" i="1"/>
  <c r="AD124" i="1"/>
  <c r="AD122" i="1"/>
  <c r="AD120" i="1"/>
  <c r="AD118" i="1"/>
  <c r="AD115" i="1"/>
  <c r="AD113" i="1"/>
  <c r="AD109" i="1"/>
  <c r="AD106" i="1"/>
  <c r="AD93" i="1"/>
  <c r="AD90" i="1"/>
  <c r="AD87" i="1"/>
  <c r="AD85" i="1"/>
  <c r="AD83" i="1"/>
  <c r="AD81" i="1"/>
  <c r="AD79" i="1"/>
  <c r="AD76" i="1"/>
  <c r="AD75" i="1"/>
  <c r="AD74" i="1"/>
  <c r="AD71" i="1"/>
  <c r="AD69" i="1"/>
  <c r="AD66" i="1"/>
  <c r="AD64" i="1"/>
  <c r="AD61" i="1"/>
  <c r="AD59" i="1"/>
  <c r="AD57" i="1"/>
  <c r="AD55" i="1"/>
  <c r="AD53" i="1"/>
  <c r="AD50" i="1"/>
  <c r="AD48" i="1"/>
  <c r="AD47" i="1"/>
  <c r="AD42" i="1"/>
  <c r="AD40" i="1"/>
  <c r="AD23" i="1"/>
  <c r="AD19" i="1"/>
  <c r="AD17" i="1"/>
  <c r="AD105" i="1"/>
  <c r="AD209" i="1"/>
  <c r="AD108" i="1"/>
  <c r="AD206" i="1"/>
  <c r="AD212" i="1"/>
  <c r="AD286" i="1"/>
  <c r="AD63" i="1"/>
  <c r="AD68" i="1"/>
  <c r="AD73" i="1"/>
  <c r="AD168" i="1"/>
  <c r="AD126" i="1"/>
  <c r="AD181" i="1"/>
  <c r="AD242" i="1"/>
  <c r="AD289" i="1"/>
  <c r="AD52" i="1"/>
  <c r="AD112" i="1"/>
  <c r="AD117" i="1"/>
  <c r="AD161" i="1"/>
  <c r="AD16" i="1"/>
  <c r="AD89" i="1"/>
  <c r="AD147" i="1"/>
  <c r="H26" i="1"/>
  <c r="AD222" i="1"/>
  <c r="I45" i="1"/>
  <c r="H45" i="1"/>
  <c r="AD216" i="1"/>
  <c r="CJ302" i="1"/>
  <c r="CJ300" i="1"/>
  <c r="CJ298" i="1"/>
  <c r="CJ296" i="1"/>
  <c r="CJ294" i="1"/>
  <c r="CJ292" i="1"/>
  <c r="CJ290" i="1"/>
  <c r="CJ287" i="1"/>
  <c r="CJ284" i="1"/>
  <c r="CJ270" i="1"/>
  <c r="CJ242" i="1"/>
  <c r="CJ219" i="1"/>
  <c r="CJ217" i="1"/>
  <c r="CJ213" i="1"/>
  <c r="CJ210" i="1"/>
  <c r="CJ207" i="1"/>
  <c r="CJ204" i="1"/>
  <c r="CJ196" i="1"/>
  <c r="CJ194" i="1"/>
  <c r="CJ192" i="1"/>
  <c r="CJ190" i="1"/>
  <c r="CJ188" i="1"/>
  <c r="CJ184" i="1"/>
  <c r="CJ179" i="1"/>
  <c r="CJ177" i="1"/>
  <c r="CJ174" i="1"/>
  <c r="CJ171" i="1"/>
  <c r="CJ169" i="1"/>
  <c r="CJ165" i="1"/>
  <c r="CJ162" i="1"/>
  <c r="CJ155" i="1"/>
  <c r="CJ152" i="1"/>
  <c r="CJ148" i="1"/>
  <c r="CJ143" i="1"/>
  <c r="CJ141" i="1"/>
  <c r="CJ139" i="1"/>
  <c r="CJ135" i="1"/>
  <c r="CJ131" i="1"/>
  <c r="CJ127" i="1"/>
  <c r="CJ124" i="1"/>
  <c r="CJ122" i="1"/>
  <c r="CJ120" i="1"/>
  <c r="CJ118" i="1"/>
  <c r="CJ115" i="1"/>
  <c r="CJ113" i="1"/>
  <c r="CJ109" i="1"/>
  <c r="CJ106" i="1"/>
  <c r="CJ93" i="1"/>
  <c r="CJ90" i="1"/>
  <c r="CJ87" i="1"/>
  <c r="CJ85" i="1"/>
  <c r="CJ83" i="1"/>
  <c r="CJ81" i="1"/>
  <c r="CJ79" i="1"/>
  <c r="CJ76" i="1"/>
  <c r="CJ74" i="1"/>
  <c r="CJ71" i="1"/>
  <c r="CJ69" i="1"/>
  <c r="CJ66" i="1"/>
  <c r="CJ64" i="1"/>
  <c r="CJ61" i="1"/>
  <c r="CJ59" i="1"/>
  <c r="CJ57" i="1"/>
  <c r="CJ55" i="1"/>
  <c r="CJ53" i="1"/>
  <c r="CJ50" i="1"/>
  <c r="CJ48" i="1"/>
  <c r="CJ42" i="1"/>
  <c r="CJ40" i="1"/>
  <c r="CJ23" i="1"/>
  <c r="CJ19" i="1"/>
  <c r="CJ17" i="1"/>
  <c r="CU239" i="1"/>
  <c r="CQ239" i="1"/>
  <c r="CK239" i="1"/>
  <c r="CD239" i="1"/>
  <c r="CA239" i="1"/>
  <c r="BM239" i="1"/>
  <c r="BK239" i="1"/>
  <c r="BF239" i="1"/>
  <c r="BB239" i="1"/>
  <c r="AE239" i="1"/>
  <c r="V239" i="1"/>
  <c r="Q239" i="1"/>
  <c r="J239" i="1"/>
  <c r="CU235" i="1"/>
  <c r="CQ235" i="1"/>
  <c r="CK235" i="1"/>
  <c r="CD235" i="1"/>
  <c r="CA235" i="1"/>
  <c r="BM235" i="1"/>
  <c r="BK235" i="1"/>
  <c r="BF235" i="1"/>
  <c r="BB235" i="1"/>
  <c r="AE235" i="1"/>
  <c r="V235" i="1"/>
  <c r="Q235" i="1"/>
  <c r="J235" i="1"/>
  <c r="CU228" i="1"/>
  <c r="CQ228" i="1"/>
  <c r="CK228" i="1"/>
  <c r="CD228" i="1"/>
  <c r="CA228" i="1"/>
  <c r="BM228" i="1"/>
  <c r="BK228" i="1"/>
  <c r="BF228" i="1"/>
  <c r="BB228" i="1"/>
  <c r="AE228" i="1"/>
  <c r="V228" i="1"/>
  <c r="Q228" i="1"/>
  <c r="J228" i="1"/>
  <c r="CU225" i="1"/>
  <c r="CQ225" i="1"/>
  <c r="CK225" i="1"/>
  <c r="CD225" i="1"/>
  <c r="CA225" i="1"/>
  <c r="BM225" i="1"/>
  <c r="BK225" i="1"/>
  <c r="BF225" i="1"/>
  <c r="BB225" i="1"/>
  <c r="AE225" i="1"/>
  <c r="V225" i="1"/>
  <c r="Q225" i="1"/>
  <c r="J225" i="1"/>
  <c r="CU98" i="1"/>
  <c r="CQ98" i="1"/>
  <c r="CK98" i="1"/>
  <c r="CD98" i="1"/>
  <c r="CA98" i="1"/>
  <c r="BM98" i="1"/>
  <c r="BK98" i="1"/>
  <c r="BF98" i="1"/>
  <c r="BB98" i="1"/>
  <c r="AE98" i="1"/>
  <c r="V98" i="1"/>
  <c r="Q98" i="1"/>
  <c r="J98" i="1"/>
  <c r="CU97" i="1"/>
  <c r="CQ97" i="1"/>
  <c r="CK97" i="1"/>
  <c r="CD97" i="1"/>
  <c r="CA97" i="1"/>
  <c r="BM97" i="1"/>
  <c r="BK97" i="1"/>
  <c r="BF97" i="1"/>
  <c r="BB97" i="1"/>
  <c r="AE97" i="1"/>
  <c r="V97" i="1"/>
  <c r="Q97" i="1"/>
  <c r="J97" i="1"/>
  <c r="CJ108" i="1"/>
  <c r="CT228" i="1"/>
  <c r="CT239" i="1"/>
  <c r="CJ105" i="1"/>
  <c r="AD304" i="1"/>
  <c r="CJ112" i="1"/>
  <c r="G235" i="1"/>
  <c r="CJ68" i="1"/>
  <c r="CT98" i="1"/>
  <c r="CJ222" i="1"/>
  <c r="CJ286" i="1"/>
  <c r="CJ289" i="1"/>
  <c r="BA98" i="1"/>
  <c r="BZ98" i="1"/>
  <c r="G225" i="1"/>
  <c r="G228" i="1"/>
  <c r="BA228" i="1"/>
  <c r="G239" i="1"/>
  <c r="BZ239" i="1"/>
  <c r="CJ16" i="1"/>
  <c r="BZ97" i="1"/>
  <c r="CT97" i="1"/>
  <c r="CT225" i="1"/>
  <c r="CT235" i="1"/>
  <c r="CJ52" i="1"/>
  <c r="CJ73" i="1"/>
  <c r="CJ117" i="1"/>
  <c r="CJ126" i="1"/>
  <c r="CJ161" i="1"/>
  <c r="CJ168" i="1"/>
  <c r="CJ181" i="1"/>
  <c r="CJ206" i="1"/>
  <c r="CJ212" i="1"/>
  <c r="G98" i="1"/>
  <c r="BZ228" i="1"/>
  <c r="BA239" i="1"/>
  <c r="CJ63" i="1"/>
  <c r="CJ89" i="1"/>
  <c r="CJ147" i="1"/>
  <c r="CJ209" i="1"/>
  <c r="BA225" i="1"/>
  <c r="BZ225" i="1"/>
  <c r="BA235" i="1"/>
  <c r="BZ235" i="1"/>
  <c r="BA97" i="1"/>
  <c r="G97" i="1"/>
  <c r="CC247" i="1"/>
  <c r="AZ247" i="1"/>
  <c r="AS247" i="1"/>
  <c r="AM247" i="1"/>
  <c r="AJ247" i="1"/>
  <c r="AH247" i="1"/>
  <c r="AA247" i="1"/>
  <c r="Z247" i="1"/>
  <c r="Y247" i="1"/>
  <c r="X247" i="1"/>
  <c r="U247" i="1"/>
  <c r="P247" i="1"/>
  <c r="O247" i="1"/>
  <c r="F98" i="1"/>
  <c r="F228" i="1"/>
  <c r="F239" i="1"/>
  <c r="CJ216" i="1"/>
  <c r="BY228" i="1"/>
  <c r="BY97" i="1"/>
  <c r="BY239" i="1"/>
  <c r="F225" i="1"/>
  <c r="F235" i="1"/>
  <c r="BY235" i="1"/>
  <c r="BY225" i="1"/>
  <c r="BY98" i="1"/>
  <c r="F97" i="1"/>
  <c r="O297" i="1"/>
  <c r="O296" i="1"/>
  <c r="AV297" i="1"/>
  <c r="AV296" i="1"/>
  <c r="CC296" i="1"/>
  <c r="Z293" i="1"/>
  <c r="Y293" i="1"/>
  <c r="X293" i="1"/>
  <c r="AZ298" i="1"/>
  <c r="CW288" i="1"/>
  <c r="CS285" i="1"/>
  <c r="CS283" i="1"/>
  <c r="R268" i="1"/>
  <c r="CC269" i="1"/>
  <c r="Z269" i="1"/>
  <c r="AM267" i="1"/>
  <c r="AH267" i="1"/>
  <c r="Z267" i="1"/>
  <c r="Y267" i="1"/>
  <c r="X267" i="1"/>
  <c r="Z266" i="1"/>
  <c r="Y266" i="1"/>
  <c r="X266" i="1"/>
  <c r="AZ265" i="1"/>
  <c r="Z265" i="1"/>
  <c r="Y265" i="1"/>
  <c r="X265" i="1"/>
  <c r="AZ264" i="1"/>
  <c r="Z264" i="1"/>
  <c r="Y264" i="1"/>
  <c r="X264" i="1"/>
  <c r="AZ263" i="1"/>
  <c r="Z263" i="1"/>
  <c r="Y263" i="1"/>
  <c r="X263" i="1"/>
  <c r="CC262" i="1"/>
  <c r="AZ262" i="1"/>
  <c r="AP262" i="1"/>
  <c r="AH262" i="1"/>
  <c r="AA262" i="1"/>
  <c r="Z262" i="1"/>
  <c r="Y262" i="1"/>
  <c r="X262" i="1"/>
  <c r="P262" i="1"/>
  <c r="I262" i="1"/>
  <c r="CC261" i="1"/>
  <c r="AZ261" i="1"/>
  <c r="AG261" i="1"/>
  <c r="Z261" i="1"/>
  <c r="Y261" i="1"/>
  <c r="X261" i="1"/>
  <c r="W261" i="1"/>
  <c r="U261" i="1"/>
  <c r="P261" i="1"/>
  <c r="AZ260" i="1"/>
  <c r="Z260" i="1"/>
  <c r="Y260" i="1"/>
  <c r="P260" i="1"/>
  <c r="AZ259" i="1"/>
  <c r="Z259" i="1"/>
  <c r="Y259" i="1"/>
  <c r="X259" i="1"/>
  <c r="CN258" i="1"/>
  <c r="CC258" i="1"/>
  <c r="AZ258" i="1"/>
  <c r="AZ257" i="1"/>
  <c r="AP258" i="1"/>
  <c r="AM258" i="1"/>
  <c r="AL258" i="1"/>
  <c r="AJ258" i="1"/>
  <c r="AI258" i="1"/>
  <c r="AH258" i="1"/>
  <c r="AG258" i="1"/>
  <c r="AA258" i="1"/>
  <c r="Z258" i="1"/>
  <c r="Y258" i="1"/>
  <c r="X258" i="1"/>
  <c r="W258" i="1"/>
  <c r="U258" i="1"/>
  <c r="S258" i="1"/>
  <c r="R258" i="1"/>
  <c r="P258" i="1"/>
  <c r="O258" i="1"/>
  <c r="M258" i="1"/>
  <c r="K258" i="1"/>
  <c r="I258" i="1"/>
  <c r="H258" i="1"/>
  <c r="CC256" i="1"/>
  <c r="AG256" i="1"/>
  <c r="Z256" i="1"/>
  <c r="Y256" i="1"/>
  <c r="X256" i="1"/>
  <c r="CC255" i="1"/>
  <c r="AZ255" i="1"/>
  <c r="Z255" i="1"/>
  <c r="W255" i="1"/>
  <c r="P255" i="1"/>
  <c r="O255" i="1"/>
  <c r="CC254" i="1"/>
  <c r="Z254" i="1"/>
  <c r="Y254" i="1"/>
  <c r="X254" i="1"/>
  <c r="I254" i="1"/>
  <c r="H254" i="1"/>
  <c r="AL253" i="1"/>
  <c r="Z253" i="1"/>
  <c r="Y253" i="1"/>
  <c r="X253" i="1"/>
  <c r="U253" i="1"/>
  <c r="I253" i="1"/>
  <c r="H253" i="1"/>
  <c r="CC252" i="1"/>
  <c r="AZ252" i="1"/>
  <c r="AS252" i="1"/>
  <c r="AL252" i="1"/>
  <c r="AH252" i="1"/>
  <c r="AG252" i="1"/>
  <c r="AB252" i="1"/>
  <c r="Z252" i="1"/>
  <c r="Y252" i="1"/>
  <c r="T252" i="1"/>
  <c r="P252" i="1"/>
  <c r="O252" i="1"/>
  <c r="I252" i="1"/>
  <c r="H252" i="1"/>
  <c r="CU269" i="1"/>
  <c r="CK269" i="1"/>
  <c r="CD269" i="1"/>
  <c r="BM269" i="1"/>
  <c r="BK269" i="1"/>
  <c r="BF269" i="1"/>
  <c r="BB269" i="1"/>
  <c r="AE269" i="1"/>
  <c r="Q269" i="1"/>
  <c r="J269" i="1"/>
  <c r="CU268" i="1"/>
  <c r="CK268" i="1"/>
  <c r="CD268" i="1"/>
  <c r="CA268" i="1"/>
  <c r="BM268" i="1"/>
  <c r="BK268" i="1"/>
  <c r="BF268" i="1"/>
  <c r="BB268" i="1"/>
  <c r="AE268" i="1"/>
  <c r="V268" i="1"/>
  <c r="J268" i="1"/>
  <c r="CU267" i="1"/>
  <c r="CK267" i="1"/>
  <c r="CD267" i="1"/>
  <c r="CA267" i="1"/>
  <c r="BM267" i="1"/>
  <c r="BK267" i="1"/>
  <c r="BF267" i="1"/>
  <c r="BB267" i="1"/>
  <c r="Q267" i="1"/>
  <c r="J267" i="1"/>
  <c r="CU266" i="1"/>
  <c r="CK266" i="1"/>
  <c r="CD266" i="1"/>
  <c r="CA266" i="1"/>
  <c r="BM266" i="1"/>
  <c r="BK266" i="1"/>
  <c r="BF266" i="1"/>
  <c r="BB266" i="1"/>
  <c r="AE266" i="1"/>
  <c r="Q266" i="1"/>
  <c r="J266" i="1"/>
  <c r="CU265" i="1"/>
  <c r="CK265" i="1"/>
  <c r="CD265" i="1"/>
  <c r="CA265" i="1"/>
  <c r="BM265" i="1"/>
  <c r="BK265" i="1"/>
  <c r="BF265" i="1"/>
  <c r="BB265" i="1"/>
  <c r="Q265" i="1"/>
  <c r="J265" i="1"/>
  <c r="CU264" i="1"/>
  <c r="CK264" i="1"/>
  <c r="CD264" i="1"/>
  <c r="CA264" i="1"/>
  <c r="BM264" i="1"/>
  <c r="BK264" i="1"/>
  <c r="BF264" i="1"/>
  <c r="BB264" i="1"/>
  <c r="Q264" i="1"/>
  <c r="J264" i="1"/>
  <c r="CU263" i="1"/>
  <c r="CK263" i="1"/>
  <c r="CD263" i="1"/>
  <c r="CA263" i="1"/>
  <c r="BM263" i="1"/>
  <c r="BK263" i="1"/>
  <c r="BF263" i="1"/>
  <c r="BB263" i="1"/>
  <c r="Q263" i="1"/>
  <c r="J263" i="1"/>
  <c r="CU262" i="1"/>
  <c r="CK262" i="1"/>
  <c r="CD262" i="1"/>
  <c r="BM262" i="1"/>
  <c r="BK262" i="1"/>
  <c r="BF262" i="1"/>
  <c r="BB262" i="1"/>
  <c r="Q262" i="1"/>
  <c r="CU261" i="1"/>
  <c r="CK261" i="1"/>
  <c r="CD261" i="1"/>
  <c r="BM261" i="1"/>
  <c r="BK261" i="1"/>
  <c r="BF261" i="1"/>
  <c r="BB261" i="1"/>
  <c r="Q261" i="1"/>
  <c r="CU260" i="1"/>
  <c r="CK260" i="1"/>
  <c r="CD260" i="1"/>
  <c r="CA260" i="1"/>
  <c r="BM260" i="1"/>
  <c r="BK260" i="1"/>
  <c r="BF260" i="1"/>
  <c r="BB260" i="1"/>
  <c r="Q260" i="1"/>
  <c r="CU259" i="1"/>
  <c r="CK259" i="1"/>
  <c r="CD259" i="1"/>
  <c r="CA259" i="1"/>
  <c r="BM259" i="1"/>
  <c r="BK259" i="1"/>
  <c r="BF259" i="1"/>
  <c r="BB259" i="1"/>
  <c r="Q259" i="1"/>
  <c r="J259" i="1"/>
  <c r="CU258" i="1"/>
  <c r="CD258" i="1"/>
  <c r="BM258" i="1"/>
  <c r="BK258" i="1"/>
  <c r="BF258" i="1"/>
  <c r="BB258" i="1"/>
  <c r="CU257" i="1"/>
  <c r="CK257" i="1"/>
  <c r="CD257" i="1"/>
  <c r="CA257" i="1"/>
  <c r="BM257" i="1"/>
  <c r="BK257" i="1"/>
  <c r="BF257" i="1"/>
  <c r="BB257" i="1"/>
  <c r="V257" i="1"/>
  <c r="Q257" i="1"/>
  <c r="J257" i="1"/>
  <c r="CU256" i="1"/>
  <c r="CK256" i="1"/>
  <c r="CD256" i="1"/>
  <c r="BM256" i="1"/>
  <c r="BK256" i="1"/>
  <c r="BF256" i="1"/>
  <c r="BB256" i="1"/>
  <c r="Q256" i="1"/>
  <c r="J256" i="1"/>
  <c r="CU255" i="1"/>
  <c r="CK255" i="1"/>
  <c r="CD255" i="1"/>
  <c r="BM255" i="1"/>
  <c r="BK255" i="1"/>
  <c r="BF255" i="1"/>
  <c r="BB255" i="1"/>
  <c r="Q255" i="1"/>
  <c r="CU254" i="1"/>
  <c r="CK254" i="1"/>
  <c r="CD254" i="1"/>
  <c r="BM254" i="1"/>
  <c r="BK254" i="1"/>
  <c r="BF254" i="1"/>
  <c r="BB254" i="1"/>
  <c r="AE254" i="1"/>
  <c r="Q254" i="1"/>
  <c r="J254" i="1"/>
  <c r="CU253" i="1"/>
  <c r="CK253" i="1"/>
  <c r="CD253" i="1"/>
  <c r="CA253" i="1"/>
  <c r="BM253" i="1"/>
  <c r="BK253" i="1"/>
  <c r="BF253" i="1"/>
  <c r="BB253" i="1"/>
  <c r="Q253" i="1"/>
  <c r="J253" i="1"/>
  <c r="CU252" i="1"/>
  <c r="CK252" i="1"/>
  <c r="CD252" i="1"/>
  <c r="BM252" i="1"/>
  <c r="BK252" i="1"/>
  <c r="BF252" i="1"/>
  <c r="BB252" i="1"/>
  <c r="Q252" i="1"/>
  <c r="W251" i="1"/>
  <c r="CO251" i="1"/>
  <c r="CC251" i="1"/>
  <c r="AZ251" i="1"/>
  <c r="AQ251" i="1"/>
  <c r="AJ251" i="1"/>
  <c r="AH251" i="1"/>
  <c r="Z251" i="1"/>
  <c r="Y251" i="1"/>
  <c r="X251" i="1"/>
  <c r="U251" i="1"/>
  <c r="P251" i="1"/>
  <c r="O251" i="1"/>
  <c r="L251" i="1"/>
  <c r="I251" i="1"/>
  <c r="H251" i="1"/>
  <c r="Z250" i="1"/>
  <c r="Y250" i="1"/>
  <c r="X250" i="1"/>
  <c r="P250" i="1"/>
  <c r="W249" i="1"/>
  <c r="X249" i="1"/>
  <c r="Y249" i="1"/>
  <c r="Z249" i="1"/>
  <c r="AA249" i="1"/>
  <c r="AG249" i="1"/>
  <c r="AJ249" i="1"/>
  <c r="AL249" i="1"/>
  <c r="AM249" i="1"/>
  <c r="AZ249" i="1"/>
  <c r="CN249" i="1"/>
  <c r="U249" i="1"/>
  <c r="R249" i="1"/>
  <c r="P249" i="1"/>
  <c r="O249" i="1"/>
  <c r="I249" i="1"/>
  <c r="H249" i="1"/>
  <c r="CC248" i="1"/>
  <c r="AZ248" i="1"/>
  <c r="AH248" i="1"/>
  <c r="Z248" i="1"/>
  <c r="Y248" i="1"/>
  <c r="X248" i="1"/>
  <c r="P248" i="1"/>
  <c r="O248" i="1"/>
  <c r="K248" i="1"/>
  <c r="I248" i="1"/>
  <c r="H248" i="1"/>
  <c r="CC246" i="1"/>
  <c r="AZ246" i="1"/>
  <c r="AS246" i="1"/>
  <c r="AM246" i="1"/>
  <c r="AL246" i="1"/>
  <c r="AJ246" i="1"/>
  <c r="AH246" i="1"/>
  <c r="AG246" i="1"/>
  <c r="Z246" i="1"/>
  <c r="Y246" i="1"/>
  <c r="X246" i="1"/>
  <c r="W246" i="1"/>
  <c r="U246" i="1"/>
  <c r="P246" i="1"/>
  <c r="O246" i="1"/>
  <c r="M246" i="1"/>
  <c r="L246" i="1"/>
  <c r="K246" i="1"/>
  <c r="I246" i="1"/>
  <c r="H246" i="1"/>
  <c r="AS245" i="1"/>
  <c r="AZ245" i="1"/>
  <c r="AH245" i="1"/>
  <c r="AG245" i="1"/>
  <c r="Z245" i="1"/>
  <c r="Y245" i="1"/>
  <c r="X245" i="1"/>
  <c r="CU249" i="1"/>
  <c r="CK249" i="1"/>
  <c r="CD249" i="1"/>
  <c r="CA249" i="1"/>
  <c r="BM249" i="1"/>
  <c r="BK249" i="1"/>
  <c r="BF249" i="1"/>
  <c r="BB249" i="1"/>
  <c r="CU248" i="1"/>
  <c r="CK248" i="1"/>
  <c r="CD248" i="1"/>
  <c r="BM248" i="1"/>
  <c r="BK248" i="1"/>
  <c r="BF248" i="1"/>
  <c r="BB248" i="1"/>
  <c r="Q248" i="1"/>
  <c r="CU247" i="1"/>
  <c r="CK247" i="1"/>
  <c r="CD247" i="1"/>
  <c r="CA247" i="1"/>
  <c r="BM247" i="1"/>
  <c r="BK247" i="1"/>
  <c r="BF247" i="1"/>
  <c r="BB247" i="1"/>
  <c r="AE247" i="1"/>
  <c r="V247" i="1"/>
  <c r="Q247" i="1"/>
  <c r="J247" i="1"/>
  <c r="CU246" i="1"/>
  <c r="CK246" i="1"/>
  <c r="CD246" i="1"/>
  <c r="BM246" i="1"/>
  <c r="BK246" i="1"/>
  <c r="BF246" i="1"/>
  <c r="BB246" i="1"/>
  <c r="Q246" i="1"/>
  <c r="CU245" i="1"/>
  <c r="CK245" i="1"/>
  <c r="CD245" i="1"/>
  <c r="CA245" i="1"/>
  <c r="BM245" i="1"/>
  <c r="BK245" i="1"/>
  <c r="BF245" i="1"/>
  <c r="BB245" i="1"/>
  <c r="Q245" i="1"/>
  <c r="J245" i="1"/>
  <c r="AZ244" i="1"/>
  <c r="AZ243" i="1"/>
  <c r="CB230" i="1"/>
  <c r="CU283" i="1"/>
  <c r="CK283" i="1"/>
  <c r="CD283" i="1"/>
  <c r="CA283" i="1"/>
  <c r="BM283" i="1"/>
  <c r="BK283" i="1"/>
  <c r="BF283" i="1"/>
  <c r="BB283" i="1"/>
  <c r="AE283" i="1"/>
  <c r="V283" i="1"/>
  <c r="Q283" i="1"/>
  <c r="J283" i="1"/>
  <c r="CU282" i="1"/>
  <c r="CK282" i="1"/>
  <c r="CD282" i="1"/>
  <c r="CA282" i="1"/>
  <c r="BM282" i="1"/>
  <c r="BK282" i="1"/>
  <c r="BF282" i="1"/>
  <c r="BB282" i="1"/>
  <c r="AE282" i="1"/>
  <c r="V282" i="1"/>
  <c r="Q282" i="1"/>
  <c r="J282" i="1"/>
  <c r="CU281" i="1"/>
  <c r="CK281" i="1"/>
  <c r="CD281" i="1"/>
  <c r="CA281" i="1"/>
  <c r="BM281" i="1"/>
  <c r="BK281" i="1"/>
  <c r="BF281" i="1"/>
  <c r="BB281" i="1"/>
  <c r="AE281" i="1"/>
  <c r="V281" i="1"/>
  <c r="Q281" i="1"/>
  <c r="J281" i="1"/>
  <c r="CU279" i="1"/>
  <c r="CK279" i="1"/>
  <c r="CD279" i="1"/>
  <c r="CA279" i="1"/>
  <c r="BM279" i="1"/>
  <c r="BK279" i="1"/>
  <c r="BF279" i="1"/>
  <c r="BB279" i="1"/>
  <c r="AE279" i="1"/>
  <c r="V279" i="1"/>
  <c r="Q279" i="1"/>
  <c r="J279" i="1"/>
  <c r="CU280" i="1"/>
  <c r="CK280" i="1"/>
  <c r="CD280" i="1"/>
  <c r="CA280" i="1"/>
  <c r="BM280" i="1"/>
  <c r="BK280" i="1"/>
  <c r="BF280" i="1"/>
  <c r="BB280" i="1"/>
  <c r="AE280" i="1"/>
  <c r="V280" i="1"/>
  <c r="Q280" i="1"/>
  <c r="J280" i="1"/>
  <c r="CU278" i="1"/>
  <c r="CK278" i="1"/>
  <c r="CD278" i="1"/>
  <c r="CA278" i="1"/>
  <c r="BM278" i="1"/>
  <c r="BK278" i="1"/>
  <c r="BF278" i="1"/>
  <c r="BB278" i="1"/>
  <c r="AE278" i="1"/>
  <c r="V278" i="1"/>
  <c r="Q278" i="1"/>
  <c r="J278" i="1"/>
  <c r="CU274" i="1"/>
  <c r="CK274" i="1"/>
  <c r="CD274" i="1"/>
  <c r="CA274" i="1"/>
  <c r="BM274" i="1"/>
  <c r="BK274" i="1"/>
  <c r="BF274" i="1"/>
  <c r="BB274" i="1"/>
  <c r="AE274" i="1"/>
  <c r="V274" i="1"/>
  <c r="Q274" i="1"/>
  <c r="J274" i="1"/>
  <c r="CU275" i="1"/>
  <c r="CK275" i="1"/>
  <c r="CD275" i="1"/>
  <c r="CA275" i="1"/>
  <c r="BM275" i="1"/>
  <c r="BK275" i="1"/>
  <c r="BF275" i="1"/>
  <c r="BB275" i="1"/>
  <c r="AE275" i="1"/>
  <c r="V275" i="1"/>
  <c r="Q275" i="1"/>
  <c r="J275" i="1"/>
  <c r="CU276" i="1"/>
  <c r="CK276" i="1"/>
  <c r="CD276" i="1"/>
  <c r="CA276" i="1"/>
  <c r="BM276" i="1"/>
  <c r="BK276" i="1"/>
  <c r="BF276" i="1"/>
  <c r="BB276" i="1"/>
  <c r="AE276" i="1"/>
  <c r="V276" i="1"/>
  <c r="Q276" i="1"/>
  <c r="J276" i="1"/>
  <c r="CU277" i="1"/>
  <c r="CK277" i="1"/>
  <c r="CD277" i="1"/>
  <c r="CA277" i="1"/>
  <c r="BM277" i="1"/>
  <c r="BK277" i="1"/>
  <c r="BF277" i="1"/>
  <c r="BB277" i="1"/>
  <c r="AE277" i="1"/>
  <c r="V277" i="1"/>
  <c r="Q277" i="1"/>
  <c r="J277" i="1"/>
  <c r="CU273" i="1"/>
  <c r="CK273" i="1"/>
  <c r="CD273" i="1"/>
  <c r="CA273" i="1"/>
  <c r="BM273" i="1"/>
  <c r="BK273" i="1"/>
  <c r="BF273" i="1"/>
  <c r="BB273" i="1"/>
  <c r="AE273" i="1"/>
  <c r="V273" i="1"/>
  <c r="Q273" i="1"/>
  <c r="J273" i="1"/>
  <c r="CU271" i="1"/>
  <c r="CK271" i="1"/>
  <c r="CD271" i="1"/>
  <c r="CA271" i="1"/>
  <c r="BM271" i="1"/>
  <c r="BK271" i="1"/>
  <c r="BF271" i="1"/>
  <c r="BB271" i="1"/>
  <c r="AE271" i="1"/>
  <c r="V271" i="1"/>
  <c r="Q271" i="1"/>
  <c r="J271" i="1"/>
  <c r="CU272" i="1"/>
  <c r="CK272" i="1"/>
  <c r="CD272" i="1"/>
  <c r="CA272" i="1"/>
  <c r="BM272" i="1"/>
  <c r="BK272" i="1"/>
  <c r="BF272" i="1"/>
  <c r="BB272" i="1"/>
  <c r="AE272" i="1"/>
  <c r="V272" i="1"/>
  <c r="Q272" i="1"/>
  <c r="J272" i="1"/>
  <c r="CW270" i="1"/>
  <c r="CV270" i="1"/>
  <c r="CR270" i="1"/>
  <c r="CQ270" i="1"/>
  <c r="CP270" i="1"/>
  <c r="CO270" i="1"/>
  <c r="CN270" i="1"/>
  <c r="CM270" i="1"/>
  <c r="CL270" i="1"/>
  <c r="CI270" i="1"/>
  <c r="CH270" i="1"/>
  <c r="CG270" i="1"/>
  <c r="CF270" i="1"/>
  <c r="CE270" i="1"/>
  <c r="CC270" i="1"/>
  <c r="CB270" i="1"/>
  <c r="BX270" i="1"/>
  <c r="BW270" i="1"/>
  <c r="BV270" i="1"/>
  <c r="BU270" i="1"/>
  <c r="BT270" i="1"/>
  <c r="BS270" i="1"/>
  <c r="BR270" i="1"/>
  <c r="BQ270" i="1"/>
  <c r="BP270" i="1"/>
  <c r="BO270" i="1"/>
  <c r="BN270" i="1"/>
  <c r="BL270" i="1"/>
  <c r="BJ270" i="1"/>
  <c r="BI270" i="1"/>
  <c r="BH270" i="1"/>
  <c r="BG270" i="1"/>
  <c r="BF270" i="1"/>
  <c r="BE270" i="1"/>
  <c r="BD270" i="1"/>
  <c r="BC270" i="1"/>
  <c r="AZ270" i="1"/>
  <c r="AY270" i="1"/>
  <c r="AX270" i="1"/>
  <c r="AW270" i="1"/>
  <c r="AV270" i="1"/>
  <c r="AU270" i="1"/>
  <c r="AT270" i="1"/>
  <c r="AS270" i="1"/>
  <c r="AR270" i="1"/>
  <c r="AQ270" i="1"/>
  <c r="AP270" i="1"/>
  <c r="AO270" i="1"/>
  <c r="AN270" i="1"/>
  <c r="AM270" i="1"/>
  <c r="AL270" i="1"/>
  <c r="AK270" i="1"/>
  <c r="AJ270" i="1"/>
  <c r="AI270" i="1"/>
  <c r="AH270" i="1"/>
  <c r="AG270" i="1"/>
  <c r="AF270" i="1"/>
  <c r="AC270" i="1"/>
  <c r="AB270" i="1"/>
  <c r="AA270" i="1"/>
  <c r="Z270" i="1"/>
  <c r="Y270" i="1"/>
  <c r="X270" i="1"/>
  <c r="W270" i="1"/>
  <c r="U270" i="1"/>
  <c r="T270" i="1"/>
  <c r="S270" i="1"/>
  <c r="R270" i="1"/>
  <c r="P270" i="1"/>
  <c r="O270" i="1"/>
  <c r="N270" i="1"/>
  <c r="M270" i="1"/>
  <c r="L270" i="1"/>
  <c r="K270" i="1"/>
  <c r="I270" i="1"/>
  <c r="H270" i="1"/>
  <c r="CU251" i="1"/>
  <c r="CD251" i="1"/>
  <c r="BM251" i="1"/>
  <c r="BK251" i="1"/>
  <c r="BF251" i="1"/>
  <c r="BB251" i="1"/>
  <c r="Q251" i="1"/>
  <c r="CU250" i="1"/>
  <c r="CK250" i="1"/>
  <c r="CD250" i="1"/>
  <c r="CA250" i="1"/>
  <c r="BM250" i="1"/>
  <c r="BK250" i="1"/>
  <c r="BF250" i="1"/>
  <c r="BB250" i="1"/>
  <c r="AE250" i="1"/>
  <c r="Q250" i="1"/>
  <c r="CU244" i="1"/>
  <c r="CK244" i="1"/>
  <c r="CD244" i="1"/>
  <c r="CA244" i="1"/>
  <c r="BM244" i="1"/>
  <c r="BK244" i="1"/>
  <c r="BF244" i="1"/>
  <c r="BB244" i="1"/>
  <c r="V244" i="1"/>
  <c r="Q244" i="1"/>
  <c r="J244" i="1"/>
  <c r="CU243" i="1"/>
  <c r="CK243" i="1"/>
  <c r="CD243" i="1"/>
  <c r="CA243" i="1"/>
  <c r="BM243" i="1"/>
  <c r="BK243" i="1"/>
  <c r="BF243" i="1"/>
  <c r="BB243" i="1"/>
  <c r="V243" i="1"/>
  <c r="Q243" i="1"/>
  <c r="J243" i="1"/>
  <c r="CW242" i="1"/>
  <c r="CV242" i="1"/>
  <c r="CS242" i="1"/>
  <c r="CR242" i="1"/>
  <c r="CQ242" i="1"/>
  <c r="CP242" i="1"/>
  <c r="CM242" i="1"/>
  <c r="CL242" i="1"/>
  <c r="CI242" i="1"/>
  <c r="CH242" i="1"/>
  <c r="CG242" i="1"/>
  <c r="CF242" i="1"/>
  <c r="CE242" i="1"/>
  <c r="CB242" i="1"/>
  <c r="BX242" i="1"/>
  <c r="BW242" i="1"/>
  <c r="BV242" i="1"/>
  <c r="BU242" i="1"/>
  <c r="BT242" i="1"/>
  <c r="BS242" i="1"/>
  <c r="BR242" i="1"/>
  <c r="BQ242" i="1"/>
  <c r="BP242" i="1"/>
  <c r="BO242" i="1"/>
  <c r="BN242" i="1"/>
  <c r="BL242" i="1"/>
  <c r="BJ242" i="1"/>
  <c r="BI242" i="1"/>
  <c r="BH242" i="1"/>
  <c r="BG242" i="1"/>
  <c r="BE242" i="1"/>
  <c r="BD242" i="1"/>
  <c r="BC242" i="1"/>
  <c r="AY242" i="1"/>
  <c r="AX242" i="1"/>
  <c r="AW242" i="1"/>
  <c r="AV242" i="1"/>
  <c r="AU242" i="1"/>
  <c r="AT242" i="1"/>
  <c r="AR242" i="1"/>
  <c r="AO242" i="1"/>
  <c r="AN242" i="1"/>
  <c r="AK242" i="1"/>
  <c r="AF242" i="1"/>
  <c r="AC242" i="1"/>
  <c r="N242" i="1"/>
  <c r="CU241" i="1"/>
  <c r="CK241" i="1"/>
  <c r="CD241" i="1"/>
  <c r="CA241" i="1"/>
  <c r="BM241" i="1"/>
  <c r="BK241" i="1"/>
  <c r="BF241" i="1"/>
  <c r="BB241" i="1"/>
  <c r="AE241" i="1"/>
  <c r="V241" i="1"/>
  <c r="Q241" i="1"/>
  <c r="J241" i="1"/>
  <c r="CU240" i="1"/>
  <c r="CK240" i="1"/>
  <c r="CD240" i="1"/>
  <c r="CA240" i="1"/>
  <c r="BM240" i="1"/>
  <c r="BK240" i="1"/>
  <c r="BF240" i="1"/>
  <c r="BB240" i="1"/>
  <c r="AE240" i="1"/>
  <c r="V240" i="1"/>
  <c r="Q240" i="1"/>
  <c r="J240" i="1"/>
  <c r="CU238" i="1"/>
  <c r="CK238" i="1"/>
  <c r="CD238" i="1"/>
  <c r="CA238" i="1"/>
  <c r="BM238" i="1"/>
  <c r="BK238" i="1"/>
  <c r="BJ238" i="1"/>
  <c r="BI238" i="1"/>
  <c r="BF238" i="1"/>
  <c r="BB238" i="1"/>
  <c r="AE238" i="1"/>
  <c r="V238" i="1"/>
  <c r="Q238" i="1"/>
  <c r="J238" i="1"/>
  <c r="CU237" i="1"/>
  <c r="CK237" i="1"/>
  <c r="CD237" i="1"/>
  <c r="CA237" i="1"/>
  <c r="BM237" i="1"/>
  <c r="BK237" i="1"/>
  <c r="BF237" i="1"/>
  <c r="BB237" i="1"/>
  <c r="AE237" i="1"/>
  <c r="V237" i="1"/>
  <c r="Q237" i="1"/>
  <c r="J237" i="1"/>
  <c r="CU236" i="1"/>
  <c r="CK236" i="1"/>
  <c r="CD236" i="1"/>
  <c r="CA236" i="1"/>
  <c r="BM236" i="1"/>
  <c r="BK236" i="1"/>
  <c r="BF236" i="1"/>
  <c r="BB236" i="1"/>
  <c r="AE236" i="1"/>
  <c r="V236" i="1"/>
  <c r="Q236" i="1"/>
  <c r="J236" i="1"/>
  <c r="CU234" i="1"/>
  <c r="CK234" i="1"/>
  <c r="CD234" i="1"/>
  <c r="CA234" i="1"/>
  <c r="BM234" i="1"/>
  <c r="BK234" i="1"/>
  <c r="BF234" i="1"/>
  <c r="BB234" i="1"/>
  <c r="AE234" i="1"/>
  <c r="V234" i="1"/>
  <c r="Q234" i="1"/>
  <c r="J234" i="1"/>
  <c r="CU233" i="1"/>
  <c r="CK233" i="1"/>
  <c r="CD233" i="1"/>
  <c r="CA233" i="1"/>
  <c r="BM233" i="1"/>
  <c r="BK233" i="1"/>
  <c r="BF233" i="1"/>
  <c r="BB233" i="1"/>
  <c r="AE233" i="1"/>
  <c r="V233" i="1"/>
  <c r="Q233" i="1"/>
  <c r="J233" i="1"/>
  <c r="CU232" i="1"/>
  <c r="CK232" i="1"/>
  <c r="CD232" i="1"/>
  <c r="CA232" i="1"/>
  <c r="BM232" i="1"/>
  <c r="BK232" i="1"/>
  <c r="BF232" i="1"/>
  <c r="BB232" i="1"/>
  <c r="AE232" i="1"/>
  <c r="V232" i="1"/>
  <c r="Q232" i="1"/>
  <c r="J232" i="1"/>
  <c r="CU231" i="1"/>
  <c r="CK231" i="1"/>
  <c r="CD231" i="1"/>
  <c r="CA231" i="1"/>
  <c r="BM231" i="1"/>
  <c r="BK231" i="1"/>
  <c r="BF231" i="1"/>
  <c r="BB231" i="1"/>
  <c r="AE231" i="1"/>
  <c r="V231" i="1"/>
  <c r="Q231" i="1"/>
  <c r="J231" i="1"/>
  <c r="CU230" i="1"/>
  <c r="CK230" i="1"/>
  <c r="CD230" i="1"/>
  <c r="BM230" i="1"/>
  <c r="BK230" i="1"/>
  <c r="BF230" i="1"/>
  <c r="BB230" i="1"/>
  <c r="AE230" i="1"/>
  <c r="V230" i="1"/>
  <c r="Q230" i="1"/>
  <c r="J230" i="1"/>
  <c r="CU229" i="1"/>
  <c r="CK229" i="1"/>
  <c r="CD229" i="1"/>
  <c r="CA229" i="1"/>
  <c r="BM229" i="1"/>
  <c r="BK229" i="1"/>
  <c r="BF229" i="1"/>
  <c r="BB229" i="1"/>
  <c r="AE229" i="1"/>
  <c r="V229" i="1"/>
  <c r="Q229" i="1"/>
  <c r="J229" i="1"/>
  <c r="CU227" i="1"/>
  <c r="CK227" i="1"/>
  <c r="CD227" i="1"/>
  <c r="CA227" i="1"/>
  <c r="BM227" i="1"/>
  <c r="BK227" i="1"/>
  <c r="BF227" i="1"/>
  <c r="BB227" i="1"/>
  <c r="AE227" i="1"/>
  <c r="V227" i="1"/>
  <c r="Q227" i="1"/>
  <c r="J227" i="1"/>
  <c r="CU226" i="1"/>
  <c r="CK226" i="1"/>
  <c r="CD226" i="1"/>
  <c r="CA226" i="1"/>
  <c r="BM226" i="1"/>
  <c r="BK226" i="1"/>
  <c r="BF226" i="1"/>
  <c r="BB226" i="1"/>
  <c r="AE226" i="1"/>
  <c r="V226" i="1"/>
  <c r="Q226" i="1"/>
  <c r="J226" i="1"/>
  <c r="CU224" i="1"/>
  <c r="CK224" i="1"/>
  <c r="CD224" i="1"/>
  <c r="CA224" i="1"/>
  <c r="BM224" i="1"/>
  <c r="BK224" i="1"/>
  <c r="BF224" i="1"/>
  <c r="BB224" i="1"/>
  <c r="AE224" i="1"/>
  <c r="V224" i="1"/>
  <c r="Q224" i="1"/>
  <c r="J224" i="1"/>
  <c r="CW284" i="1"/>
  <c r="CW217" i="1"/>
  <c r="CW219" i="1"/>
  <c r="CW290" i="1"/>
  <c r="CW292" i="1"/>
  <c r="CW294" i="1"/>
  <c r="CW296" i="1"/>
  <c r="CW298" i="1"/>
  <c r="CW300" i="1"/>
  <c r="CW302" i="1"/>
  <c r="CW17" i="1"/>
  <c r="CW19" i="1"/>
  <c r="CW23" i="1"/>
  <c r="CW40" i="1"/>
  <c r="CW42" i="1"/>
  <c r="CW48" i="1"/>
  <c r="CW50" i="1"/>
  <c r="CW53" i="1"/>
  <c r="CW55" i="1"/>
  <c r="CW57" i="1"/>
  <c r="CW59" i="1"/>
  <c r="CW61" i="1"/>
  <c r="CW64" i="1"/>
  <c r="CW66" i="1"/>
  <c r="CW69" i="1"/>
  <c r="CW71" i="1"/>
  <c r="CW74" i="1"/>
  <c r="CW76" i="1"/>
  <c r="CW79" i="1"/>
  <c r="CW81" i="1"/>
  <c r="CW83" i="1"/>
  <c r="CW85" i="1"/>
  <c r="CW87" i="1"/>
  <c r="CW90" i="1"/>
  <c r="CW93" i="1"/>
  <c r="CW106" i="1"/>
  <c r="CW109" i="1"/>
  <c r="CW113" i="1"/>
  <c r="CW115" i="1"/>
  <c r="CW118" i="1"/>
  <c r="CW120" i="1"/>
  <c r="CW122" i="1"/>
  <c r="CW124" i="1"/>
  <c r="CW127" i="1"/>
  <c r="CW131" i="1"/>
  <c r="CW135" i="1"/>
  <c r="CW139" i="1"/>
  <c r="CW141" i="1"/>
  <c r="CW143" i="1"/>
  <c r="CW148" i="1"/>
  <c r="CW152" i="1"/>
  <c r="CW155" i="1"/>
  <c r="CW162" i="1"/>
  <c r="CW165" i="1"/>
  <c r="CW169" i="1"/>
  <c r="CW171" i="1"/>
  <c r="CW174" i="1"/>
  <c r="CW177" i="1"/>
  <c r="CW179" i="1"/>
  <c r="CW184" i="1"/>
  <c r="CW188" i="1"/>
  <c r="CW190" i="1"/>
  <c r="CW192" i="1"/>
  <c r="CW194" i="1"/>
  <c r="CW196" i="1"/>
  <c r="CW204" i="1"/>
  <c r="CW207" i="1"/>
  <c r="CW213" i="1"/>
  <c r="CW210" i="1"/>
  <c r="CV284" i="1"/>
  <c r="CV217" i="1"/>
  <c r="CV219" i="1"/>
  <c r="CV287" i="1"/>
  <c r="CV290" i="1"/>
  <c r="CV292" i="1"/>
  <c r="CV294" i="1"/>
  <c r="CV296" i="1"/>
  <c r="CV298" i="1"/>
  <c r="CV300" i="1"/>
  <c r="CV302" i="1"/>
  <c r="CV17" i="1"/>
  <c r="CV19" i="1"/>
  <c r="CV23" i="1"/>
  <c r="CV40" i="1"/>
  <c r="CV42" i="1"/>
  <c r="CV48" i="1"/>
  <c r="CV50" i="1"/>
  <c r="CV53" i="1"/>
  <c r="CV55" i="1"/>
  <c r="CV57" i="1"/>
  <c r="CV59" i="1"/>
  <c r="CV61" i="1"/>
  <c r="CV64" i="1"/>
  <c r="CV66" i="1"/>
  <c r="CV69" i="1"/>
  <c r="CV71" i="1"/>
  <c r="CV74" i="1"/>
  <c r="CV76" i="1"/>
  <c r="CV79" i="1"/>
  <c r="CV81" i="1"/>
  <c r="CV83" i="1"/>
  <c r="CV85" i="1"/>
  <c r="CV87" i="1"/>
  <c r="CV90" i="1"/>
  <c r="CV93" i="1"/>
  <c r="CV106" i="1"/>
  <c r="CV109" i="1"/>
  <c r="CV113" i="1"/>
  <c r="CV115" i="1"/>
  <c r="CV118" i="1"/>
  <c r="CV120" i="1"/>
  <c r="CV122" i="1"/>
  <c r="CV124" i="1"/>
  <c r="CV127" i="1"/>
  <c r="CV131" i="1"/>
  <c r="CV135" i="1"/>
  <c r="CV139" i="1"/>
  <c r="CV141" i="1"/>
  <c r="CV143" i="1"/>
  <c r="CV148" i="1"/>
  <c r="CV152" i="1"/>
  <c r="CV155" i="1"/>
  <c r="CV162" i="1"/>
  <c r="CV165" i="1"/>
  <c r="CV169" i="1"/>
  <c r="CV171" i="1"/>
  <c r="CV174" i="1"/>
  <c r="CV177" i="1"/>
  <c r="CV179" i="1"/>
  <c r="CV184" i="1"/>
  <c r="CV188" i="1"/>
  <c r="CV190" i="1"/>
  <c r="CV192" i="1"/>
  <c r="CV194" i="1"/>
  <c r="CV196" i="1"/>
  <c r="CV204" i="1"/>
  <c r="CV207" i="1"/>
  <c r="CV213" i="1"/>
  <c r="CV210" i="1"/>
  <c r="CU223" i="1"/>
  <c r="CU285" i="1"/>
  <c r="CU220" i="1"/>
  <c r="CU221" i="1"/>
  <c r="CU218" i="1"/>
  <c r="CU291" i="1"/>
  <c r="CU293" i="1"/>
  <c r="CU295" i="1"/>
  <c r="CU297" i="1"/>
  <c r="CU299" i="1"/>
  <c r="CU301" i="1"/>
  <c r="CU303" i="1"/>
  <c r="CU18" i="1"/>
  <c r="CU20" i="1"/>
  <c r="CU21" i="1"/>
  <c r="CU22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1" i="1"/>
  <c r="CU43" i="1"/>
  <c r="CU44" i="1"/>
  <c r="CU45" i="1"/>
  <c r="CU46" i="1"/>
  <c r="CU47" i="1"/>
  <c r="CU49" i="1"/>
  <c r="CU51" i="1"/>
  <c r="CU54" i="1"/>
  <c r="CU56" i="1"/>
  <c r="CU58" i="1"/>
  <c r="CU60" i="1"/>
  <c r="CU62" i="1"/>
  <c r="CU65" i="1"/>
  <c r="CU67" i="1"/>
  <c r="CU70" i="1"/>
  <c r="CU72" i="1"/>
  <c r="CU75" i="1"/>
  <c r="CU77" i="1"/>
  <c r="CU78" i="1"/>
  <c r="CU80" i="1"/>
  <c r="CU82" i="1"/>
  <c r="CU84" i="1"/>
  <c r="CU86" i="1"/>
  <c r="CU88" i="1"/>
  <c r="CU91" i="1"/>
  <c r="CU92" i="1"/>
  <c r="CU94" i="1"/>
  <c r="CU95" i="1"/>
  <c r="CU96" i="1"/>
  <c r="CU99" i="1"/>
  <c r="CU100" i="1"/>
  <c r="CU101" i="1"/>
  <c r="CU102" i="1"/>
  <c r="CU103" i="1"/>
  <c r="CU104" i="1"/>
  <c r="CU107" i="1"/>
  <c r="CU110" i="1"/>
  <c r="CU111" i="1"/>
  <c r="CU114" i="1"/>
  <c r="CU116" i="1"/>
  <c r="CU119" i="1"/>
  <c r="CU121" i="1"/>
  <c r="CU123" i="1"/>
  <c r="CU125" i="1"/>
  <c r="CU128" i="1"/>
  <c r="CU129" i="1"/>
  <c r="CU130" i="1"/>
  <c r="CU132" i="1"/>
  <c r="CU133" i="1"/>
  <c r="CU134" i="1"/>
  <c r="CU136" i="1"/>
  <c r="CU137" i="1"/>
  <c r="CU138" i="1"/>
  <c r="CU140" i="1"/>
  <c r="CU142" i="1"/>
  <c r="CU144" i="1"/>
  <c r="CU145" i="1"/>
  <c r="CU146" i="1"/>
  <c r="CU149" i="1"/>
  <c r="CU150" i="1"/>
  <c r="CU151" i="1"/>
  <c r="CU153" i="1"/>
  <c r="CU154" i="1"/>
  <c r="CU156" i="1"/>
  <c r="CU157" i="1"/>
  <c r="CU158" i="1"/>
  <c r="CU159" i="1"/>
  <c r="CU160" i="1"/>
  <c r="CU163" i="1"/>
  <c r="CU164" i="1"/>
  <c r="CU166" i="1"/>
  <c r="CU167" i="1"/>
  <c r="CU170" i="1"/>
  <c r="CU172" i="1"/>
  <c r="CU173" i="1"/>
  <c r="CU175" i="1"/>
  <c r="CU176" i="1"/>
  <c r="CU178" i="1"/>
  <c r="CU180" i="1"/>
  <c r="CU182" i="1"/>
  <c r="CU183" i="1"/>
  <c r="CU185" i="1"/>
  <c r="CU186" i="1"/>
  <c r="CU187" i="1"/>
  <c r="CU189" i="1"/>
  <c r="CU191" i="1"/>
  <c r="CU193" i="1"/>
  <c r="CU195" i="1"/>
  <c r="CU197" i="1"/>
  <c r="CU198" i="1"/>
  <c r="CU199" i="1"/>
  <c r="CU200" i="1"/>
  <c r="CU201" i="1"/>
  <c r="CU202" i="1"/>
  <c r="CU203" i="1"/>
  <c r="CU205" i="1"/>
  <c r="CU208" i="1"/>
  <c r="CU214" i="1"/>
  <c r="CU215" i="1"/>
  <c r="CU211" i="1"/>
  <c r="CT221" i="1"/>
  <c r="CS219" i="1"/>
  <c r="CS287" i="1"/>
  <c r="CS290" i="1"/>
  <c r="CS292" i="1"/>
  <c r="CS294" i="1"/>
  <c r="CS298" i="1"/>
  <c r="CS300" i="1"/>
  <c r="CS302" i="1"/>
  <c r="CS17" i="1"/>
  <c r="CS19" i="1"/>
  <c r="CS23" i="1"/>
  <c r="CS40" i="1"/>
  <c r="CS42" i="1"/>
  <c r="CS48" i="1"/>
  <c r="CS50" i="1"/>
  <c r="CS53" i="1"/>
  <c r="CS55" i="1"/>
  <c r="CS57" i="1"/>
  <c r="CS59" i="1"/>
  <c r="CS61" i="1"/>
  <c r="CS64" i="1"/>
  <c r="CS66" i="1"/>
  <c r="CS69" i="1"/>
  <c r="CS71" i="1"/>
  <c r="CS74" i="1"/>
  <c r="CS76" i="1"/>
  <c r="CS79" i="1"/>
  <c r="CS81" i="1"/>
  <c r="CS83" i="1"/>
  <c r="CS85" i="1"/>
  <c r="CS87" i="1"/>
  <c r="CS90" i="1"/>
  <c r="CS93" i="1"/>
  <c r="CS106" i="1"/>
  <c r="CS109" i="1"/>
  <c r="CS113" i="1"/>
  <c r="CS115" i="1"/>
  <c r="CS118" i="1"/>
  <c r="CS120" i="1"/>
  <c r="CS122" i="1"/>
  <c r="CS124" i="1"/>
  <c r="CS127" i="1"/>
  <c r="CS131" i="1"/>
  <c r="CS135" i="1"/>
  <c r="CS139" i="1"/>
  <c r="CS141" i="1"/>
  <c r="CS143" i="1"/>
  <c r="CS148" i="1"/>
  <c r="CS152" i="1"/>
  <c r="CS155" i="1"/>
  <c r="CS162" i="1"/>
  <c r="CS165" i="1"/>
  <c r="CS169" i="1"/>
  <c r="CS171" i="1"/>
  <c r="CS174" i="1"/>
  <c r="CS177" i="1"/>
  <c r="CS179" i="1"/>
  <c r="CS184" i="1"/>
  <c r="CS188" i="1"/>
  <c r="CS190" i="1"/>
  <c r="CS192" i="1"/>
  <c r="CS194" i="1"/>
  <c r="CS196" i="1"/>
  <c r="CS204" i="1"/>
  <c r="CS207" i="1"/>
  <c r="CS213" i="1"/>
  <c r="CS210" i="1"/>
  <c r="CR284" i="1"/>
  <c r="CR217" i="1"/>
  <c r="CR219" i="1"/>
  <c r="CR287" i="1"/>
  <c r="CR290" i="1"/>
  <c r="CR292" i="1"/>
  <c r="CR294" i="1"/>
  <c r="CR296" i="1"/>
  <c r="CR298" i="1"/>
  <c r="CR300" i="1"/>
  <c r="CR302" i="1"/>
  <c r="CR17" i="1"/>
  <c r="CR23" i="1"/>
  <c r="CR40" i="1"/>
  <c r="CR42" i="1"/>
  <c r="CR48" i="1"/>
  <c r="CR50" i="1"/>
  <c r="CR53" i="1"/>
  <c r="CR55" i="1"/>
  <c r="CR57" i="1"/>
  <c r="CR59" i="1"/>
  <c r="CR61" i="1"/>
  <c r="CR64" i="1"/>
  <c r="CR66" i="1"/>
  <c r="CR69" i="1"/>
  <c r="CR71" i="1"/>
  <c r="CR74" i="1"/>
  <c r="CR76" i="1"/>
  <c r="CR79" i="1"/>
  <c r="CR81" i="1"/>
  <c r="CR83" i="1"/>
  <c r="CR85" i="1"/>
  <c r="CR87" i="1"/>
  <c r="CR90" i="1"/>
  <c r="CR93" i="1"/>
  <c r="CR106" i="1"/>
  <c r="CR109" i="1"/>
  <c r="CR113" i="1"/>
  <c r="CR115" i="1"/>
  <c r="CR118" i="1"/>
  <c r="CR120" i="1"/>
  <c r="CR122" i="1"/>
  <c r="CR124" i="1"/>
  <c r="CR127" i="1"/>
  <c r="CR131" i="1"/>
  <c r="CR135" i="1"/>
  <c r="CR139" i="1"/>
  <c r="CR141" i="1"/>
  <c r="CR143" i="1"/>
  <c r="CR148" i="1"/>
  <c r="CR152" i="1"/>
  <c r="CR155" i="1"/>
  <c r="CR162" i="1"/>
  <c r="CR165" i="1"/>
  <c r="CR169" i="1"/>
  <c r="CR171" i="1"/>
  <c r="CR174" i="1"/>
  <c r="CR177" i="1"/>
  <c r="CR179" i="1"/>
  <c r="CR184" i="1"/>
  <c r="CR188" i="1"/>
  <c r="CR190" i="1"/>
  <c r="CR192" i="1"/>
  <c r="CR194" i="1"/>
  <c r="CR196" i="1"/>
  <c r="CR204" i="1"/>
  <c r="CR207" i="1"/>
  <c r="CR213" i="1"/>
  <c r="CQ284" i="1"/>
  <c r="CQ217" i="1"/>
  <c r="CQ219" i="1"/>
  <c r="CQ287" i="1"/>
  <c r="CQ290" i="1"/>
  <c r="CQ292" i="1"/>
  <c r="CQ294" i="1"/>
  <c r="CQ296" i="1"/>
  <c r="CQ298" i="1"/>
  <c r="CQ300" i="1"/>
  <c r="CQ302" i="1"/>
  <c r="CQ18" i="1"/>
  <c r="CQ19" i="1"/>
  <c r="CQ23" i="1"/>
  <c r="CQ40" i="1"/>
  <c r="CQ42" i="1"/>
  <c r="CQ48" i="1"/>
  <c r="CQ50" i="1"/>
  <c r="CQ53" i="1"/>
  <c r="CQ55" i="1"/>
  <c r="CQ57" i="1"/>
  <c r="CQ59" i="1"/>
  <c r="CQ61" i="1"/>
  <c r="CQ64" i="1"/>
  <c r="CQ66" i="1"/>
  <c r="CQ69" i="1"/>
  <c r="CQ71" i="1"/>
  <c r="CQ74" i="1"/>
  <c r="CQ76" i="1"/>
  <c r="CQ79" i="1"/>
  <c r="CQ81" i="1"/>
  <c r="CQ83" i="1"/>
  <c r="CQ85" i="1"/>
  <c r="CQ87" i="1"/>
  <c r="CQ90" i="1"/>
  <c r="CQ93" i="1"/>
  <c r="CQ106" i="1"/>
  <c r="CQ109" i="1"/>
  <c r="CQ113" i="1"/>
  <c r="CQ115" i="1"/>
  <c r="CQ118" i="1"/>
  <c r="CQ120" i="1"/>
  <c r="CQ122" i="1"/>
  <c r="CQ124" i="1"/>
  <c r="CQ127" i="1"/>
  <c r="CQ131" i="1"/>
  <c r="CQ135" i="1"/>
  <c r="CQ139" i="1"/>
  <c r="CQ141" i="1"/>
  <c r="CQ143" i="1"/>
  <c r="CQ148" i="1"/>
  <c r="CQ152" i="1"/>
  <c r="CQ155" i="1"/>
  <c r="CQ162" i="1"/>
  <c r="CQ165" i="1"/>
  <c r="CQ169" i="1"/>
  <c r="CQ171" i="1"/>
  <c r="CQ174" i="1"/>
  <c r="CQ177" i="1"/>
  <c r="CQ179" i="1"/>
  <c r="CQ184" i="1"/>
  <c r="CQ188" i="1"/>
  <c r="CQ190" i="1"/>
  <c r="CQ192" i="1"/>
  <c r="CQ194" i="1"/>
  <c r="CQ196" i="1"/>
  <c r="CQ204" i="1"/>
  <c r="CQ207" i="1"/>
  <c r="CQ213" i="1"/>
  <c r="CP284" i="1"/>
  <c r="CP217" i="1"/>
  <c r="CP219" i="1"/>
  <c r="CP287" i="1"/>
  <c r="CP290" i="1"/>
  <c r="CP292" i="1"/>
  <c r="CP294" i="1"/>
  <c r="CP296" i="1"/>
  <c r="CP298" i="1"/>
  <c r="CP300" i="1"/>
  <c r="CP302" i="1"/>
  <c r="CP17" i="1"/>
  <c r="CP19" i="1"/>
  <c r="CP23" i="1"/>
  <c r="CP40" i="1"/>
  <c r="CP42" i="1"/>
  <c r="CP48" i="1"/>
  <c r="CP50" i="1"/>
  <c r="CP53" i="1"/>
  <c r="CP55" i="1"/>
  <c r="CP57" i="1"/>
  <c r="CP59" i="1"/>
  <c r="CP61" i="1"/>
  <c r="CP64" i="1"/>
  <c r="CP66" i="1"/>
  <c r="CP69" i="1"/>
  <c r="CP71" i="1"/>
  <c r="CP74" i="1"/>
  <c r="CP76" i="1"/>
  <c r="CP79" i="1"/>
  <c r="CP81" i="1"/>
  <c r="CP83" i="1"/>
  <c r="CP85" i="1"/>
  <c r="CP87" i="1"/>
  <c r="CP90" i="1"/>
  <c r="CP93" i="1"/>
  <c r="CP106" i="1"/>
  <c r="CP109" i="1"/>
  <c r="CP113" i="1"/>
  <c r="CP115" i="1"/>
  <c r="CP118" i="1"/>
  <c r="CP120" i="1"/>
  <c r="CP122" i="1"/>
  <c r="CP124" i="1"/>
  <c r="CP127" i="1"/>
  <c r="CP131" i="1"/>
  <c r="CP135" i="1"/>
  <c r="CP139" i="1"/>
  <c r="CP141" i="1"/>
  <c r="CP143" i="1"/>
  <c r="CP148" i="1"/>
  <c r="CP152" i="1"/>
  <c r="CP155" i="1"/>
  <c r="CP162" i="1"/>
  <c r="CP165" i="1"/>
  <c r="CP169" i="1"/>
  <c r="CP171" i="1"/>
  <c r="CP174" i="1"/>
  <c r="CP177" i="1"/>
  <c r="CP179" i="1"/>
  <c r="CP184" i="1"/>
  <c r="CP188" i="1"/>
  <c r="CP190" i="1"/>
  <c r="CP192" i="1"/>
  <c r="CP194" i="1"/>
  <c r="CP196" i="1"/>
  <c r="CP204" i="1"/>
  <c r="CP207" i="1"/>
  <c r="CP213" i="1"/>
  <c r="CP210" i="1"/>
  <c r="CO284" i="1"/>
  <c r="CO217" i="1"/>
  <c r="CO219" i="1"/>
  <c r="CO287" i="1"/>
  <c r="CO290" i="1"/>
  <c r="CO292" i="1"/>
  <c r="CO294" i="1"/>
  <c r="CO298" i="1"/>
  <c r="CO300" i="1"/>
  <c r="CO302" i="1"/>
  <c r="CO17" i="1"/>
  <c r="CO19" i="1"/>
  <c r="CO23" i="1"/>
  <c r="CO40" i="1"/>
  <c r="CO42" i="1"/>
  <c r="CO48" i="1"/>
  <c r="CO51" i="1"/>
  <c r="CO53" i="1"/>
  <c r="CO55" i="1"/>
  <c r="CO57" i="1"/>
  <c r="CO59" i="1"/>
  <c r="CO61" i="1"/>
  <c r="CO64" i="1"/>
  <c r="CO66" i="1"/>
  <c r="CO69" i="1"/>
  <c r="CO71" i="1"/>
  <c r="CO74" i="1"/>
  <c r="CO76" i="1"/>
  <c r="CO79" i="1"/>
  <c r="CO81" i="1"/>
  <c r="CO83" i="1"/>
  <c r="CO85" i="1"/>
  <c r="CO87" i="1"/>
  <c r="CO90" i="1"/>
  <c r="CO93" i="1"/>
  <c r="CO106" i="1"/>
  <c r="CO109" i="1"/>
  <c r="CO113" i="1"/>
  <c r="CO115" i="1"/>
  <c r="CO118" i="1"/>
  <c r="CO120" i="1"/>
  <c r="CO122" i="1"/>
  <c r="CO124" i="1"/>
  <c r="CO127" i="1"/>
  <c r="CO131" i="1"/>
  <c r="CO135" i="1"/>
  <c r="CO139" i="1"/>
  <c r="CO141" i="1"/>
  <c r="CO143" i="1"/>
  <c r="CO148" i="1"/>
  <c r="CO152" i="1"/>
  <c r="CO155" i="1"/>
  <c r="CO162" i="1"/>
  <c r="CO165" i="1"/>
  <c r="CO169" i="1"/>
  <c r="CO171" i="1"/>
  <c r="CO174" i="1"/>
  <c r="CO177" i="1"/>
  <c r="CO179" i="1"/>
  <c r="CO184" i="1"/>
  <c r="CO188" i="1"/>
  <c r="CO190" i="1"/>
  <c r="CO192" i="1"/>
  <c r="CO194" i="1"/>
  <c r="CO196" i="1"/>
  <c r="CO204" i="1"/>
  <c r="CO207" i="1"/>
  <c r="CO213" i="1"/>
  <c r="CO210" i="1"/>
  <c r="CN284" i="1"/>
  <c r="CN217" i="1"/>
  <c r="CN219" i="1"/>
  <c r="CN287" i="1"/>
  <c r="CN290" i="1"/>
  <c r="CN292" i="1"/>
  <c r="CN294" i="1"/>
  <c r="CN298" i="1"/>
  <c r="CN300" i="1"/>
  <c r="CN302" i="1"/>
  <c r="CN17" i="1"/>
  <c r="CN19" i="1"/>
  <c r="CN23" i="1"/>
  <c r="CN40" i="1"/>
  <c r="CN42" i="1"/>
  <c r="CN48" i="1"/>
  <c r="CN50" i="1"/>
  <c r="CN53" i="1"/>
  <c r="CN55" i="1"/>
  <c r="CN57" i="1"/>
  <c r="CN59" i="1"/>
  <c r="CN61" i="1"/>
  <c r="CN64" i="1"/>
  <c r="CN66" i="1"/>
  <c r="CN69" i="1"/>
  <c r="CN71" i="1"/>
  <c r="CN74" i="1"/>
  <c r="CN76" i="1"/>
  <c r="CN79" i="1"/>
  <c r="CN81" i="1"/>
  <c r="CN83" i="1"/>
  <c r="CN85" i="1"/>
  <c r="CN87" i="1"/>
  <c r="CN90" i="1"/>
  <c r="CN93" i="1"/>
  <c r="CN106" i="1"/>
  <c r="CN109" i="1"/>
  <c r="CN113" i="1"/>
  <c r="CN115" i="1"/>
  <c r="CN118" i="1"/>
  <c r="CN120" i="1"/>
  <c r="CN122" i="1"/>
  <c r="CN124" i="1"/>
  <c r="CN127" i="1"/>
  <c r="CN131" i="1"/>
  <c r="CN135" i="1"/>
  <c r="CN139" i="1"/>
  <c r="CN141" i="1"/>
  <c r="CN143" i="1"/>
  <c r="CN148" i="1"/>
  <c r="CN152" i="1"/>
  <c r="CN155" i="1"/>
  <c r="CN162" i="1"/>
  <c r="CN165" i="1"/>
  <c r="CN169" i="1"/>
  <c r="CN171" i="1"/>
  <c r="CN174" i="1"/>
  <c r="CN177" i="1"/>
  <c r="CN179" i="1"/>
  <c r="CN184" i="1"/>
  <c r="CN188" i="1"/>
  <c r="CN190" i="1"/>
  <c r="CN192" i="1"/>
  <c r="CN194" i="1"/>
  <c r="CN196" i="1"/>
  <c r="CN204" i="1"/>
  <c r="CN207" i="1"/>
  <c r="CN213" i="1"/>
  <c r="CN210" i="1"/>
  <c r="CM284" i="1"/>
  <c r="CM217" i="1"/>
  <c r="CM219" i="1"/>
  <c r="CM287" i="1"/>
  <c r="CM290" i="1"/>
  <c r="CM292" i="1"/>
  <c r="CM294" i="1"/>
  <c r="CM296" i="1"/>
  <c r="CM298" i="1"/>
  <c r="CM300" i="1"/>
  <c r="CM302" i="1"/>
  <c r="CM17" i="1"/>
  <c r="CM19" i="1"/>
  <c r="CM23" i="1"/>
  <c r="CM40" i="1"/>
  <c r="CM42" i="1"/>
  <c r="CM48" i="1"/>
  <c r="CM50" i="1"/>
  <c r="CM53" i="1"/>
  <c r="CM55" i="1"/>
  <c r="CM57" i="1"/>
  <c r="CM59" i="1"/>
  <c r="CM61" i="1"/>
  <c r="CM64" i="1"/>
  <c r="CM66" i="1"/>
  <c r="CM69" i="1"/>
  <c r="CM71" i="1"/>
  <c r="CM74" i="1"/>
  <c r="CM76" i="1"/>
  <c r="CM79" i="1"/>
  <c r="CM81" i="1"/>
  <c r="CM83" i="1"/>
  <c r="CM85" i="1"/>
  <c r="CM87" i="1"/>
  <c r="CM90" i="1"/>
  <c r="CM93" i="1"/>
  <c r="CM106" i="1"/>
  <c r="CM109" i="1"/>
  <c r="CM113" i="1"/>
  <c r="CM115" i="1"/>
  <c r="CM118" i="1"/>
  <c r="CM120" i="1"/>
  <c r="CM122" i="1"/>
  <c r="CM124" i="1"/>
  <c r="CM127" i="1"/>
  <c r="CM131" i="1"/>
  <c r="CM135" i="1"/>
  <c r="CM139" i="1"/>
  <c r="CM141" i="1"/>
  <c r="CM143" i="1"/>
  <c r="CM148" i="1"/>
  <c r="CM152" i="1"/>
  <c r="CM155" i="1"/>
  <c r="CM162" i="1"/>
  <c r="CM165" i="1"/>
  <c r="CM169" i="1"/>
  <c r="CM171" i="1"/>
  <c r="CM174" i="1"/>
  <c r="CM177" i="1"/>
  <c r="CM179" i="1"/>
  <c r="CM184" i="1"/>
  <c r="CM188" i="1"/>
  <c r="CM190" i="1"/>
  <c r="CM192" i="1"/>
  <c r="CM194" i="1"/>
  <c r="CM196" i="1"/>
  <c r="CM204" i="1"/>
  <c r="CM207" i="1"/>
  <c r="CM213" i="1"/>
  <c r="CM210" i="1"/>
  <c r="CL284" i="1"/>
  <c r="CL217" i="1"/>
  <c r="CL219" i="1"/>
  <c r="CL287" i="1"/>
  <c r="CL290" i="1"/>
  <c r="CL292" i="1"/>
  <c r="CL294" i="1"/>
  <c r="CL296" i="1"/>
  <c r="CL298" i="1"/>
  <c r="CL300" i="1"/>
  <c r="CL302" i="1"/>
  <c r="CL17" i="1"/>
  <c r="CL19" i="1"/>
  <c r="CL23" i="1"/>
  <c r="CL40" i="1"/>
  <c r="CL42" i="1"/>
  <c r="CL48" i="1"/>
  <c r="CL50" i="1"/>
  <c r="CL53" i="1"/>
  <c r="CL55" i="1"/>
  <c r="CL57" i="1"/>
  <c r="CL59" i="1"/>
  <c r="CL61" i="1"/>
  <c r="CL64" i="1"/>
  <c r="CL66" i="1"/>
  <c r="CL69" i="1"/>
  <c r="CL71" i="1"/>
  <c r="CL74" i="1"/>
  <c r="CL76" i="1"/>
  <c r="CL79" i="1"/>
  <c r="CL81" i="1"/>
  <c r="CL83" i="1"/>
  <c r="CL85" i="1"/>
  <c r="CL87" i="1"/>
  <c r="CL90" i="1"/>
  <c r="CL93" i="1"/>
  <c r="CL106" i="1"/>
  <c r="CL109" i="1"/>
  <c r="CL113" i="1"/>
  <c r="CL115" i="1"/>
  <c r="CL118" i="1"/>
  <c r="CL120" i="1"/>
  <c r="CL122" i="1"/>
  <c r="CL124" i="1"/>
  <c r="CL127" i="1"/>
  <c r="CL131" i="1"/>
  <c r="CL135" i="1"/>
  <c r="CL139" i="1"/>
  <c r="CL141" i="1"/>
  <c r="CL143" i="1"/>
  <c r="CL148" i="1"/>
  <c r="CL152" i="1"/>
  <c r="CL155" i="1"/>
  <c r="CL162" i="1"/>
  <c r="CL165" i="1"/>
  <c r="CL169" i="1"/>
  <c r="CL171" i="1"/>
  <c r="CL174" i="1"/>
  <c r="CL177" i="1"/>
  <c r="CL179" i="1"/>
  <c r="CL184" i="1"/>
  <c r="CL188" i="1"/>
  <c r="CL190" i="1"/>
  <c r="CL192" i="1"/>
  <c r="CL194" i="1"/>
  <c r="CL196" i="1"/>
  <c r="CL204" i="1"/>
  <c r="CL207" i="1"/>
  <c r="CL213" i="1"/>
  <c r="CL210" i="1"/>
  <c r="CK223" i="1"/>
  <c r="CK285" i="1"/>
  <c r="CK220" i="1"/>
  <c r="CK221" i="1"/>
  <c r="CK218" i="1"/>
  <c r="CK288" i="1"/>
  <c r="CK291" i="1"/>
  <c r="CK293" i="1"/>
  <c r="CK295" i="1"/>
  <c r="CK299" i="1"/>
  <c r="CK301" i="1"/>
  <c r="CK303" i="1"/>
  <c r="CK18" i="1"/>
  <c r="CK20" i="1"/>
  <c r="CK21" i="1"/>
  <c r="CK22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39" i="1"/>
  <c r="CK41" i="1"/>
  <c r="CK43" i="1"/>
  <c r="CK44" i="1"/>
  <c r="CK45" i="1"/>
  <c r="CK46" i="1"/>
  <c r="CK47" i="1"/>
  <c r="CK49" i="1"/>
  <c r="CK54" i="1"/>
  <c r="CK56" i="1"/>
  <c r="CK58" i="1"/>
  <c r="CK60" i="1"/>
  <c r="CK62" i="1"/>
  <c r="CK65" i="1"/>
  <c r="CK67" i="1"/>
  <c r="CK70" i="1"/>
  <c r="CK72" i="1"/>
  <c r="CK75" i="1"/>
  <c r="CK77" i="1"/>
  <c r="CK78" i="1"/>
  <c r="CK80" i="1"/>
  <c r="CK82" i="1"/>
  <c r="CK84" i="1"/>
  <c r="CK86" i="1"/>
  <c r="CK88" i="1"/>
  <c r="CK91" i="1"/>
  <c r="CK92" i="1"/>
  <c r="CK94" i="1"/>
  <c r="CK95" i="1"/>
  <c r="CK96" i="1"/>
  <c r="CK99" i="1"/>
  <c r="CK100" i="1"/>
  <c r="CK101" i="1"/>
  <c r="CK102" i="1"/>
  <c r="CK103" i="1"/>
  <c r="CK104" i="1"/>
  <c r="CK107" i="1"/>
  <c r="CK110" i="1"/>
  <c r="CK111" i="1"/>
  <c r="CK114" i="1"/>
  <c r="CK116" i="1"/>
  <c r="CK119" i="1"/>
  <c r="CK121" i="1"/>
  <c r="CK123" i="1"/>
  <c r="CK125" i="1"/>
  <c r="CK128" i="1"/>
  <c r="CK129" i="1"/>
  <c r="CK130" i="1"/>
  <c r="CK132" i="1"/>
  <c r="CK133" i="1"/>
  <c r="CK134" i="1"/>
  <c r="CK136" i="1"/>
  <c r="CK137" i="1"/>
  <c r="CK138" i="1"/>
  <c r="CK140" i="1"/>
  <c r="CK142" i="1"/>
  <c r="CK144" i="1"/>
  <c r="CK145" i="1"/>
  <c r="CK146" i="1"/>
  <c r="CK149" i="1"/>
  <c r="CK150" i="1"/>
  <c r="CK151" i="1"/>
  <c r="CK153" i="1"/>
  <c r="CK154" i="1"/>
  <c r="CK156" i="1"/>
  <c r="CK157" i="1"/>
  <c r="CK158" i="1"/>
  <c r="CK159" i="1"/>
  <c r="CK160" i="1"/>
  <c r="CK163" i="1"/>
  <c r="CK164" i="1"/>
  <c r="CK166" i="1"/>
  <c r="CK167" i="1"/>
  <c r="CK170" i="1"/>
  <c r="CK172" i="1"/>
  <c r="CK173" i="1"/>
  <c r="CK175" i="1"/>
  <c r="CK176" i="1"/>
  <c r="CK178" i="1"/>
  <c r="CK180" i="1"/>
  <c r="CK182" i="1"/>
  <c r="CK183" i="1"/>
  <c r="CK185" i="1"/>
  <c r="CK186" i="1"/>
  <c r="CK187" i="1"/>
  <c r="CK189" i="1"/>
  <c r="CK191" i="1"/>
  <c r="CK193" i="1"/>
  <c r="CK195" i="1"/>
  <c r="CK197" i="1"/>
  <c r="CK198" i="1"/>
  <c r="CK199" i="1"/>
  <c r="CK200" i="1"/>
  <c r="CK201" i="1"/>
  <c r="CK202" i="1"/>
  <c r="CK203" i="1"/>
  <c r="CK205" i="1"/>
  <c r="CK208" i="1"/>
  <c r="CK214" i="1"/>
  <c r="CK215" i="1"/>
  <c r="CK211" i="1"/>
  <c r="CI284" i="1"/>
  <c r="CI217" i="1"/>
  <c r="CI219" i="1"/>
  <c r="CI287" i="1"/>
  <c r="CI290" i="1"/>
  <c r="CI292" i="1"/>
  <c r="CI294" i="1"/>
  <c r="CI298" i="1"/>
  <c r="CI300" i="1"/>
  <c r="CI302" i="1"/>
  <c r="CI17" i="1"/>
  <c r="CI19" i="1"/>
  <c r="CI23" i="1"/>
  <c r="CI40" i="1"/>
  <c r="CI42" i="1"/>
  <c r="CI48" i="1"/>
  <c r="CI50" i="1"/>
  <c r="CI53" i="1"/>
  <c r="CI55" i="1"/>
  <c r="CI57" i="1"/>
  <c r="CI59" i="1"/>
  <c r="CI61" i="1"/>
  <c r="CI64" i="1"/>
  <c r="CI66" i="1"/>
  <c r="CI69" i="1"/>
  <c r="CI71" i="1"/>
  <c r="CI74" i="1"/>
  <c r="CI76" i="1"/>
  <c r="CI79" i="1"/>
  <c r="CI81" i="1"/>
  <c r="CI83" i="1"/>
  <c r="CI85" i="1"/>
  <c r="CI87" i="1"/>
  <c r="CI90" i="1"/>
  <c r="CI93" i="1"/>
  <c r="CI106" i="1"/>
  <c r="CI109" i="1"/>
  <c r="CI113" i="1"/>
  <c r="CI115" i="1"/>
  <c r="CI118" i="1"/>
  <c r="CI120" i="1"/>
  <c r="CI122" i="1"/>
  <c r="CI124" i="1"/>
  <c r="CI127" i="1"/>
  <c r="CI131" i="1"/>
  <c r="CI135" i="1"/>
  <c r="CI139" i="1"/>
  <c r="CI141" i="1"/>
  <c r="CI143" i="1"/>
  <c r="CI148" i="1"/>
  <c r="CI152" i="1"/>
  <c r="CI155" i="1"/>
  <c r="CI162" i="1"/>
  <c r="CI165" i="1"/>
  <c r="CI169" i="1"/>
  <c r="CI171" i="1"/>
  <c r="CI174" i="1"/>
  <c r="CI177" i="1"/>
  <c r="CI179" i="1"/>
  <c r="CI184" i="1"/>
  <c r="CI188" i="1"/>
  <c r="CI190" i="1"/>
  <c r="CI192" i="1"/>
  <c r="CI194" i="1"/>
  <c r="CI196" i="1"/>
  <c r="CI204" i="1"/>
  <c r="CI207" i="1"/>
  <c r="CI213" i="1"/>
  <c r="CI210" i="1"/>
  <c r="CH284" i="1"/>
  <c r="CH217" i="1"/>
  <c r="CH219" i="1"/>
  <c r="CH287" i="1"/>
  <c r="CH290" i="1"/>
  <c r="CH292" i="1"/>
  <c r="CH294" i="1"/>
  <c r="CH298" i="1"/>
  <c r="CH300" i="1"/>
  <c r="CH302" i="1"/>
  <c r="CH17" i="1"/>
  <c r="CH19" i="1"/>
  <c r="CH23" i="1"/>
  <c r="CH40" i="1"/>
  <c r="CH42" i="1"/>
  <c r="CH48" i="1"/>
  <c r="CH50" i="1"/>
  <c r="CH53" i="1"/>
  <c r="CH55" i="1"/>
  <c r="CH57" i="1"/>
  <c r="CH59" i="1"/>
  <c r="CH61" i="1"/>
  <c r="CH64" i="1"/>
  <c r="CH66" i="1"/>
  <c r="CH69" i="1"/>
  <c r="CH71" i="1"/>
  <c r="CH74" i="1"/>
  <c r="CH76" i="1"/>
  <c r="CH79" i="1"/>
  <c r="CH81" i="1"/>
  <c r="CH83" i="1"/>
  <c r="CH85" i="1"/>
  <c r="CH87" i="1"/>
  <c r="CH90" i="1"/>
  <c r="CH93" i="1"/>
  <c r="CH106" i="1"/>
  <c r="CH109" i="1"/>
  <c r="CH113" i="1"/>
  <c r="CH115" i="1"/>
  <c r="CH118" i="1"/>
  <c r="CH120" i="1"/>
  <c r="CH122" i="1"/>
  <c r="CH124" i="1"/>
  <c r="CH127" i="1"/>
  <c r="CH131" i="1"/>
  <c r="CH135" i="1"/>
  <c r="CH139" i="1"/>
  <c r="CH141" i="1"/>
  <c r="CH143" i="1"/>
  <c r="CH148" i="1"/>
  <c r="CH152" i="1"/>
  <c r="CH155" i="1"/>
  <c r="CH162" i="1"/>
  <c r="CH165" i="1"/>
  <c r="CH169" i="1"/>
  <c r="CH171" i="1"/>
  <c r="CH174" i="1"/>
  <c r="CH177" i="1"/>
  <c r="CH179" i="1"/>
  <c r="CH184" i="1"/>
  <c r="CH188" i="1"/>
  <c r="CH190" i="1"/>
  <c r="CH192" i="1"/>
  <c r="CH194" i="1"/>
  <c r="CH196" i="1"/>
  <c r="CH204" i="1"/>
  <c r="CH207" i="1"/>
  <c r="CH213" i="1"/>
  <c r="CH210" i="1"/>
  <c r="CG284" i="1"/>
  <c r="CG217" i="1"/>
  <c r="CG219" i="1"/>
  <c r="CG287" i="1"/>
  <c r="CG290" i="1"/>
  <c r="CG292" i="1"/>
  <c r="CG294" i="1"/>
  <c r="CG298" i="1"/>
  <c r="CG300" i="1"/>
  <c r="CG302" i="1"/>
  <c r="CG17" i="1"/>
  <c r="CG19" i="1"/>
  <c r="CG23" i="1"/>
  <c r="CG40" i="1"/>
  <c r="CG42" i="1"/>
  <c r="CG48" i="1"/>
  <c r="CG50" i="1"/>
  <c r="CG53" i="1"/>
  <c r="CG55" i="1"/>
  <c r="CG57" i="1"/>
  <c r="CG59" i="1"/>
  <c r="CG61" i="1"/>
  <c r="CG64" i="1"/>
  <c r="CG66" i="1"/>
  <c r="CG69" i="1"/>
  <c r="CG71" i="1"/>
  <c r="CG74" i="1"/>
  <c r="CG76" i="1"/>
  <c r="CG79" i="1"/>
  <c r="CG81" i="1"/>
  <c r="CG83" i="1"/>
  <c r="CG85" i="1"/>
  <c r="CG87" i="1"/>
  <c r="CG90" i="1"/>
  <c r="CG93" i="1"/>
  <c r="CG106" i="1"/>
  <c r="CG109" i="1"/>
  <c r="CG113" i="1"/>
  <c r="CG115" i="1"/>
  <c r="CG118" i="1"/>
  <c r="CG120" i="1"/>
  <c r="CG122" i="1"/>
  <c r="CG124" i="1"/>
  <c r="CG127" i="1"/>
  <c r="CG131" i="1"/>
  <c r="CG135" i="1"/>
  <c r="CG139" i="1"/>
  <c r="CG141" i="1"/>
  <c r="CG143" i="1"/>
  <c r="CG148" i="1"/>
  <c r="CG152" i="1"/>
  <c r="CG155" i="1"/>
  <c r="CG162" i="1"/>
  <c r="CG165" i="1"/>
  <c r="CG169" i="1"/>
  <c r="CG171" i="1"/>
  <c r="CG174" i="1"/>
  <c r="CG177" i="1"/>
  <c r="CG179" i="1"/>
  <c r="CG184" i="1"/>
  <c r="CG188" i="1"/>
  <c r="CG190" i="1"/>
  <c r="CG192" i="1"/>
  <c r="CG194" i="1"/>
  <c r="CG196" i="1"/>
  <c r="CG204" i="1"/>
  <c r="CG207" i="1"/>
  <c r="CG213" i="1"/>
  <c r="CG210" i="1"/>
  <c r="CF284" i="1"/>
  <c r="CF217" i="1"/>
  <c r="CF219" i="1"/>
  <c r="CF287" i="1"/>
  <c r="CF290" i="1"/>
  <c r="CF292" i="1"/>
  <c r="CF294" i="1"/>
  <c r="CF296" i="1"/>
  <c r="CF298" i="1"/>
  <c r="CF300" i="1"/>
  <c r="CF302" i="1"/>
  <c r="CF17" i="1"/>
  <c r="CF19" i="1"/>
  <c r="CF23" i="1"/>
  <c r="CF40" i="1"/>
  <c r="CF42" i="1"/>
  <c r="CF48" i="1"/>
  <c r="CF50" i="1"/>
  <c r="CF53" i="1"/>
  <c r="CF55" i="1"/>
  <c r="CF57" i="1"/>
  <c r="CF59" i="1"/>
  <c r="CF61" i="1"/>
  <c r="CF64" i="1"/>
  <c r="CF66" i="1"/>
  <c r="CF69" i="1"/>
  <c r="CF71" i="1"/>
  <c r="CF74" i="1"/>
  <c r="CF76" i="1"/>
  <c r="CF79" i="1"/>
  <c r="CF81" i="1"/>
  <c r="CF83" i="1"/>
  <c r="CF85" i="1"/>
  <c r="CF87" i="1"/>
  <c r="CF90" i="1"/>
  <c r="CF93" i="1"/>
  <c r="CF106" i="1"/>
  <c r="CF109" i="1"/>
  <c r="CF113" i="1"/>
  <c r="CF115" i="1"/>
  <c r="CF118" i="1"/>
  <c r="CF120" i="1"/>
  <c r="CF122" i="1"/>
  <c r="CF124" i="1"/>
  <c r="CF127" i="1"/>
  <c r="CF131" i="1"/>
  <c r="CF135" i="1"/>
  <c r="CF139" i="1"/>
  <c r="CF141" i="1"/>
  <c r="CF143" i="1"/>
  <c r="CF148" i="1"/>
  <c r="CF152" i="1"/>
  <c r="CF155" i="1"/>
  <c r="CF162" i="1"/>
  <c r="CF165" i="1"/>
  <c r="CF169" i="1"/>
  <c r="CF171" i="1"/>
  <c r="CF174" i="1"/>
  <c r="CF177" i="1"/>
  <c r="CF179" i="1"/>
  <c r="CF184" i="1"/>
  <c r="CF188" i="1"/>
  <c r="CF190" i="1"/>
  <c r="CF192" i="1"/>
  <c r="CF194" i="1"/>
  <c r="CF196" i="1"/>
  <c r="CF204" i="1"/>
  <c r="CF207" i="1"/>
  <c r="CF213" i="1"/>
  <c r="CF210" i="1"/>
  <c r="CE284" i="1"/>
  <c r="CE217" i="1"/>
  <c r="CE219" i="1"/>
  <c r="CE287" i="1"/>
  <c r="CE290" i="1"/>
  <c r="CE292" i="1"/>
  <c r="CE294" i="1"/>
  <c r="CE296" i="1"/>
  <c r="CE298" i="1"/>
  <c r="CE300" i="1"/>
  <c r="CE302" i="1"/>
  <c r="CE17" i="1"/>
  <c r="CE19" i="1"/>
  <c r="CE23" i="1"/>
  <c r="CE40" i="1"/>
  <c r="CE42" i="1"/>
  <c r="CE48" i="1"/>
  <c r="CE50" i="1"/>
  <c r="CE53" i="1"/>
  <c r="CE55" i="1"/>
  <c r="CE57" i="1"/>
  <c r="CE59" i="1"/>
  <c r="CE61" i="1"/>
  <c r="CE64" i="1"/>
  <c r="CE66" i="1"/>
  <c r="CE69" i="1"/>
  <c r="CE71" i="1"/>
  <c r="CE74" i="1"/>
  <c r="CE76" i="1"/>
  <c r="CE79" i="1"/>
  <c r="CE81" i="1"/>
  <c r="CE83" i="1"/>
  <c r="CE85" i="1"/>
  <c r="CE87" i="1"/>
  <c r="CE90" i="1"/>
  <c r="CE93" i="1"/>
  <c r="CE106" i="1"/>
  <c r="CE109" i="1"/>
  <c r="CE113" i="1"/>
  <c r="CE115" i="1"/>
  <c r="CE118" i="1"/>
  <c r="CE120" i="1"/>
  <c r="CE122" i="1"/>
  <c r="CE124" i="1"/>
  <c r="CE127" i="1"/>
  <c r="CE131" i="1"/>
  <c r="CE135" i="1"/>
  <c r="CE139" i="1"/>
  <c r="CE141" i="1"/>
  <c r="CE143" i="1"/>
  <c r="CE148" i="1"/>
  <c r="CE152" i="1"/>
  <c r="CE155" i="1"/>
  <c r="CE162" i="1"/>
  <c r="CE165" i="1"/>
  <c r="CE169" i="1"/>
  <c r="CE171" i="1"/>
  <c r="CE174" i="1"/>
  <c r="CE177" i="1"/>
  <c r="CE179" i="1"/>
  <c r="CE184" i="1"/>
  <c r="CE188" i="1"/>
  <c r="CE190" i="1"/>
  <c r="CE192" i="1"/>
  <c r="CE194" i="1"/>
  <c r="CE196" i="1"/>
  <c r="CE204" i="1"/>
  <c r="CE207" i="1"/>
  <c r="CE213" i="1"/>
  <c r="CE210" i="1"/>
  <c r="CD223" i="1"/>
  <c r="CD285" i="1"/>
  <c r="CD220" i="1"/>
  <c r="CD221" i="1"/>
  <c r="CD218" i="1"/>
  <c r="CD288" i="1"/>
  <c r="CD291" i="1"/>
  <c r="CD295" i="1"/>
  <c r="CD299" i="1"/>
  <c r="CD301" i="1"/>
  <c r="CD303" i="1"/>
  <c r="CD18" i="1"/>
  <c r="CD20" i="1"/>
  <c r="CD21" i="1"/>
  <c r="CD22" i="1"/>
  <c r="CD24" i="1"/>
  <c r="CD25" i="1"/>
  <c r="CD26" i="1"/>
  <c r="CD27" i="1"/>
  <c r="CD28" i="1"/>
  <c r="CD29" i="1"/>
  <c r="CD30" i="1"/>
  <c r="CD31" i="1"/>
  <c r="CD32" i="1"/>
  <c r="CD33" i="1"/>
  <c r="CD34" i="1"/>
  <c r="CD35" i="1"/>
  <c r="CD36" i="1"/>
  <c r="CD37" i="1"/>
  <c r="CD38" i="1"/>
  <c r="CD39" i="1"/>
  <c r="CD41" i="1"/>
  <c r="CD43" i="1"/>
  <c r="CD44" i="1"/>
  <c r="CD45" i="1"/>
  <c r="CD46" i="1"/>
  <c r="CD47" i="1"/>
  <c r="CD49" i="1"/>
  <c r="CD51" i="1"/>
  <c r="CD54" i="1"/>
  <c r="CD56" i="1"/>
  <c r="CD58" i="1"/>
  <c r="CD60" i="1"/>
  <c r="CD62" i="1"/>
  <c r="CD65" i="1"/>
  <c r="CD67" i="1"/>
  <c r="CD70" i="1"/>
  <c r="CD72" i="1"/>
  <c r="CD75" i="1"/>
  <c r="CD77" i="1"/>
  <c r="CD78" i="1"/>
  <c r="CD80" i="1"/>
  <c r="CD82" i="1"/>
  <c r="CD84" i="1"/>
  <c r="CD86" i="1"/>
  <c r="CD88" i="1"/>
  <c r="CD91" i="1"/>
  <c r="CD92" i="1"/>
  <c r="CD94" i="1"/>
  <c r="CD95" i="1"/>
  <c r="CD96" i="1"/>
  <c r="CD99" i="1"/>
  <c r="CD100" i="1"/>
  <c r="CD101" i="1"/>
  <c r="CD102" i="1"/>
  <c r="CD103" i="1"/>
  <c r="CD104" i="1"/>
  <c r="CD107" i="1"/>
  <c r="CD110" i="1"/>
  <c r="CD111" i="1"/>
  <c r="CD114" i="1"/>
  <c r="CD116" i="1"/>
  <c r="CD119" i="1"/>
  <c r="CD121" i="1"/>
  <c r="CD123" i="1"/>
  <c r="CD125" i="1"/>
  <c r="CD128" i="1"/>
  <c r="CD129" i="1"/>
  <c r="CD130" i="1"/>
  <c r="CD132" i="1"/>
  <c r="CD133" i="1"/>
  <c r="CD134" i="1"/>
  <c r="CD136" i="1"/>
  <c r="CD137" i="1"/>
  <c r="CD138" i="1"/>
  <c r="CD140" i="1"/>
  <c r="CD142" i="1"/>
  <c r="CD144" i="1"/>
  <c r="CD145" i="1"/>
  <c r="CD146" i="1"/>
  <c r="CD149" i="1"/>
  <c r="CD150" i="1"/>
  <c r="CD151" i="1"/>
  <c r="CD153" i="1"/>
  <c r="CD154" i="1"/>
  <c r="CD156" i="1"/>
  <c r="CD157" i="1"/>
  <c r="CD158" i="1"/>
  <c r="CD159" i="1"/>
  <c r="CD160" i="1"/>
  <c r="CD163" i="1"/>
  <c r="CD164" i="1"/>
  <c r="CD166" i="1"/>
  <c r="CD167" i="1"/>
  <c r="CD170" i="1"/>
  <c r="CD172" i="1"/>
  <c r="CD173" i="1"/>
  <c r="CD175" i="1"/>
  <c r="CD176" i="1"/>
  <c r="CD178" i="1"/>
  <c r="CD180" i="1"/>
  <c r="CD182" i="1"/>
  <c r="CD183" i="1"/>
  <c r="CD185" i="1"/>
  <c r="CD186" i="1"/>
  <c r="CD187" i="1"/>
  <c r="CD189" i="1"/>
  <c r="CD191" i="1"/>
  <c r="CD193" i="1"/>
  <c r="CD195" i="1"/>
  <c r="CD197" i="1"/>
  <c r="CD198" i="1"/>
  <c r="CD199" i="1"/>
  <c r="CD200" i="1"/>
  <c r="CD201" i="1"/>
  <c r="CD202" i="1"/>
  <c r="CD203" i="1"/>
  <c r="CD205" i="1"/>
  <c r="CD208" i="1"/>
  <c r="CD214" i="1"/>
  <c r="CD215" i="1"/>
  <c r="CD211" i="1"/>
  <c r="CC284" i="1"/>
  <c r="CC217" i="1"/>
  <c r="CC219" i="1"/>
  <c r="CC287" i="1"/>
  <c r="CC290" i="1"/>
  <c r="CC292" i="1"/>
  <c r="CC294" i="1"/>
  <c r="CC298" i="1"/>
  <c r="CC300" i="1"/>
  <c r="CC302" i="1"/>
  <c r="CC17" i="1"/>
  <c r="CC19" i="1"/>
  <c r="CC24" i="1"/>
  <c r="CC25" i="1"/>
  <c r="CC36" i="1"/>
  <c r="CC40" i="1"/>
  <c r="CC44" i="1"/>
  <c r="CC48" i="1"/>
  <c r="CC50" i="1"/>
  <c r="CC53" i="1"/>
  <c r="CC55" i="1"/>
  <c r="CC57" i="1"/>
  <c r="CC59" i="1"/>
  <c r="CC61" i="1"/>
  <c r="CC64" i="1"/>
  <c r="CC66" i="1"/>
  <c r="CC69" i="1"/>
  <c r="CC71" i="1"/>
  <c r="CC74" i="1"/>
  <c r="CC76" i="1"/>
  <c r="CC79" i="1"/>
  <c r="CC81" i="1"/>
  <c r="CC83" i="1"/>
  <c r="CC85" i="1"/>
  <c r="CC87" i="1"/>
  <c r="CC90" i="1"/>
  <c r="CC93" i="1"/>
  <c r="CC106" i="1"/>
  <c r="CC109" i="1"/>
  <c r="CC113" i="1"/>
  <c r="CC115" i="1"/>
  <c r="CC118" i="1"/>
  <c r="CC120" i="1"/>
  <c r="CC122" i="1"/>
  <c r="CC124" i="1"/>
  <c r="CC127" i="1"/>
  <c r="CC133" i="1"/>
  <c r="CC135" i="1"/>
  <c r="CC139" i="1"/>
  <c r="CC141" i="1"/>
  <c r="CC143" i="1"/>
  <c r="CC148" i="1"/>
  <c r="CC152" i="1"/>
  <c r="CC155" i="1"/>
  <c r="CC162" i="1"/>
  <c r="CC165" i="1"/>
  <c r="CC169" i="1"/>
  <c r="CC171" i="1"/>
  <c r="CC174" i="1"/>
  <c r="CC177" i="1"/>
  <c r="CC179" i="1"/>
  <c r="CC184" i="1"/>
  <c r="CC188" i="1"/>
  <c r="CC190" i="1"/>
  <c r="CC192" i="1"/>
  <c r="CC194" i="1"/>
  <c r="CC196" i="1"/>
  <c r="CC204" i="1"/>
  <c r="CC207" i="1"/>
  <c r="CC213" i="1"/>
  <c r="CC210" i="1"/>
  <c r="CB284" i="1"/>
  <c r="CB217" i="1"/>
  <c r="CB219" i="1"/>
  <c r="CB287" i="1"/>
  <c r="CB290" i="1"/>
  <c r="CB292" i="1"/>
  <c r="CB294" i="1"/>
  <c r="CB298" i="1"/>
  <c r="CB300" i="1"/>
  <c r="CB302" i="1"/>
  <c r="CB17" i="1"/>
  <c r="CB19" i="1"/>
  <c r="CB23" i="1"/>
  <c r="CB40" i="1"/>
  <c r="CB42" i="1"/>
  <c r="CB48" i="1"/>
  <c r="CB50" i="1"/>
  <c r="CB53" i="1"/>
  <c r="CB55" i="1"/>
  <c r="CB57" i="1"/>
  <c r="CB59" i="1"/>
  <c r="CB61" i="1"/>
  <c r="CB64" i="1"/>
  <c r="CB66" i="1"/>
  <c r="CB69" i="1"/>
  <c r="CB71" i="1"/>
  <c r="CB74" i="1"/>
  <c r="CB76" i="1"/>
  <c r="CB79" i="1"/>
  <c r="CB81" i="1"/>
  <c r="CB83" i="1"/>
  <c r="CB85" i="1"/>
  <c r="CB87" i="1"/>
  <c r="CB90" i="1"/>
  <c r="CB93" i="1"/>
  <c r="CB106" i="1"/>
  <c r="CB109" i="1"/>
  <c r="CB113" i="1"/>
  <c r="CB115" i="1"/>
  <c r="CB118" i="1"/>
  <c r="CB120" i="1"/>
  <c r="CB122" i="1"/>
  <c r="CB124" i="1"/>
  <c r="CB127" i="1"/>
  <c r="CB131" i="1"/>
  <c r="CB135" i="1"/>
  <c r="CB139" i="1"/>
  <c r="CB141" i="1"/>
  <c r="CB143" i="1"/>
  <c r="CB148" i="1"/>
  <c r="CB152" i="1"/>
  <c r="CB155" i="1"/>
  <c r="CB162" i="1"/>
  <c r="CB165" i="1"/>
  <c r="CB169" i="1"/>
  <c r="CB171" i="1"/>
  <c r="CB174" i="1"/>
  <c r="CB177" i="1"/>
  <c r="CB179" i="1"/>
  <c r="CB184" i="1"/>
  <c r="CB188" i="1"/>
  <c r="CB190" i="1"/>
  <c r="CB192" i="1"/>
  <c r="CB194" i="1"/>
  <c r="CB196" i="1"/>
  <c r="CB204" i="1"/>
  <c r="CB207" i="1"/>
  <c r="CB213" i="1"/>
  <c r="CB210" i="1"/>
  <c r="CA223" i="1"/>
  <c r="CA285" i="1"/>
  <c r="CA220" i="1"/>
  <c r="CA221" i="1"/>
  <c r="CA218" i="1"/>
  <c r="CA288" i="1"/>
  <c r="CA291" i="1"/>
  <c r="CA293" i="1"/>
  <c r="CA295" i="1"/>
  <c r="CA299" i="1"/>
  <c r="CA301" i="1"/>
  <c r="CA303" i="1"/>
  <c r="CA18" i="1"/>
  <c r="CA20" i="1"/>
  <c r="CA21" i="1"/>
  <c r="CA22" i="1"/>
  <c r="CA26" i="1"/>
  <c r="CA27" i="1"/>
  <c r="CA28" i="1"/>
  <c r="CA29" i="1"/>
  <c r="CA30" i="1"/>
  <c r="CA31" i="1"/>
  <c r="CA32" i="1"/>
  <c r="CA33" i="1"/>
  <c r="CA34" i="1"/>
  <c r="CA35" i="1"/>
  <c r="CA37" i="1"/>
  <c r="CA38" i="1"/>
  <c r="CA39" i="1"/>
  <c r="CA41" i="1"/>
  <c r="CA43" i="1"/>
  <c r="CA45" i="1"/>
  <c r="CA46" i="1"/>
  <c r="CA47" i="1"/>
  <c r="CA49" i="1"/>
  <c r="CA51" i="1"/>
  <c r="CA54" i="1"/>
  <c r="CA56" i="1"/>
  <c r="CA58" i="1"/>
  <c r="CA60" i="1"/>
  <c r="CA62" i="1"/>
  <c r="CA65" i="1"/>
  <c r="CA67" i="1"/>
  <c r="CA70" i="1"/>
  <c r="CA72" i="1"/>
  <c r="CA75" i="1"/>
  <c r="CA77" i="1"/>
  <c r="CA78" i="1"/>
  <c r="CA80" i="1"/>
  <c r="CA82" i="1"/>
  <c r="CA84" i="1"/>
  <c r="CA86" i="1"/>
  <c r="CA88" i="1"/>
  <c r="CA91" i="1"/>
  <c r="CA92" i="1"/>
  <c r="CA94" i="1"/>
  <c r="CA95" i="1"/>
  <c r="CA96" i="1"/>
  <c r="CA99" i="1"/>
  <c r="CA100" i="1"/>
  <c r="CA101" i="1"/>
  <c r="CA102" i="1"/>
  <c r="CA103" i="1"/>
  <c r="CA104" i="1"/>
  <c r="CA107" i="1"/>
  <c r="CA110" i="1"/>
  <c r="CA111" i="1"/>
  <c r="CA114" i="1"/>
  <c r="CA116" i="1"/>
  <c r="CA119" i="1"/>
  <c r="CA121" i="1"/>
  <c r="CA123" i="1"/>
  <c r="CA125" i="1"/>
  <c r="CA128" i="1"/>
  <c r="CA129" i="1"/>
  <c r="CA130" i="1"/>
  <c r="CA132" i="1"/>
  <c r="CA134" i="1"/>
  <c r="CA136" i="1"/>
  <c r="CA137" i="1"/>
  <c r="CA138" i="1"/>
  <c r="CA140" i="1"/>
  <c r="CA142" i="1"/>
  <c r="CA144" i="1"/>
  <c r="CA145" i="1"/>
  <c r="CA146" i="1"/>
  <c r="CA149" i="1"/>
  <c r="CA150" i="1"/>
  <c r="CA151" i="1"/>
  <c r="CA153" i="1"/>
  <c r="CA154" i="1"/>
  <c r="CA156" i="1"/>
  <c r="CA157" i="1"/>
  <c r="CA158" i="1"/>
  <c r="CA159" i="1"/>
  <c r="CA160" i="1"/>
  <c r="CA163" i="1"/>
  <c r="CA164" i="1"/>
  <c r="CA166" i="1"/>
  <c r="CA167" i="1"/>
  <c r="CA170" i="1"/>
  <c r="CA172" i="1"/>
  <c r="CA173" i="1"/>
  <c r="CA175" i="1"/>
  <c r="CA176" i="1"/>
  <c r="CA178" i="1"/>
  <c r="CA180" i="1"/>
  <c r="CA182" i="1"/>
  <c r="CA183" i="1"/>
  <c r="CA185" i="1"/>
  <c r="CA186" i="1"/>
  <c r="CA187" i="1"/>
  <c r="CA189" i="1"/>
  <c r="CA191" i="1"/>
  <c r="CA193" i="1"/>
  <c r="CA195" i="1"/>
  <c r="CA197" i="1"/>
  <c r="CA198" i="1"/>
  <c r="CA199" i="1"/>
  <c r="CA200" i="1"/>
  <c r="CA201" i="1"/>
  <c r="CA202" i="1"/>
  <c r="CA203" i="1"/>
  <c r="CA205" i="1"/>
  <c r="CA208" i="1"/>
  <c r="CA214" i="1"/>
  <c r="CA215" i="1"/>
  <c r="CA211" i="1"/>
  <c r="BX284" i="1"/>
  <c r="BX217" i="1"/>
  <c r="BX219" i="1"/>
  <c r="BX287" i="1"/>
  <c r="BX290" i="1"/>
  <c r="BX292" i="1"/>
  <c r="BX294" i="1"/>
  <c r="BX296" i="1"/>
  <c r="BX298" i="1"/>
  <c r="BX300" i="1"/>
  <c r="BX302" i="1"/>
  <c r="BX17" i="1"/>
  <c r="BX19" i="1"/>
  <c r="BX23" i="1"/>
  <c r="BX40" i="1"/>
  <c r="BX42" i="1"/>
  <c r="BX48" i="1"/>
  <c r="BX50" i="1"/>
  <c r="BX53" i="1"/>
  <c r="BX55" i="1"/>
  <c r="BX57" i="1"/>
  <c r="BX59" i="1"/>
  <c r="BX61" i="1"/>
  <c r="BX64" i="1"/>
  <c r="BX66" i="1"/>
  <c r="BX69" i="1"/>
  <c r="BX71" i="1"/>
  <c r="BX74" i="1"/>
  <c r="BX76" i="1"/>
  <c r="BX79" i="1"/>
  <c r="BX81" i="1"/>
  <c r="BX83" i="1"/>
  <c r="BX85" i="1"/>
  <c r="BX87" i="1"/>
  <c r="BX90" i="1"/>
  <c r="BX93" i="1"/>
  <c r="BX106" i="1"/>
  <c r="BX109" i="1"/>
  <c r="BX113" i="1"/>
  <c r="BX115" i="1"/>
  <c r="BX118" i="1"/>
  <c r="BX120" i="1"/>
  <c r="BX122" i="1"/>
  <c r="BX124" i="1"/>
  <c r="BX127" i="1"/>
  <c r="BX131" i="1"/>
  <c r="BX135" i="1"/>
  <c r="BX139" i="1"/>
  <c r="BX141" i="1"/>
  <c r="BX143" i="1"/>
  <c r="BX148" i="1"/>
  <c r="BX152" i="1"/>
  <c r="BX155" i="1"/>
  <c r="BX162" i="1"/>
  <c r="BX165" i="1"/>
  <c r="BX169" i="1"/>
  <c r="BX171" i="1"/>
  <c r="BX174" i="1"/>
  <c r="BX177" i="1"/>
  <c r="BX179" i="1"/>
  <c r="BX184" i="1"/>
  <c r="BX188" i="1"/>
  <c r="BX190" i="1"/>
  <c r="BX192" i="1"/>
  <c r="BX194" i="1"/>
  <c r="BX196" i="1"/>
  <c r="BX204" i="1"/>
  <c r="BX207" i="1"/>
  <c r="BX213" i="1"/>
  <c r="BX210" i="1"/>
  <c r="BW284" i="1"/>
  <c r="BW217" i="1"/>
  <c r="BW219" i="1"/>
  <c r="BW287" i="1"/>
  <c r="BW290" i="1"/>
  <c r="BW292" i="1"/>
  <c r="BW294" i="1"/>
  <c r="BW296" i="1"/>
  <c r="BW298" i="1"/>
  <c r="BW300" i="1"/>
  <c r="BW302" i="1"/>
  <c r="BW17" i="1"/>
  <c r="BW19" i="1"/>
  <c r="BW23" i="1"/>
  <c r="BW40" i="1"/>
  <c r="BW42" i="1"/>
  <c r="BW48" i="1"/>
  <c r="BW50" i="1"/>
  <c r="BW53" i="1"/>
  <c r="BW55" i="1"/>
  <c r="BW57" i="1"/>
  <c r="BW59" i="1"/>
  <c r="BW61" i="1"/>
  <c r="BW64" i="1"/>
  <c r="BW66" i="1"/>
  <c r="BW69" i="1"/>
  <c r="BW71" i="1"/>
  <c r="BW74" i="1"/>
  <c r="BW76" i="1"/>
  <c r="BW79" i="1"/>
  <c r="BW81" i="1"/>
  <c r="BW83" i="1"/>
  <c r="BW85" i="1"/>
  <c r="BW87" i="1"/>
  <c r="BW90" i="1"/>
  <c r="BW93" i="1"/>
  <c r="BW106" i="1"/>
  <c r="BW109" i="1"/>
  <c r="BW113" i="1"/>
  <c r="BW115" i="1"/>
  <c r="BW118" i="1"/>
  <c r="BW120" i="1"/>
  <c r="BW122" i="1"/>
  <c r="BW124" i="1"/>
  <c r="BW127" i="1"/>
  <c r="BW131" i="1"/>
  <c r="BW135" i="1"/>
  <c r="BW139" i="1"/>
  <c r="BW141" i="1"/>
  <c r="BW143" i="1"/>
  <c r="BW148" i="1"/>
  <c r="BW152" i="1"/>
  <c r="BW155" i="1"/>
  <c r="BW162" i="1"/>
  <c r="BW165" i="1"/>
  <c r="BW169" i="1"/>
  <c r="BW171" i="1"/>
  <c r="BW174" i="1"/>
  <c r="BW177" i="1"/>
  <c r="BW179" i="1"/>
  <c r="BW184" i="1"/>
  <c r="BW188" i="1"/>
  <c r="BW190" i="1"/>
  <c r="BW192" i="1"/>
  <c r="BW194" i="1"/>
  <c r="BW196" i="1"/>
  <c r="BW204" i="1"/>
  <c r="BW207" i="1"/>
  <c r="BW213" i="1"/>
  <c r="BW210" i="1"/>
  <c r="BV284" i="1"/>
  <c r="BV217" i="1"/>
  <c r="BV219" i="1"/>
  <c r="BV287" i="1"/>
  <c r="BV290" i="1"/>
  <c r="BV292" i="1"/>
  <c r="BV294" i="1"/>
  <c r="BV296" i="1"/>
  <c r="BV298" i="1"/>
  <c r="BV300" i="1"/>
  <c r="BV302" i="1"/>
  <c r="BV17" i="1"/>
  <c r="BV19" i="1"/>
  <c r="BV23" i="1"/>
  <c r="BV40" i="1"/>
  <c r="BV42" i="1"/>
  <c r="BV48" i="1"/>
  <c r="BV50" i="1"/>
  <c r="BV53" i="1"/>
  <c r="BV55" i="1"/>
  <c r="BV57" i="1"/>
  <c r="BV59" i="1"/>
  <c r="BV61" i="1"/>
  <c r="BV64" i="1"/>
  <c r="BV66" i="1"/>
  <c r="BV69" i="1"/>
  <c r="BV71" i="1"/>
  <c r="BV74" i="1"/>
  <c r="BV76" i="1"/>
  <c r="BV79" i="1"/>
  <c r="BV81" i="1"/>
  <c r="BV83" i="1"/>
  <c r="BV85" i="1"/>
  <c r="BV87" i="1"/>
  <c r="BV90" i="1"/>
  <c r="BV93" i="1"/>
  <c r="BV106" i="1"/>
  <c r="BV109" i="1"/>
  <c r="BV113" i="1"/>
  <c r="BV115" i="1"/>
  <c r="BV118" i="1"/>
  <c r="BV120" i="1"/>
  <c r="BV122" i="1"/>
  <c r="BV124" i="1"/>
  <c r="BV127" i="1"/>
  <c r="BV131" i="1"/>
  <c r="BV135" i="1"/>
  <c r="BV139" i="1"/>
  <c r="BV141" i="1"/>
  <c r="BV143" i="1"/>
  <c r="BV148" i="1"/>
  <c r="BV152" i="1"/>
  <c r="BV155" i="1"/>
  <c r="BV162" i="1"/>
  <c r="BV165" i="1"/>
  <c r="BV169" i="1"/>
  <c r="BV171" i="1"/>
  <c r="BV174" i="1"/>
  <c r="BV177" i="1"/>
  <c r="BV179" i="1"/>
  <c r="BV184" i="1"/>
  <c r="BV188" i="1"/>
  <c r="BV190" i="1"/>
  <c r="BV192" i="1"/>
  <c r="BV194" i="1"/>
  <c r="BV196" i="1"/>
  <c r="BV204" i="1"/>
  <c r="BV207" i="1"/>
  <c r="BV213" i="1"/>
  <c r="BV210" i="1"/>
  <c r="BU284" i="1"/>
  <c r="BU217" i="1"/>
  <c r="BU219" i="1"/>
  <c r="BU287" i="1"/>
  <c r="BU290" i="1"/>
  <c r="BU292" i="1"/>
  <c r="BU294" i="1"/>
  <c r="BU296" i="1"/>
  <c r="BU298" i="1"/>
  <c r="BU300" i="1"/>
  <c r="BU302" i="1"/>
  <c r="BU17" i="1"/>
  <c r="BU19" i="1"/>
  <c r="BU23" i="1"/>
  <c r="BU40" i="1"/>
  <c r="BU42" i="1"/>
  <c r="BU48" i="1"/>
  <c r="BU50" i="1"/>
  <c r="BU53" i="1"/>
  <c r="BU55" i="1"/>
  <c r="BU57" i="1"/>
  <c r="BU59" i="1"/>
  <c r="BU61" i="1"/>
  <c r="BU64" i="1"/>
  <c r="BU66" i="1"/>
  <c r="BU69" i="1"/>
  <c r="BU71" i="1"/>
  <c r="BU74" i="1"/>
  <c r="BU76" i="1"/>
  <c r="BU79" i="1"/>
  <c r="BU81" i="1"/>
  <c r="BU83" i="1"/>
  <c r="BU85" i="1"/>
  <c r="BU87" i="1"/>
  <c r="BU90" i="1"/>
  <c r="BU93" i="1"/>
  <c r="BU106" i="1"/>
  <c r="BU109" i="1"/>
  <c r="BU113" i="1"/>
  <c r="BU115" i="1"/>
  <c r="BU118" i="1"/>
  <c r="BU120" i="1"/>
  <c r="BU122" i="1"/>
  <c r="BU124" i="1"/>
  <c r="BU127" i="1"/>
  <c r="BU131" i="1"/>
  <c r="BU135" i="1"/>
  <c r="BU139" i="1"/>
  <c r="BU141" i="1"/>
  <c r="BU143" i="1"/>
  <c r="BU148" i="1"/>
  <c r="BU152" i="1"/>
  <c r="BU155" i="1"/>
  <c r="BU162" i="1"/>
  <c r="BU165" i="1"/>
  <c r="BU169" i="1"/>
  <c r="BU171" i="1"/>
  <c r="BU174" i="1"/>
  <c r="BU177" i="1"/>
  <c r="BU179" i="1"/>
  <c r="BU184" i="1"/>
  <c r="BU188" i="1"/>
  <c r="BU190" i="1"/>
  <c r="BU192" i="1"/>
  <c r="BU194" i="1"/>
  <c r="BU196" i="1"/>
  <c r="BU204" i="1"/>
  <c r="BU207" i="1"/>
  <c r="BU213" i="1"/>
  <c r="BU210" i="1"/>
  <c r="BT284" i="1"/>
  <c r="BT217" i="1"/>
  <c r="BT219" i="1"/>
  <c r="BT287" i="1"/>
  <c r="BT290" i="1"/>
  <c r="BT292" i="1"/>
  <c r="BT294" i="1"/>
  <c r="BT296" i="1"/>
  <c r="BT298" i="1"/>
  <c r="BT300" i="1"/>
  <c r="BT302" i="1"/>
  <c r="BT17" i="1"/>
  <c r="BT19" i="1"/>
  <c r="BT23" i="1"/>
  <c r="BT40" i="1"/>
  <c r="BT42" i="1"/>
  <c r="BT48" i="1"/>
  <c r="BT50" i="1"/>
  <c r="BT53" i="1"/>
  <c r="BT55" i="1"/>
  <c r="BT57" i="1"/>
  <c r="BT59" i="1"/>
  <c r="BT61" i="1"/>
  <c r="BT64" i="1"/>
  <c r="BT66" i="1"/>
  <c r="BT69" i="1"/>
  <c r="BT71" i="1"/>
  <c r="BT74" i="1"/>
  <c r="BT76" i="1"/>
  <c r="BT79" i="1"/>
  <c r="BT81" i="1"/>
  <c r="BT83" i="1"/>
  <c r="BT85" i="1"/>
  <c r="BT87" i="1"/>
  <c r="BT90" i="1"/>
  <c r="BT93" i="1"/>
  <c r="BT106" i="1"/>
  <c r="BT109" i="1"/>
  <c r="BT113" i="1"/>
  <c r="BT115" i="1"/>
  <c r="BT118" i="1"/>
  <c r="BT120" i="1"/>
  <c r="BT122" i="1"/>
  <c r="BT124" i="1"/>
  <c r="BT127" i="1"/>
  <c r="BT131" i="1"/>
  <c r="BT135" i="1"/>
  <c r="BT139" i="1"/>
  <c r="BT141" i="1"/>
  <c r="BT143" i="1"/>
  <c r="BT148" i="1"/>
  <c r="BT152" i="1"/>
  <c r="BT155" i="1"/>
  <c r="BT162" i="1"/>
  <c r="BT165" i="1"/>
  <c r="BT169" i="1"/>
  <c r="BT171" i="1"/>
  <c r="BT174" i="1"/>
  <c r="BT177" i="1"/>
  <c r="BT179" i="1"/>
  <c r="BT184" i="1"/>
  <c r="BT188" i="1"/>
  <c r="BT190" i="1"/>
  <c r="BT192" i="1"/>
  <c r="BT194" i="1"/>
  <c r="BT196" i="1"/>
  <c r="BT204" i="1"/>
  <c r="BT207" i="1"/>
  <c r="BT213" i="1"/>
  <c r="BT210" i="1"/>
  <c r="BS284" i="1"/>
  <c r="BS217" i="1"/>
  <c r="BS219" i="1"/>
  <c r="BS287" i="1"/>
  <c r="BS290" i="1"/>
  <c r="BS292" i="1"/>
  <c r="BS294" i="1"/>
  <c r="BS296" i="1"/>
  <c r="BS298" i="1"/>
  <c r="BS300" i="1"/>
  <c r="BS302" i="1"/>
  <c r="BS17" i="1"/>
  <c r="BS19" i="1"/>
  <c r="BS23" i="1"/>
  <c r="BS40" i="1"/>
  <c r="BS42" i="1"/>
  <c r="BS48" i="1"/>
  <c r="BS50" i="1"/>
  <c r="BS53" i="1"/>
  <c r="BS55" i="1"/>
  <c r="BS57" i="1"/>
  <c r="BS59" i="1"/>
  <c r="BS61" i="1"/>
  <c r="BS64" i="1"/>
  <c r="BS66" i="1"/>
  <c r="BS69" i="1"/>
  <c r="BS71" i="1"/>
  <c r="BS74" i="1"/>
  <c r="BS76" i="1"/>
  <c r="BS79" i="1"/>
  <c r="BS81" i="1"/>
  <c r="BS83" i="1"/>
  <c r="BS85" i="1"/>
  <c r="BS87" i="1"/>
  <c r="BS90" i="1"/>
  <c r="BS93" i="1"/>
  <c r="BS106" i="1"/>
  <c r="BS109" i="1"/>
  <c r="BS113" i="1"/>
  <c r="BS115" i="1"/>
  <c r="BS118" i="1"/>
  <c r="BS120" i="1"/>
  <c r="BS122" i="1"/>
  <c r="BS124" i="1"/>
  <c r="BS127" i="1"/>
  <c r="BS131" i="1"/>
  <c r="BS135" i="1"/>
  <c r="BS139" i="1"/>
  <c r="BS141" i="1"/>
  <c r="BS143" i="1"/>
  <c r="BS148" i="1"/>
  <c r="BS152" i="1"/>
  <c r="BS155" i="1"/>
  <c r="BS162" i="1"/>
  <c r="BS165" i="1"/>
  <c r="BS169" i="1"/>
  <c r="BS171" i="1"/>
  <c r="BS174" i="1"/>
  <c r="BS177" i="1"/>
  <c r="BS179" i="1"/>
  <c r="BS184" i="1"/>
  <c r="BS188" i="1"/>
  <c r="BS190" i="1"/>
  <c r="BS192" i="1"/>
  <c r="BS194" i="1"/>
  <c r="BS196" i="1"/>
  <c r="BS204" i="1"/>
  <c r="BS207" i="1"/>
  <c r="BS213" i="1"/>
  <c r="BS210" i="1"/>
  <c r="BR284" i="1"/>
  <c r="BR217" i="1"/>
  <c r="BR219" i="1"/>
  <c r="BR287" i="1"/>
  <c r="BR290" i="1"/>
  <c r="BR292" i="1"/>
  <c r="BR294" i="1"/>
  <c r="BR296" i="1"/>
  <c r="BR298" i="1"/>
  <c r="BR300" i="1"/>
  <c r="BR302" i="1"/>
  <c r="BR17" i="1"/>
  <c r="BR19" i="1"/>
  <c r="BR23" i="1"/>
  <c r="BR40" i="1"/>
  <c r="BR42" i="1"/>
  <c r="BR48" i="1"/>
  <c r="BR50" i="1"/>
  <c r="BR53" i="1"/>
  <c r="BR55" i="1"/>
  <c r="BR57" i="1"/>
  <c r="BR59" i="1"/>
  <c r="BR61" i="1"/>
  <c r="BR64" i="1"/>
  <c r="BR66" i="1"/>
  <c r="BR69" i="1"/>
  <c r="BR71" i="1"/>
  <c r="BR74" i="1"/>
  <c r="BR76" i="1"/>
  <c r="BR79" i="1"/>
  <c r="BR81" i="1"/>
  <c r="BR83" i="1"/>
  <c r="BR85" i="1"/>
  <c r="BR87" i="1"/>
  <c r="BR90" i="1"/>
  <c r="BR93" i="1"/>
  <c r="BR106" i="1"/>
  <c r="BR109" i="1"/>
  <c r="BR113" i="1"/>
  <c r="BR115" i="1"/>
  <c r="BR118" i="1"/>
  <c r="BR120" i="1"/>
  <c r="BR122" i="1"/>
  <c r="BR124" i="1"/>
  <c r="BR127" i="1"/>
  <c r="BR131" i="1"/>
  <c r="BR135" i="1"/>
  <c r="BR139" i="1"/>
  <c r="BR141" i="1"/>
  <c r="BR143" i="1"/>
  <c r="BR148" i="1"/>
  <c r="BR152" i="1"/>
  <c r="BR155" i="1"/>
  <c r="BR162" i="1"/>
  <c r="BR165" i="1"/>
  <c r="BR169" i="1"/>
  <c r="BR171" i="1"/>
  <c r="BR174" i="1"/>
  <c r="BR177" i="1"/>
  <c r="BR179" i="1"/>
  <c r="BR184" i="1"/>
  <c r="BR188" i="1"/>
  <c r="BR190" i="1"/>
  <c r="BR192" i="1"/>
  <c r="BR194" i="1"/>
  <c r="BR196" i="1"/>
  <c r="BR204" i="1"/>
  <c r="BR207" i="1"/>
  <c r="BR213" i="1"/>
  <c r="BR210" i="1"/>
  <c r="BQ284" i="1"/>
  <c r="BQ217" i="1"/>
  <c r="BQ219" i="1"/>
  <c r="BQ287" i="1"/>
  <c r="BQ290" i="1"/>
  <c r="BQ292" i="1"/>
  <c r="BQ294" i="1"/>
  <c r="BQ296" i="1"/>
  <c r="BQ298" i="1"/>
  <c r="BQ300" i="1"/>
  <c r="BQ302" i="1"/>
  <c r="BQ17" i="1"/>
  <c r="BQ19" i="1"/>
  <c r="BQ23" i="1"/>
  <c r="BQ40" i="1"/>
  <c r="BQ42" i="1"/>
  <c r="BQ48" i="1"/>
  <c r="BQ50" i="1"/>
  <c r="BQ53" i="1"/>
  <c r="BQ55" i="1"/>
  <c r="BQ57" i="1"/>
  <c r="BQ59" i="1"/>
  <c r="BQ61" i="1"/>
  <c r="BQ64" i="1"/>
  <c r="BQ66" i="1"/>
  <c r="BQ69" i="1"/>
  <c r="BQ71" i="1"/>
  <c r="BQ74" i="1"/>
  <c r="BQ76" i="1"/>
  <c r="BQ79" i="1"/>
  <c r="BQ81" i="1"/>
  <c r="BQ83" i="1"/>
  <c r="BQ85" i="1"/>
  <c r="BQ87" i="1"/>
  <c r="BQ90" i="1"/>
  <c r="BQ93" i="1"/>
  <c r="BQ106" i="1"/>
  <c r="BQ109" i="1"/>
  <c r="BQ113" i="1"/>
  <c r="BQ115" i="1"/>
  <c r="BQ118" i="1"/>
  <c r="BQ120" i="1"/>
  <c r="BQ122" i="1"/>
  <c r="BQ124" i="1"/>
  <c r="BQ127" i="1"/>
  <c r="BQ131" i="1"/>
  <c r="BQ135" i="1"/>
  <c r="BQ139" i="1"/>
  <c r="BQ141" i="1"/>
  <c r="BQ143" i="1"/>
  <c r="BQ148" i="1"/>
  <c r="BQ152" i="1"/>
  <c r="BQ155" i="1"/>
  <c r="BQ162" i="1"/>
  <c r="BQ165" i="1"/>
  <c r="BQ169" i="1"/>
  <c r="BQ171" i="1"/>
  <c r="BQ174" i="1"/>
  <c r="BQ177" i="1"/>
  <c r="BQ179" i="1"/>
  <c r="BQ184" i="1"/>
  <c r="BQ188" i="1"/>
  <c r="BQ190" i="1"/>
  <c r="BQ192" i="1"/>
  <c r="BQ194" i="1"/>
  <c r="BQ196" i="1"/>
  <c r="BQ204" i="1"/>
  <c r="BQ207" i="1"/>
  <c r="BQ213" i="1"/>
  <c r="BQ210" i="1"/>
  <c r="BP284" i="1"/>
  <c r="BP217" i="1"/>
  <c r="BP219" i="1"/>
  <c r="BP287" i="1"/>
  <c r="BP290" i="1"/>
  <c r="BP292" i="1"/>
  <c r="BP294" i="1"/>
  <c r="BP296" i="1"/>
  <c r="BP298" i="1"/>
  <c r="BP300" i="1"/>
  <c r="BP302" i="1"/>
  <c r="BP17" i="1"/>
  <c r="BP19" i="1"/>
  <c r="BP23" i="1"/>
  <c r="BP40" i="1"/>
  <c r="BP42" i="1"/>
  <c r="BP48" i="1"/>
  <c r="BP50" i="1"/>
  <c r="BP53" i="1"/>
  <c r="BP55" i="1"/>
  <c r="BP57" i="1"/>
  <c r="BP59" i="1"/>
  <c r="BP61" i="1"/>
  <c r="BP64" i="1"/>
  <c r="BP66" i="1"/>
  <c r="BP69" i="1"/>
  <c r="BP71" i="1"/>
  <c r="BP74" i="1"/>
  <c r="BP76" i="1"/>
  <c r="BP79" i="1"/>
  <c r="BP81" i="1"/>
  <c r="BP83" i="1"/>
  <c r="BP85" i="1"/>
  <c r="BP87" i="1"/>
  <c r="BP90" i="1"/>
  <c r="BP93" i="1"/>
  <c r="BP106" i="1"/>
  <c r="BP109" i="1"/>
  <c r="BP113" i="1"/>
  <c r="BP115" i="1"/>
  <c r="BP118" i="1"/>
  <c r="BP120" i="1"/>
  <c r="BP122" i="1"/>
  <c r="BP124" i="1"/>
  <c r="BP127" i="1"/>
  <c r="BP131" i="1"/>
  <c r="BP137" i="1"/>
  <c r="BP139" i="1"/>
  <c r="BP141" i="1"/>
  <c r="BP143" i="1"/>
  <c r="BP148" i="1"/>
  <c r="BP152" i="1"/>
  <c r="BP155" i="1"/>
  <c r="BP162" i="1"/>
  <c r="BP165" i="1"/>
  <c r="BP169" i="1"/>
  <c r="BP171" i="1"/>
  <c r="BP174" i="1"/>
  <c r="BP177" i="1"/>
  <c r="BP179" i="1"/>
  <c r="BP184" i="1"/>
  <c r="BP188" i="1"/>
  <c r="BP190" i="1"/>
  <c r="BP192" i="1"/>
  <c r="BP194" i="1"/>
  <c r="BP196" i="1"/>
  <c r="BP204" i="1"/>
  <c r="BP207" i="1"/>
  <c r="BP213" i="1"/>
  <c r="BP210" i="1"/>
  <c r="BO284" i="1"/>
  <c r="BO217" i="1"/>
  <c r="BO219" i="1"/>
  <c r="BO287" i="1"/>
  <c r="BO290" i="1"/>
  <c r="BO292" i="1"/>
  <c r="BO294" i="1"/>
  <c r="BO296" i="1"/>
  <c r="BO298" i="1"/>
  <c r="BO300" i="1"/>
  <c r="BO302" i="1"/>
  <c r="BO17" i="1"/>
  <c r="BO19" i="1"/>
  <c r="BO23" i="1"/>
  <c r="BO40" i="1"/>
  <c r="BO42" i="1"/>
  <c r="BO48" i="1"/>
  <c r="BO50" i="1"/>
  <c r="BO53" i="1"/>
  <c r="BO55" i="1"/>
  <c r="BO57" i="1"/>
  <c r="BO59" i="1"/>
  <c r="BO61" i="1"/>
  <c r="BO64" i="1"/>
  <c r="BO66" i="1"/>
  <c r="BO69" i="1"/>
  <c r="BO71" i="1"/>
  <c r="BO74" i="1"/>
  <c r="BO76" i="1"/>
  <c r="BO79" i="1"/>
  <c r="BO81" i="1"/>
  <c r="BO83" i="1"/>
  <c r="BO85" i="1"/>
  <c r="BO87" i="1"/>
  <c r="BO90" i="1"/>
  <c r="BO93" i="1"/>
  <c r="BO106" i="1"/>
  <c r="BO109" i="1"/>
  <c r="BO113" i="1"/>
  <c r="BO115" i="1"/>
  <c r="BO118" i="1"/>
  <c r="BO120" i="1"/>
  <c r="BO122" i="1"/>
  <c r="BO124" i="1"/>
  <c r="BO127" i="1"/>
  <c r="BO131" i="1"/>
  <c r="BO135" i="1"/>
  <c r="BO139" i="1"/>
  <c r="BO141" i="1"/>
  <c r="BO143" i="1"/>
  <c r="BO148" i="1"/>
  <c r="BO152" i="1"/>
  <c r="BO155" i="1"/>
  <c r="BO162" i="1"/>
  <c r="BO165" i="1"/>
  <c r="BO169" i="1"/>
  <c r="BO171" i="1"/>
  <c r="BO174" i="1"/>
  <c r="BO177" i="1"/>
  <c r="BO179" i="1"/>
  <c r="BO184" i="1"/>
  <c r="BO188" i="1"/>
  <c r="BO190" i="1"/>
  <c r="BO192" i="1"/>
  <c r="BO194" i="1"/>
  <c r="BO196" i="1"/>
  <c r="BO204" i="1"/>
  <c r="BO207" i="1"/>
  <c r="BO213" i="1"/>
  <c r="BO210" i="1"/>
  <c r="BN284" i="1"/>
  <c r="BN217" i="1"/>
  <c r="BN219" i="1"/>
  <c r="BN287" i="1"/>
  <c r="BN290" i="1"/>
  <c r="BN292" i="1"/>
  <c r="BN294" i="1"/>
  <c r="BN296" i="1"/>
  <c r="BN298" i="1"/>
  <c r="BN300" i="1"/>
  <c r="BN302" i="1"/>
  <c r="BN17" i="1"/>
  <c r="BN19" i="1"/>
  <c r="BN23" i="1"/>
  <c r="BN40" i="1"/>
  <c r="BN42" i="1"/>
  <c r="BN48" i="1"/>
  <c r="BN50" i="1"/>
  <c r="BN53" i="1"/>
  <c r="BN55" i="1"/>
  <c r="BN57" i="1"/>
  <c r="BN59" i="1"/>
  <c r="BN61" i="1"/>
  <c r="BN64" i="1"/>
  <c r="BN66" i="1"/>
  <c r="BN69" i="1"/>
  <c r="BN71" i="1"/>
  <c r="BN74" i="1"/>
  <c r="BN76" i="1"/>
  <c r="BN79" i="1"/>
  <c r="BN81" i="1"/>
  <c r="BN83" i="1"/>
  <c r="BN85" i="1"/>
  <c r="BN87" i="1"/>
  <c r="BN90" i="1"/>
  <c r="BN93" i="1"/>
  <c r="BN106" i="1"/>
  <c r="BN109" i="1"/>
  <c r="BN113" i="1"/>
  <c r="BN115" i="1"/>
  <c r="BN118" i="1"/>
  <c r="BN120" i="1"/>
  <c r="BN122" i="1"/>
  <c r="BN124" i="1"/>
  <c r="BN127" i="1"/>
  <c r="BN131" i="1"/>
  <c r="BN135" i="1"/>
  <c r="BN139" i="1"/>
  <c r="BN141" i="1"/>
  <c r="BN143" i="1"/>
  <c r="BN148" i="1"/>
  <c r="BN152" i="1"/>
  <c r="BN155" i="1"/>
  <c r="BN162" i="1"/>
  <c r="BN165" i="1"/>
  <c r="BN169" i="1"/>
  <c r="BN171" i="1"/>
  <c r="BN174" i="1"/>
  <c r="BN177" i="1"/>
  <c r="BN179" i="1"/>
  <c r="BN184" i="1"/>
  <c r="BN188" i="1"/>
  <c r="BN190" i="1"/>
  <c r="BN192" i="1"/>
  <c r="BN194" i="1"/>
  <c r="BN196" i="1"/>
  <c r="BN204" i="1"/>
  <c r="BN207" i="1"/>
  <c r="BN213" i="1"/>
  <c r="BN210" i="1"/>
  <c r="BM223" i="1"/>
  <c r="BM285" i="1"/>
  <c r="BM220" i="1"/>
  <c r="BM221" i="1"/>
  <c r="BM218" i="1"/>
  <c r="BM288" i="1"/>
  <c r="BM291" i="1"/>
  <c r="BM293" i="1"/>
  <c r="BM295" i="1"/>
  <c r="BM297" i="1"/>
  <c r="BM299" i="1"/>
  <c r="BM301" i="1"/>
  <c r="BM303" i="1"/>
  <c r="BM18" i="1"/>
  <c r="BM20" i="1"/>
  <c r="BM21" i="1"/>
  <c r="BM22" i="1"/>
  <c r="BM24" i="1"/>
  <c r="BM25" i="1"/>
  <c r="BM26" i="1"/>
  <c r="BM27" i="1"/>
  <c r="BM28" i="1"/>
  <c r="BM29" i="1"/>
  <c r="BM30" i="1"/>
  <c r="BM31" i="1"/>
  <c r="BM32" i="1"/>
  <c r="BM33" i="1"/>
  <c r="BM34" i="1"/>
  <c r="BM35" i="1"/>
  <c r="BM36" i="1"/>
  <c r="BM37" i="1"/>
  <c r="BM38" i="1"/>
  <c r="BM39" i="1"/>
  <c r="BM41" i="1"/>
  <c r="BM43" i="1"/>
  <c r="BM44" i="1"/>
  <c r="BM45" i="1"/>
  <c r="BM46" i="1"/>
  <c r="BM47" i="1"/>
  <c r="BM49" i="1"/>
  <c r="BM51" i="1"/>
  <c r="BM54" i="1"/>
  <c r="BM56" i="1"/>
  <c r="BM58" i="1"/>
  <c r="BM60" i="1"/>
  <c r="BM62" i="1"/>
  <c r="BM65" i="1"/>
  <c r="BM67" i="1"/>
  <c r="BM70" i="1"/>
  <c r="BM72" i="1"/>
  <c r="BM75" i="1"/>
  <c r="BM77" i="1"/>
  <c r="BM78" i="1"/>
  <c r="BM80" i="1"/>
  <c r="BM82" i="1"/>
  <c r="BM84" i="1"/>
  <c r="BM86" i="1"/>
  <c r="BM88" i="1"/>
  <c r="BM91" i="1"/>
  <c r="BM92" i="1"/>
  <c r="BM94" i="1"/>
  <c r="BM95" i="1"/>
  <c r="BM96" i="1"/>
  <c r="BM99" i="1"/>
  <c r="BM100" i="1"/>
  <c r="BM101" i="1"/>
  <c r="BM102" i="1"/>
  <c r="BM103" i="1"/>
  <c r="BM104" i="1"/>
  <c r="BM107" i="1"/>
  <c r="BM110" i="1"/>
  <c r="BM111" i="1"/>
  <c r="BM114" i="1"/>
  <c r="BM116" i="1"/>
  <c r="BM119" i="1"/>
  <c r="BM121" i="1"/>
  <c r="BM123" i="1"/>
  <c r="BM125" i="1"/>
  <c r="BM128" i="1"/>
  <c r="BM129" i="1"/>
  <c r="BM130" i="1"/>
  <c r="BM132" i="1"/>
  <c r="BM133" i="1"/>
  <c r="BM134" i="1"/>
  <c r="BM136" i="1"/>
  <c r="BM138" i="1"/>
  <c r="BM140" i="1"/>
  <c r="BM142" i="1"/>
  <c r="BM144" i="1"/>
  <c r="BM145" i="1"/>
  <c r="BM146" i="1"/>
  <c r="BM149" i="1"/>
  <c r="BM150" i="1"/>
  <c r="BM151" i="1"/>
  <c r="BM153" i="1"/>
  <c r="BM154" i="1"/>
  <c r="BM156" i="1"/>
  <c r="BM157" i="1"/>
  <c r="BM158" i="1"/>
  <c r="BM159" i="1"/>
  <c r="BM160" i="1"/>
  <c r="BM163" i="1"/>
  <c r="BM164" i="1"/>
  <c r="BM166" i="1"/>
  <c r="BM167" i="1"/>
  <c r="BM170" i="1"/>
  <c r="BM172" i="1"/>
  <c r="BM173" i="1"/>
  <c r="BM175" i="1"/>
  <c r="BM176" i="1"/>
  <c r="BM178" i="1"/>
  <c r="BM180" i="1"/>
  <c r="BM182" i="1"/>
  <c r="BM183" i="1"/>
  <c r="BM185" i="1"/>
  <c r="BM186" i="1"/>
  <c r="BM187" i="1"/>
  <c r="BM189" i="1"/>
  <c r="BM191" i="1"/>
  <c r="BM193" i="1"/>
  <c r="BM195" i="1"/>
  <c r="BM197" i="1"/>
  <c r="BM198" i="1"/>
  <c r="BM199" i="1"/>
  <c r="BM200" i="1"/>
  <c r="BM201" i="1"/>
  <c r="BM202" i="1"/>
  <c r="BM203" i="1"/>
  <c r="BM205" i="1"/>
  <c r="BM208" i="1"/>
  <c r="BM214" i="1"/>
  <c r="BM215" i="1"/>
  <c r="BM211" i="1"/>
  <c r="BL284" i="1"/>
  <c r="BL217" i="1"/>
  <c r="BL219" i="1"/>
  <c r="BL287" i="1"/>
  <c r="BL290" i="1"/>
  <c r="BL292" i="1"/>
  <c r="BL294" i="1"/>
  <c r="BL296" i="1"/>
  <c r="BL298" i="1"/>
  <c r="BL300" i="1"/>
  <c r="BL302" i="1"/>
  <c r="BL17" i="1"/>
  <c r="BL19" i="1"/>
  <c r="BL23" i="1"/>
  <c r="BL40" i="1"/>
  <c r="BL42" i="1"/>
  <c r="BL48" i="1"/>
  <c r="BL50" i="1"/>
  <c r="BL53" i="1"/>
  <c r="BL55" i="1"/>
  <c r="BL57" i="1"/>
  <c r="BL59" i="1"/>
  <c r="BL61" i="1"/>
  <c r="BL64" i="1"/>
  <c r="BL66" i="1"/>
  <c r="BL69" i="1"/>
  <c r="BL71" i="1"/>
  <c r="BL74" i="1"/>
  <c r="BL76" i="1"/>
  <c r="BL79" i="1"/>
  <c r="BL81" i="1"/>
  <c r="BL83" i="1"/>
  <c r="BL85" i="1"/>
  <c r="BL87" i="1"/>
  <c r="BL90" i="1"/>
  <c r="BL93" i="1"/>
  <c r="BL106" i="1"/>
  <c r="BL109" i="1"/>
  <c r="BL113" i="1"/>
  <c r="BL115" i="1"/>
  <c r="BL118" i="1"/>
  <c r="BL120" i="1"/>
  <c r="BL122" i="1"/>
  <c r="BL124" i="1"/>
  <c r="BL127" i="1"/>
  <c r="BL131" i="1"/>
  <c r="BL135" i="1"/>
  <c r="BL139" i="1"/>
  <c r="BL141" i="1"/>
  <c r="BL143" i="1"/>
  <c r="BL148" i="1"/>
  <c r="BL152" i="1"/>
  <c r="BL155" i="1"/>
  <c r="BL162" i="1"/>
  <c r="BL165" i="1"/>
  <c r="BL169" i="1"/>
  <c r="BL171" i="1"/>
  <c r="BL174" i="1"/>
  <c r="BL177" i="1"/>
  <c r="BL179" i="1"/>
  <c r="BL184" i="1"/>
  <c r="BL188" i="1"/>
  <c r="BL190" i="1"/>
  <c r="BL192" i="1"/>
  <c r="BL194" i="1"/>
  <c r="BL196" i="1"/>
  <c r="BL204" i="1"/>
  <c r="BL207" i="1"/>
  <c r="BL213" i="1"/>
  <c r="BL210" i="1"/>
  <c r="BK223" i="1"/>
  <c r="BK285" i="1"/>
  <c r="BK220" i="1"/>
  <c r="BK221" i="1"/>
  <c r="BK218" i="1"/>
  <c r="BK288" i="1"/>
  <c r="BK291" i="1"/>
  <c r="BK293" i="1"/>
  <c r="BK295" i="1"/>
  <c r="BK297" i="1"/>
  <c r="BK299" i="1"/>
  <c r="BK301" i="1"/>
  <c r="BK303" i="1"/>
  <c r="BK18" i="1"/>
  <c r="BK20" i="1"/>
  <c r="BK21" i="1"/>
  <c r="BK22" i="1"/>
  <c r="BK24" i="1"/>
  <c r="BK25" i="1"/>
  <c r="BK26" i="1"/>
  <c r="BK27" i="1"/>
  <c r="BK28" i="1"/>
  <c r="BK29" i="1"/>
  <c r="BK30" i="1"/>
  <c r="BK31" i="1"/>
  <c r="BK32" i="1"/>
  <c r="BK33" i="1"/>
  <c r="BK34" i="1"/>
  <c r="BK35" i="1"/>
  <c r="BK36" i="1"/>
  <c r="BK37" i="1"/>
  <c r="BK38" i="1"/>
  <c r="BK39" i="1"/>
  <c r="BK41" i="1"/>
  <c r="BK43" i="1"/>
  <c r="BK44" i="1"/>
  <c r="BK45" i="1"/>
  <c r="BK46" i="1"/>
  <c r="BK47" i="1"/>
  <c r="BK49" i="1"/>
  <c r="BK51" i="1"/>
  <c r="BK54" i="1"/>
  <c r="BK56" i="1"/>
  <c r="BK58" i="1"/>
  <c r="BK60" i="1"/>
  <c r="BK62" i="1"/>
  <c r="BK65" i="1"/>
  <c r="BK67" i="1"/>
  <c r="BK70" i="1"/>
  <c r="BK72" i="1"/>
  <c r="BK75" i="1"/>
  <c r="BK77" i="1"/>
  <c r="BK78" i="1"/>
  <c r="BK80" i="1"/>
  <c r="BK82" i="1"/>
  <c r="BK84" i="1"/>
  <c r="BK86" i="1"/>
  <c r="BK88" i="1"/>
  <c r="BK91" i="1"/>
  <c r="BK92" i="1"/>
  <c r="BK94" i="1"/>
  <c r="BK95" i="1"/>
  <c r="BK96" i="1"/>
  <c r="BK99" i="1"/>
  <c r="BK100" i="1"/>
  <c r="BK101" i="1"/>
  <c r="BK102" i="1"/>
  <c r="BK103" i="1"/>
  <c r="BK104" i="1"/>
  <c r="BK107" i="1"/>
  <c r="BK110" i="1"/>
  <c r="BK111" i="1"/>
  <c r="BK114" i="1"/>
  <c r="BK116" i="1"/>
  <c r="BK119" i="1"/>
  <c r="BK121" i="1"/>
  <c r="BK123" i="1"/>
  <c r="BK125" i="1"/>
  <c r="BK128" i="1"/>
  <c r="BK129" i="1"/>
  <c r="BK130" i="1"/>
  <c r="BK132" i="1"/>
  <c r="BK133" i="1"/>
  <c r="BK134" i="1"/>
  <c r="BK136" i="1"/>
  <c r="BK137" i="1"/>
  <c r="BK138" i="1"/>
  <c r="BK140" i="1"/>
  <c r="BK142" i="1"/>
  <c r="BK144" i="1"/>
  <c r="BK145" i="1"/>
  <c r="BK146" i="1"/>
  <c r="BK149" i="1"/>
  <c r="BK150" i="1"/>
  <c r="BK151" i="1"/>
  <c r="BK153" i="1"/>
  <c r="BK154" i="1"/>
  <c r="BK156" i="1"/>
  <c r="BK157" i="1"/>
  <c r="BK158" i="1"/>
  <c r="BK159" i="1"/>
  <c r="BK160" i="1"/>
  <c r="BK163" i="1"/>
  <c r="BK164" i="1"/>
  <c r="BK166" i="1"/>
  <c r="BK167" i="1"/>
  <c r="BK170" i="1"/>
  <c r="BK172" i="1"/>
  <c r="BK173" i="1"/>
  <c r="BK175" i="1"/>
  <c r="BK176" i="1"/>
  <c r="BK178" i="1"/>
  <c r="BK180" i="1"/>
  <c r="BK182" i="1"/>
  <c r="BK183" i="1"/>
  <c r="BK185" i="1"/>
  <c r="BK186" i="1"/>
  <c r="BK187" i="1"/>
  <c r="BK189" i="1"/>
  <c r="BK191" i="1"/>
  <c r="BK193" i="1"/>
  <c r="BK195" i="1"/>
  <c r="BK197" i="1"/>
  <c r="BK198" i="1"/>
  <c r="BK199" i="1"/>
  <c r="BK200" i="1"/>
  <c r="BK201" i="1"/>
  <c r="BK202" i="1"/>
  <c r="BK203" i="1"/>
  <c r="BK205" i="1"/>
  <c r="BK208" i="1"/>
  <c r="BK214" i="1"/>
  <c r="BK215" i="1"/>
  <c r="BK211" i="1"/>
  <c r="BJ284" i="1"/>
  <c r="BJ217" i="1"/>
  <c r="BJ219" i="1"/>
  <c r="BJ287" i="1"/>
  <c r="BJ290" i="1"/>
  <c r="BJ292" i="1"/>
  <c r="BJ294" i="1"/>
  <c r="BJ296" i="1"/>
  <c r="BJ298" i="1"/>
  <c r="BJ300" i="1"/>
  <c r="BJ302" i="1"/>
  <c r="BJ17" i="1"/>
  <c r="BJ19" i="1"/>
  <c r="BJ23" i="1"/>
  <c r="BJ40" i="1"/>
  <c r="BJ42" i="1"/>
  <c r="BJ48" i="1"/>
  <c r="BJ50" i="1"/>
  <c r="BJ53" i="1"/>
  <c r="BJ55" i="1"/>
  <c r="BJ57" i="1"/>
  <c r="BJ59" i="1"/>
  <c r="BJ61" i="1"/>
  <c r="BJ64" i="1"/>
  <c r="BJ66" i="1"/>
  <c r="BJ69" i="1"/>
  <c r="BJ71" i="1"/>
  <c r="BJ74" i="1"/>
  <c r="BJ76" i="1"/>
  <c r="BJ79" i="1"/>
  <c r="BJ81" i="1"/>
  <c r="BJ83" i="1"/>
  <c r="BJ85" i="1"/>
  <c r="BJ87" i="1"/>
  <c r="BJ90" i="1"/>
  <c r="BJ93" i="1"/>
  <c r="BJ106" i="1"/>
  <c r="BJ109" i="1"/>
  <c r="BJ113" i="1"/>
  <c r="BJ115" i="1"/>
  <c r="BJ118" i="1"/>
  <c r="BJ120" i="1"/>
  <c r="BJ122" i="1"/>
  <c r="BJ124" i="1"/>
  <c r="BJ127" i="1"/>
  <c r="BJ131" i="1"/>
  <c r="BJ135" i="1"/>
  <c r="BJ139" i="1"/>
  <c r="BJ141" i="1"/>
  <c r="BJ143" i="1"/>
  <c r="BJ148" i="1"/>
  <c r="BJ152" i="1"/>
  <c r="BJ155" i="1"/>
  <c r="BJ162" i="1"/>
  <c r="BJ165" i="1"/>
  <c r="BJ169" i="1"/>
  <c r="BJ171" i="1"/>
  <c r="BJ174" i="1"/>
  <c r="BJ177" i="1"/>
  <c r="BJ179" i="1"/>
  <c r="BJ184" i="1"/>
  <c r="BJ188" i="1"/>
  <c r="BJ190" i="1"/>
  <c r="BJ192" i="1"/>
  <c r="BJ194" i="1"/>
  <c r="BJ196" i="1"/>
  <c r="BJ204" i="1"/>
  <c r="BJ207" i="1"/>
  <c r="BJ213" i="1"/>
  <c r="BJ210" i="1"/>
  <c r="BI284" i="1"/>
  <c r="BI217" i="1"/>
  <c r="BI219" i="1"/>
  <c r="BI287" i="1"/>
  <c r="BI290" i="1"/>
  <c r="BI292" i="1"/>
  <c r="BI294" i="1"/>
  <c r="BI296" i="1"/>
  <c r="BI298" i="1"/>
  <c r="BI300" i="1"/>
  <c r="BI302" i="1"/>
  <c r="BI17" i="1"/>
  <c r="BI19" i="1"/>
  <c r="BI23" i="1"/>
  <c r="BI40" i="1"/>
  <c r="BI42" i="1"/>
  <c r="BI48" i="1"/>
  <c r="BI50" i="1"/>
  <c r="BI53" i="1"/>
  <c r="BI55" i="1"/>
  <c r="BI57" i="1"/>
  <c r="BI59" i="1"/>
  <c r="BI61" i="1"/>
  <c r="BI64" i="1"/>
  <c r="BI66" i="1"/>
  <c r="BI69" i="1"/>
  <c r="BI71" i="1"/>
  <c r="BI74" i="1"/>
  <c r="BI76" i="1"/>
  <c r="BI79" i="1"/>
  <c r="BI81" i="1"/>
  <c r="BI83" i="1"/>
  <c r="BI85" i="1"/>
  <c r="BI87" i="1"/>
  <c r="BI90" i="1"/>
  <c r="BI93" i="1"/>
  <c r="BI106" i="1"/>
  <c r="BI109" i="1"/>
  <c r="BI113" i="1"/>
  <c r="BI115" i="1"/>
  <c r="BI118" i="1"/>
  <c r="BI120" i="1"/>
  <c r="BI122" i="1"/>
  <c r="BI124" i="1"/>
  <c r="BI127" i="1"/>
  <c r="BI131" i="1"/>
  <c r="BI135" i="1"/>
  <c r="BI139" i="1"/>
  <c r="BI141" i="1"/>
  <c r="BI143" i="1"/>
  <c r="BI148" i="1"/>
  <c r="BI152" i="1"/>
  <c r="BI155" i="1"/>
  <c r="BI162" i="1"/>
  <c r="BI165" i="1"/>
  <c r="BI169" i="1"/>
  <c r="BI171" i="1"/>
  <c r="BI174" i="1"/>
  <c r="BI177" i="1"/>
  <c r="BI179" i="1"/>
  <c r="BI184" i="1"/>
  <c r="BI188" i="1"/>
  <c r="BI190" i="1"/>
  <c r="BI192" i="1"/>
  <c r="BI194" i="1"/>
  <c r="BI196" i="1"/>
  <c r="BI204" i="1"/>
  <c r="BI207" i="1"/>
  <c r="BI210" i="1"/>
  <c r="BH284" i="1"/>
  <c r="BH217" i="1"/>
  <c r="BH219" i="1"/>
  <c r="BH287" i="1"/>
  <c r="BH292" i="1"/>
  <c r="BH294" i="1"/>
  <c r="BH296" i="1"/>
  <c r="BH298" i="1"/>
  <c r="BH300" i="1"/>
  <c r="BH302" i="1"/>
  <c r="BH17" i="1"/>
  <c r="BH19" i="1"/>
  <c r="BH23" i="1"/>
  <c r="BH40" i="1"/>
  <c r="BH42" i="1"/>
  <c r="BH48" i="1"/>
  <c r="BH50" i="1"/>
  <c r="BH53" i="1"/>
  <c r="BH55" i="1"/>
  <c r="BH57" i="1"/>
  <c r="BH59" i="1"/>
  <c r="BH61" i="1"/>
  <c r="BH64" i="1"/>
  <c r="BH66" i="1"/>
  <c r="BH69" i="1"/>
  <c r="BH71" i="1"/>
  <c r="BH74" i="1"/>
  <c r="BH76" i="1"/>
  <c r="BH79" i="1"/>
  <c r="BH81" i="1"/>
  <c r="BH83" i="1"/>
  <c r="BH85" i="1"/>
  <c r="BH87" i="1"/>
  <c r="BH90" i="1"/>
  <c r="BH93" i="1"/>
  <c r="BH106" i="1"/>
  <c r="BH109" i="1"/>
  <c r="BH113" i="1"/>
  <c r="BH115" i="1"/>
  <c r="BH118" i="1"/>
  <c r="BH120" i="1"/>
  <c r="BH122" i="1"/>
  <c r="BH124" i="1"/>
  <c r="BH127" i="1"/>
  <c r="BH131" i="1"/>
  <c r="BH135" i="1"/>
  <c r="BH139" i="1"/>
  <c r="BH141" i="1"/>
  <c r="BH143" i="1"/>
  <c r="BH148" i="1"/>
  <c r="BH152" i="1"/>
  <c r="BH155" i="1"/>
  <c r="BH162" i="1"/>
  <c r="BH165" i="1"/>
  <c r="BH169" i="1"/>
  <c r="BH171" i="1"/>
  <c r="BH174" i="1"/>
  <c r="BH177" i="1"/>
  <c r="BH179" i="1"/>
  <c r="BH184" i="1"/>
  <c r="BH188" i="1"/>
  <c r="BH190" i="1"/>
  <c r="BH192" i="1"/>
  <c r="BH194" i="1"/>
  <c r="BH196" i="1"/>
  <c r="BH204" i="1"/>
  <c r="BH207" i="1"/>
  <c r="BH213" i="1"/>
  <c r="BH210" i="1"/>
  <c r="BG284" i="1"/>
  <c r="BG217" i="1"/>
  <c r="BG219" i="1"/>
  <c r="BG287" i="1"/>
  <c r="BG290" i="1"/>
  <c r="BG292" i="1"/>
  <c r="BG294" i="1"/>
  <c r="BG296" i="1"/>
  <c r="BG298" i="1"/>
  <c r="BG300" i="1"/>
  <c r="BG302" i="1"/>
  <c r="BG17" i="1"/>
  <c r="BG19" i="1"/>
  <c r="BG23" i="1"/>
  <c r="BG40" i="1"/>
  <c r="BG42" i="1"/>
  <c r="BG48" i="1"/>
  <c r="BG50" i="1"/>
  <c r="BG53" i="1"/>
  <c r="BG55" i="1"/>
  <c r="BG57" i="1"/>
  <c r="BG59" i="1"/>
  <c r="BG61" i="1"/>
  <c r="BG64" i="1"/>
  <c r="BG66" i="1"/>
  <c r="BG69" i="1"/>
  <c r="BG71" i="1"/>
  <c r="BG74" i="1"/>
  <c r="BG76" i="1"/>
  <c r="BG79" i="1"/>
  <c r="BG81" i="1"/>
  <c r="BG83" i="1"/>
  <c r="BG85" i="1"/>
  <c r="BG87" i="1"/>
  <c r="BG90" i="1"/>
  <c r="BG93" i="1"/>
  <c r="BG106" i="1"/>
  <c r="BG109" i="1"/>
  <c r="BG113" i="1"/>
  <c r="BG115" i="1"/>
  <c r="BG118" i="1"/>
  <c r="BG120" i="1"/>
  <c r="BG122" i="1"/>
  <c r="BG124" i="1"/>
  <c r="BG127" i="1"/>
  <c r="BG131" i="1"/>
  <c r="BG135" i="1"/>
  <c r="BG139" i="1"/>
  <c r="BG141" i="1"/>
  <c r="BG143" i="1"/>
  <c r="BG148" i="1"/>
  <c r="BG152" i="1"/>
  <c r="BG155" i="1"/>
  <c r="BG162" i="1"/>
  <c r="BG165" i="1"/>
  <c r="BG169" i="1"/>
  <c r="BG171" i="1"/>
  <c r="BG174" i="1"/>
  <c r="BG177" i="1"/>
  <c r="BG179" i="1"/>
  <c r="BG184" i="1"/>
  <c r="BG188" i="1"/>
  <c r="BG190" i="1"/>
  <c r="BG192" i="1"/>
  <c r="BG194" i="1"/>
  <c r="BG196" i="1"/>
  <c r="BG204" i="1"/>
  <c r="BG207" i="1"/>
  <c r="BG213" i="1"/>
  <c r="BG210" i="1"/>
  <c r="BF223" i="1"/>
  <c r="BF285" i="1"/>
  <c r="BF220" i="1"/>
  <c r="BF221" i="1"/>
  <c r="BF218" i="1"/>
  <c r="BF288" i="1"/>
  <c r="BF293" i="1"/>
  <c r="BF295" i="1"/>
  <c r="BF297" i="1"/>
  <c r="BF299" i="1"/>
  <c r="BF301" i="1"/>
  <c r="BF303" i="1"/>
  <c r="BF18" i="1"/>
  <c r="BF20" i="1"/>
  <c r="BF21" i="1"/>
  <c r="BF22" i="1"/>
  <c r="BF24" i="1"/>
  <c r="BF25" i="1"/>
  <c r="BF26" i="1"/>
  <c r="BF27" i="1"/>
  <c r="BF28" i="1"/>
  <c r="BF29" i="1"/>
  <c r="BF30" i="1"/>
  <c r="BF31" i="1"/>
  <c r="BF32" i="1"/>
  <c r="BF33" i="1"/>
  <c r="BF34" i="1"/>
  <c r="BF35" i="1"/>
  <c r="BF36" i="1"/>
  <c r="BF37" i="1"/>
  <c r="BF38" i="1"/>
  <c r="BF39" i="1"/>
  <c r="BF41" i="1"/>
  <c r="BF43" i="1"/>
  <c r="BF44" i="1"/>
  <c r="BF45" i="1"/>
  <c r="BF46" i="1"/>
  <c r="BF47" i="1"/>
  <c r="BF49" i="1"/>
  <c r="BF51" i="1"/>
  <c r="BF54" i="1"/>
  <c r="BF56" i="1"/>
  <c r="BF58" i="1"/>
  <c r="BF60" i="1"/>
  <c r="BF62" i="1"/>
  <c r="BF65" i="1"/>
  <c r="BF67" i="1"/>
  <c r="BF70" i="1"/>
  <c r="BF72" i="1"/>
  <c r="BF75" i="1"/>
  <c r="BF77" i="1"/>
  <c r="BF78" i="1"/>
  <c r="BF80" i="1"/>
  <c r="BF82" i="1"/>
  <c r="BF84" i="1"/>
  <c r="BF86" i="1"/>
  <c r="BF88" i="1"/>
  <c r="BF91" i="1"/>
  <c r="BF92" i="1"/>
  <c r="BF94" i="1"/>
  <c r="BF95" i="1"/>
  <c r="BF96" i="1"/>
  <c r="BF99" i="1"/>
  <c r="BF100" i="1"/>
  <c r="BF101" i="1"/>
  <c r="BF102" i="1"/>
  <c r="BF103" i="1"/>
  <c r="BF104" i="1"/>
  <c r="BF107" i="1"/>
  <c r="BF110" i="1"/>
  <c r="BF111" i="1"/>
  <c r="BF114" i="1"/>
  <c r="BF116" i="1"/>
  <c r="BF119" i="1"/>
  <c r="BF121" i="1"/>
  <c r="BF123" i="1"/>
  <c r="BF125" i="1"/>
  <c r="BF128" i="1"/>
  <c r="BF129" i="1"/>
  <c r="BF130" i="1"/>
  <c r="BF132" i="1"/>
  <c r="BF133" i="1"/>
  <c r="BF134" i="1"/>
  <c r="BF136" i="1"/>
  <c r="BF137" i="1"/>
  <c r="BF138" i="1"/>
  <c r="BF140" i="1"/>
  <c r="BF142" i="1"/>
  <c r="BF144" i="1"/>
  <c r="BF145" i="1"/>
  <c r="BF146" i="1"/>
  <c r="BF149" i="1"/>
  <c r="BF150" i="1"/>
  <c r="BF151" i="1"/>
  <c r="BF153" i="1"/>
  <c r="BF154" i="1"/>
  <c r="BF156" i="1"/>
  <c r="BF157" i="1"/>
  <c r="BF158" i="1"/>
  <c r="BF159" i="1"/>
  <c r="BF160" i="1"/>
  <c r="BF163" i="1"/>
  <c r="BF164" i="1"/>
  <c r="BF166" i="1"/>
  <c r="BF167" i="1"/>
  <c r="BF170" i="1"/>
  <c r="BF172" i="1"/>
  <c r="BF173" i="1"/>
  <c r="BF175" i="1"/>
  <c r="BF176" i="1"/>
  <c r="BF178" i="1"/>
  <c r="BF180" i="1"/>
  <c r="BF182" i="1"/>
  <c r="BF183" i="1"/>
  <c r="BF185" i="1"/>
  <c r="BF186" i="1"/>
  <c r="BF187" i="1"/>
  <c r="BF189" i="1"/>
  <c r="BF191" i="1"/>
  <c r="BF193" i="1"/>
  <c r="BF195" i="1"/>
  <c r="BF197" i="1"/>
  <c r="BF198" i="1"/>
  <c r="BF199" i="1"/>
  <c r="BF200" i="1"/>
  <c r="BF201" i="1"/>
  <c r="BF202" i="1"/>
  <c r="BF203" i="1"/>
  <c r="BF205" i="1"/>
  <c r="BF208" i="1"/>
  <c r="BF214" i="1"/>
  <c r="BF215" i="1"/>
  <c r="BF211" i="1"/>
  <c r="BE284" i="1"/>
  <c r="BE217" i="1"/>
  <c r="BE219" i="1"/>
  <c r="BE287" i="1"/>
  <c r="BE290" i="1"/>
  <c r="BE292" i="1"/>
  <c r="BE294" i="1"/>
  <c r="BE296" i="1"/>
  <c r="BE298" i="1"/>
  <c r="BE300" i="1"/>
  <c r="BE302" i="1"/>
  <c r="BE17" i="1"/>
  <c r="BE19" i="1"/>
  <c r="BE23" i="1"/>
  <c r="BE40" i="1"/>
  <c r="BE42" i="1"/>
  <c r="BE48" i="1"/>
  <c r="BE50" i="1"/>
  <c r="BE53" i="1"/>
  <c r="BE55" i="1"/>
  <c r="BE57" i="1"/>
  <c r="BE59" i="1"/>
  <c r="BE61" i="1"/>
  <c r="BE64" i="1"/>
  <c r="BE66" i="1"/>
  <c r="BE69" i="1"/>
  <c r="BE71" i="1"/>
  <c r="BE74" i="1"/>
  <c r="BE76" i="1"/>
  <c r="BE79" i="1"/>
  <c r="BE81" i="1"/>
  <c r="BE83" i="1"/>
  <c r="BE85" i="1"/>
  <c r="BE87" i="1"/>
  <c r="BE90" i="1"/>
  <c r="BE93" i="1"/>
  <c r="BE106" i="1"/>
  <c r="BE109" i="1"/>
  <c r="BE113" i="1"/>
  <c r="BE115" i="1"/>
  <c r="BE118" i="1"/>
  <c r="BE120" i="1"/>
  <c r="BE122" i="1"/>
  <c r="BE124" i="1"/>
  <c r="BE127" i="1"/>
  <c r="BE131" i="1"/>
  <c r="BE135" i="1"/>
  <c r="BE139" i="1"/>
  <c r="BE141" i="1"/>
  <c r="BE143" i="1"/>
  <c r="BE148" i="1"/>
  <c r="BE152" i="1"/>
  <c r="BE155" i="1"/>
  <c r="BE162" i="1"/>
  <c r="BE165" i="1"/>
  <c r="BE169" i="1"/>
  <c r="BE171" i="1"/>
  <c r="BE174" i="1"/>
  <c r="BE177" i="1"/>
  <c r="BE179" i="1"/>
  <c r="BE184" i="1"/>
  <c r="BE188" i="1"/>
  <c r="BE190" i="1"/>
  <c r="BE192" i="1"/>
  <c r="BE194" i="1"/>
  <c r="BE196" i="1"/>
  <c r="BE204" i="1"/>
  <c r="BE207" i="1"/>
  <c r="BE213" i="1"/>
  <c r="BE210" i="1"/>
  <c r="BD284" i="1"/>
  <c r="BD217" i="1"/>
  <c r="BD219" i="1"/>
  <c r="BD287" i="1"/>
  <c r="BD290" i="1"/>
  <c r="BD292" i="1"/>
  <c r="BD294" i="1"/>
  <c r="BD296" i="1"/>
  <c r="BD298" i="1"/>
  <c r="BD300" i="1"/>
  <c r="BD302" i="1"/>
  <c r="BD17" i="1"/>
  <c r="BD19" i="1"/>
  <c r="BD23" i="1"/>
  <c r="BD40" i="1"/>
  <c r="BD42" i="1"/>
  <c r="BD48" i="1"/>
  <c r="BD50" i="1"/>
  <c r="BD53" i="1"/>
  <c r="BD55" i="1"/>
  <c r="BD57" i="1"/>
  <c r="BD59" i="1"/>
  <c r="BD61" i="1"/>
  <c r="BD64" i="1"/>
  <c r="BD66" i="1"/>
  <c r="BD69" i="1"/>
  <c r="BD71" i="1"/>
  <c r="BD74" i="1"/>
  <c r="BD76" i="1"/>
  <c r="BD79" i="1"/>
  <c r="BD81" i="1"/>
  <c r="BD83" i="1"/>
  <c r="BD85" i="1"/>
  <c r="BD87" i="1"/>
  <c r="BD90" i="1"/>
  <c r="BD93" i="1"/>
  <c r="BD106" i="1"/>
  <c r="BD109" i="1"/>
  <c r="BD113" i="1"/>
  <c r="BD115" i="1"/>
  <c r="BD118" i="1"/>
  <c r="BD120" i="1"/>
  <c r="BD122" i="1"/>
  <c r="BD124" i="1"/>
  <c r="BD127" i="1"/>
  <c r="BD131" i="1"/>
  <c r="BD135" i="1"/>
  <c r="BD139" i="1"/>
  <c r="BD141" i="1"/>
  <c r="BD143" i="1"/>
  <c r="BD148" i="1"/>
  <c r="BD152" i="1"/>
  <c r="BD155" i="1"/>
  <c r="BD162" i="1"/>
  <c r="BD165" i="1"/>
  <c r="BD169" i="1"/>
  <c r="BD171" i="1"/>
  <c r="BD174" i="1"/>
  <c r="BD177" i="1"/>
  <c r="BD179" i="1"/>
  <c r="BD184" i="1"/>
  <c r="BD188" i="1"/>
  <c r="BD190" i="1"/>
  <c r="BD192" i="1"/>
  <c r="BD194" i="1"/>
  <c r="BD196" i="1"/>
  <c r="BD204" i="1"/>
  <c r="BD207" i="1"/>
  <c r="BD213" i="1"/>
  <c r="BD210" i="1"/>
  <c r="BC284" i="1"/>
  <c r="BC217" i="1"/>
  <c r="BC219" i="1"/>
  <c r="BC287" i="1"/>
  <c r="BC290" i="1"/>
  <c r="BC292" i="1"/>
  <c r="BC294" i="1"/>
  <c r="BC296" i="1"/>
  <c r="BC298" i="1"/>
  <c r="BC300" i="1"/>
  <c r="BC302" i="1"/>
  <c r="BC17" i="1"/>
  <c r="BC19" i="1"/>
  <c r="BC23" i="1"/>
  <c r="BC40" i="1"/>
  <c r="BC42" i="1"/>
  <c r="BC48" i="1"/>
  <c r="BC50" i="1"/>
  <c r="BC53" i="1"/>
  <c r="BC55" i="1"/>
  <c r="BC57" i="1"/>
  <c r="BC59" i="1"/>
  <c r="BC61" i="1"/>
  <c r="BC64" i="1"/>
  <c r="BC66" i="1"/>
  <c r="BC69" i="1"/>
  <c r="BC71" i="1"/>
  <c r="BC74" i="1"/>
  <c r="BC76" i="1"/>
  <c r="BC79" i="1"/>
  <c r="BC81" i="1"/>
  <c r="BC83" i="1"/>
  <c r="BC85" i="1"/>
  <c r="BC87" i="1"/>
  <c r="BC90" i="1"/>
  <c r="BC93" i="1"/>
  <c r="BC106" i="1"/>
  <c r="BC109" i="1"/>
  <c r="BC113" i="1"/>
  <c r="BC115" i="1"/>
  <c r="BC118" i="1"/>
  <c r="BC120" i="1"/>
  <c r="BC122" i="1"/>
  <c r="BC124" i="1"/>
  <c r="BC127" i="1"/>
  <c r="BC131" i="1"/>
  <c r="BC135" i="1"/>
  <c r="BC139" i="1"/>
  <c r="BC141" i="1"/>
  <c r="BC143" i="1"/>
  <c r="BC148" i="1"/>
  <c r="BC152" i="1"/>
  <c r="BC155" i="1"/>
  <c r="BC162" i="1"/>
  <c r="BC165" i="1"/>
  <c r="BC169" i="1"/>
  <c r="BC171" i="1"/>
  <c r="BC174" i="1"/>
  <c r="BC177" i="1"/>
  <c r="BC179" i="1"/>
  <c r="BC184" i="1"/>
  <c r="BC188" i="1"/>
  <c r="BC190" i="1"/>
  <c r="BC192" i="1"/>
  <c r="BC194" i="1"/>
  <c r="BC196" i="1"/>
  <c r="BC204" i="1"/>
  <c r="BC207" i="1"/>
  <c r="BC213" i="1"/>
  <c r="BC210" i="1"/>
  <c r="BB223" i="1"/>
  <c r="BB285" i="1"/>
  <c r="BB220" i="1"/>
  <c r="BB221" i="1"/>
  <c r="BB218" i="1"/>
  <c r="BB288" i="1"/>
  <c r="BB291" i="1"/>
  <c r="BB293" i="1"/>
  <c r="BB295" i="1"/>
  <c r="BB297" i="1"/>
  <c r="BB299" i="1"/>
  <c r="BB301" i="1"/>
  <c r="BB303" i="1"/>
  <c r="BB18" i="1"/>
  <c r="BB20" i="1"/>
  <c r="BB21" i="1"/>
  <c r="BB22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1" i="1"/>
  <c r="BB43" i="1"/>
  <c r="BB44" i="1"/>
  <c r="BB45" i="1"/>
  <c r="BB46" i="1"/>
  <c r="BB47" i="1"/>
  <c r="BB49" i="1"/>
  <c r="BB51" i="1"/>
  <c r="BB54" i="1"/>
  <c r="BB56" i="1"/>
  <c r="BB58" i="1"/>
  <c r="BB60" i="1"/>
  <c r="BB62" i="1"/>
  <c r="BB65" i="1"/>
  <c r="BB67" i="1"/>
  <c r="BB70" i="1"/>
  <c r="BB72" i="1"/>
  <c r="BB75" i="1"/>
  <c r="BB77" i="1"/>
  <c r="BB78" i="1"/>
  <c r="BB80" i="1"/>
  <c r="BB82" i="1"/>
  <c r="BB84" i="1"/>
  <c r="BB86" i="1"/>
  <c r="BB88" i="1"/>
  <c r="BB91" i="1"/>
  <c r="BB92" i="1"/>
  <c r="BB94" i="1"/>
  <c r="BB95" i="1"/>
  <c r="BB96" i="1"/>
  <c r="BB99" i="1"/>
  <c r="BB100" i="1"/>
  <c r="BB101" i="1"/>
  <c r="BB102" i="1"/>
  <c r="BB103" i="1"/>
  <c r="BB104" i="1"/>
  <c r="BB107" i="1"/>
  <c r="BB110" i="1"/>
  <c r="BB111" i="1"/>
  <c r="BB114" i="1"/>
  <c r="BB116" i="1"/>
  <c r="BB119" i="1"/>
  <c r="BB121" i="1"/>
  <c r="BB123" i="1"/>
  <c r="BB125" i="1"/>
  <c r="BB128" i="1"/>
  <c r="BB129" i="1"/>
  <c r="BB130" i="1"/>
  <c r="BB132" i="1"/>
  <c r="BB133" i="1"/>
  <c r="BB134" i="1"/>
  <c r="BB136" i="1"/>
  <c r="BB137" i="1"/>
  <c r="BB138" i="1"/>
  <c r="BB140" i="1"/>
  <c r="BB142" i="1"/>
  <c r="BB144" i="1"/>
  <c r="BB145" i="1"/>
  <c r="BB146" i="1"/>
  <c r="BB149" i="1"/>
  <c r="BB150" i="1"/>
  <c r="BB151" i="1"/>
  <c r="BB153" i="1"/>
  <c r="BB154" i="1"/>
  <c r="BB156" i="1"/>
  <c r="BB157" i="1"/>
  <c r="BB158" i="1"/>
  <c r="BB159" i="1"/>
  <c r="BB160" i="1"/>
  <c r="BB163" i="1"/>
  <c r="BB164" i="1"/>
  <c r="BB166" i="1"/>
  <c r="BB167" i="1"/>
  <c r="BB170" i="1"/>
  <c r="BB172" i="1"/>
  <c r="BB173" i="1"/>
  <c r="BB175" i="1"/>
  <c r="BB176" i="1"/>
  <c r="BB178" i="1"/>
  <c r="BB180" i="1"/>
  <c r="BB182" i="1"/>
  <c r="BB183" i="1"/>
  <c r="BB185" i="1"/>
  <c r="BB186" i="1"/>
  <c r="BB187" i="1"/>
  <c r="BB189" i="1"/>
  <c r="BB191" i="1"/>
  <c r="BB193" i="1"/>
  <c r="BB195" i="1"/>
  <c r="BB197" i="1"/>
  <c r="BB198" i="1"/>
  <c r="BB199" i="1"/>
  <c r="BB200" i="1"/>
  <c r="BB201" i="1"/>
  <c r="BB202" i="1"/>
  <c r="BB203" i="1"/>
  <c r="BB205" i="1"/>
  <c r="BB208" i="1"/>
  <c r="BB214" i="1"/>
  <c r="BB215" i="1"/>
  <c r="BB211" i="1"/>
  <c r="AZ284" i="1"/>
  <c r="AZ217" i="1"/>
  <c r="AZ219" i="1"/>
  <c r="AZ287" i="1"/>
  <c r="AZ290" i="1"/>
  <c r="AZ294" i="1"/>
  <c r="AZ296" i="1"/>
  <c r="AZ300" i="1"/>
  <c r="AZ302" i="1"/>
  <c r="AZ17" i="1"/>
  <c r="AZ19" i="1"/>
  <c r="AZ24" i="1"/>
  <c r="AZ25" i="1"/>
  <c r="AZ40" i="1"/>
  <c r="AZ44" i="1"/>
  <c r="AZ48" i="1"/>
  <c r="AZ51" i="1"/>
  <c r="AZ53" i="1"/>
  <c r="AZ55" i="1"/>
  <c r="AZ57" i="1"/>
  <c r="AZ59" i="1"/>
  <c r="AZ61" i="1"/>
  <c r="AZ64" i="1"/>
  <c r="AZ66" i="1"/>
  <c r="AZ69" i="1"/>
  <c r="AZ71" i="1"/>
  <c r="AZ74" i="1"/>
  <c r="AZ76" i="1"/>
  <c r="AZ79" i="1"/>
  <c r="AZ81" i="1"/>
  <c r="AZ83" i="1"/>
  <c r="AZ85" i="1"/>
  <c r="AZ87" i="1"/>
  <c r="AZ90" i="1"/>
  <c r="AZ93" i="1"/>
  <c r="AZ106" i="1"/>
  <c r="AZ109" i="1"/>
  <c r="AZ113" i="1"/>
  <c r="AZ115" i="1"/>
  <c r="AZ118" i="1"/>
  <c r="AZ120" i="1"/>
  <c r="AZ123" i="1"/>
  <c r="AZ124" i="1"/>
  <c r="AZ127" i="1"/>
  <c r="AZ131" i="1"/>
  <c r="AZ135" i="1"/>
  <c r="AZ139" i="1"/>
  <c r="AZ141" i="1"/>
  <c r="AZ143" i="1"/>
  <c r="AZ148" i="1"/>
  <c r="AZ152" i="1"/>
  <c r="AZ155" i="1"/>
  <c r="AZ164" i="1"/>
  <c r="AZ165" i="1"/>
  <c r="AZ169" i="1"/>
  <c r="AZ171" i="1"/>
  <c r="AZ174" i="1"/>
  <c r="AZ177" i="1"/>
  <c r="AZ179" i="1"/>
  <c r="AZ184" i="1"/>
  <c r="AZ188" i="1"/>
  <c r="AZ190" i="1"/>
  <c r="AZ192" i="1"/>
  <c r="AZ194" i="1"/>
  <c r="AZ196" i="1"/>
  <c r="AZ204" i="1"/>
  <c r="AZ207" i="1"/>
  <c r="AZ213" i="1"/>
  <c r="AZ210" i="1"/>
  <c r="AY284" i="1"/>
  <c r="AY217" i="1"/>
  <c r="AY219" i="1"/>
  <c r="AY287" i="1"/>
  <c r="AY290" i="1"/>
  <c r="AY292" i="1"/>
  <c r="AY294" i="1"/>
  <c r="AY296" i="1"/>
  <c r="AY298" i="1"/>
  <c r="AY300" i="1"/>
  <c r="AY302" i="1"/>
  <c r="AY17" i="1"/>
  <c r="AY23" i="1"/>
  <c r="AY40" i="1"/>
  <c r="AY42" i="1"/>
  <c r="AY48" i="1"/>
  <c r="AY51" i="1"/>
  <c r="AY53" i="1"/>
  <c r="AY55" i="1"/>
  <c r="AY57" i="1"/>
  <c r="AY59" i="1"/>
  <c r="AY61" i="1"/>
  <c r="AY64" i="1"/>
  <c r="AY66" i="1"/>
  <c r="AY69" i="1"/>
  <c r="AY71" i="1"/>
  <c r="AY74" i="1"/>
  <c r="AY76" i="1"/>
  <c r="AY79" i="1"/>
  <c r="AY81" i="1"/>
  <c r="AY83" i="1"/>
  <c r="AY85" i="1"/>
  <c r="AY87" i="1"/>
  <c r="AY90" i="1"/>
  <c r="AY93" i="1"/>
  <c r="AY106" i="1"/>
  <c r="AY109" i="1"/>
  <c r="AY113" i="1"/>
  <c r="AY115" i="1"/>
  <c r="AY118" i="1"/>
  <c r="AY120" i="1"/>
  <c r="AY122" i="1"/>
  <c r="AY124" i="1"/>
  <c r="AY127" i="1"/>
  <c r="AY131" i="1"/>
  <c r="AY135" i="1"/>
  <c r="AY139" i="1"/>
  <c r="AY141" i="1"/>
  <c r="AY143" i="1"/>
  <c r="AY148" i="1"/>
  <c r="AY152" i="1"/>
  <c r="AY155" i="1"/>
  <c r="AY162" i="1"/>
  <c r="AY165" i="1"/>
  <c r="AY169" i="1"/>
  <c r="AY171" i="1"/>
  <c r="AY174" i="1"/>
  <c r="AY177" i="1"/>
  <c r="AY179" i="1"/>
  <c r="AY184" i="1"/>
  <c r="AY188" i="1"/>
  <c r="AY190" i="1"/>
  <c r="AY192" i="1"/>
  <c r="AY194" i="1"/>
  <c r="AY196" i="1"/>
  <c r="AY204" i="1"/>
  <c r="AY207" i="1"/>
  <c r="AY213" i="1"/>
  <c r="AY210" i="1"/>
  <c r="AX284" i="1"/>
  <c r="AX217" i="1"/>
  <c r="AX219" i="1"/>
  <c r="AX287" i="1"/>
  <c r="AX290" i="1"/>
  <c r="AX292" i="1"/>
  <c r="AX294" i="1"/>
  <c r="AX296" i="1"/>
  <c r="AX298" i="1"/>
  <c r="AX300" i="1"/>
  <c r="AX302" i="1"/>
  <c r="AX17" i="1"/>
  <c r="AX19" i="1"/>
  <c r="AX23" i="1"/>
  <c r="AX40" i="1"/>
  <c r="AX42" i="1"/>
  <c r="AX48" i="1"/>
  <c r="AX50" i="1"/>
  <c r="AX53" i="1"/>
  <c r="AX55" i="1"/>
  <c r="AX57" i="1"/>
  <c r="AX59" i="1"/>
  <c r="AX61" i="1"/>
  <c r="AX64" i="1"/>
  <c r="AX66" i="1"/>
  <c r="AX69" i="1"/>
  <c r="AX71" i="1"/>
  <c r="AX74" i="1"/>
  <c r="AX76" i="1"/>
  <c r="AX79" i="1"/>
  <c r="AX81" i="1"/>
  <c r="AX83" i="1"/>
  <c r="AX85" i="1"/>
  <c r="AX87" i="1"/>
  <c r="AX90" i="1"/>
  <c r="AX93" i="1"/>
  <c r="AX106" i="1"/>
  <c r="AX109" i="1"/>
  <c r="AX113" i="1"/>
  <c r="AX115" i="1"/>
  <c r="AX118" i="1"/>
  <c r="AX120" i="1"/>
  <c r="AX122" i="1"/>
  <c r="AX124" i="1"/>
  <c r="AX127" i="1"/>
  <c r="AX131" i="1"/>
  <c r="AX135" i="1"/>
  <c r="AX139" i="1"/>
  <c r="AX141" i="1"/>
  <c r="AX143" i="1"/>
  <c r="AX148" i="1"/>
  <c r="AX152" i="1"/>
  <c r="AX155" i="1"/>
  <c r="AX162" i="1"/>
  <c r="AX165" i="1"/>
  <c r="AX169" i="1"/>
  <c r="AX171" i="1"/>
  <c r="AX174" i="1"/>
  <c r="AX177" i="1"/>
  <c r="AX179" i="1"/>
  <c r="AX184" i="1"/>
  <c r="AX188" i="1"/>
  <c r="AX190" i="1"/>
  <c r="AX192" i="1"/>
  <c r="AX194" i="1"/>
  <c r="AX196" i="1"/>
  <c r="AX204" i="1"/>
  <c r="AX207" i="1"/>
  <c r="AX213" i="1"/>
  <c r="AX210" i="1"/>
  <c r="AW284" i="1"/>
  <c r="AW217" i="1"/>
  <c r="AW219" i="1"/>
  <c r="AW287" i="1"/>
  <c r="AW290" i="1"/>
  <c r="AW292" i="1"/>
  <c r="AW294" i="1"/>
  <c r="AW296" i="1"/>
  <c r="AW298" i="1"/>
  <c r="AW300" i="1"/>
  <c r="AW302" i="1"/>
  <c r="AW17" i="1"/>
  <c r="AW19" i="1"/>
  <c r="AW23" i="1"/>
  <c r="AW40" i="1"/>
  <c r="AW42" i="1"/>
  <c r="AW48" i="1"/>
  <c r="AW50" i="1"/>
  <c r="AW53" i="1"/>
  <c r="AW55" i="1"/>
  <c r="AW57" i="1"/>
  <c r="AW59" i="1"/>
  <c r="AW61" i="1"/>
  <c r="AW64" i="1"/>
  <c r="AW66" i="1"/>
  <c r="AW69" i="1"/>
  <c r="AW71" i="1"/>
  <c r="AW74" i="1"/>
  <c r="AW76" i="1"/>
  <c r="AW79" i="1"/>
  <c r="AW81" i="1"/>
  <c r="AW83" i="1"/>
  <c r="AW85" i="1"/>
  <c r="AW87" i="1"/>
  <c r="AW90" i="1"/>
  <c r="AW93" i="1"/>
  <c r="AW106" i="1"/>
  <c r="AW109" i="1"/>
  <c r="AW113" i="1"/>
  <c r="AW115" i="1"/>
  <c r="AW118" i="1"/>
  <c r="AW120" i="1"/>
  <c r="AW122" i="1"/>
  <c r="AW124" i="1"/>
  <c r="AW127" i="1"/>
  <c r="AW131" i="1"/>
  <c r="AW135" i="1"/>
  <c r="AW139" i="1"/>
  <c r="AW141" i="1"/>
  <c r="AW143" i="1"/>
  <c r="AW148" i="1"/>
  <c r="AW152" i="1"/>
  <c r="AW155" i="1"/>
  <c r="AW162" i="1"/>
  <c r="AW165" i="1"/>
  <c r="AW169" i="1"/>
  <c r="AW171" i="1"/>
  <c r="AW174" i="1"/>
  <c r="AW177" i="1"/>
  <c r="AW179" i="1"/>
  <c r="AW184" i="1"/>
  <c r="AW188" i="1"/>
  <c r="AW190" i="1"/>
  <c r="AW192" i="1"/>
  <c r="AW194" i="1"/>
  <c r="AW196" i="1"/>
  <c r="AW204" i="1"/>
  <c r="AW207" i="1"/>
  <c r="AW213" i="1"/>
  <c r="AW210" i="1"/>
  <c r="AV284" i="1"/>
  <c r="AV217" i="1"/>
  <c r="AV219" i="1"/>
  <c r="AV287" i="1"/>
  <c r="AV290" i="1"/>
  <c r="AV292" i="1"/>
  <c r="AV294" i="1"/>
  <c r="AV298" i="1"/>
  <c r="AV300" i="1"/>
  <c r="AV302" i="1"/>
  <c r="AV17" i="1"/>
  <c r="AV19" i="1"/>
  <c r="AV23" i="1"/>
  <c r="AV40" i="1"/>
  <c r="AV42" i="1"/>
  <c r="AV48" i="1"/>
  <c r="AV50" i="1"/>
  <c r="AV53" i="1"/>
  <c r="AV55" i="1"/>
  <c r="AV57" i="1"/>
  <c r="AV59" i="1"/>
  <c r="AV61" i="1"/>
  <c r="AV64" i="1"/>
  <c r="AV66" i="1"/>
  <c r="AV69" i="1"/>
  <c r="AV71" i="1"/>
  <c r="AV74" i="1"/>
  <c r="AV76" i="1"/>
  <c r="AV79" i="1"/>
  <c r="AV81" i="1"/>
  <c r="AV83" i="1"/>
  <c r="AV85" i="1"/>
  <c r="AV87" i="1"/>
  <c r="AV90" i="1"/>
  <c r="AV93" i="1"/>
  <c r="AV106" i="1"/>
  <c r="AV109" i="1"/>
  <c r="AV113" i="1"/>
  <c r="AV115" i="1"/>
  <c r="AV118" i="1"/>
  <c r="AV120" i="1"/>
  <c r="AV122" i="1"/>
  <c r="AV124" i="1"/>
  <c r="AV127" i="1"/>
  <c r="AV131" i="1"/>
  <c r="AV135" i="1"/>
  <c r="AV139" i="1"/>
  <c r="AV141" i="1"/>
  <c r="AV143" i="1"/>
  <c r="AV148" i="1"/>
  <c r="AV152" i="1"/>
  <c r="AV155" i="1"/>
  <c r="AV162" i="1"/>
  <c r="AV165" i="1"/>
  <c r="AV169" i="1"/>
  <c r="AV171" i="1"/>
  <c r="AV174" i="1"/>
  <c r="AV177" i="1"/>
  <c r="AV179" i="1"/>
  <c r="AV184" i="1"/>
  <c r="AV188" i="1"/>
  <c r="AV190" i="1"/>
  <c r="AV192" i="1"/>
  <c r="AV194" i="1"/>
  <c r="AV196" i="1"/>
  <c r="AV204" i="1"/>
  <c r="AV207" i="1"/>
  <c r="AV213" i="1"/>
  <c r="AV210" i="1"/>
  <c r="AU284" i="1"/>
  <c r="AU217" i="1"/>
  <c r="AU219" i="1"/>
  <c r="AU287" i="1"/>
  <c r="AU290" i="1"/>
  <c r="AU292" i="1"/>
  <c r="AU294" i="1"/>
  <c r="AU296" i="1"/>
  <c r="AU298" i="1"/>
  <c r="AU300" i="1"/>
  <c r="AU302" i="1"/>
  <c r="AU17" i="1"/>
  <c r="AU19" i="1"/>
  <c r="AU23" i="1"/>
  <c r="AU40" i="1"/>
  <c r="AU42" i="1"/>
  <c r="AU48" i="1"/>
  <c r="AU50" i="1"/>
  <c r="AU53" i="1"/>
  <c r="AU55" i="1"/>
  <c r="AU57" i="1"/>
  <c r="AU59" i="1"/>
  <c r="AU61" i="1"/>
  <c r="AU64" i="1"/>
  <c r="AU66" i="1"/>
  <c r="AU69" i="1"/>
  <c r="AU71" i="1"/>
  <c r="AU74" i="1"/>
  <c r="AU76" i="1"/>
  <c r="AU79" i="1"/>
  <c r="AU81" i="1"/>
  <c r="AU83" i="1"/>
  <c r="AU85" i="1"/>
  <c r="AU87" i="1"/>
  <c r="AU90" i="1"/>
  <c r="AU93" i="1"/>
  <c r="AU106" i="1"/>
  <c r="AU109" i="1"/>
  <c r="AU113" i="1"/>
  <c r="AU115" i="1"/>
  <c r="AU118" i="1"/>
  <c r="AU120" i="1"/>
  <c r="AU122" i="1"/>
  <c r="AU124" i="1"/>
  <c r="AU127" i="1"/>
  <c r="AU131" i="1"/>
  <c r="AU135" i="1"/>
  <c r="AU139" i="1"/>
  <c r="AU141" i="1"/>
  <c r="AU143" i="1"/>
  <c r="AU148" i="1"/>
  <c r="AU152" i="1"/>
  <c r="AU155" i="1"/>
  <c r="AU162" i="1"/>
  <c r="AU165" i="1"/>
  <c r="AU169" i="1"/>
  <c r="AU171" i="1"/>
  <c r="AU174" i="1"/>
  <c r="AU177" i="1"/>
  <c r="AU179" i="1"/>
  <c r="AU184" i="1"/>
  <c r="AU188" i="1"/>
  <c r="AU190" i="1"/>
  <c r="AU192" i="1"/>
  <c r="AU194" i="1"/>
  <c r="AU196" i="1"/>
  <c r="AU204" i="1"/>
  <c r="AU207" i="1"/>
  <c r="AU213" i="1"/>
  <c r="AU210" i="1"/>
  <c r="AT284" i="1"/>
  <c r="AT217" i="1"/>
  <c r="AT219" i="1"/>
  <c r="AT287" i="1"/>
  <c r="AT290" i="1"/>
  <c r="AT292" i="1"/>
  <c r="AT294" i="1"/>
  <c r="AT296" i="1"/>
  <c r="AT298" i="1"/>
  <c r="AT300" i="1"/>
  <c r="AT302" i="1"/>
  <c r="AT17" i="1"/>
  <c r="AT19" i="1"/>
  <c r="AT23" i="1"/>
  <c r="AT40" i="1"/>
  <c r="AT42" i="1"/>
  <c r="AT48" i="1"/>
  <c r="AT50" i="1"/>
  <c r="AT53" i="1"/>
  <c r="AT55" i="1"/>
  <c r="AT57" i="1"/>
  <c r="AT59" i="1"/>
  <c r="AT61" i="1"/>
  <c r="AT64" i="1"/>
  <c r="AT66" i="1"/>
  <c r="AT69" i="1"/>
  <c r="AT71" i="1"/>
  <c r="AT74" i="1"/>
  <c r="AT76" i="1"/>
  <c r="AT79" i="1"/>
  <c r="AT81" i="1"/>
  <c r="AT83" i="1"/>
  <c r="AT85" i="1"/>
  <c r="AT87" i="1"/>
  <c r="AT90" i="1"/>
  <c r="AT93" i="1"/>
  <c r="AT106" i="1"/>
  <c r="AT109" i="1"/>
  <c r="AT113" i="1"/>
  <c r="AT115" i="1"/>
  <c r="AT118" i="1"/>
  <c r="AT120" i="1"/>
  <c r="AT122" i="1"/>
  <c r="AT124" i="1"/>
  <c r="AT127" i="1"/>
  <c r="AT131" i="1"/>
  <c r="AT135" i="1"/>
  <c r="AT139" i="1"/>
  <c r="AT141" i="1"/>
  <c r="AT143" i="1"/>
  <c r="AT148" i="1"/>
  <c r="AT152" i="1"/>
  <c r="AT155" i="1"/>
  <c r="AT162" i="1"/>
  <c r="AT165" i="1"/>
  <c r="AT169" i="1"/>
  <c r="AT171" i="1"/>
  <c r="AT174" i="1"/>
  <c r="AT177" i="1"/>
  <c r="AT179" i="1"/>
  <c r="AT184" i="1"/>
  <c r="AT188" i="1"/>
  <c r="AT190" i="1"/>
  <c r="AT192" i="1"/>
  <c r="AT194" i="1"/>
  <c r="AT196" i="1"/>
  <c r="AT204" i="1"/>
  <c r="AT207" i="1"/>
  <c r="AT213" i="1"/>
  <c r="AT210" i="1"/>
  <c r="AS284" i="1"/>
  <c r="AS217" i="1"/>
  <c r="AS219" i="1"/>
  <c r="AS287" i="1"/>
  <c r="AS290" i="1"/>
  <c r="AS292" i="1"/>
  <c r="AS294" i="1"/>
  <c r="AS296" i="1"/>
  <c r="AS298" i="1"/>
  <c r="AS300" i="1"/>
  <c r="AS302" i="1"/>
  <c r="AS17" i="1"/>
  <c r="AS19" i="1"/>
  <c r="AS23" i="1"/>
  <c r="AS40" i="1"/>
  <c r="AS42" i="1"/>
  <c r="AS48" i="1"/>
  <c r="AS51" i="1"/>
  <c r="AS53" i="1"/>
  <c r="AS55" i="1"/>
  <c r="AS57" i="1"/>
  <c r="AS59" i="1"/>
  <c r="AS61" i="1"/>
  <c r="AS64" i="1"/>
  <c r="AS66" i="1"/>
  <c r="AS69" i="1"/>
  <c r="AS71" i="1"/>
  <c r="AS74" i="1"/>
  <c r="AS76" i="1"/>
  <c r="AS79" i="1"/>
  <c r="AS81" i="1"/>
  <c r="AS83" i="1"/>
  <c r="AS85" i="1"/>
  <c r="AS87" i="1"/>
  <c r="AS90" i="1"/>
  <c r="AS93" i="1"/>
  <c r="AS106" i="1"/>
  <c r="AS109" i="1"/>
  <c r="AS113" i="1"/>
  <c r="AS115" i="1"/>
  <c r="AS118" i="1"/>
  <c r="AS120" i="1"/>
  <c r="AS122" i="1"/>
  <c r="AS124" i="1"/>
  <c r="AS127" i="1"/>
  <c r="AS131" i="1"/>
  <c r="AS135" i="1"/>
  <c r="AS139" i="1"/>
  <c r="AS141" i="1"/>
  <c r="AS143" i="1"/>
  <c r="AS148" i="1"/>
  <c r="AS152" i="1"/>
  <c r="AS155" i="1"/>
  <c r="AS162" i="1"/>
  <c r="AS165" i="1"/>
  <c r="AS169" i="1"/>
  <c r="AS171" i="1"/>
  <c r="AS174" i="1"/>
  <c r="AS177" i="1"/>
  <c r="AS179" i="1"/>
  <c r="AS184" i="1"/>
  <c r="AS188" i="1"/>
  <c r="AS190" i="1"/>
  <c r="AS192" i="1"/>
  <c r="AS194" i="1"/>
  <c r="AS196" i="1"/>
  <c r="AS204" i="1"/>
  <c r="AS207" i="1"/>
  <c r="AS213" i="1"/>
  <c r="AS210" i="1"/>
  <c r="AR284" i="1"/>
  <c r="AR217" i="1"/>
  <c r="AR219" i="1"/>
  <c r="AR287" i="1"/>
  <c r="AR290" i="1"/>
  <c r="AR292" i="1"/>
  <c r="AR294" i="1"/>
  <c r="AR296" i="1"/>
  <c r="AR298" i="1"/>
  <c r="AR300" i="1"/>
  <c r="AR302" i="1"/>
  <c r="AR17" i="1"/>
  <c r="AR19" i="1"/>
  <c r="AR23" i="1"/>
  <c r="AR40" i="1"/>
  <c r="AR42" i="1"/>
  <c r="AR48" i="1"/>
  <c r="AR50" i="1"/>
  <c r="AR53" i="1"/>
  <c r="AR55" i="1"/>
  <c r="AR57" i="1"/>
  <c r="AR59" i="1"/>
  <c r="AR61" i="1"/>
  <c r="AR64" i="1"/>
  <c r="AR66" i="1"/>
  <c r="AR69" i="1"/>
  <c r="AR71" i="1"/>
  <c r="AR74" i="1"/>
  <c r="AR76" i="1"/>
  <c r="AR79" i="1"/>
  <c r="AR81" i="1"/>
  <c r="AR83" i="1"/>
  <c r="AR85" i="1"/>
  <c r="AR87" i="1"/>
  <c r="AR90" i="1"/>
  <c r="AR93" i="1"/>
  <c r="AR106" i="1"/>
  <c r="AR109" i="1"/>
  <c r="AR113" i="1"/>
  <c r="AR115" i="1"/>
  <c r="AR118" i="1"/>
  <c r="AR120" i="1"/>
  <c r="AR122" i="1"/>
  <c r="AR124" i="1"/>
  <c r="AR127" i="1"/>
  <c r="AR131" i="1"/>
  <c r="AR135" i="1"/>
  <c r="AR139" i="1"/>
  <c r="AR141" i="1"/>
  <c r="AR143" i="1"/>
  <c r="AR148" i="1"/>
  <c r="AR152" i="1"/>
  <c r="AR155" i="1"/>
  <c r="AR162" i="1"/>
  <c r="AR165" i="1"/>
  <c r="AR169" i="1"/>
  <c r="AR171" i="1"/>
  <c r="AR174" i="1"/>
  <c r="AR177" i="1"/>
  <c r="AR179" i="1"/>
  <c r="AR184" i="1"/>
  <c r="AR188" i="1"/>
  <c r="AR190" i="1"/>
  <c r="AR192" i="1"/>
  <c r="AR194" i="1"/>
  <c r="AR196" i="1"/>
  <c r="AR204" i="1"/>
  <c r="AR207" i="1"/>
  <c r="AR213" i="1"/>
  <c r="AR210" i="1"/>
  <c r="AQ284" i="1"/>
  <c r="AQ217" i="1"/>
  <c r="AQ219" i="1"/>
  <c r="AQ287" i="1"/>
  <c r="AQ290" i="1"/>
  <c r="AQ292" i="1"/>
  <c r="AQ294" i="1"/>
  <c r="AQ296" i="1"/>
  <c r="AQ298" i="1"/>
  <c r="AQ300" i="1"/>
  <c r="AQ302" i="1"/>
  <c r="AQ17" i="1"/>
  <c r="AQ19" i="1"/>
  <c r="AQ23" i="1"/>
  <c r="AQ40" i="1"/>
  <c r="AQ42" i="1"/>
  <c r="AQ48" i="1"/>
  <c r="AQ50" i="1"/>
  <c r="AQ53" i="1"/>
  <c r="AQ55" i="1"/>
  <c r="AQ57" i="1"/>
  <c r="AQ59" i="1"/>
  <c r="AQ61" i="1"/>
  <c r="AQ64" i="1"/>
  <c r="AQ66" i="1"/>
  <c r="AQ69" i="1"/>
  <c r="AQ71" i="1"/>
  <c r="AQ74" i="1"/>
  <c r="AQ76" i="1"/>
  <c r="AQ79" i="1"/>
  <c r="AQ81" i="1"/>
  <c r="AQ83" i="1"/>
  <c r="AQ85" i="1"/>
  <c r="AQ87" i="1"/>
  <c r="AQ90" i="1"/>
  <c r="AQ93" i="1"/>
  <c r="AQ106" i="1"/>
  <c r="AQ109" i="1"/>
  <c r="AQ113" i="1"/>
  <c r="AQ115" i="1"/>
  <c r="AQ118" i="1"/>
  <c r="AQ120" i="1"/>
  <c r="AQ122" i="1"/>
  <c r="AQ124" i="1"/>
  <c r="AQ127" i="1"/>
  <c r="AQ131" i="1"/>
  <c r="AQ135" i="1"/>
  <c r="AQ139" i="1"/>
  <c r="AQ141" i="1"/>
  <c r="AQ143" i="1"/>
  <c r="AQ148" i="1"/>
  <c r="AQ152" i="1"/>
  <c r="AQ155" i="1"/>
  <c r="AQ162" i="1"/>
  <c r="AQ165" i="1"/>
  <c r="AQ169" i="1"/>
  <c r="AQ171" i="1"/>
  <c r="AQ174" i="1"/>
  <c r="AQ177" i="1"/>
  <c r="AQ179" i="1"/>
  <c r="AQ184" i="1"/>
  <c r="AQ188" i="1"/>
  <c r="AQ190" i="1"/>
  <c r="AQ192" i="1"/>
  <c r="AQ194" i="1"/>
  <c r="AQ196" i="1"/>
  <c r="AQ204" i="1"/>
  <c r="AQ207" i="1"/>
  <c r="AQ213" i="1"/>
  <c r="AQ210" i="1"/>
  <c r="AP284" i="1"/>
  <c r="AP217" i="1"/>
  <c r="AP219" i="1"/>
  <c r="AP287" i="1"/>
  <c r="AP290" i="1"/>
  <c r="AP292" i="1"/>
  <c r="AP294" i="1"/>
  <c r="AP296" i="1"/>
  <c r="AP298" i="1"/>
  <c r="AP300" i="1"/>
  <c r="AP302" i="1"/>
  <c r="AP17" i="1"/>
  <c r="AP23" i="1"/>
  <c r="AP40" i="1"/>
  <c r="AP42" i="1"/>
  <c r="AP48" i="1"/>
  <c r="AP50" i="1"/>
  <c r="AP53" i="1"/>
  <c r="AP55" i="1"/>
  <c r="AP57" i="1"/>
  <c r="AP59" i="1"/>
  <c r="AP61" i="1"/>
  <c r="AP64" i="1"/>
  <c r="AP66" i="1"/>
  <c r="AP69" i="1"/>
  <c r="AP71" i="1"/>
  <c r="AP74" i="1"/>
  <c r="AP76" i="1"/>
  <c r="AP79" i="1"/>
  <c r="AP81" i="1"/>
  <c r="AP83" i="1"/>
  <c r="AP85" i="1"/>
  <c r="AP87" i="1"/>
  <c r="AP90" i="1"/>
  <c r="AP93" i="1"/>
  <c r="AP106" i="1"/>
  <c r="AP109" i="1"/>
  <c r="AP113" i="1"/>
  <c r="AP115" i="1"/>
  <c r="AP118" i="1"/>
  <c r="AP120" i="1"/>
  <c r="AP122" i="1"/>
  <c r="AP124" i="1"/>
  <c r="AP127" i="1"/>
  <c r="AP131" i="1"/>
  <c r="AP135" i="1"/>
  <c r="AP139" i="1"/>
  <c r="AP141" i="1"/>
  <c r="AP143" i="1"/>
  <c r="AP148" i="1"/>
  <c r="AP152" i="1"/>
  <c r="AP155" i="1"/>
  <c r="AP162" i="1"/>
  <c r="AP165" i="1"/>
  <c r="AP169" i="1"/>
  <c r="AP171" i="1"/>
  <c r="AP174" i="1"/>
  <c r="AP177" i="1"/>
  <c r="AP179" i="1"/>
  <c r="AP184" i="1"/>
  <c r="AP188" i="1"/>
  <c r="AP190" i="1"/>
  <c r="AP192" i="1"/>
  <c r="AP194" i="1"/>
  <c r="AP196" i="1"/>
  <c r="AP204" i="1"/>
  <c r="AP207" i="1"/>
  <c r="AP213" i="1"/>
  <c r="AP210" i="1"/>
  <c r="AO284" i="1"/>
  <c r="AO217" i="1"/>
  <c r="AO219" i="1"/>
  <c r="AO287" i="1"/>
  <c r="AO290" i="1"/>
  <c r="AO292" i="1"/>
  <c r="AO294" i="1"/>
  <c r="AO296" i="1"/>
  <c r="AO298" i="1"/>
  <c r="AO300" i="1"/>
  <c r="AO302" i="1"/>
  <c r="AO17" i="1"/>
  <c r="AO19" i="1"/>
  <c r="AO23" i="1"/>
  <c r="AO40" i="1"/>
  <c r="AO42" i="1"/>
  <c r="AO48" i="1"/>
  <c r="AO50" i="1"/>
  <c r="AO53" i="1"/>
  <c r="AO55" i="1"/>
  <c r="AO57" i="1"/>
  <c r="AO59" i="1"/>
  <c r="AO61" i="1"/>
  <c r="AO64" i="1"/>
  <c r="AO66" i="1"/>
  <c r="AO69" i="1"/>
  <c r="AO71" i="1"/>
  <c r="AO74" i="1"/>
  <c r="AO76" i="1"/>
  <c r="AO79" i="1"/>
  <c r="AO81" i="1"/>
  <c r="AO83" i="1"/>
  <c r="AO85" i="1"/>
  <c r="AO87" i="1"/>
  <c r="AO90" i="1"/>
  <c r="AO93" i="1"/>
  <c r="AO106" i="1"/>
  <c r="AO109" i="1"/>
  <c r="AO113" i="1"/>
  <c r="AO115" i="1"/>
  <c r="AO118" i="1"/>
  <c r="AO120" i="1"/>
  <c r="AO122" i="1"/>
  <c r="AO124" i="1"/>
  <c r="AO127" i="1"/>
  <c r="AO131" i="1"/>
  <c r="AO135" i="1"/>
  <c r="AO139" i="1"/>
  <c r="AO141" i="1"/>
  <c r="AO143" i="1"/>
  <c r="AO148" i="1"/>
  <c r="AO152" i="1"/>
  <c r="AO155" i="1"/>
  <c r="AO162" i="1"/>
  <c r="AO165" i="1"/>
  <c r="AO169" i="1"/>
  <c r="AO171" i="1"/>
  <c r="AO174" i="1"/>
  <c r="AO177" i="1"/>
  <c r="AO179" i="1"/>
  <c r="AO184" i="1"/>
  <c r="AO188" i="1"/>
  <c r="AO190" i="1"/>
  <c r="AO192" i="1"/>
  <c r="AO194" i="1"/>
  <c r="AO196" i="1"/>
  <c r="AO204" i="1"/>
  <c r="AO207" i="1"/>
  <c r="AO213" i="1"/>
  <c r="AO210" i="1"/>
  <c r="AN284" i="1"/>
  <c r="AN217" i="1"/>
  <c r="AN219" i="1"/>
  <c r="AN287" i="1"/>
  <c r="AN290" i="1"/>
  <c r="AN292" i="1"/>
  <c r="AN294" i="1"/>
  <c r="AN296" i="1"/>
  <c r="AN298" i="1"/>
  <c r="AN300" i="1"/>
  <c r="AN302" i="1"/>
  <c r="AN17" i="1"/>
  <c r="AN19" i="1"/>
  <c r="AN23" i="1"/>
  <c r="AN40" i="1"/>
  <c r="AN42" i="1"/>
  <c r="AN48" i="1"/>
  <c r="AN51" i="1"/>
  <c r="AN53" i="1"/>
  <c r="AN55" i="1"/>
  <c r="AN57" i="1"/>
  <c r="AN59" i="1"/>
  <c r="AN61" i="1"/>
  <c r="AN64" i="1"/>
  <c r="AN66" i="1"/>
  <c r="AN69" i="1"/>
  <c r="AN71" i="1"/>
  <c r="AN74" i="1"/>
  <c r="AN76" i="1"/>
  <c r="AN79" i="1"/>
  <c r="AN81" i="1"/>
  <c r="AN83" i="1"/>
  <c r="AN85" i="1"/>
  <c r="AN87" i="1"/>
  <c r="AN90" i="1"/>
  <c r="AN93" i="1"/>
  <c r="AN106" i="1"/>
  <c r="AN109" i="1"/>
  <c r="AN113" i="1"/>
  <c r="AN115" i="1"/>
  <c r="AN118" i="1"/>
  <c r="AN120" i="1"/>
  <c r="AN122" i="1"/>
  <c r="AN124" i="1"/>
  <c r="AN127" i="1"/>
  <c r="AN131" i="1"/>
  <c r="AN135" i="1"/>
  <c r="AN139" i="1"/>
  <c r="AN141" i="1"/>
  <c r="AN143" i="1"/>
  <c r="AN148" i="1"/>
  <c r="AN152" i="1"/>
  <c r="AN155" i="1"/>
  <c r="AN162" i="1"/>
  <c r="AN165" i="1"/>
  <c r="AN169" i="1"/>
  <c r="AN171" i="1"/>
  <c r="AN174" i="1"/>
  <c r="AN177" i="1"/>
  <c r="AN179" i="1"/>
  <c r="AN184" i="1"/>
  <c r="AN188" i="1"/>
  <c r="AN190" i="1"/>
  <c r="AN192" i="1"/>
  <c r="AN194" i="1"/>
  <c r="AN196" i="1"/>
  <c r="AN204" i="1"/>
  <c r="AN207" i="1"/>
  <c r="AN213" i="1"/>
  <c r="AN210" i="1"/>
  <c r="AM284" i="1"/>
  <c r="AM217" i="1"/>
  <c r="AM219" i="1"/>
  <c r="AM287" i="1"/>
  <c r="AM290" i="1"/>
  <c r="AM292" i="1"/>
  <c r="AM294" i="1"/>
  <c r="AM296" i="1"/>
  <c r="AM298" i="1"/>
  <c r="AM300" i="1"/>
  <c r="AM302" i="1"/>
  <c r="AM17" i="1"/>
  <c r="AM19" i="1"/>
  <c r="AM23" i="1"/>
  <c r="AM41" i="1"/>
  <c r="AM46" i="1"/>
  <c r="AM48" i="1"/>
  <c r="AM50" i="1"/>
  <c r="AM53" i="1"/>
  <c r="AM55" i="1"/>
  <c r="AM57" i="1"/>
  <c r="AM59" i="1"/>
  <c r="AM61" i="1"/>
  <c r="AM64" i="1"/>
  <c r="AM66" i="1"/>
  <c r="AM69" i="1"/>
  <c r="AM71" i="1"/>
  <c r="AM74" i="1"/>
  <c r="AM76" i="1"/>
  <c r="AM79" i="1"/>
  <c r="AM81" i="1"/>
  <c r="AM83" i="1"/>
  <c r="AM85" i="1"/>
  <c r="AM87" i="1"/>
  <c r="AM90" i="1"/>
  <c r="AM93" i="1"/>
  <c r="AM106" i="1"/>
  <c r="AM109" i="1"/>
  <c r="AM113" i="1"/>
  <c r="AM115" i="1"/>
  <c r="AM118" i="1"/>
  <c r="AM120" i="1"/>
  <c r="AM122" i="1"/>
  <c r="AM124" i="1"/>
  <c r="AM127" i="1"/>
  <c r="AM131" i="1"/>
  <c r="AM135" i="1"/>
  <c r="AM139" i="1"/>
  <c r="AM141" i="1"/>
  <c r="AM143" i="1"/>
  <c r="AM148" i="1"/>
  <c r="AM152" i="1"/>
  <c r="AM155" i="1"/>
  <c r="AM162" i="1"/>
  <c r="AM165" i="1"/>
  <c r="AM169" i="1"/>
  <c r="AM171" i="1"/>
  <c r="AM174" i="1"/>
  <c r="AM177" i="1"/>
  <c r="AM179" i="1"/>
  <c r="AM184" i="1"/>
  <c r="AM188" i="1"/>
  <c r="AM190" i="1"/>
  <c r="AM192" i="1"/>
  <c r="AM194" i="1"/>
  <c r="AM196" i="1"/>
  <c r="AM204" i="1"/>
  <c r="AM207" i="1"/>
  <c r="AM213" i="1"/>
  <c r="AM210" i="1"/>
  <c r="AL284" i="1"/>
  <c r="AL217" i="1"/>
  <c r="AL219" i="1"/>
  <c r="AL287" i="1"/>
  <c r="AL290" i="1"/>
  <c r="AL292" i="1"/>
  <c r="AL294" i="1"/>
  <c r="AL296" i="1"/>
  <c r="AL298" i="1"/>
  <c r="AL300" i="1"/>
  <c r="AL302" i="1"/>
  <c r="AL17" i="1"/>
  <c r="AL19" i="1"/>
  <c r="AL23" i="1"/>
  <c r="AL40" i="1"/>
  <c r="AL42" i="1"/>
  <c r="AL48" i="1"/>
  <c r="AL50" i="1"/>
  <c r="AL53" i="1"/>
  <c r="AL55" i="1"/>
  <c r="AL57" i="1"/>
  <c r="AL59" i="1"/>
  <c r="AL61" i="1"/>
  <c r="AL64" i="1"/>
  <c r="AL66" i="1"/>
  <c r="AL69" i="1"/>
  <c r="AL71" i="1"/>
  <c r="AL74" i="1"/>
  <c r="AL76" i="1"/>
  <c r="AL79" i="1"/>
  <c r="AL81" i="1"/>
  <c r="AL83" i="1"/>
  <c r="AL85" i="1"/>
  <c r="AL87" i="1"/>
  <c r="AL90" i="1"/>
  <c r="AL93" i="1"/>
  <c r="AL106" i="1"/>
  <c r="AL109" i="1"/>
  <c r="AL113" i="1"/>
  <c r="AL115" i="1"/>
  <c r="AL118" i="1"/>
  <c r="AL120" i="1"/>
  <c r="AL122" i="1"/>
  <c r="AL124" i="1"/>
  <c r="AL127" i="1"/>
  <c r="AL131" i="1"/>
  <c r="AL135" i="1"/>
  <c r="AL139" i="1"/>
  <c r="AL141" i="1"/>
  <c r="AL143" i="1"/>
  <c r="AL148" i="1"/>
  <c r="AL152" i="1"/>
  <c r="AL155" i="1"/>
  <c r="AL162" i="1"/>
  <c r="AL165" i="1"/>
  <c r="AL169" i="1"/>
  <c r="AL171" i="1"/>
  <c r="AL174" i="1"/>
  <c r="AL177" i="1"/>
  <c r="AL179" i="1"/>
  <c r="AL184" i="1"/>
  <c r="AL188" i="1"/>
  <c r="AL190" i="1"/>
  <c r="AL192" i="1"/>
  <c r="AL194" i="1"/>
  <c r="AL196" i="1"/>
  <c r="AL204" i="1"/>
  <c r="AL207" i="1"/>
  <c r="AL213" i="1"/>
  <c r="AL210" i="1"/>
  <c r="AK284" i="1"/>
  <c r="AK217" i="1"/>
  <c r="AK219" i="1"/>
  <c r="AK287" i="1"/>
  <c r="AK290" i="1"/>
  <c r="AK292" i="1"/>
  <c r="AK294" i="1"/>
  <c r="AK296" i="1"/>
  <c r="AK298" i="1"/>
  <c r="AK300" i="1"/>
  <c r="AK302" i="1"/>
  <c r="AK17" i="1"/>
  <c r="AK19" i="1"/>
  <c r="AK23" i="1"/>
  <c r="AK40" i="1"/>
  <c r="AK42" i="1"/>
  <c r="AK48" i="1"/>
  <c r="AK50" i="1"/>
  <c r="AK53" i="1"/>
  <c r="AK55" i="1"/>
  <c r="AK57" i="1"/>
  <c r="AK59" i="1"/>
  <c r="AK61" i="1"/>
  <c r="AK64" i="1"/>
  <c r="AK66" i="1"/>
  <c r="AK69" i="1"/>
  <c r="AK71" i="1"/>
  <c r="AK74" i="1"/>
  <c r="AK76" i="1"/>
  <c r="AK79" i="1"/>
  <c r="AK81" i="1"/>
  <c r="AK83" i="1"/>
  <c r="AK85" i="1"/>
  <c r="AK87" i="1"/>
  <c r="AK90" i="1"/>
  <c r="AK93" i="1"/>
  <c r="AK106" i="1"/>
  <c r="AK109" i="1"/>
  <c r="AK113" i="1"/>
  <c r="AK115" i="1"/>
  <c r="AK118" i="1"/>
  <c r="AK120" i="1"/>
  <c r="AK122" i="1"/>
  <c r="AK124" i="1"/>
  <c r="AK127" i="1"/>
  <c r="AK131" i="1"/>
  <c r="AK135" i="1"/>
  <c r="AK139" i="1"/>
  <c r="AK141" i="1"/>
  <c r="AK143" i="1"/>
  <c r="AK148" i="1"/>
  <c r="AK152" i="1"/>
  <c r="AK155" i="1"/>
  <c r="AK162" i="1"/>
  <c r="AK165" i="1"/>
  <c r="AK169" i="1"/>
  <c r="AK171" i="1"/>
  <c r="AK174" i="1"/>
  <c r="AK177" i="1"/>
  <c r="AK179" i="1"/>
  <c r="AK184" i="1"/>
  <c r="AK188" i="1"/>
  <c r="AK190" i="1"/>
  <c r="AK192" i="1"/>
  <c r="AK194" i="1"/>
  <c r="AK196" i="1"/>
  <c r="AK204" i="1"/>
  <c r="AK207" i="1"/>
  <c r="AK213" i="1"/>
  <c r="AK210" i="1"/>
  <c r="AJ284" i="1"/>
  <c r="AJ217" i="1"/>
  <c r="AJ219" i="1"/>
  <c r="AJ287" i="1"/>
  <c r="AJ290" i="1"/>
  <c r="AJ292" i="1"/>
  <c r="AJ294" i="1"/>
  <c r="AJ296" i="1"/>
  <c r="AJ298" i="1"/>
  <c r="AJ300" i="1"/>
  <c r="AJ302" i="1"/>
  <c r="AJ17" i="1"/>
  <c r="AJ19" i="1"/>
  <c r="AJ23" i="1"/>
  <c r="AJ40" i="1"/>
  <c r="AJ46" i="1"/>
  <c r="AJ48" i="1"/>
  <c r="AJ50" i="1"/>
  <c r="AJ53" i="1"/>
  <c r="AJ55" i="1"/>
  <c r="AJ57" i="1"/>
  <c r="AJ59" i="1"/>
  <c r="AJ61" i="1"/>
  <c r="AJ64" i="1"/>
  <c r="AJ66" i="1"/>
  <c r="AJ69" i="1"/>
  <c r="AJ71" i="1"/>
  <c r="AJ74" i="1"/>
  <c r="AJ76" i="1"/>
  <c r="AJ79" i="1"/>
  <c r="AJ81" i="1"/>
  <c r="AJ83" i="1"/>
  <c r="AJ85" i="1"/>
  <c r="AJ87" i="1"/>
  <c r="AJ90" i="1"/>
  <c r="AJ93" i="1"/>
  <c r="AJ106" i="1"/>
  <c r="AJ109" i="1"/>
  <c r="AJ113" i="1"/>
  <c r="AJ115" i="1"/>
  <c r="AJ118" i="1"/>
  <c r="AJ120" i="1"/>
  <c r="AJ122" i="1"/>
  <c r="AJ124" i="1"/>
  <c r="AJ127" i="1"/>
  <c r="AJ131" i="1"/>
  <c r="AJ135" i="1"/>
  <c r="AJ139" i="1"/>
  <c r="AJ141" i="1"/>
  <c r="AJ143" i="1"/>
  <c r="AJ148" i="1"/>
  <c r="AJ152" i="1"/>
  <c r="AJ155" i="1"/>
  <c r="AJ162" i="1"/>
  <c r="AJ165" i="1"/>
  <c r="AJ169" i="1"/>
  <c r="AJ171" i="1"/>
  <c r="AJ174" i="1"/>
  <c r="AJ177" i="1"/>
  <c r="AJ179" i="1"/>
  <c r="AJ184" i="1"/>
  <c r="AJ188" i="1"/>
  <c r="AJ190" i="1"/>
  <c r="AJ192" i="1"/>
  <c r="AJ194" i="1"/>
  <c r="AJ196" i="1"/>
  <c r="AJ204" i="1"/>
  <c r="AJ207" i="1"/>
  <c r="AJ213" i="1"/>
  <c r="AJ210" i="1"/>
  <c r="AI284" i="1"/>
  <c r="AI217" i="1"/>
  <c r="AI219" i="1"/>
  <c r="AI287" i="1"/>
  <c r="AI290" i="1"/>
  <c r="AI292" i="1"/>
  <c r="AI294" i="1"/>
  <c r="AI296" i="1"/>
  <c r="AI298" i="1"/>
  <c r="AI300" i="1"/>
  <c r="AI302" i="1"/>
  <c r="AI17" i="1"/>
  <c r="AI19" i="1"/>
  <c r="AI23" i="1"/>
  <c r="AI40" i="1"/>
  <c r="AI42" i="1"/>
  <c r="AI48" i="1"/>
  <c r="AI50" i="1"/>
  <c r="AI53" i="1"/>
  <c r="AI55" i="1"/>
  <c r="AI57" i="1"/>
  <c r="AI59" i="1"/>
  <c r="AI61" i="1"/>
  <c r="AI64" i="1"/>
  <c r="AI66" i="1"/>
  <c r="AI69" i="1"/>
  <c r="AI71" i="1"/>
  <c r="AI74" i="1"/>
  <c r="AI76" i="1"/>
  <c r="AI79" i="1"/>
  <c r="AI81" i="1"/>
  <c r="AI83" i="1"/>
  <c r="AI85" i="1"/>
  <c r="AI87" i="1"/>
  <c r="AI90" i="1"/>
  <c r="AI93" i="1"/>
  <c r="AI106" i="1"/>
  <c r="AI109" i="1"/>
  <c r="AI113" i="1"/>
  <c r="AI115" i="1"/>
  <c r="AI118" i="1"/>
  <c r="AI120" i="1"/>
  <c r="AI122" i="1"/>
  <c r="AI124" i="1"/>
  <c r="AI127" i="1"/>
  <c r="AI133" i="1"/>
  <c r="AE133" i="1"/>
  <c r="AI135" i="1"/>
  <c r="AI139" i="1"/>
  <c r="AI141" i="1"/>
  <c r="AI143" i="1"/>
  <c r="AI148" i="1"/>
  <c r="AI152" i="1"/>
  <c r="AI155" i="1"/>
  <c r="AI162" i="1"/>
  <c r="AI165" i="1"/>
  <c r="AI169" i="1"/>
  <c r="AI171" i="1"/>
  <c r="AI174" i="1"/>
  <c r="AI177" i="1"/>
  <c r="AI179" i="1"/>
  <c r="AI184" i="1"/>
  <c r="AI188" i="1"/>
  <c r="AI190" i="1"/>
  <c r="AI192" i="1"/>
  <c r="AI194" i="1"/>
  <c r="AI196" i="1"/>
  <c r="AI204" i="1"/>
  <c r="AI207" i="1"/>
  <c r="AI213" i="1"/>
  <c r="AI210" i="1"/>
  <c r="AH284" i="1"/>
  <c r="AH217" i="1"/>
  <c r="AH219" i="1"/>
  <c r="AH287" i="1"/>
  <c r="AH290" i="1"/>
  <c r="AH292" i="1"/>
  <c r="AH294" i="1"/>
  <c r="AH296" i="1"/>
  <c r="AH298" i="1"/>
  <c r="AH300" i="1"/>
  <c r="AH302" i="1"/>
  <c r="AH17" i="1"/>
  <c r="AH19" i="1"/>
  <c r="AH23" i="1"/>
  <c r="AH40" i="1"/>
  <c r="AH46" i="1"/>
  <c r="AH48" i="1"/>
  <c r="AH50" i="1"/>
  <c r="AH53" i="1"/>
  <c r="AH55" i="1"/>
  <c r="AH57" i="1"/>
  <c r="AH59" i="1"/>
  <c r="AH61" i="1"/>
  <c r="AH64" i="1"/>
  <c r="AH66" i="1"/>
  <c r="AH69" i="1"/>
  <c r="AH71" i="1"/>
  <c r="AH74" i="1"/>
  <c r="AH76" i="1"/>
  <c r="AH79" i="1"/>
  <c r="AH81" i="1"/>
  <c r="AH83" i="1"/>
  <c r="AH85" i="1"/>
  <c r="AH87" i="1"/>
  <c r="AH90" i="1"/>
  <c r="AH93" i="1"/>
  <c r="AH106" i="1"/>
  <c r="AH109" i="1"/>
  <c r="AH113" i="1"/>
  <c r="AH115" i="1"/>
  <c r="AH118" i="1"/>
  <c r="AH120" i="1"/>
  <c r="AH122" i="1"/>
  <c r="AH124" i="1"/>
  <c r="AH127" i="1"/>
  <c r="AH131" i="1"/>
  <c r="AH135" i="1"/>
  <c r="AH139" i="1"/>
  <c r="AH141" i="1"/>
  <c r="AH143" i="1"/>
  <c r="AH148" i="1"/>
  <c r="AH152" i="1"/>
  <c r="AH155" i="1"/>
  <c r="AH162" i="1"/>
  <c r="AH165" i="1"/>
  <c r="AH169" i="1"/>
  <c r="AH171" i="1"/>
  <c r="AH174" i="1"/>
  <c r="AH177" i="1"/>
  <c r="AH179" i="1"/>
  <c r="AH184" i="1"/>
  <c r="AH188" i="1"/>
  <c r="AH190" i="1"/>
  <c r="AH192" i="1"/>
  <c r="AH194" i="1"/>
  <c r="AH196" i="1"/>
  <c r="AH204" i="1"/>
  <c r="AH207" i="1"/>
  <c r="AH213" i="1"/>
  <c r="AH210" i="1"/>
  <c r="AG284" i="1"/>
  <c r="AG217" i="1"/>
  <c r="AG219" i="1"/>
  <c r="AG287" i="1"/>
  <c r="AG290" i="1"/>
  <c r="AG294" i="1"/>
  <c r="AG296" i="1"/>
  <c r="AG298" i="1"/>
  <c r="AG300" i="1"/>
  <c r="AG302" i="1"/>
  <c r="AG17" i="1"/>
  <c r="AG19" i="1"/>
  <c r="AG23" i="1"/>
  <c r="AG40" i="1"/>
  <c r="AG46" i="1"/>
  <c r="AG48" i="1"/>
  <c r="AG51" i="1"/>
  <c r="AG53" i="1"/>
  <c r="AG55" i="1"/>
  <c r="AG57" i="1"/>
  <c r="AG59" i="1"/>
  <c r="AG61" i="1"/>
  <c r="AG64" i="1"/>
  <c r="AG66" i="1"/>
  <c r="AG69" i="1"/>
  <c r="AG71" i="1"/>
  <c r="AG74" i="1"/>
  <c r="AG76" i="1"/>
  <c r="AG79" i="1"/>
  <c r="AG81" i="1"/>
  <c r="AG83" i="1"/>
  <c r="AG85" i="1"/>
  <c r="AG87" i="1"/>
  <c r="AG90" i="1"/>
  <c r="AG93" i="1"/>
  <c r="AG106" i="1"/>
  <c r="AG109" i="1"/>
  <c r="AG113" i="1"/>
  <c r="AG115" i="1"/>
  <c r="AG118" i="1"/>
  <c r="AG120" i="1"/>
  <c r="AG122" i="1"/>
  <c r="AG124" i="1"/>
  <c r="AG127" i="1"/>
  <c r="AG131" i="1"/>
  <c r="AG135" i="1"/>
  <c r="AG139" i="1"/>
  <c r="AG141" i="1"/>
  <c r="AG143" i="1"/>
  <c r="AG148" i="1"/>
  <c r="AG152" i="1"/>
  <c r="AG155" i="1"/>
  <c r="AG162" i="1"/>
  <c r="AG165" i="1"/>
  <c r="AG169" i="1"/>
  <c r="AG171" i="1"/>
  <c r="AG174" i="1"/>
  <c r="AG177" i="1"/>
  <c r="AG179" i="1"/>
  <c r="AG184" i="1"/>
  <c r="AG188" i="1"/>
  <c r="AG190" i="1"/>
  <c r="AG192" i="1"/>
  <c r="AG194" i="1"/>
  <c r="AG196" i="1"/>
  <c r="AG204" i="1"/>
  <c r="AG207" i="1"/>
  <c r="AG213" i="1"/>
  <c r="AG210" i="1"/>
  <c r="AF284" i="1"/>
  <c r="AF217" i="1"/>
  <c r="AF219" i="1"/>
  <c r="AF287" i="1"/>
  <c r="AF290" i="1"/>
  <c r="AF292" i="1"/>
  <c r="AF294" i="1"/>
  <c r="AF296" i="1"/>
  <c r="AF298" i="1"/>
  <c r="AF300" i="1"/>
  <c r="AF302" i="1"/>
  <c r="AF17" i="1"/>
  <c r="AF19" i="1"/>
  <c r="AF23" i="1"/>
  <c r="AF40" i="1"/>
  <c r="AF42" i="1"/>
  <c r="AF48" i="1"/>
  <c r="AF50" i="1"/>
  <c r="AF53" i="1"/>
  <c r="AF55" i="1"/>
  <c r="AF57" i="1"/>
  <c r="AF59" i="1"/>
  <c r="AF61" i="1"/>
  <c r="AF64" i="1"/>
  <c r="AF66" i="1"/>
  <c r="AF69" i="1"/>
  <c r="AF71" i="1"/>
  <c r="AF74" i="1"/>
  <c r="AF76" i="1"/>
  <c r="AF79" i="1"/>
  <c r="AF81" i="1"/>
  <c r="AF83" i="1"/>
  <c r="AF85" i="1"/>
  <c r="AF87" i="1"/>
  <c r="AF90" i="1"/>
  <c r="AF93" i="1"/>
  <c r="AF106" i="1"/>
  <c r="AF109" i="1"/>
  <c r="AF113" i="1"/>
  <c r="AF115" i="1"/>
  <c r="AF118" i="1"/>
  <c r="AF120" i="1"/>
  <c r="AF122" i="1"/>
  <c r="AF124" i="1"/>
  <c r="AF127" i="1"/>
  <c r="AF131" i="1"/>
  <c r="AF135" i="1"/>
  <c r="AF139" i="1"/>
  <c r="AF141" i="1"/>
  <c r="AF143" i="1"/>
  <c r="AF148" i="1"/>
  <c r="AF152" i="1"/>
  <c r="AF155" i="1"/>
  <c r="AF162" i="1"/>
  <c r="AF165" i="1"/>
  <c r="AF169" i="1"/>
  <c r="AF171" i="1"/>
  <c r="AF174" i="1"/>
  <c r="AF177" i="1"/>
  <c r="AF179" i="1"/>
  <c r="AF184" i="1"/>
  <c r="AF188" i="1"/>
  <c r="AF190" i="1"/>
  <c r="AF192" i="1"/>
  <c r="AF194" i="1"/>
  <c r="AF196" i="1"/>
  <c r="AF204" i="1"/>
  <c r="AF207" i="1"/>
  <c r="AF213" i="1"/>
  <c r="AF210" i="1"/>
  <c r="AE223" i="1"/>
  <c r="AE285" i="1"/>
  <c r="AE218" i="1"/>
  <c r="AE220" i="1"/>
  <c r="AE221" i="1"/>
  <c r="AE288" i="1"/>
  <c r="AE291" i="1"/>
  <c r="AE295" i="1"/>
  <c r="AE301" i="1"/>
  <c r="AE303" i="1"/>
  <c r="AE18" i="1"/>
  <c r="AE20" i="1"/>
  <c r="AE21" i="1"/>
  <c r="AE22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3" i="1"/>
  <c r="AE45" i="1"/>
  <c r="AE47" i="1"/>
  <c r="AE49" i="1"/>
  <c r="AE54" i="1"/>
  <c r="AE56" i="1"/>
  <c r="AE58" i="1"/>
  <c r="AE60" i="1"/>
  <c r="AE62" i="1"/>
  <c r="AE65" i="1"/>
  <c r="AE67" i="1"/>
  <c r="AE70" i="1"/>
  <c r="AE72" i="1"/>
  <c r="AE75" i="1"/>
  <c r="AE77" i="1"/>
  <c r="AE78" i="1"/>
  <c r="AE80" i="1"/>
  <c r="AE82" i="1"/>
  <c r="AE84" i="1"/>
  <c r="AE86" i="1"/>
  <c r="AE88" i="1"/>
  <c r="AE91" i="1"/>
  <c r="AE92" i="1"/>
  <c r="AE94" i="1"/>
  <c r="AE95" i="1"/>
  <c r="AE96" i="1"/>
  <c r="AE99" i="1"/>
  <c r="AE100" i="1"/>
  <c r="AE101" i="1"/>
  <c r="AE102" i="1"/>
  <c r="AE103" i="1"/>
  <c r="AE104" i="1"/>
  <c r="AE107" i="1"/>
  <c r="AE110" i="1"/>
  <c r="AE111" i="1"/>
  <c r="AE114" i="1"/>
  <c r="AE116" i="1"/>
  <c r="AE119" i="1"/>
  <c r="AE121" i="1"/>
  <c r="AE125" i="1"/>
  <c r="AE128" i="1"/>
  <c r="AE129" i="1"/>
  <c r="AE130" i="1"/>
  <c r="AE132" i="1"/>
  <c r="AE134" i="1"/>
  <c r="AE136" i="1"/>
  <c r="AE137" i="1"/>
  <c r="AE138" i="1"/>
  <c r="AE140" i="1"/>
  <c r="AE142" i="1"/>
  <c r="AE144" i="1"/>
  <c r="AE145" i="1"/>
  <c r="AE146" i="1"/>
  <c r="AE149" i="1"/>
  <c r="AE150" i="1"/>
  <c r="AE151" i="1"/>
  <c r="AE153" i="1"/>
  <c r="AE154" i="1"/>
  <c r="AE156" i="1"/>
  <c r="AE157" i="1"/>
  <c r="AE158" i="1"/>
  <c r="AE159" i="1"/>
  <c r="AE160" i="1"/>
  <c r="AE163" i="1"/>
  <c r="AE166" i="1"/>
  <c r="AE167" i="1"/>
  <c r="AE170" i="1"/>
  <c r="AE172" i="1"/>
  <c r="AE173" i="1"/>
  <c r="AE175" i="1"/>
  <c r="AE176" i="1"/>
  <c r="AE178" i="1"/>
  <c r="AE180" i="1"/>
  <c r="AE182" i="1"/>
  <c r="AE183" i="1"/>
  <c r="AE185" i="1"/>
  <c r="AE186" i="1"/>
  <c r="AE187" i="1"/>
  <c r="AE189" i="1"/>
  <c r="AE191" i="1"/>
  <c r="AE193" i="1"/>
  <c r="AE195" i="1"/>
  <c r="AE197" i="1"/>
  <c r="AE198" i="1"/>
  <c r="AE199" i="1"/>
  <c r="AE200" i="1"/>
  <c r="AE201" i="1"/>
  <c r="AE202" i="1"/>
  <c r="AE203" i="1"/>
  <c r="AE205" i="1"/>
  <c r="AE208" i="1"/>
  <c r="AE214" i="1"/>
  <c r="AE215" i="1"/>
  <c r="AE211" i="1"/>
  <c r="AC284" i="1"/>
  <c r="AC217" i="1"/>
  <c r="AC219" i="1"/>
  <c r="AC287" i="1"/>
  <c r="AC290" i="1"/>
  <c r="AC292" i="1"/>
  <c r="AC294" i="1"/>
  <c r="AC296" i="1"/>
  <c r="AC298" i="1"/>
  <c r="AC300" i="1"/>
  <c r="AC302" i="1"/>
  <c r="AC17" i="1"/>
  <c r="AC19" i="1"/>
  <c r="AC23" i="1"/>
  <c r="AC40" i="1"/>
  <c r="AC42" i="1"/>
  <c r="AC48" i="1"/>
  <c r="AC50" i="1"/>
  <c r="AC53" i="1"/>
  <c r="AC55" i="1"/>
  <c r="AC57" i="1"/>
  <c r="AC59" i="1"/>
  <c r="AC61" i="1"/>
  <c r="AC64" i="1"/>
  <c r="AC66" i="1"/>
  <c r="AC69" i="1"/>
  <c r="AC71" i="1"/>
  <c r="AC74" i="1"/>
  <c r="AC76" i="1"/>
  <c r="AC79" i="1"/>
  <c r="AC81" i="1"/>
  <c r="AC83" i="1"/>
  <c r="AC85" i="1"/>
  <c r="AC87" i="1"/>
  <c r="AC90" i="1"/>
  <c r="AC93" i="1"/>
  <c r="AC106" i="1"/>
  <c r="AC109" i="1"/>
  <c r="AC113" i="1"/>
  <c r="AC115" i="1"/>
  <c r="AC118" i="1"/>
  <c r="AC120" i="1"/>
  <c r="AC122" i="1"/>
  <c r="AC124" i="1"/>
  <c r="AC127" i="1"/>
  <c r="AC131" i="1"/>
  <c r="AC135" i="1"/>
  <c r="AC139" i="1"/>
  <c r="AC141" i="1"/>
  <c r="AC143" i="1"/>
  <c r="AC148" i="1"/>
  <c r="AC152" i="1"/>
  <c r="AC155" i="1"/>
  <c r="AC162" i="1"/>
  <c r="AC165" i="1"/>
  <c r="AC169" i="1"/>
  <c r="AC171" i="1"/>
  <c r="AC174" i="1"/>
  <c r="AC177" i="1"/>
  <c r="AC179" i="1"/>
  <c r="AC184" i="1"/>
  <c r="AC188" i="1"/>
  <c r="AC190" i="1"/>
  <c r="AC192" i="1"/>
  <c r="AC194" i="1"/>
  <c r="AC196" i="1"/>
  <c r="AC204" i="1"/>
  <c r="AC207" i="1"/>
  <c r="AC213" i="1"/>
  <c r="AC210" i="1"/>
  <c r="AB284" i="1"/>
  <c r="AB217" i="1"/>
  <c r="AB219" i="1"/>
  <c r="AB287" i="1"/>
  <c r="AB290" i="1"/>
  <c r="AB292" i="1"/>
  <c r="AB294" i="1"/>
  <c r="AB296" i="1"/>
  <c r="AB298" i="1"/>
  <c r="AB300" i="1"/>
  <c r="AB302" i="1"/>
  <c r="AB17" i="1"/>
  <c r="AB19" i="1"/>
  <c r="AB23" i="1"/>
  <c r="AB40" i="1"/>
  <c r="AB46" i="1"/>
  <c r="AB48" i="1"/>
  <c r="AB50" i="1"/>
  <c r="AB53" i="1"/>
  <c r="AB55" i="1"/>
  <c r="AB57" i="1"/>
  <c r="AB59" i="1"/>
  <c r="AB61" i="1"/>
  <c r="AB64" i="1"/>
  <c r="AB66" i="1"/>
  <c r="AB69" i="1"/>
  <c r="AB71" i="1"/>
  <c r="AB74" i="1"/>
  <c r="AB76" i="1"/>
  <c r="AB79" i="1"/>
  <c r="AB81" i="1"/>
  <c r="AB83" i="1"/>
  <c r="AB85" i="1"/>
  <c r="AB87" i="1"/>
  <c r="AB90" i="1"/>
  <c r="AB93" i="1"/>
  <c r="AB106" i="1"/>
  <c r="AB109" i="1"/>
  <c r="AB113" i="1"/>
  <c r="AB115" i="1"/>
  <c r="AB118" i="1"/>
  <c r="AB120" i="1"/>
  <c r="AB122" i="1"/>
  <c r="AB124" i="1"/>
  <c r="AB127" i="1"/>
  <c r="AB131" i="1"/>
  <c r="AB135" i="1"/>
  <c r="AB139" i="1"/>
  <c r="AB141" i="1"/>
  <c r="AB143" i="1"/>
  <c r="AB148" i="1"/>
  <c r="AB152" i="1"/>
  <c r="AB155" i="1"/>
  <c r="AB162" i="1"/>
  <c r="AB165" i="1"/>
  <c r="AB169" i="1"/>
  <c r="AB171" i="1"/>
  <c r="AB174" i="1"/>
  <c r="AB177" i="1"/>
  <c r="AB179" i="1"/>
  <c r="AB184" i="1"/>
  <c r="AB188" i="1"/>
  <c r="AB190" i="1"/>
  <c r="AB192" i="1"/>
  <c r="AB194" i="1"/>
  <c r="AB196" i="1"/>
  <c r="AB204" i="1"/>
  <c r="AB207" i="1"/>
  <c r="AB213" i="1"/>
  <c r="AB210" i="1"/>
  <c r="AA284" i="1"/>
  <c r="AA217" i="1"/>
  <c r="AA219" i="1"/>
  <c r="AA287" i="1"/>
  <c r="AA290" i="1"/>
  <c r="AA292" i="1"/>
  <c r="AA294" i="1"/>
  <c r="AA296" i="1"/>
  <c r="AA298" i="1"/>
  <c r="AA300" i="1"/>
  <c r="AA302" i="1"/>
  <c r="AA17" i="1"/>
  <c r="AA19" i="1"/>
  <c r="AA36" i="1"/>
  <c r="AA40" i="1"/>
  <c r="AA46" i="1"/>
  <c r="AA48" i="1"/>
  <c r="AA50" i="1"/>
  <c r="AA53" i="1"/>
  <c r="AA55" i="1"/>
  <c r="AA57" i="1"/>
  <c r="AA59" i="1"/>
  <c r="AA61" i="1"/>
  <c r="AA64" i="1"/>
  <c r="AA66" i="1"/>
  <c r="AA69" i="1"/>
  <c r="AA71" i="1"/>
  <c r="AA74" i="1"/>
  <c r="AA76" i="1"/>
  <c r="AA79" i="1"/>
  <c r="AA81" i="1"/>
  <c r="AA83" i="1"/>
  <c r="AA85" i="1"/>
  <c r="AA87" i="1"/>
  <c r="AA90" i="1"/>
  <c r="AA93" i="1"/>
  <c r="AA106" i="1"/>
  <c r="AA109" i="1"/>
  <c r="AA113" i="1"/>
  <c r="AA115" i="1"/>
  <c r="AA118" i="1"/>
  <c r="AA120" i="1"/>
  <c r="AA122" i="1"/>
  <c r="AA124" i="1"/>
  <c r="AA127" i="1"/>
  <c r="AA131" i="1"/>
  <c r="AA135" i="1"/>
  <c r="AA139" i="1"/>
  <c r="AA141" i="1"/>
  <c r="AA143" i="1"/>
  <c r="AA148" i="1"/>
  <c r="AA152" i="1"/>
  <c r="AA155" i="1"/>
  <c r="AA162" i="1"/>
  <c r="AA165" i="1"/>
  <c r="AA169" i="1"/>
  <c r="AA173" i="1"/>
  <c r="AA174" i="1"/>
  <c r="AA177" i="1"/>
  <c r="AA179" i="1"/>
  <c r="AA184" i="1"/>
  <c r="AA188" i="1"/>
  <c r="AA190" i="1"/>
  <c r="AA192" i="1"/>
  <c r="AA194" i="1"/>
  <c r="AA196" i="1"/>
  <c r="AA204" i="1"/>
  <c r="AA207" i="1"/>
  <c r="AA213" i="1"/>
  <c r="AA210" i="1"/>
  <c r="Z284" i="1"/>
  <c r="Z217" i="1"/>
  <c r="Z219" i="1"/>
  <c r="Z287" i="1"/>
  <c r="Z290" i="1"/>
  <c r="Z294" i="1"/>
  <c r="Z296" i="1"/>
  <c r="Z298" i="1"/>
  <c r="Z300" i="1"/>
  <c r="Z302" i="1"/>
  <c r="Z17" i="1"/>
  <c r="Z19" i="1"/>
  <c r="Z23" i="1"/>
  <c r="Z40" i="1"/>
  <c r="Z42" i="1"/>
  <c r="Z48" i="1"/>
  <c r="Z50" i="1"/>
  <c r="Z53" i="1"/>
  <c r="Z55" i="1"/>
  <c r="Z57" i="1"/>
  <c r="Z59" i="1"/>
  <c r="Z61" i="1"/>
  <c r="Z64" i="1"/>
  <c r="Z66" i="1"/>
  <c r="Z69" i="1"/>
  <c r="Z71" i="1"/>
  <c r="Z75" i="1"/>
  <c r="Z76" i="1"/>
  <c r="Z79" i="1"/>
  <c r="Z81" i="1"/>
  <c r="Z83" i="1"/>
  <c r="Z85" i="1"/>
  <c r="Z87" i="1"/>
  <c r="Z90" i="1"/>
  <c r="Z93" i="1"/>
  <c r="Z106" i="1"/>
  <c r="Z109" i="1"/>
  <c r="Z113" i="1"/>
  <c r="Z115" i="1"/>
  <c r="Z118" i="1"/>
  <c r="Z120" i="1"/>
  <c r="Z122" i="1"/>
  <c r="Z124" i="1"/>
  <c r="Z127" i="1"/>
  <c r="Z131" i="1"/>
  <c r="Z135" i="1"/>
  <c r="Z139" i="1"/>
  <c r="Z141" i="1"/>
  <c r="Z143" i="1"/>
  <c r="Z148" i="1"/>
  <c r="Z152" i="1"/>
  <c r="Z155" i="1"/>
  <c r="Z162" i="1"/>
  <c r="Z165" i="1"/>
  <c r="Z169" i="1"/>
  <c r="Z171" i="1"/>
  <c r="Z174" i="1"/>
  <c r="Z177" i="1"/>
  <c r="Z179" i="1"/>
  <c r="Z184" i="1"/>
  <c r="Z188" i="1"/>
  <c r="Z190" i="1"/>
  <c r="Z192" i="1"/>
  <c r="Z194" i="1"/>
  <c r="Z196" i="1"/>
  <c r="Z204" i="1"/>
  <c r="Z207" i="1"/>
  <c r="Z213" i="1"/>
  <c r="Z210" i="1"/>
  <c r="Y284" i="1"/>
  <c r="Y217" i="1"/>
  <c r="Y221" i="1"/>
  <c r="Y287" i="1"/>
  <c r="Y290" i="1"/>
  <c r="Y292" i="1"/>
  <c r="Y294" i="1"/>
  <c r="Y296" i="1"/>
  <c r="Y298" i="1"/>
  <c r="Y300" i="1"/>
  <c r="Y302" i="1"/>
  <c r="Y17" i="1"/>
  <c r="Y23" i="1"/>
  <c r="Y40" i="1"/>
  <c r="Y42" i="1"/>
  <c r="Y48" i="1"/>
  <c r="Y50" i="1"/>
  <c r="Y53" i="1"/>
  <c r="Y55" i="1"/>
  <c r="Y57" i="1"/>
  <c r="Y61" i="1"/>
  <c r="Y64" i="1"/>
  <c r="Y66" i="1"/>
  <c r="Y69" i="1"/>
  <c r="Y71" i="1"/>
  <c r="Y75" i="1"/>
  <c r="Y76" i="1"/>
  <c r="Y79" i="1"/>
  <c r="Y81" i="1"/>
  <c r="Y83" i="1"/>
  <c r="Y85" i="1"/>
  <c r="Y87" i="1"/>
  <c r="Y90" i="1"/>
  <c r="Y93" i="1"/>
  <c r="Y106" i="1"/>
  <c r="Y109" i="1"/>
  <c r="Y113" i="1"/>
  <c r="Y115" i="1"/>
  <c r="Y118" i="1"/>
  <c r="Y120" i="1"/>
  <c r="Y122" i="1"/>
  <c r="Y124" i="1"/>
  <c r="Y127" i="1"/>
  <c r="Y131" i="1"/>
  <c r="Y135" i="1"/>
  <c r="Y139" i="1"/>
  <c r="Y141" i="1"/>
  <c r="Y143" i="1"/>
  <c r="Y148" i="1"/>
  <c r="Y152" i="1"/>
  <c r="Y155" i="1"/>
  <c r="Y162" i="1"/>
  <c r="Y165" i="1"/>
  <c r="Y169" i="1"/>
  <c r="Y171" i="1"/>
  <c r="Y174" i="1"/>
  <c r="Y177" i="1"/>
  <c r="Y179" i="1"/>
  <c r="Y184" i="1"/>
  <c r="Y188" i="1"/>
  <c r="Y190" i="1"/>
  <c r="Y192" i="1"/>
  <c r="Y194" i="1"/>
  <c r="Y196" i="1"/>
  <c r="Y204" i="1"/>
  <c r="Y207" i="1"/>
  <c r="Y213" i="1"/>
  <c r="Y210" i="1"/>
  <c r="X284" i="1"/>
  <c r="X217" i="1"/>
  <c r="X219" i="1"/>
  <c r="X287" i="1"/>
  <c r="X290" i="1"/>
  <c r="X294" i="1"/>
  <c r="X296" i="1"/>
  <c r="X298" i="1"/>
  <c r="X300" i="1"/>
  <c r="X302" i="1"/>
  <c r="X17" i="1"/>
  <c r="X19" i="1"/>
  <c r="X23" i="1"/>
  <c r="X40" i="1"/>
  <c r="X42" i="1"/>
  <c r="X48" i="1"/>
  <c r="X50" i="1"/>
  <c r="X53" i="1"/>
  <c r="X55" i="1"/>
  <c r="X57" i="1"/>
  <c r="X59" i="1"/>
  <c r="X61" i="1"/>
  <c r="X64" i="1"/>
  <c r="X66" i="1"/>
  <c r="X69" i="1"/>
  <c r="X71" i="1"/>
  <c r="X75" i="1"/>
  <c r="X76" i="1"/>
  <c r="X79" i="1"/>
  <c r="X81" i="1"/>
  <c r="X83" i="1"/>
  <c r="X85" i="1"/>
  <c r="X87" i="1"/>
  <c r="X90" i="1"/>
  <c r="X93" i="1"/>
  <c r="X106" i="1"/>
  <c r="X109" i="1"/>
  <c r="X113" i="1"/>
  <c r="X115" i="1"/>
  <c r="X118" i="1"/>
  <c r="X120" i="1"/>
  <c r="X122" i="1"/>
  <c r="X124" i="1"/>
  <c r="X127" i="1"/>
  <c r="X131" i="1"/>
  <c r="X138" i="1"/>
  <c r="X139" i="1"/>
  <c r="X141" i="1"/>
  <c r="X143" i="1"/>
  <c r="X149" i="1"/>
  <c r="X152" i="1"/>
  <c r="X156" i="1"/>
  <c r="X162" i="1"/>
  <c r="X165" i="1"/>
  <c r="X169" i="1"/>
  <c r="X171" i="1"/>
  <c r="X174" i="1"/>
  <c r="X177" i="1"/>
  <c r="X179" i="1"/>
  <c r="X184" i="1"/>
  <c r="X188" i="1"/>
  <c r="X190" i="1"/>
  <c r="X192" i="1"/>
  <c r="X194" i="1"/>
  <c r="X196" i="1"/>
  <c r="X204" i="1"/>
  <c r="X207" i="1"/>
  <c r="X213" i="1"/>
  <c r="X210" i="1"/>
  <c r="W284" i="1"/>
  <c r="W217" i="1"/>
  <c r="W219" i="1"/>
  <c r="W287" i="1"/>
  <c r="W290" i="1"/>
  <c r="W292" i="1"/>
  <c r="W294" i="1"/>
  <c r="W296" i="1"/>
  <c r="W298" i="1"/>
  <c r="W300" i="1"/>
  <c r="W302" i="1"/>
  <c r="W17" i="1"/>
  <c r="W21" i="1"/>
  <c r="W23" i="1"/>
  <c r="W40" i="1"/>
  <c r="W46" i="1"/>
  <c r="W48" i="1"/>
  <c r="W51" i="1"/>
  <c r="W53" i="1"/>
  <c r="W55" i="1"/>
  <c r="W57" i="1"/>
  <c r="W59" i="1"/>
  <c r="W61" i="1"/>
  <c r="W64" i="1"/>
  <c r="W66" i="1"/>
  <c r="W69" i="1"/>
  <c r="W71" i="1"/>
  <c r="W74" i="1"/>
  <c r="W76" i="1"/>
  <c r="W79" i="1"/>
  <c r="W81" i="1"/>
  <c r="W83" i="1"/>
  <c r="W85" i="1"/>
  <c r="W87" i="1"/>
  <c r="W90" i="1"/>
  <c r="W93" i="1"/>
  <c r="W106" i="1"/>
  <c r="W109" i="1"/>
  <c r="W113" i="1"/>
  <c r="W115" i="1"/>
  <c r="W118" i="1"/>
  <c r="W120" i="1"/>
  <c r="W122" i="1"/>
  <c r="W124" i="1"/>
  <c r="W127" i="1"/>
  <c r="W131" i="1"/>
  <c r="W135" i="1"/>
  <c r="W139" i="1"/>
  <c r="W141" i="1"/>
  <c r="W143" i="1"/>
  <c r="W148" i="1"/>
  <c r="W152" i="1"/>
  <c r="W155" i="1"/>
  <c r="W162" i="1"/>
  <c r="W165" i="1"/>
  <c r="W169" i="1"/>
  <c r="W171" i="1"/>
  <c r="W174" i="1"/>
  <c r="W177" i="1"/>
  <c r="W179" i="1"/>
  <c r="W184" i="1"/>
  <c r="W188" i="1"/>
  <c r="W190" i="1"/>
  <c r="W192" i="1"/>
  <c r="W194" i="1"/>
  <c r="W196" i="1"/>
  <c r="W204" i="1"/>
  <c r="W207" i="1"/>
  <c r="W213" i="1"/>
  <c r="W210" i="1"/>
  <c r="V223" i="1"/>
  <c r="V285" i="1"/>
  <c r="V220" i="1"/>
  <c r="V218" i="1"/>
  <c r="V288" i="1"/>
  <c r="V291" i="1"/>
  <c r="V295" i="1"/>
  <c r="V297" i="1"/>
  <c r="V299" i="1"/>
  <c r="V301" i="1"/>
  <c r="V303" i="1"/>
  <c r="V18" i="1"/>
  <c r="V20" i="1"/>
  <c r="V22" i="1"/>
  <c r="V24" i="1"/>
  <c r="V25" i="1"/>
  <c r="V26" i="1"/>
  <c r="V27" i="1"/>
  <c r="V28" i="1"/>
  <c r="V29" i="1"/>
  <c r="V30" i="1"/>
  <c r="V31" i="1"/>
  <c r="V32" i="1"/>
  <c r="V33" i="1"/>
  <c r="V34" i="1"/>
  <c r="V35" i="1"/>
  <c r="V37" i="1"/>
  <c r="V38" i="1"/>
  <c r="V39" i="1"/>
  <c r="V41" i="1"/>
  <c r="V43" i="1"/>
  <c r="V44" i="1"/>
  <c r="V45" i="1"/>
  <c r="V49" i="1"/>
  <c r="V54" i="1"/>
  <c r="V56" i="1"/>
  <c r="V58" i="1"/>
  <c r="V62" i="1"/>
  <c r="V65" i="1"/>
  <c r="V67" i="1"/>
  <c r="V70" i="1"/>
  <c r="V72" i="1"/>
  <c r="V77" i="1"/>
  <c r="V78" i="1"/>
  <c r="V80" i="1"/>
  <c r="V82" i="1"/>
  <c r="V84" i="1"/>
  <c r="V86" i="1"/>
  <c r="V88" i="1"/>
  <c r="V91" i="1"/>
  <c r="V92" i="1"/>
  <c r="V94" i="1"/>
  <c r="V95" i="1"/>
  <c r="V96" i="1"/>
  <c r="V99" i="1"/>
  <c r="V100" i="1"/>
  <c r="V101" i="1"/>
  <c r="V102" i="1"/>
  <c r="V103" i="1"/>
  <c r="V104" i="1"/>
  <c r="V107" i="1"/>
  <c r="V110" i="1"/>
  <c r="V111" i="1"/>
  <c r="V114" i="1"/>
  <c r="V116" i="1"/>
  <c r="V119" i="1"/>
  <c r="V121" i="1"/>
  <c r="V123" i="1"/>
  <c r="V125" i="1"/>
  <c r="V128" i="1"/>
  <c r="V129" i="1"/>
  <c r="V130" i="1"/>
  <c r="V132" i="1"/>
  <c r="V133" i="1"/>
  <c r="V134" i="1"/>
  <c r="V136" i="1"/>
  <c r="V137" i="1"/>
  <c r="V140" i="1"/>
  <c r="V142" i="1"/>
  <c r="V144" i="1"/>
  <c r="V145" i="1"/>
  <c r="V146" i="1"/>
  <c r="V150" i="1"/>
  <c r="V151" i="1"/>
  <c r="V153" i="1"/>
  <c r="V154" i="1"/>
  <c r="V157" i="1"/>
  <c r="V158" i="1"/>
  <c r="V159" i="1"/>
  <c r="V160" i="1"/>
  <c r="V163" i="1"/>
  <c r="V164" i="1"/>
  <c r="V166" i="1"/>
  <c r="V167" i="1"/>
  <c r="V170" i="1"/>
  <c r="V172" i="1"/>
  <c r="V175" i="1"/>
  <c r="V176" i="1"/>
  <c r="V178" i="1"/>
  <c r="V180" i="1"/>
  <c r="V182" i="1"/>
  <c r="V183" i="1"/>
  <c r="V185" i="1"/>
  <c r="V186" i="1"/>
  <c r="V187" i="1"/>
  <c r="V189" i="1"/>
  <c r="V191" i="1"/>
  <c r="V193" i="1"/>
  <c r="V195" i="1"/>
  <c r="V197" i="1"/>
  <c r="V198" i="1"/>
  <c r="V199" i="1"/>
  <c r="V200" i="1"/>
  <c r="V201" i="1"/>
  <c r="V202" i="1"/>
  <c r="V203" i="1"/>
  <c r="V205" i="1"/>
  <c r="V208" i="1"/>
  <c r="V214" i="1"/>
  <c r="V215" i="1"/>
  <c r="V211" i="1"/>
  <c r="U284" i="1"/>
  <c r="U217" i="1"/>
  <c r="U219" i="1"/>
  <c r="U287" i="1"/>
  <c r="U290" i="1"/>
  <c r="U292" i="1"/>
  <c r="U294" i="1"/>
  <c r="U296" i="1"/>
  <c r="U298" i="1"/>
  <c r="U300" i="1"/>
  <c r="U302" i="1"/>
  <c r="U17" i="1"/>
  <c r="U19" i="1"/>
  <c r="U23" i="1"/>
  <c r="U40" i="1"/>
  <c r="U42" i="1"/>
  <c r="U49" i="1"/>
  <c r="U50" i="1"/>
  <c r="U53" i="1"/>
  <c r="U55" i="1"/>
  <c r="U57" i="1"/>
  <c r="U59" i="1"/>
  <c r="U61" i="1"/>
  <c r="U64" i="1"/>
  <c r="U66" i="1"/>
  <c r="U69" i="1"/>
  <c r="U71" i="1"/>
  <c r="U74" i="1"/>
  <c r="U76" i="1"/>
  <c r="U79" i="1"/>
  <c r="U81" i="1"/>
  <c r="U83" i="1"/>
  <c r="U85" i="1"/>
  <c r="U87" i="1"/>
  <c r="U90" i="1"/>
  <c r="U93" i="1"/>
  <c r="U106" i="1"/>
  <c r="U109" i="1"/>
  <c r="U113" i="1"/>
  <c r="U115" i="1"/>
  <c r="U118" i="1"/>
  <c r="U120" i="1"/>
  <c r="U122" i="1"/>
  <c r="U124" i="1"/>
  <c r="U127" i="1"/>
  <c r="U131" i="1"/>
  <c r="U135" i="1"/>
  <c r="U139" i="1"/>
  <c r="U141" i="1"/>
  <c r="U143" i="1"/>
  <c r="U148" i="1"/>
  <c r="U152" i="1"/>
  <c r="U155" i="1"/>
  <c r="U162" i="1"/>
  <c r="U165" i="1"/>
  <c r="U169" i="1"/>
  <c r="U171" i="1"/>
  <c r="U174" i="1"/>
  <c r="U177" i="1"/>
  <c r="U179" i="1"/>
  <c r="U184" i="1"/>
  <c r="U188" i="1"/>
  <c r="U190" i="1"/>
  <c r="U192" i="1"/>
  <c r="U194" i="1"/>
  <c r="U196" i="1"/>
  <c r="U204" i="1"/>
  <c r="U207" i="1"/>
  <c r="U213" i="1"/>
  <c r="U210" i="1"/>
  <c r="T284" i="1"/>
  <c r="T217" i="1"/>
  <c r="T219" i="1"/>
  <c r="T287" i="1"/>
  <c r="T290" i="1"/>
  <c r="T292" i="1"/>
  <c r="T294" i="1"/>
  <c r="T296" i="1"/>
  <c r="T298" i="1"/>
  <c r="T300" i="1"/>
  <c r="T302" i="1"/>
  <c r="T17" i="1"/>
  <c r="T19" i="1"/>
  <c r="T23" i="1"/>
  <c r="T40" i="1"/>
  <c r="T42" i="1"/>
  <c r="T48" i="1"/>
  <c r="T50" i="1"/>
  <c r="T53" i="1"/>
  <c r="T55" i="1"/>
  <c r="T57" i="1"/>
  <c r="T59" i="1"/>
  <c r="T61" i="1"/>
  <c r="T64" i="1"/>
  <c r="T66" i="1"/>
  <c r="T69" i="1"/>
  <c r="T71" i="1"/>
  <c r="T74" i="1"/>
  <c r="T76" i="1"/>
  <c r="T79" i="1"/>
  <c r="T81" i="1"/>
  <c r="T83" i="1"/>
  <c r="T85" i="1"/>
  <c r="T87" i="1"/>
  <c r="T90" i="1"/>
  <c r="T93" i="1"/>
  <c r="T106" i="1"/>
  <c r="T109" i="1"/>
  <c r="T113" i="1"/>
  <c r="T115" i="1"/>
  <c r="T118" i="1"/>
  <c r="T120" i="1"/>
  <c r="T122" i="1"/>
  <c r="T124" i="1"/>
  <c r="T127" i="1"/>
  <c r="T131" i="1"/>
  <c r="T135" i="1"/>
  <c r="T139" i="1"/>
  <c r="T141" i="1"/>
  <c r="T143" i="1"/>
  <c r="T148" i="1"/>
  <c r="T152" i="1"/>
  <c r="T155" i="1"/>
  <c r="T162" i="1"/>
  <c r="T165" i="1"/>
  <c r="T169" i="1"/>
  <c r="T171" i="1"/>
  <c r="T174" i="1"/>
  <c r="T177" i="1"/>
  <c r="T179" i="1"/>
  <c r="T184" i="1"/>
  <c r="T188" i="1"/>
  <c r="T190" i="1"/>
  <c r="T192" i="1"/>
  <c r="T194" i="1"/>
  <c r="T196" i="1"/>
  <c r="T204" i="1"/>
  <c r="T207" i="1"/>
  <c r="T213" i="1"/>
  <c r="T210" i="1"/>
  <c r="S284" i="1"/>
  <c r="S217" i="1"/>
  <c r="S219" i="1"/>
  <c r="S287" i="1"/>
  <c r="S290" i="1"/>
  <c r="S292" i="1"/>
  <c r="S294" i="1"/>
  <c r="S296" i="1"/>
  <c r="S298" i="1"/>
  <c r="S300" i="1"/>
  <c r="S302" i="1"/>
  <c r="S17" i="1"/>
  <c r="S22" i="1"/>
  <c r="S23" i="1"/>
  <c r="S40" i="1"/>
  <c r="S42" i="1"/>
  <c r="S48" i="1"/>
  <c r="S50" i="1"/>
  <c r="S53" i="1"/>
  <c r="S55" i="1"/>
  <c r="S57" i="1"/>
  <c r="S59" i="1"/>
  <c r="S61" i="1"/>
  <c r="S64" i="1"/>
  <c r="S66" i="1"/>
  <c r="S69" i="1"/>
  <c r="S71" i="1"/>
  <c r="S74" i="1"/>
  <c r="S76" i="1"/>
  <c r="S79" i="1"/>
  <c r="S81" i="1"/>
  <c r="S83" i="1"/>
  <c r="S85" i="1"/>
  <c r="S87" i="1"/>
  <c r="S90" i="1"/>
  <c r="S93" i="1"/>
  <c r="S106" i="1"/>
  <c r="S109" i="1"/>
  <c r="S113" i="1"/>
  <c r="S115" i="1"/>
  <c r="S118" i="1"/>
  <c r="S120" i="1"/>
  <c r="S122" i="1"/>
  <c r="S124" i="1"/>
  <c r="S127" i="1"/>
  <c r="S131" i="1"/>
  <c r="S135" i="1"/>
  <c r="S139" i="1"/>
  <c r="S141" i="1"/>
  <c r="S143" i="1"/>
  <c r="S148" i="1"/>
  <c r="S152" i="1"/>
  <c r="S155" i="1"/>
  <c r="S162" i="1"/>
  <c r="S165" i="1"/>
  <c r="S169" i="1"/>
  <c r="S171" i="1"/>
  <c r="S174" i="1"/>
  <c r="S177" i="1"/>
  <c r="S179" i="1"/>
  <c r="S184" i="1"/>
  <c r="S188" i="1"/>
  <c r="S190" i="1"/>
  <c r="S192" i="1"/>
  <c r="S194" i="1"/>
  <c r="S196" i="1"/>
  <c r="S204" i="1"/>
  <c r="S207" i="1"/>
  <c r="S213" i="1"/>
  <c r="S210" i="1"/>
  <c r="R284" i="1"/>
  <c r="R217" i="1"/>
  <c r="R219" i="1"/>
  <c r="R287" i="1"/>
  <c r="R290" i="1"/>
  <c r="R292" i="1"/>
  <c r="R294" i="1"/>
  <c r="R296" i="1"/>
  <c r="R298" i="1"/>
  <c r="R300" i="1"/>
  <c r="R302" i="1"/>
  <c r="R17" i="1"/>
  <c r="R19" i="1"/>
  <c r="R23" i="1"/>
  <c r="R40" i="1"/>
  <c r="R42" i="1"/>
  <c r="R48" i="1"/>
  <c r="R50" i="1"/>
  <c r="R53" i="1"/>
  <c r="R55" i="1"/>
  <c r="R57" i="1"/>
  <c r="R59" i="1"/>
  <c r="R61" i="1"/>
  <c r="R64" i="1"/>
  <c r="R66" i="1"/>
  <c r="R69" i="1"/>
  <c r="R71" i="1"/>
  <c r="R74" i="1"/>
  <c r="R76" i="1"/>
  <c r="R79" i="1"/>
  <c r="R81" i="1"/>
  <c r="R83" i="1"/>
  <c r="R85" i="1"/>
  <c r="R87" i="1"/>
  <c r="R90" i="1"/>
  <c r="R93" i="1"/>
  <c r="R106" i="1"/>
  <c r="R109" i="1"/>
  <c r="R113" i="1"/>
  <c r="R115" i="1"/>
  <c r="R118" i="1"/>
  <c r="R120" i="1"/>
  <c r="R122" i="1"/>
  <c r="R124" i="1"/>
  <c r="R127" i="1"/>
  <c r="R131" i="1"/>
  <c r="R137" i="1"/>
  <c r="R139" i="1"/>
  <c r="R141" i="1"/>
  <c r="R143" i="1"/>
  <c r="R148" i="1"/>
  <c r="R152" i="1"/>
  <c r="R155" i="1"/>
  <c r="R162" i="1"/>
  <c r="R165" i="1"/>
  <c r="R169" i="1"/>
  <c r="R171" i="1"/>
  <c r="R174" i="1"/>
  <c r="R177" i="1"/>
  <c r="R179" i="1"/>
  <c r="R184" i="1"/>
  <c r="R188" i="1"/>
  <c r="R190" i="1"/>
  <c r="R192" i="1"/>
  <c r="R194" i="1"/>
  <c r="R196" i="1"/>
  <c r="R204" i="1"/>
  <c r="R207" i="1"/>
  <c r="R213" i="1"/>
  <c r="R210" i="1"/>
  <c r="Q223" i="1"/>
  <c r="Q285" i="1"/>
  <c r="Q220" i="1"/>
  <c r="Q221" i="1"/>
  <c r="Q218" i="1"/>
  <c r="Q288" i="1"/>
  <c r="Q291" i="1"/>
  <c r="Q293" i="1"/>
  <c r="Q295" i="1"/>
  <c r="Q297" i="1"/>
  <c r="Q299" i="1"/>
  <c r="Q301" i="1"/>
  <c r="Q303" i="1"/>
  <c r="Q18" i="1"/>
  <c r="Q20" i="1"/>
  <c r="Q21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1" i="1"/>
  <c r="Q43" i="1"/>
  <c r="Q44" i="1"/>
  <c r="Q45" i="1"/>
  <c r="Q46" i="1"/>
  <c r="Q47" i="1"/>
  <c r="Q49" i="1"/>
  <c r="Q51" i="1"/>
  <c r="Q54" i="1"/>
  <c r="Q56" i="1"/>
  <c r="Q58" i="1"/>
  <c r="Q60" i="1"/>
  <c r="Q62" i="1"/>
  <c r="Q65" i="1"/>
  <c r="Q67" i="1"/>
  <c r="Q70" i="1"/>
  <c r="Q72" i="1"/>
  <c r="Q75" i="1"/>
  <c r="Q77" i="1"/>
  <c r="Q78" i="1"/>
  <c r="Q80" i="1"/>
  <c r="Q82" i="1"/>
  <c r="Q84" i="1"/>
  <c r="Q86" i="1"/>
  <c r="Q88" i="1"/>
  <c r="Q91" i="1"/>
  <c r="Q92" i="1"/>
  <c r="Q94" i="1"/>
  <c r="Q95" i="1"/>
  <c r="Q96" i="1"/>
  <c r="Q99" i="1"/>
  <c r="Q100" i="1"/>
  <c r="Q101" i="1"/>
  <c r="Q102" i="1"/>
  <c r="Q103" i="1"/>
  <c r="Q104" i="1"/>
  <c r="Q107" i="1"/>
  <c r="Q110" i="1"/>
  <c r="Q111" i="1"/>
  <c r="Q114" i="1"/>
  <c r="Q116" i="1"/>
  <c r="Q119" i="1"/>
  <c r="Q121" i="1"/>
  <c r="Q123" i="1"/>
  <c r="Q125" i="1"/>
  <c r="Q128" i="1"/>
  <c r="Q129" i="1"/>
  <c r="Q130" i="1"/>
  <c r="Q132" i="1"/>
  <c r="Q133" i="1"/>
  <c r="Q134" i="1"/>
  <c r="Q136" i="1"/>
  <c r="Q138" i="1"/>
  <c r="Q140" i="1"/>
  <c r="Q142" i="1"/>
  <c r="Q144" i="1"/>
  <c r="Q145" i="1"/>
  <c r="Q146" i="1"/>
  <c r="Q149" i="1"/>
  <c r="Q150" i="1"/>
  <c r="Q151" i="1"/>
  <c r="Q153" i="1"/>
  <c r="Q154" i="1"/>
  <c r="Q156" i="1"/>
  <c r="Q157" i="1"/>
  <c r="Q158" i="1"/>
  <c r="Q159" i="1"/>
  <c r="Q160" i="1"/>
  <c r="Q163" i="1"/>
  <c r="Q164" i="1"/>
  <c r="Q166" i="1"/>
  <c r="Q167" i="1"/>
  <c r="Q170" i="1"/>
  <c r="Q172" i="1"/>
  <c r="Q173" i="1"/>
  <c r="Q175" i="1"/>
  <c r="Q176" i="1"/>
  <c r="Q178" i="1"/>
  <c r="Q180" i="1"/>
  <c r="Q182" i="1"/>
  <c r="Q183" i="1"/>
  <c r="Q185" i="1"/>
  <c r="Q186" i="1"/>
  <c r="Q187" i="1"/>
  <c r="Q189" i="1"/>
  <c r="Q191" i="1"/>
  <c r="Q193" i="1"/>
  <c r="Q195" i="1"/>
  <c r="Q197" i="1"/>
  <c r="Q198" i="1"/>
  <c r="Q199" i="1"/>
  <c r="Q200" i="1"/>
  <c r="Q201" i="1"/>
  <c r="Q202" i="1"/>
  <c r="Q203" i="1"/>
  <c r="Q205" i="1"/>
  <c r="Q208" i="1"/>
  <c r="Q214" i="1"/>
  <c r="Q215" i="1"/>
  <c r="Q211" i="1"/>
  <c r="P284" i="1"/>
  <c r="P217" i="1"/>
  <c r="P219" i="1"/>
  <c r="P287" i="1"/>
  <c r="P290" i="1"/>
  <c r="P292" i="1"/>
  <c r="P294" i="1"/>
  <c r="P296" i="1"/>
  <c r="P298" i="1"/>
  <c r="P300" i="1"/>
  <c r="P302" i="1"/>
  <c r="P17" i="1"/>
  <c r="P19" i="1"/>
  <c r="P24" i="1"/>
  <c r="P25" i="1"/>
  <c r="P36" i="1"/>
  <c r="P40" i="1"/>
  <c r="P46" i="1"/>
  <c r="P48" i="1"/>
  <c r="P50" i="1"/>
  <c r="P53" i="1"/>
  <c r="P55" i="1"/>
  <c r="P57" i="1"/>
  <c r="P59" i="1"/>
  <c r="P61" i="1"/>
  <c r="P64" i="1"/>
  <c r="P66" i="1"/>
  <c r="P69" i="1"/>
  <c r="P71" i="1"/>
  <c r="P74" i="1"/>
  <c r="P76" i="1"/>
  <c r="P79" i="1"/>
  <c r="P81" i="1"/>
  <c r="P83" i="1"/>
  <c r="P85" i="1"/>
  <c r="P87" i="1"/>
  <c r="P90" i="1"/>
  <c r="P93" i="1"/>
  <c r="P106" i="1"/>
  <c r="P109" i="1"/>
  <c r="P113" i="1"/>
  <c r="P115" i="1"/>
  <c r="P118" i="1"/>
  <c r="P120" i="1"/>
  <c r="P122" i="1"/>
  <c r="P124" i="1"/>
  <c r="P127" i="1"/>
  <c r="P133" i="1"/>
  <c r="P138" i="1"/>
  <c r="P139" i="1"/>
  <c r="P141" i="1"/>
  <c r="P143" i="1"/>
  <c r="P148" i="1"/>
  <c r="P152" i="1"/>
  <c r="P155" i="1"/>
  <c r="P162" i="1"/>
  <c r="P165" i="1"/>
  <c r="P169" i="1"/>
  <c r="P171" i="1"/>
  <c r="P174" i="1"/>
  <c r="P177" i="1"/>
  <c r="P179" i="1"/>
  <c r="P184" i="1"/>
  <c r="P188" i="1"/>
  <c r="P190" i="1"/>
  <c r="P192" i="1"/>
  <c r="P194" i="1"/>
  <c r="P196" i="1"/>
  <c r="P204" i="1"/>
  <c r="P207" i="1"/>
  <c r="P213" i="1"/>
  <c r="P210" i="1"/>
  <c r="O284" i="1"/>
  <c r="O217" i="1"/>
  <c r="O219" i="1"/>
  <c r="O287" i="1"/>
  <c r="O290" i="1"/>
  <c r="O292" i="1"/>
  <c r="O294" i="1"/>
  <c r="O298" i="1"/>
  <c r="O300" i="1"/>
  <c r="O302" i="1"/>
  <c r="O17" i="1"/>
  <c r="O19" i="1"/>
  <c r="O23" i="1"/>
  <c r="O40" i="1"/>
  <c r="O44" i="1"/>
  <c r="O46" i="1"/>
  <c r="O48" i="1"/>
  <c r="O50" i="1"/>
  <c r="O53" i="1"/>
  <c r="O55" i="1"/>
  <c r="O57" i="1"/>
  <c r="O59" i="1"/>
  <c r="O61" i="1"/>
  <c r="O64" i="1"/>
  <c r="O66" i="1"/>
  <c r="O69" i="1"/>
  <c r="O71" i="1"/>
  <c r="O74" i="1"/>
  <c r="O76" i="1"/>
  <c r="O79" i="1"/>
  <c r="O81" i="1"/>
  <c r="O83" i="1"/>
  <c r="O85" i="1"/>
  <c r="O87" i="1"/>
  <c r="O90" i="1"/>
  <c r="O93" i="1"/>
  <c r="O106" i="1"/>
  <c r="O109" i="1"/>
  <c r="O113" i="1"/>
  <c r="O115" i="1"/>
  <c r="O118" i="1"/>
  <c r="O120" i="1"/>
  <c r="O122" i="1"/>
  <c r="O124" i="1"/>
  <c r="O127" i="1"/>
  <c r="O131" i="1"/>
  <c r="O138" i="1"/>
  <c r="O139" i="1"/>
  <c r="O141" i="1"/>
  <c r="O143" i="1"/>
  <c r="O148" i="1"/>
  <c r="O152" i="1"/>
  <c r="O156" i="1"/>
  <c r="O162" i="1"/>
  <c r="O165" i="1"/>
  <c r="O169" i="1"/>
  <c r="O171" i="1"/>
  <c r="O174" i="1"/>
  <c r="O177" i="1"/>
  <c r="O179" i="1"/>
  <c r="O184" i="1"/>
  <c r="O188" i="1"/>
  <c r="O190" i="1"/>
  <c r="O192" i="1"/>
  <c r="O194" i="1"/>
  <c r="O196" i="1"/>
  <c r="O204" i="1"/>
  <c r="O207" i="1"/>
  <c r="O213" i="1"/>
  <c r="O210" i="1"/>
  <c r="N284" i="1"/>
  <c r="N217" i="1"/>
  <c r="N219" i="1"/>
  <c r="N287" i="1"/>
  <c r="N290" i="1"/>
  <c r="N292" i="1"/>
  <c r="N294" i="1"/>
  <c r="N296" i="1"/>
  <c r="N298" i="1"/>
  <c r="N300" i="1"/>
  <c r="N302" i="1"/>
  <c r="N17" i="1"/>
  <c r="N19" i="1"/>
  <c r="N23" i="1"/>
  <c r="N40" i="1"/>
  <c r="N42" i="1"/>
  <c r="N48" i="1"/>
  <c r="N50" i="1"/>
  <c r="N53" i="1"/>
  <c r="N55" i="1"/>
  <c r="N57" i="1"/>
  <c r="N59" i="1"/>
  <c r="N61" i="1"/>
  <c r="N64" i="1"/>
  <c r="N66" i="1"/>
  <c r="N69" i="1"/>
  <c r="N71" i="1"/>
  <c r="N74" i="1"/>
  <c r="N76" i="1"/>
  <c r="N79" i="1"/>
  <c r="N81" i="1"/>
  <c r="N83" i="1"/>
  <c r="N85" i="1"/>
  <c r="N87" i="1"/>
  <c r="N90" i="1"/>
  <c r="N93" i="1"/>
  <c r="N106" i="1"/>
  <c r="N109" i="1"/>
  <c r="N113" i="1"/>
  <c r="N115" i="1"/>
  <c r="N118" i="1"/>
  <c r="N120" i="1"/>
  <c r="N122" i="1"/>
  <c r="N124" i="1"/>
  <c r="N127" i="1"/>
  <c r="N131" i="1"/>
  <c r="N135" i="1"/>
  <c r="N139" i="1"/>
  <c r="N141" i="1"/>
  <c r="N143" i="1"/>
  <c r="N148" i="1"/>
  <c r="N152" i="1"/>
  <c r="N155" i="1"/>
  <c r="N162" i="1"/>
  <c r="N165" i="1"/>
  <c r="N169" i="1"/>
  <c r="N171" i="1"/>
  <c r="N174" i="1"/>
  <c r="N177" i="1"/>
  <c r="N179" i="1"/>
  <c r="N184" i="1"/>
  <c r="N188" i="1"/>
  <c r="N190" i="1"/>
  <c r="N192" i="1"/>
  <c r="N194" i="1"/>
  <c r="N196" i="1"/>
  <c r="N204" i="1"/>
  <c r="N207" i="1"/>
  <c r="N213" i="1"/>
  <c r="N210" i="1"/>
  <c r="M284" i="1"/>
  <c r="M217" i="1"/>
  <c r="M219" i="1"/>
  <c r="M287" i="1"/>
  <c r="M290" i="1"/>
  <c r="M292" i="1"/>
  <c r="M294" i="1"/>
  <c r="M296" i="1"/>
  <c r="M298" i="1"/>
  <c r="M300" i="1"/>
  <c r="M302" i="1"/>
  <c r="M17" i="1"/>
  <c r="M19" i="1"/>
  <c r="M23" i="1"/>
  <c r="M40" i="1"/>
  <c r="M42" i="1"/>
  <c r="M48" i="1"/>
  <c r="M50" i="1"/>
  <c r="M53" i="1"/>
  <c r="M55" i="1"/>
  <c r="M57" i="1"/>
  <c r="M59" i="1"/>
  <c r="M61" i="1"/>
  <c r="M64" i="1"/>
  <c r="M66" i="1"/>
  <c r="M69" i="1"/>
  <c r="M71" i="1"/>
  <c r="M74" i="1"/>
  <c r="M76" i="1"/>
  <c r="M79" i="1"/>
  <c r="M81" i="1"/>
  <c r="M83" i="1"/>
  <c r="M85" i="1"/>
  <c r="M87" i="1"/>
  <c r="M90" i="1"/>
  <c r="M93" i="1"/>
  <c r="M106" i="1"/>
  <c r="M109" i="1"/>
  <c r="M113" i="1"/>
  <c r="M115" i="1"/>
  <c r="M118" i="1"/>
  <c r="M120" i="1"/>
  <c r="M122" i="1"/>
  <c r="M124" i="1"/>
  <c r="M127" i="1"/>
  <c r="M131" i="1"/>
  <c r="M137" i="1"/>
  <c r="M139" i="1"/>
  <c r="M141" i="1"/>
  <c r="M143" i="1"/>
  <c r="M148" i="1"/>
  <c r="M152" i="1"/>
  <c r="M155" i="1"/>
  <c r="M162" i="1"/>
  <c r="M165" i="1"/>
  <c r="M169" i="1"/>
  <c r="M171" i="1"/>
  <c r="M174" i="1"/>
  <c r="M177" i="1"/>
  <c r="M179" i="1"/>
  <c r="M184" i="1"/>
  <c r="M188" i="1"/>
  <c r="M190" i="1"/>
  <c r="M192" i="1"/>
  <c r="M194" i="1"/>
  <c r="M196" i="1"/>
  <c r="M204" i="1"/>
  <c r="M207" i="1"/>
  <c r="M213" i="1"/>
  <c r="M210" i="1"/>
  <c r="L284" i="1"/>
  <c r="L217" i="1"/>
  <c r="L219" i="1"/>
  <c r="L287" i="1"/>
  <c r="L290" i="1"/>
  <c r="L292" i="1"/>
  <c r="L294" i="1"/>
  <c r="L296" i="1"/>
  <c r="L298" i="1"/>
  <c r="L300" i="1"/>
  <c r="L302" i="1"/>
  <c r="L17" i="1"/>
  <c r="L19" i="1"/>
  <c r="L23" i="1"/>
  <c r="L40" i="1"/>
  <c r="L42" i="1"/>
  <c r="L48" i="1"/>
  <c r="L50" i="1"/>
  <c r="L53" i="1"/>
  <c r="L55" i="1"/>
  <c r="L57" i="1"/>
  <c r="L59" i="1"/>
  <c r="L61" i="1"/>
  <c r="L64" i="1"/>
  <c r="L66" i="1"/>
  <c r="L70" i="1"/>
  <c r="L71" i="1"/>
  <c r="L74" i="1"/>
  <c r="L76" i="1"/>
  <c r="L79" i="1"/>
  <c r="L81" i="1"/>
  <c r="L83" i="1"/>
  <c r="L85" i="1"/>
  <c r="L87" i="1"/>
  <c r="L90" i="1"/>
  <c r="L93" i="1"/>
  <c r="L106" i="1"/>
  <c r="L109" i="1"/>
  <c r="L113" i="1"/>
  <c r="L115" i="1"/>
  <c r="L118" i="1"/>
  <c r="L120" i="1"/>
  <c r="L122" i="1"/>
  <c r="L124" i="1"/>
  <c r="L127" i="1"/>
  <c r="L131" i="1"/>
  <c r="L135" i="1"/>
  <c r="L139" i="1"/>
  <c r="L141" i="1"/>
  <c r="L143" i="1"/>
  <c r="L148" i="1"/>
  <c r="L152" i="1"/>
  <c r="L155" i="1"/>
  <c r="L162" i="1"/>
  <c r="L165" i="1"/>
  <c r="L169" i="1"/>
  <c r="L171" i="1"/>
  <c r="L174" i="1"/>
  <c r="L177" i="1"/>
  <c r="L179" i="1"/>
  <c r="L184" i="1"/>
  <c r="L188" i="1"/>
  <c r="L190" i="1"/>
  <c r="L192" i="1"/>
  <c r="L194" i="1"/>
  <c r="L196" i="1"/>
  <c r="L204" i="1"/>
  <c r="L207" i="1"/>
  <c r="L213" i="1"/>
  <c r="L210" i="1"/>
  <c r="K284" i="1"/>
  <c r="K217" i="1"/>
  <c r="K219" i="1"/>
  <c r="K287" i="1"/>
  <c r="K290" i="1"/>
  <c r="K292" i="1"/>
  <c r="K294" i="1"/>
  <c r="K296" i="1"/>
  <c r="K298" i="1"/>
  <c r="K300" i="1"/>
  <c r="K302" i="1"/>
  <c r="K17" i="1"/>
  <c r="K19" i="1"/>
  <c r="K23" i="1"/>
  <c r="K40" i="1"/>
  <c r="K42" i="1"/>
  <c r="K48" i="1"/>
  <c r="K50" i="1"/>
  <c r="K53" i="1"/>
  <c r="K55" i="1"/>
  <c r="K57" i="1"/>
  <c r="K59" i="1"/>
  <c r="K61" i="1"/>
  <c r="K64" i="1"/>
  <c r="K66" i="1"/>
  <c r="K69" i="1"/>
  <c r="K71" i="1"/>
  <c r="K74" i="1"/>
  <c r="K76" i="1"/>
  <c r="K79" i="1"/>
  <c r="K81" i="1"/>
  <c r="K83" i="1"/>
  <c r="K85" i="1"/>
  <c r="K87" i="1"/>
  <c r="K90" i="1"/>
  <c r="K93" i="1"/>
  <c r="K106" i="1"/>
  <c r="K109" i="1"/>
  <c r="K113" i="1"/>
  <c r="K115" i="1"/>
  <c r="K118" i="1"/>
  <c r="K120" i="1"/>
  <c r="K122" i="1"/>
  <c r="K124" i="1"/>
  <c r="K127" i="1"/>
  <c r="K131" i="1"/>
  <c r="K135" i="1"/>
  <c r="K139" i="1"/>
  <c r="K141" i="1"/>
  <c r="K143" i="1"/>
  <c r="K148" i="1"/>
  <c r="K152" i="1"/>
  <c r="K155" i="1"/>
  <c r="K162" i="1"/>
  <c r="K165" i="1"/>
  <c r="K169" i="1"/>
  <c r="K171" i="1"/>
  <c r="K174" i="1"/>
  <c r="K177" i="1"/>
  <c r="K179" i="1"/>
  <c r="K184" i="1"/>
  <c r="K188" i="1"/>
  <c r="K190" i="1"/>
  <c r="K192" i="1"/>
  <c r="K194" i="1"/>
  <c r="K196" i="1"/>
  <c r="K204" i="1"/>
  <c r="K207" i="1"/>
  <c r="K213" i="1"/>
  <c r="K210" i="1"/>
  <c r="J223" i="1"/>
  <c r="J285" i="1"/>
  <c r="J220" i="1"/>
  <c r="J221" i="1"/>
  <c r="J218" i="1"/>
  <c r="J288" i="1"/>
  <c r="J291" i="1"/>
  <c r="J293" i="1"/>
  <c r="J295" i="1"/>
  <c r="J297" i="1"/>
  <c r="J299" i="1"/>
  <c r="J301" i="1"/>
  <c r="J303" i="1"/>
  <c r="J18" i="1"/>
  <c r="J20" i="1"/>
  <c r="J21" i="1"/>
  <c r="J22" i="1"/>
  <c r="J26" i="1"/>
  <c r="J27" i="1"/>
  <c r="J28" i="1"/>
  <c r="J29" i="1"/>
  <c r="J30" i="1"/>
  <c r="J31" i="1"/>
  <c r="J32" i="1"/>
  <c r="J33" i="1"/>
  <c r="J34" i="1"/>
  <c r="J35" i="1"/>
  <c r="J37" i="1"/>
  <c r="J38" i="1"/>
  <c r="J39" i="1"/>
  <c r="J41" i="1"/>
  <c r="J43" i="1"/>
  <c r="J45" i="1"/>
  <c r="J47" i="1"/>
  <c r="J49" i="1"/>
  <c r="J51" i="1"/>
  <c r="J54" i="1"/>
  <c r="J56" i="1"/>
  <c r="J58" i="1"/>
  <c r="J60" i="1"/>
  <c r="J62" i="1"/>
  <c r="J65" i="1"/>
  <c r="J67" i="1"/>
  <c r="J72" i="1"/>
  <c r="J75" i="1"/>
  <c r="J77" i="1"/>
  <c r="J78" i="1"/>
  <c r="J80" i="1"/>
  <c r="J82" i="1"/>
  <c r="J84" i="1"/>
  <c r="J86" i="1"/>
  <c r="J88" i="1"/>
  <c r="J91" i="1"/>
  <c r="J92" i="1"/>
  <c r="J94" i="1"/>
  <c r="J95" i="1"/>
  <c r="J96" i="1"/>
  <c r="J99" i="1"/>
  <c r="J100" i="1"/>
  <c r="J101" i="1"/>
  <c r="J102" i="1"/>
  <c r="J103" i="1"/>
  <c r="J104" i="1"/>
  <c r="J107" i="1"/>
  <c r="J110" i="1"/>
  <c r="J111" i="1"/>
  <c r="J114" i="1"/>
  <c r="J116" i="1"/>
  <c r="J119" i="1"/>
  <c r="J121" i="1"/>
  <c r="J123" i="1"/>
  <c r="J125" i="1"/>
  <c r="J128" i="1"/>
  <c r="J129" i="1"/>
  <c r="J130" i="1"/>
  <c r="J132" i="1"/>
  <c r="J134" i="1"/>
  <c r="J136" i="1"/>
  <c r="J137" i="1"/>
  <c r="J140" i="1"/>
  <c r="J142" i="1"/>
  <c r="J144" i="1"/>
  <c r="J145" i="1"/>
  <c r="J146" i="1"/>
  <c r="J149" i="1"/>
  <c r="J150" i="1"/>
  <c r="J151" i="1"/>
  <c r="J153" i="1"/>
  <c r="J154" i="1"/>
  <c r="J157" i="1"/>
  <c r="J158" i="1"/>
  <c r="J159" i="1"/>
  <c r="J160" i="1"/>
  <c r="J163" i="1"/>
  <c r="J164" i="1"/>
  <c r="J166" i="1"/>
  <c r="J167" i="1"/>
  <c r="J170" i="1"/>
  <c r="J172" i="1"/>
  <c r="J173" i="1"/>
  <c r="J175" i="1"/>
  <c r="J176" i="1"/>
  <c r="J178" i="1"/>
  <c r="J180" i="1"/>
  <c r="J182" i="1"/>
  <c r="J183" i="1"/>
  <c r="J185" i="1"/>
  <c r="J186" i="1"/>
  <c r="J187" i="1"/>
  <c r="J189" i="1"/>
  <c r="J191" i="1"/>
  <c r="J193" i="1"/>
  <c r="J195" i="1"/>
  <c r="J197" i="1"/>
  <c r="J198" i="1"/>
  <c r="J199" i="1"/>
  <c r="J200" i="1"/>
  <c r="J201" i="1"/>
  <c r="J202" i="1"/>
  <c r="J203" i="1"/>
  <c r="J205" i="1"/>
  <c r="J208" i="1"/>
  <c r="J214" i="1"/>
  <c r="J215" i="1"/>
  <c r="J211" i="1"/>
  <c r="I284" i="1"/>
  <c r="I217" i="1"/>
  <c r="I219" i="1"/>
  <c r="I287" i="1"/>
  <c r="I290" i="1"/>
  <c r="I292" i="1"/>
  <c r="I294" i="1"/>
  <c r="I296" i="1"/>
  <c r="I298" i="1"/>
  <c r="I300" i="1"/>
  <c r="I302" i="1"/>
  <c r="I17" i="1"/>
  <c r="I19" i="1"/>
  <c r="I24" i="1"/>
  <c r="I27" i="1"/>
  <c r="I40" i="1"/>
  <c r="I44" i="1"/>
  <c r="I47" i="1"/>
  <c r="I48" i="1"/>
  <c r="I51" i="1"/>
  <c r="I53" i="1"/>
  <c r="I55" i="1"/>
  <c r="I57" i="1"/>
  <c r="I59" i="1"/>
  <c r="I61" i="1"/>
  <c r="I64" i="1"/>
  <c r="I66" i="1"/>
  <c r="I69" i="1"/>
  <c r="I71" i="1"/>
  <c r="I74" i="1"/>
  <c r="I76" i="1"/>
  <c r="I79" i="1"/>
  <c r="I81" i="1"/>
  <c r="I83" i="1"/>
  <c r="I85" i="1"/>
  <c r="I87" i="1"/>
  <c r="I91" i="1"/>
  <c r="I93" i="1"/>
  <c r="I106" i="1"/>
  <c r="I109" i="1"/>
  <c r="I113" i="1"/>
  <c r="I115" i="1"/>
  <c r="I118" i="1"/>
  <c r="I120" i="1"/>
  <c r="I122" i="1"/>
  <c r="I124" i="1"/>
  <c r="I127" i="1"/>
  <c r="I133" i="1"/>
  <c r="I137" i="1"/>
  <c r="I138" i="1"/>
  <c r="I139" i="1"/>
  <c r="I141" i="1"/>
  <c r="I143" i="1"/>
  <c r="I148" i="1"/>
  <c r="I152" i="1"/>
  <c r="I155" i="1"/>
  <c r="I162" i="1"/>
  <c r="I166" i="1"/>
  <c r="I169" i="1"/>
  <c r="I171" i="1"/>
  <c r="I174" i="1"/>
  <c r="I177" i="1"/>
  <c r="I179" i="1"/>
  <c r="I184" i="1"/>
  <c r="I188" i="1"/>
  <c r="I190" i="1"/>
  <c r="I192" i="1"/>
  <c r="I194" i="1"/>
  <c r="I196" i="1"/>
  <c r="I204" i="1"/>
  <c r="I207" i="1"/>
  <c r="I213" i="1"/>
  <c r="I210" i="1"/>
  <c r="H284" i="1"/>
  <c r="H217" i="1"/>
  <c r="H219" i="1"/>
  <c r="H287" i="1"/>
  <c r="H290" i="1"/>
  <c r="H292" i="1"/>
  <c r="H294" i="1"/>
  <c r="H296" i="1"/>
  <c r="H298" i="1"/>
  <c r="H300" i="1"/>
  <c r="H302" i="1"/>
  <c r="H17" i="1"/>
  <c r="H19" i="1"/>
  <c r="H24" i="1"/>
  <c r="H27" i="1"/>
  <c r="H40" i="1"/>
  <c r="H44" i="1"/>
  <c r="H47" i="1"/>
  <c r="H48" i="1"/>
  <c r="H51" i="1"/>
  <c r="H53" i="1"/>
  <c r="H55" i="1"/>
  <c r="H57" i="1"/>
  <c r="H59" i="1"/>
  <c r="H61" i="1"/>
  <c r="H64" i="1"/>
  <c r="H66" i="1"/>
  <c r="H69" i="1"/>
  <c r="H71" i="1"/>
  <c r="H74" i="1"/>
  <c r="H76" i="1"/>
  <c r="H79" i="1"/>
  <c r="H81" i="1"/>
  <c r="H84" i="1"/>
  <c r="H85" i="1"/>
  <c r="H87" i="1"/>
  <c r="H91" i="1"/>
  <c r="H93" i="1"/>
  <c r="H106" i="1"/>
  <c r="H109" i="1"/>
  <c r="H113" i="1"/>
  <c r="H115" i="1"/>
  <c r="H118" i="1"/>
  <c r="H120" i="1"/>
  <c r="H122" i="1"/>
  <c r="H124" i="1"/>
  <c r="H127" i="1"/>
  <c r="H133" i="1"/>
  <c r="H137" i="1"/>
  <c r="H138" i="1"/>
  <c r="H139" i="1"/>
  <c r="H141" i="1"/>
  <c r="H143" i="1"/>
  <c r="H148" i="1"/>
  <c r="H152" i="1"/>
  <c r="H155" i="1"/>
  <c r="H162" i="1"/>
  <c r="H166" i="1"/>
  <c r="H169" i="1"/>
  <c r="H171" i="1"/>
  <c r="H174" i="1"/>
  <c r="H177" i="1"/>
  <c r="H179" i="1"/>
  <c r="H184" i="1"/>
  <c r="H188" i="1"/>
  <c r="H190" i="1"/>
  <c r="H192" i="1"/>
  <c r="H194" i="1"/>
  <c r="H196" i="1"/>
  <c r="H204" i="1"/>
  <c r="H207" i="1"/>
  <c r="H213" i="1"/>
  <c r="H210" i="1"/>
  <c r="CQ20" i="1"/>
  <c r="CW222" i="1"/>
  <c r="AO222" i="1"/>
  <c r="CT123" i="1"/>
  <c r="AF222" i="1"/>
  <c r="AU222" i="1"/>
  <c r="BD222" i="1"/>
  <c r="BL222" i="1"/>
  <c r="BO222" i="1"/>
  <c r="BW222" i="1"/>
  <c r="BZ295" i="1"/>
  <c r="AE297" i="1"/>
  <c r="E228" i="1"/>
  <c r="CA297" i="1"/>
  <c r="CT43" i="1"/>
  <c r="I50" i="1"/>
  <c r="J46" i="1"/>
  <c r="P135" i="1"/>
  <c r="S19" i="1"/>
  <c r="W42" i="1"/>
  <c r="X74" i="1"/>
  <c r="Y19" i="1"/>
  <c r="Y219" i="1"/>
  <c r="AA23" i="1"/>
  <c r="AM42" i="1"/>
  <c r="AY50" i="1"/>
  <c r="AE24" i="1"/>
  <c r="CB296" i="1"/>
  <c r="CC131" i="1"/>
  <c r="CA36" i="1"/>
  <c r="CA24" i="1"/>
  <c r="CH296" i="1"/>
  <c r="CS296" i="1"/>
  <c r="CS217" i="1"/>
  <c r="AE243" i="1"/>
  <c r="L242" i="1"/>
  <c r="Q249" i="1"/>
  <c r="J250" i="1"/>
  <c r="AQ242" i="1"/>
  <c r="CA251" i="1"/>
  <c r="T242" i="1"/>
  <c r="CA252" i="1"/>
  <c r="AE253" i="1"/>
  <c r="CA255" i="1"/>
  <c r="AE256" i="1"/>
  <c r="AI242" i="1"/>
  <c r="AP242" i="1"/>
  <c r="CK258" i="1"/>
  <c r="J260" i="1"/>
  <c r="J261" i="1"/>
  <c r="CA261" i="1"/>
  <c r="J262" i="1"/>
  <c r="CA262" i="1"/>
  <c r="AE263" i="1"/>
  <c r="Q268" i="1"/>
  <c r="CW287" i="1"/>
  <c r="AE299" i="1"/>
  <c r="CO296" i="1"/>
  <c r="CG296" i="1"/>
  <c r="I165" i="1"/>
  <c r="I131" i="1"/>
  <c r="J25" i="1"/>
  <c r="R135" i="1"/>
  <c r="U48" i="1"/>
  <c r="W50" i="1"/>
  <c r="AA42" i="1"/>
  <c r="AB42" i="1"/>
  <c r="AH42" i="1"/>
  <c r="AI131" i="1"/>
  <c r="AJ42" i="1"/>
  <c r="AN50" i="1"/>
  <c r="H165" i="1"/>
  <c r="H131" i="1"/>
  <c r="H83" i="1"/>
  <c r="I90" i="1"/>
  <c r="L69" i="1"/>
  <c r="M135" i="1"/>
  <c r="O155" i="1"/>
  <c r="O135" i="1"/>
  <c r="J44" i="1"/>
  <c r="P131" i="1"/>
  <c r="P42" i="1"/>
  <c r="J36" i="1"/>
  <c r="W19" i="1"/>
  <c r="X155" i="1"/>
  <c r="X148" i="1"/>
  <c r="X135" i="1"/>
  <c r="Y74" i="1"/>
  <c r="Y59" i="1"/>
  <c r="Z74" i="1"/>
  <c r="AA171" i="1"/>
  <c r="AG50" i="1"/>
  <c r="AG42" i="1"/>
  <c r="AS50" i="1"/>
  <c r="AZ162" i="1"/>
  <c r="AZ50" i="1"/>
  <c r="AZ42" i="1"/>
  <c r="AE25" i="1"/>
  <c r="BI213" i="1"/>
  <c r="CA25" i="1"/>
  <c r="CR210" i="1"/>
  <c r="CA230" i="1"/>
  <c r="AE244" i="1"/>
  <c r="M242" i="1"/>
  <c r="CA246" i="1"/>
  <c r="CA248" i="1"/>
  <c r="AB242" i="1"/>
  <c r="CA254" i="1"/>
  <c r="AE255" i="1"/>
  <c r="CA256" i="1"/>
  <c r="S242" i="1"/>
  <c r="AE257" i="1"/>
  <c r="CA258" i="1"/>
  <c r="AE259" i="1"/>
  <c r="AE260" i="1"/>
  <c r="AE264" i="1"/>
  <c r="AE265" i="1"/>
  <c r="CA269" i="1"/>
  <c r="CS284" i="1"/>
  <c r="BH290" i="1"/>
  <c r="Z292" i="1"/>
  <c r="AG292" i="1"/>
  <c r="AZ292" i="1"/>
  <c r="CJ304" i="1"/>
  <c r="H212" i="1"/>
  <c r="H108" i="1"/>
  <c r="I209" i="1"/>
  <c r="I206" i="1"/>
  <c r="J207" i="1"/>
  <c r="J192" i="1"/>
  <c r="J188" i="1"/>
  <c r="J139" i="1"/>
  <c r="J124" i="1"/>
  <c r="J120" i="1"/>
  <c r="J87" i="1"/>
  <c r="J83" i="1"/>
  <c r="J71" i="1"/>
  <c r="J59" i="1"/>
  <c r="J50" i="1"/>
  <c r="J17" i="1"/>
  <c r="H209" i="1"/>
  <c r="H206" i="1"/>
  <c r="H105" i="1"/>
  <c r="I212" i="1"/>
  <c r="I108" i="1"/>
  <c r="I286" i="1"/>
  <c r="J210" i="1"/>
  <c r="G214" i="1"/>
  <c r="J204" i="1"/>
  <c r="G202" i="1"/>
  <c r="G200" i="1"/>
  <c r="G198" i="1"/>
  <c r="J194" i="1"/>
  <c r="J190" i="1"/>
  <c r="G187" i="1"/>
  <c r="G185" i="1"/>
  <c r="G182" i="1"/>
  <c r="J177" i="1"/>
  <c r="G175" i="1"/>
  <c r="G172" i="1"/>
  <c r="G167" i="1"/>
  <c r="G160" i="1"/>
  <c r="G158" i="1"/>
  <c r="J141" i="1"/>
  <c r="J122" i="1"/>
  <c r="J118" i="1"/>
  <c r="J113" i="1"/>
  <c r="G104" i="1"/>
  <c r="G102" i="1"/>
  <c r="G100" i="1"/>
  <c r="G96" i="1"/>
  <c r="J85" i="1"/>
  <c r="J81" i="1"/>
  <c r="G78" i="1"/>
  <c r="J61" i="1"/>
  <c r="J57" i="1"/>
  <c r="J53" i="1"/>
  <c r="K212" i="1"/>
  <c r="K105" i="1"/>
  <c r="L212" i="1"/>
  <c r="L105" i="1"/>
  <c r="M209" i="1"/>
  <c r="M206" i="1"/>
  <c r="M108" i="1"/>
  <c r="M286" i="1"/>
  <c r="N209" i="1"/>
  <c r="N206" i="1"/>
  <c r="N108" i="1"/>
  <c r="N286" i="1"/>
  <c r="O209" i="1"/>
  <c r="O206" i="1"/>
  <c r="O108" i="1"/>
  <c r="P212" i="1"/>
  <c r="P105" i="1"/>
  <c r="Q207" i="1"/>
  <c r="Q192" i="1"/>
  <c r="Q188" i="1"/>
  <c r="Q179" i="1"/>
  <c r="Q169" i="1"/>
  <c r="Q141" i="1"/>
  <c r="Q124" i="1"/>
  <c r="Q120" i="1"/>
  <c r="Q115" i="1"/>
  <c r="Q106" i="1"/>
  <c r="Q87" i="1"/>
  <c r="Q83" i="1"/>
  <c r="Q79" i="1"/>
  <c r="Q71" i="1"/>
  <c r="Q66" i="1"/>
  <c r="Q61" i="1"/>
  <c r="Q57" i="1"/>
  <c r="Q53" i="1"/>
  <c r="Q48" i="1"/>
  <c r="Q40" i="1"/>
  <c r="Q302" i="1"/>
  <c r="Q298" i="1"/>
  <c r="Q294" i="1"/>
  <c r="Q290" i="1"/>
  <c r="Q217" i="1"/>
  <c r="R212" i="1"/>
  <c r="R105" i="1"/>
  <c r="S212" i="1"/>
  <c r="S105" i="1"/>
  <c r="T212" i="1"/>
  <c r="T105" i="1"/>
  <c r="U212" i="1"/>
  <c r="U105" i="1"/>
  <c r="V207" i="1"/>
  <c r="V192" i="1"/>
  <c r="V188" i="1"/>
  <c r="V179" i="1"/>
  <c r="V139" i="1"/>
  <c r="V122" i="1"/>
  <c r="V118" i="1"/>
  <c r="V113" i="1"/>
  <c r="V85" i="1"/>
  <c r="V81" i="1"/>
  <c r="V71" i="1"/>
  <c r="V66" i="1"/>
  <c r="V61" i="1"/>
  <c r="V55" i="1"/>
  <c r="V48" i="1"/>
  <c r="V40" i="1"/>
  <c r="V17" i="1"/>
  <c r="V300" i="1"/>
  <c r="V296" i="1"/>
  <c r="V290" i="1"/>
  <c r="V217" i="1"/>
  <c r="V284" i="1"/>
  <c r="W209" i="1"/>
  <c r="W206" i="1"/>
  <c r="W108" i="1"/>
  <c r="W286" i="1"/>
  <c r="X209" i="1"/>
  <c r="X206" i="1"/>
  <c r="X108" i="1"/>
  <c r="Y212" i="1"/>
  <c r="Y105" i="1"/>
  <c r="Z212" i="1"/>
  <c r="Z105" i="1"/>
  <c r="Z286" i="1"/>
  <c r="AA209" i="1"/>
  <c r="AA206" i="1"/>
  <c r="AA108" i="1"/>
  <c r="AA286" i="1"/>
  <c r="AB209" i="1"/>
  <c r="AB206" i="1"/>
  <c r="AB108" i="1"/>
  <c r="AB286" i="1"/>
  <c r="AC209" i="1"/>
  <c r="AC206" i="1"/>
  <c r="AC108" i="1"/>
  <c r="AC286" i="1"/>
  <c r="AE210" i="1"/>
  <c r="AE204" i="1"/>
  <c r="AE194" i="1"/>
  <c r="AE190" i="1"/>
  <c r="AE177" i="1"/>
  <c r="AE141" i="1"/>
  <c r="AE120" i="1"/>
  <c r="AE115" i="1"/>
  <c r="AE106" i="1"/>
  <c r="AE87" i="1"/>
  <c r="AE83" i="1"/>
  <c r="AE79" i="1"/>
  <c r="AE71" i="1"/>
  <c r="AE66" i="1"/>
  <c r="AE61" i="1"/>
  <c r="AE57" i="1"/>
  <c r="AE53" i="1"/>
  <c r="AE17" i="1"/>
  <c r="AE300" i="1"/>
  <c r="AE294" i="1"/>
  <c r="AE287" i="1"/>
  <c r="AE284" i="1"/>
  <c r="AF209" i="1"/>
  <c r="AF206" i="1"/>
  <c r="AF108" i="1"/>
  <c r="AF286" i="1"/>
  <c r="AG212" i="1"/>
  <c r="AG105" i="1"/>
  <c r="AG286" i="1"/>
  <c r="AH209" i="1"/>
  <c r="AH206" i="1"/>
  <c r="AH108" i="1"/>
  <c r="AH286" i="1"/>
  <c r="AI209" i="1"/>
  <c r="AI206" i="1"/>
  <c r="AI108" i="1"/>
  <c r="AI286" i="1"/>
  <c r="AJ209" i="1"/>
  <c r="AJ206" i="1"/>
  <c r="AJ108" i="1"/>
  <c r="AJ286" i="1"/>
  <c r="AK209" i="1"/>
  <c r="AK206" i="1"/>
  <c r="AK108" i="1"/>
  <c r="AK286" i="1"/>
  <c r="AL209" i="1"/>
  <c r="AL206" i="1"/>
  <c r="AL108" i="1"/>
  <c r="AL286" i="1"/>
  <c r="AM209" i="1"/>
  <c r="AM206" i="1"/>
  <c r="AM108" i="1"/>
  <c r="AM286" i="1"/>
  <c r="AN209" i="1"/>
  <c r="AN206" i="1"/>
  <c r="AN108" i="1"/>
  <c r="AN286" i="1"/>
  <c r="AO209" i="1"/>
  <c r="AO206" i="1"/>
  <c r="AO108" i="1"/>
  <c r="AO286" i="1"/>
  <c r="AP212" i="1"/>
  <c r="AP105" i="1"/>
  <c r="AP286" i="1"/>
  <c r="AQ212" i="1"/>
  <c r="AQ105" i="1"/>
  <c r="AR212" i="1"/>
  <c r="AR105" i="1"/>
  <c r="AS212" i="1"/>
  <c r="AS105" i="1"/>
  <c r="AT212" i="1"/>
  <c r="AT105" i="1"/>
  <c r="AU212" i="1"/>
  <c r="AU105" i="1"/>
  <c r="AV209" i="1"/>
  <c r="AV206" i="1"/>
  <c r="AV108" i="1"/>
  <c r="AV286" i="1"/>
  <c r="AW209" i="1"/>
  <c r="AW206" i="1"/>
  <c r="AW108" i="1"/>
  <c r="AW286" i="1"/>
  <c r="AX209" i="1"/>
  <c r="AX206" i="1"/>
  <c r="AX108" i="1"/>
  <c r="AX286" i="1"/>
  <c r="AY209" i="1"/>
  <c r="AY206" i="1"/>
  <c r="AY108" i="1"/>
  <c r="AZ212" i="1"/>
  <c r="AZ105" i="1"/>
  <c r="BB207" i="1"/>
  <c r="BB192" i="1"/>
  <c r="BB188" i="1"/>
  <c r="BB179" i="1"/>
  <c r="BB169" i="1"/>
  <c r="BB141" i="1"/>
  <c r="BB122" i="1"/>
  <c r="BB118" i="1"/>
  <c r="BB113" i="1"/>
  <c r="BB85" i="1"/>
  <c r="BB81" i="1"/>
  <c r="BB74" i="1"/>
  <c r="BB69" i="1"/>
  <c r="BB64" i="1"/>
  <c r="BB59" i="1"/>
  <c r="BB55" i="1"/>
  <c r="BB50" i="1"/>
  <c r="BB302" i="1"/>
  <c r="BB298" i="1"/>
  <c r="BB294" i="1"/>
  <c r="BB290" i="1"/>
  <c r="BB217" i="1"/>
  <c r="BC212" i="1"/>
  <c r="BC105" i="1"/>
  <c r="BD212" i="1"/>
  <c r="BD105" i="1"/>
  <c r="BE209" i="1"/>
  <c r="BE206" i="1"/>
  <c r="BE108" i="1"/>
  <c r="BE286" i="1"/>
  <c r="BF210" i="1"/>
  <c r="BF204" i="1"/>
  <c r="BF194" i="1"/>
  <c r="BF190" i="1"/>
  <c r="BF177" i="1"/>
  <c r="BF139" i="1"/>
  <c r="BF124" i="1"/>
  <c r="BF120" i="1"/>
  <c r="BF115" i="1"/>
  <c r="BF106" i="1"/>
  <c r="BF87" i="1"/>
  <c r="BF83" i="1"/>
  <c r="BF79" i="1"/>
  <c r="BF71" i="1"/>
  <c r="BF66" i="1"/>
  <c r="BF61" i="1"/>
  <c r="BF57" i="1"/>
  <c r="BF53" i="1"/>
  <c r="BF48" i="1"/>
  <c r="BF40" i="1"/>
  <c r="BF17" i="1"/>
  <c r="BF300" i="1"/>
  <c r="BF296" i="1"/>
  <c r="BF292" i="1"/>
  <c r="BF217" i="1"/>
  <c r="BG212" i="1"/>
  <c r="BG105" i="1"/>
  <c r="BH212" i="1"/>
  <c r="BH105" i="1"/>
  <c r="BH286" i="1"/>
  <c r="BI209" i="1"/>
  <c r="BI206" i="1"/>
  <c r="BI108" i="1"/>
  <c r="BI286" i="1"/>
  <c r="BJ209" i="1"/>
  <c r="BJ206" i="1"/>
  <c r="BJ108" i="1"/>
  <c r="BJ286" i="1"/>
  <c r="BK210" i="1"/>
  <c r="BK204" i="1"/>
  <c r="BK194" i="1"/>
  <c r="BK190" i="1"/>
  <c r="BK177" i="1"/>
  <c r="BK139" i="1"/>
  <c r="BK124" i="1"/>
  <c r="BK120" i="1"/>
  <c r="BK115" i="1"/>
  <c r="BK106" i="1"/>
  <c r="BK87" i="1"/>
  <c r="BK83" i="1"/>
  <c r="BK79" i="1"/>
  <c r="BK71" i="1"/>
  <c r="BK66" i="1"/>
  <c r="BK61" i="1"/>
  <c r="BK57" i="1"/>
  <c r="BK53" i="1"/>
  <c r="BK48" i="1"/>
  <c r="BK40" i="1"/>
  <c r="BK17" i="1"/>
  <c r="BK300" i="1"/>
  <c r="BK296" i="1"/>
  <c r="BK292" i="1"/>
  <c r="BK287" i="1"/>
  <c r="BK284" i="1"/>
  <c r="BL209" i="1"/>
  <c r="BL206" i="1"/>
  <c r="BL108" i="1"/>
  <c r="BL286" i="1"/>
  <c r="BM207" i="1"/>
  <c r="BM192" i="1"/>
  <c r="BM188" i="1"/>
  <c r="BM179" i="1"/>
  <c r="BM169" i="1"/>
  <c r="BM141" i="1"/>
  <c r="BM124" i="1"/>
  <c r="BM120" i="1"/>
  <c r="BM115" i="1"/>
  <c r="BM106" i="1"/>
  <c r="BM87" i="1"/>
  <c r="BM83" i="1"/>
  <c r="BM79" i="1"/>
  <c r="BM71" i="1"/>
  <c r="BM66" i="1"/>
  <c r="BM61" i="1"/>
  <c r="BM57" i="1"/>
  <c r="BM53" i="1"/>
  <c r="BM48" i="1"/>
  <c r="BM40" i="1"/>
  <c r="BM17" i="1"/>
  <c r="BM300" i="1"/>
  <c r="BM296" i="1"/>
  <c r="BM292" i="1"/>
  <c r="BM287" i="1"/>
  <c r="BM284" i="1"/>
  <c r="BN209" i="1"/>
  <c r="BN206" i="1"/>
  <c r="BN108" i="1"/>
  <c r="BN286" i="1"/>
  <c r="BO209" i="1"/>
  <c r="BO206" i="1"/>
  <c r="BO108" i="1"/>
  <c r="BO286" i="1"/>
  <c r="BP212" i="1"/>
  <c r="BP105" i="1"/>
  <c r="BQ212" i="1"/>
  <c r="BQ105" i="1"/>
  <c r="BR212" i="1"/>
  <c r="BR105" i="1"/>
  <c r="BS212" i="1"/>
  <c r="BS105" i="1"/>
  <c r="BT212" i="1"/>
  <c r="BT105" i="1"/>
  <c r="BU212" i="1"/>
  <c r="BU105" i="1"/>
  <c r="BV212" i="1"/>
  <c r="BV105" i="1"/>
  <c r="BW212" i="1"/>
  <c r="BW105" i="1"/>
  <c r="BX209" i="1"/>
  <c r="BX206" i="1"/>
  <c r="BX108" i="1"/>
  <c r="BX286" i="1"/>
  <c r="BZ197" i="1"/>
  <c r="CA188" i="1"/>
  <c r="BZ183" i="1"/>
  <c r="BZ157" i="1"/>
  <c r="BZ145" i="1"/>
  <c r="CA124" i="1"/>
  <c r="CA120" i="1"/>
  <c r="CA87" i="1"/>
  <c r="CA79" i="1"/>
  <c r="CA71" i="1"/>
  <c r="CA66" i="1"/>
  <c r="CA61" i="1"/>
  <c r="CA57" i="1"/>
  <c r="CA53" i="1"/>
  <c r="CA48" i="1"/>
  <c r="BZ43" i="1"/>
  <c r="BZ39" i="1"/>
  <c r="BZ37" i="1"/>
  <c r="CA287" i="1"/>
  <c r="CA284" i="1"/>
  <c r="CB209" i="1"/>
  <c r="CB206" i="1"/>
  <c r="CB108" i="1"/>
  <c r="CB286" i="1"/>
  <c r="CC209" i="1"/>
  <c r="CC206" i="1"/>
  <c r="CC108" i="1"/>
  <c r="CC286" i="1"/>
  <c r="CD210" i="1"/>
  <c r="CD204" i="1"/>
  <c r="CD194" i="1"/>
  <c r="CD190" i="1"/>
  <c r="CD177" i="1"/>
  <c r="CD139" i="1"/>
  <c r="CD124" i="1"/>
  <c r="CD120" i="1"/>
  <c r="CD115" i="1"/>
  <c r="CD106" i="1"/>
  <c r="CD87" i="1"/>
  <c r="CD83" i="1"/>
  <c r="CD79" i="1"/>
  <c r="CD71" i="1"/>
  <c r="CD61" i="1"/>
  <c r="CD57" i="1"/>
  <c r="CD53" i="1"/>
  <c r="CD48" i="1"/>
  <c r="CD40" i="1"/>
  <c r="CD17" i="1"/>
  <c r="CD300" i="1"/>
  <c r="CD294" i="1"/>
  <c r="CD290" i="1"/>
  <c r="CD217" i="1"/>
  <c r="CE212" i="1"/>
  <c r="CE105" i="1"/>
  <c r="CF212" i="1"/>
  <c r="CF105" i="1"/>
  <c r="CG212" i="1"/>
  <c r="CG105" i="1"/>
  <c r="CG286" i="1"/>
  <c r="CH209" i="1"/>
  <c r="CH206" i="1"/>
  <c r="CH108" i="1"/>
  <c r="CH286" i="1"/>
  <c r="CI209" i="1"/>
  <c r="CI206" i="1"/>
  <c r="CI108" i="1"/>
  <c r="CI286" i="1"/>
  <c r="CK210" i="1"/>
  <c r="CK204" i="1"/>
  <c r="CK194" i="1"/>
  <c r="CK190" i="1"/>
  <c r="CK177" i="1"/>
  <c r="CK139" i="1"/>
  <c r="CK124" i="1"/>
  <c r="CK120" i="1"/>
  <c r="CK115" i="1"/>
  <c r="CK106" i="1"/>
  <c r="CK87" i="1"/>
  <c r="CK83" i="1"/>
  <c r="CK79" i="1"/>
  <c r="CK71" i="1"/>
  <c r="CK66" i="1"/>
  <c r="CK61" i="1"/>
  <c r="CK57" i="1"/>
  <c r="CK53" i="1"/>
  <c r="CK302" i="1"/>
  <c r="CK298" i="1"/>
  <c r="CK292" i="1"/>
  <c r="CK287" i="1"/>
  <c r="CK284" i="1"/>
  <c r="CL209" i="1"/>
  <c r="CL206" i="1"/>
  <c r="CL108" i="1"/>
  <c r="CL286" i="1"/>
  <c r="CM209" i="1"/>
  <c r="CM206" i="1"/>
  <c r="CM108" i="1"/>
  <c r="CM286" i="1"/>
  <c r="CN209" i="1"/>
  <c r="CN206" i="1"/>
  <c r="CN108" i="1"/>
  <c r="CO212" i="1"/>
  <c r="CO105" i="1"/>
  <c r="CO286" i="1"/>
  <c r="CP209" i="1"/>
  <c r="CP206" i="1"/>
  <c r="CP108" i="1"/>
  <c r="CP286" i="1"/>
  <c r="CQ212" i="1"/>
  <c r="CQ105" i="1"/>
  <c r="CR212" i="1"/>
  <c r="CR105" i="1"/>
  <c r="CR286" i="1"/>
  <c r="CS209" i="1"/>
  <c r="CS206" i="1"/>
  <c r="CS108" i="1"/>
  <c r="CS286" i="1"/>
  <c r="CU210" i="1"/>
  <c r="CT214" i="1"/>
  <c r="CT202" i="1"/>
  <c r="CT200" i="1"/>
  <c r="CT198" i="1"/>
  <c r="CU194" i="1"/>
  <c r="CU190" i="1"/>
  <c r="CT187" i="1"/>
  <c r="CT185" i="1"/>
  <c r="CT182" i="1"/>
  <c r="CU177" i="1"/>
  <c r="CT175" i="1"/>
  <c r="CT172" i="1"/>
  <c r="CT167" i="1"/>
  <c r="CT164" i="1"/>
  <c r="CT160" i="1"/>
  <c r="CT158" i="1"/>
  <c r="CT156" i="1"/>
  <c r="CT153" i="1"/>
  <c r="CT150" i="1"/>
  <c r="CT146" i="1"/>
  <c r="CT144" i="1"/>
  <c r="CU139" i="1"/>
  <c r="CT137" i="1"/>
  <c r="CT134" i="1"/>
  <c r="CT132" i="1"/>
  <c r="CT129" i="1"/>
  <c r="CU115" i="1"/>
  <c r="CT103" i="1"/>
  <c r="CT101" i="1"/>
  <c r="CT99" i="1"/>
  <c r="CT95" i="1"/>
  <c r="CT92" i="1"/>
  <c r="CT77" i="1"/>
  <c r="CU57" i="1"/>
  <c r="CT46" i="1"/>
  <c r="CT44" i="1"/>
  <c r="CT38" i="1"/>
  <c r="CT36" i="1"/>
  <c r="CT34" i="1"/>
  <c r="CT32" i="1"/>
  <c r="CT30" i="1"/>
  <c r="CT28" i="1"/>
  <c r="CT26" i="1"/>
  <c r="CT24" i="1"/>
  <c r="CT21" i="1"/>
  <c r="CU217" i="1"/>
  <c r="CT220" i="1"/>
  <c r="CV212" i="1"/>
  <c r="CV105" i="1"/>
  <c r="CW212" i="1"/>
  <c r="CW105" i="1"/>
  <c r="CT224" i="1"/>
  <c r="CT226" i="1"/>
  <c r="CT227" i="1"/>
  <c r="CT229" i="1"/>
  <c r="CT241" i="1"/>
  <c r="AC222" i="1"/>
  <c r="AK222" i="1"/>
  <c r="AT222" i="1"/>
  <c r="AV222" i="1"/>
  <c r="AX222" i="1"/>
  <c r="BC222" i="1"/>
  <c r="BE222" i="1"/>
  <c r="BH222" i="1"/>
  <c r="BN222" i="1"/>
  <c r="BP222" i="1"/>
  <c r="BR222" i="1"/>
  <c r="BT222" i="1"/>
  <c r="BV222" i="1"/>
  <c r="BX222" i="1"/>
  <c r="CE222" i="1"/>
  <c r="CG222" i="1"/>
  <c r="CI222" i="1"/>
  <c r="CM222" i="1"/>
  <c r="CQ222" i="1"/>
  <c r="CS222" i="1"/>
  <c r="CT244" i="1"/>
  <c r="CT250" i="1"/>
  <c r="CT271" i="1"/>
  <c r="CT277" i="1"/>
  <c r="CT275" i="1"/>
  <c r="CT278" i="1"/>
  <c r="CT279" i="1"/>
  <c r="CT282" i="1"/>
  <c r="CT252" i="1"/>
  <c r="CT253" i="1"/>
  <c r="CT254" i="1"/>
  <c r="CT255" i="1"/>
  <c r="CT257" i="1"/>
  <c r="CT258" i="1"/>
  <c r="CT259" i="1"/>
  <c r="CT266" i="1"/>
  <c r="CT267" i="1"/>
  <c r="E235" i="1"/>
  <c r="H286" i="1"/>
  <c r="I105" i="1"/>
  <c r="J179" i="1"/>
  <c r="J169" i="1"/>
  <c r="J115" i="1"/>
  <c r="J106" i="1"/>
  <c r="J79" i="1"/>
  <c r="J55" i="1"/>
  <c r="G39" i="1"/>
  <c r="G37" i="1"/>
  <c r="J287" i="1"/>
  <c r="J284" i="1"/>
  <c r="K209" i="1"/>
  <c r="K206" i="1"/>
  <c r="K108" i="1"/>
  <c r="K286" i="1"/>
  <c r="L209" i="1"/>
  <c r="L206" i="1"/>
  <c r="L108" i="1"/>
  <c r="L286" i="1"/>
  <c r="M212" i="1"/>
  <c r="M105" i="1"/>
  <c r="N212" i="1"/>
  <c r="N105" i="1"/>
  <c r="O212" i="1"/>
  <c r="O105" i="1"/>
  <c r="O286" i="1"/>
  <c r="P209" i="1"/>
  <c r="P206" i="1"/>
  <c r="P108" i="1"/>
  <c r="P286" i="1"/>
  <c r="Q210" i="1"/>
  <c r="Q204" i="1"/>
  <c r="Q194" i="1"/>
  <c r="Q190" i="1"/>
  <c r="Q177" i="1"/>
  <c r="Q139" i="1"/>
  <c r="Q122" i="1"/>
  <c r="Q118" i="1"/>
  <c r="Q113" i="1"/>
  <c r="Q85" i="1"/>
  <c r="Q81" i="1"/>
  <c r="Q74" i="1"/>
  <c r="Q69" i="1"/>
  <c r="Q64" i="1"/>
  <c r="Q59" i="1"/>
  <c r="Q55" i="1"/>
  <c r="Q50" i="1"/>
  <c r="Q17" i="1"/>
  <c r="Q300" i="1"/>
  <c r="Q296" i="1"/>
  <c r="Q292" i="1"/>
  <c r="Q287" i="1"/>
  <c r="Q284" i="1"/>
  <c r="R209" i="1"/>
  <c r="R206" i="1"/>
  <c r="R108" i="1"/>
  <c r="R286" i="1"/>
  <c r="S209" i="1"/>
  <c r="S206" i="1"/>
  <c r="S108" i="1"/>
  <c r="S286" i="1"/>
  <c r="T209" i="1"/>
  <c r="T206" i="1"/>
  <c r="T108" i="1"/>
  <c r="T286" i="1"/>
  <c r="U209" i="1"/>
  <c r="U206" i="1"/>
  <c r="U108" i="1"/>
  <c r="U286" i="1"/>
  <c r="V210" i="1"/>
  <c r="V204" i="1"/>
  <c r="V194" i="1"/>
  <c r="V190" i="1"/>
  <c r="V177" i="1"/>
  <c r="V169" i="1"/>
  <c r="V141" i="1"/>
  <c r="V124" i="1"/>
  <c r="V120" i="1"/>
  <c r="V115" i="1"/>
  <c r="V106" i="1"/>
  <c r="V87" i="1"/>
  <c r="V83" i="1"/>
  <c r="V79" i="1"/>
  <c r="V69" i="1"/>
  <c r="V64" i="1"/>
  <c r="V57" i="1"/>
  <c r="V53" i="1"/>
  <c r="V302" i="1"/>
  <c r="V298" i="1"/>
  <c r="V294" i="1"/>
  <c r="V287" i="1"/>
  <c r="W212" i="1"/>
  <c r="W105" i="1"/>
  <c r="X212" i="1"/>
  <c r="X105" i="1"/>
  <c r="X286" i="1"/>
  <c r="Y209" i="1"/>
  <c r="Y206" i="1"/>
  <c r="Y108" i="1"/>
  <c r="Y286" i="1"/>
  <c r="Z209" i="1"/>
  <c r="Z206" i="1"/>
  <c r="Z108" i="1"/>
  <c r="AA212" i="1"/>
  <c r="AA105" i="1"/>
  <c r="AB212" i="1"/>
  <c r="AB105" i="1"/>
  <c r="AC212" i="1"/>
  <c r="AC105" i="1"/>
  <c r="AE207" i="1"/>
  <c r="AE192" i="1"/>
  <c r="AE188" i="1"/>
  <c r="AE179" i="1"/>
  <c r="AE169" i="1"/>
  <c r="AE139" i="1"/>
  <c r="AE124" i="1"/>
  <c r="AE118" i="1"/>
  <c r="AE113" i="1"/>
  <c r="AE85" i="1"/>
  <c r="AE81" i="1"/>
  <c r="AE74" i="1"/>
  <c r="AE69" i="1"/>
  <c r="AE64" i="1"/>
  <c r="AE59" i="1"/>
  <c r="AE55" i="1"/>
  <c r="AE48" i="1"/>
  <c r="AE302" i="1"/>
  <c r="AE290" i="1"/>
  <c r="AE217" i="1"/>
  <c r="AF212" i="1"/>
  <c r="AF105" i="1"/>
  <c r="AG209" i="1"/>
  <c r="AG206" i="1"/>
  <c r="AG108" i="1"/>
  <c r="AH212" i="1"/>
  <c r="AH105" i="1"/>
  <c r="AI212" i="1"/>
  <c r="AI105" i="1"/>
  <c r="AJ212" i="1"/>
  <c r="AJ105" i="1"/>
  <c r="AK212" i="1"/>
  <c r="AK105" i="1"/>
  <c r="AL212" i="1"/>
  <c r="AL105" i="1"/>
  <c r="AM212" i="1"/>
  <c r="AM105" i="1"/>
  <c r="AN212" i="1"/>
  <c r="AN105" i="1"/>
  <c r="AO212" i="1"/>
  <c r="AO105" i="1"/>
  <c r="AP209" i="1"/>
  <c r="AP206" i="1"/>
  <c r="AP108" i="1"/>
  <c r="AQ209" i="1"/>
  <c r="AQ206" i="1"/>
  <c r="AQ108" i="1"/>
  <c r="AQ286" i="1"/>
  <c r="AR209" i="1"/>
  <c r="AR206" i="1"/>
  <c r="AR108" i="1"/>
  <c r="AR286" i="1"/>
  <c r="AS209" i="1"/>
  <c r="AS206" i="1"/>
  <c r="AS108" i="1"/>
  <c r="AS286" i="1"/>
  <c r="AT209" i="1"/>
  <c r="AT206" i="1"/>
  <c r="AT108" i="1"/>
  <c r="AT286" i="1"/>
  <c r="AU209" i="1"/>
  <c r="AU206" i="1"/>
  <c r="AU108" i="1"/>
  <c r="AU286" i="1"/>
  <c r="AV212" i="1"/>
  <c r="AV105" i="1"/>
  <c r="AW212" i="1"/>
  <c r="AW105" i="1"/>
  <c r="AX212" i="1"/>
  <c r="AX105" i="1"/>
  <c r="AY212" i="1"/>
  <c r="AY105" i="1"/>
  <c r="AY286" i="1"/>
  <c r="AZ209" i="1"/>
  <c r="AZ206" i="1"/>
  <c r="AZ108" i="1"/>
  <c r="AZ286" i="1"/>
  <c r="BB210" i="1"/>
  <c r="BB204" i="1"/>
  <c r="BB194" i="1"/>
  <c r="BB190" i="1"/>
  <c r="BB177" i="1"/>
  <c r="BB139" i="1"/>
  <c r="BB124" i="1"/>
  <c r="BB120" i="1"/>
  <c r="BB87" i="1"/>
  <c r="BB83" i="1"/>
  <c r="BB71" i="1"/>
  <c r="BB66" i="1"/>
  <c r="BB61" i="1"/>
  <c r="BB57" i="1"/>
  <c r="BB53" i="1"/>
  <c r="BB48" i="1"/>
  <c r="BB40" i="1"/>
  <c r="BB300" i="1"/>
  <c r="BB292" i="1"/>
  <c r="BB287" i="1"/>
  <c r="BB284" i="1"/>
  <c r="BC209" i="1"/>
  <c r="BC206" i="1"/>
  <c r="BC108" i="1"/>
  <c r="BC286" i="1"/>
  <c r="BD209" i="1"/>
  <c r="BD206" i="1"/>
  <c r="BD108" i="1"/>
  <c r="BD286" i="1"/>
  <c r="BE212" i="1"/>
  <c r="BE105" i="1"/>
  <c r="BF207" i="1"/>
  <c r="BF192" i="1"/>
  <c r="BF188" i="1"/>
  <c r="BF169" i="1"/>
  <c r="BF141" i="1"/>
  <c r="BF122" i="1"/>
  <c r="BF118" i="1"/>
  <c r="BF113" i="1"/>
  <c r="BF85" i="1"/>
  <c r="BF81" i="1"/>
  <c r="BF74" i="1"/>
  <c r="BF64" i="1"/>
  <c r="BF55" i="1"/>
  <c r="BF50" i="1"/>
  <c r="BF287" i="1"/>
  <c r="BF284" i="1"/>
  <c r="BG209" i="1"/>
  <c r="BG206" i="1"/>
  <c r="BG108" i="1"/>
  <c r="BG286" i="1"/>
  <c r="BH209" i="1"/>
  <c r="BH206" i="1"/>
  <c r="BH108" i="1"/>
  <c r="BI105" i="1"/>
  <c r="BJ212" i="1"/>
  <c r="BJ105" i="1"/>
  <c r="BK207" i="1"/>
  <c r="BK192" i="1"/>
  <c r="BK188" i="1"/>
  <c r="BK179" i="1"/>
  <c r="BK169" i="1"/>
  <c r="BK141" i="1"/>
  <c r="BK122" i="1"/>
  <c r="BK118" i="1"/>
  <c r="BK113" i="1"/>
  <c r="BK85" i="1"/>
  <c r="BK81" i="1"/>
  <c r="BK74" i="1"/>
  <c r="BK69" i="1"/>
  <c r="BK64" i="1"/>
  <c r="BK59" i="1"/>
  <c r="BK55" i="1"/>
  <c r="BK50" i="1"/>
  <c r="BK302" i="1"/>
  <c r="BK298" i="1"/>
  <c r="BK294" i="1"/>
  <c r="BK290" i="1"/>
  <c r="BK217" i="1"/>
  <c r="BL212" i="1"/>
  <c r="BL105" i="1"/>
  <c r="BM210" i="1"/>
  <c r="BM204" i="1"/>
  <c r="BM194" i="1"/>
  <c r="BM190" i="1"/>
  <c r="BM177" i="1"/>
  <c r="BM139" i="1"/>
  <c r="BM122" i="1"/>
  <c r="BM118" i="1"/>
  <c r="BM113" i="1"/>
  <c r="BM85" i="1"/>
  <c r="BM81" i="1"/>
  <c r="BM74" i="1"/>
  <c r="BM69" i="1"/>
  <c r="BM64" i="1"/>
  <c r="BM59" i="1"/>
  <c r="BM55" i="1"/>
  <c r="BM50" i="1"/>
  <c r="BM302" i="1"/>
  <c r="BM298" i="1"/>
  <c r="BM294" i="1"/>
  <c r="BM290" i="1"/>
  <c r="BM217" i="1"/>
  <c r="BN212" i="1"/>
  <c r="BN105" i="1"/>
  <c r="BO212" i="1"/>
  <c r="BO105" i="1"/>
  <c r="BP209" i="1"/>
  <c r="BP206" i="1"/>
  <c r="BP108" i="1"/>
  <c r="BP286" i="1"/>
  <c r="BQ209" i="1"/>
  <c r="BQ206" i="1"/>
  <c r="BQ108" i="1"/>
  <c r="BQ286" i="1"/>
  <c r="BR209" i="1"/>
  <c r="BR206" i="1"/>
  <c r="BR108" i="1"/>
  <c r="BR286" i="1"/>
  <c r="BS209" i="1"/>
  <c r="BS206" i="1"/>
  <c r="BS108" i="1"/>
  <c r="BS286" i="1"/>
  <c r="BT209" i="1"/>
  <c r="BT206" i="1"/>
  <c r="BT108" i="1"/>
  <c r="BT286" i="1"/>
  <c r="BU209" i="1"/>
  <c r="BU206" i="1"/>
  <c r="BU108" i="1"/>
  <c r="BU286" i="1"/>
  <c r="BV209" i="1"/>
  <c r="BV206" i="1"/>
  <c r="BV108" i="1"/>
  <c r="BV286" i="1"/>
  <c r="BW209" i="1"/>
  <c r="BW206" i="1"/>
  <c r="BW108" i="1"/>
  <c r="BW286" i="1"/>
  <c r="BX212" i="1"/>
  <c r="BX105" i="1"/>
  <c r="CA204" i="1"/>
  <c r="CA194" i="1"/>
  <c r="CA190" i="1"/>
  <c r="CA177" i="1"/>
  <c r="CA118" i="1"/>
  <c r="CA74" i="1"/>
  <c r="CA59" i="1"/>
  <c r="CA50" i="1"/>
  <c r="CA40" i="1"/>
  <c r="CA302" i="1"/>
  <c r="CA294" i="1"/>
  <c r="CB212" i="1"/>
  <c r="CB105" i="1"/>
  <c r="CC212" i="1"/>
  <c r="CC105" i="1"/>
  <c r="CD207" i="1"/>
  <c r="CD192" i="1"/>
  <c r="CD188" i="1"/>
  <c r="CD179" i="1"/>
  <c r="CD169" i="1"/>
  <c r="CD141" i="1"/>
  <c r="CD122" i="1"/>
  <c r="CD118" i="1"/>
  <c r="CD113" i="1"/>
  <c r="CD85" i="1"/>
  <c r="CD81" i="1"/>
  <c r="CD74" i="1"/>
  <c r="CD69" i="1"/>
  <c r="CD64" i="1"/>
  <c r="CD59" i="1"/>
  <c r="CD55" i="1"/>
  <c r="CD50" i="1"/>
  <c r="CD302" i="1"/>
  <c r="CD298" i="1"/>
  <c r="CD292" i="1"/>
  <c r="CD287" i="1"/>
  <c r="CE209" i="1"/>
  <c r="CE206" i="1"/>
  <c r="CE108" i="1"/>
  <c r="CE286" i="1"/>
  <c r="CF209" i="1"/>
  <c r="CF206" i="1"/>
  <c r="CF108" i="1"/>
  <c r="CF286" i="1"/>
  <c r="CG209" i="1"/>
  <c r="CG206" i="1"/>
  <c r="CG108" i="1"/>
  <c r="CH212" i="1"/>
  <c r="CH105" i="1"/>
  <c r="CI212" i="1"/>
  <c r="CI105" i="1"/>
  <c r="CK207" i="1"/>
  <c r="CK192" i="1"/>
  <c r="CK188" i="1"/>
  <c r="CK179" i="1"/>
  <c r="CK169" i="1"/>
  <c r="CK141" i="1"/>
  <c r="CK122" i="1"/>
  <c r="CK118" i="1"/>
  <c r="CK113" i="1"/>
  <c r="CK85" i="1"/>
  <c r="CK81" i="1"/>
  <c r="CK74" i="1"/>
  <c r="CK69" i="1"/>
  <c r="CK64" i="1"/>
  <c r="CK59" i="1"/>
  <c r="CK55" i="1"/>
  <c r="CK48" i="1"/>
  <c r="CK40" i="1"/>
  <c r="CK17" i="1"/>
  <c r="CK300" i="1"/>
  <c r="CK294" i="1"/>
  <c r="CK290" i="1"/>
  <c r="CK217" i="1"/>
  <c r="CL212" i="1"/>
  <c r="CL105" i="1"/>
  <c r="CM212" i="1"/>
  <c r="CM105" i="1"/>
  <c r="CN212" i="1"/>
  <c r="CN105" i="1"/>
  <c r="CN286" i="1"/>
  <c r="CO209" i="1"/>
  <c r="CO206" i="1"/>
  <c r="CO108" i="1"/>
  <c r="CP212" i="1"/>
  <c r="CP105" i="1"/>
  <c r="CQ206" i="1"/>
  <c r="CQ108" i="1"/>
  <c r="CQ17" i="1"/>
  <c r="CQ286" i="1"/>
  <c r="CR206" i="1"/>
  <c r="CR108" i="1"/>
  <c r="CS212" i="1"/>
  <c r="CS105" i="1"/>
  <c r="CT215" i="1"/>
  <c r="CT203" i="1"/>
  <c r="CT201" i="1"/>
  <c r="CT199" i="1"/>
  <c r="CT197" i="1"/>
  <c r="CT186" i="1"/>
  <c r="CT183" i="1"/>
  <c r="CU179" i="1"/>
  <c r="CT173" i="1"/>
  <c r="CU169" i="1"/>
  <c r="CT166" i="1"/>
  <c r="CT163" i="1"/>
  <c r="CT159" i="1"/>
  <c r="CT157" i="1"/>
  <c r="CT151" i="1"/>
  <c r="CT145" i="1"/>
  <c r="CU141" i="1"/>
  <c r="CT138" i="1"/>
  <c r="CT136" i="1"/>
  <c r="CT133" i="1"/>
  <c r="CT130" i="1"/>
  <c r="CT128" i="1"/>
  <c r="CU122" i="1"/>
  <c r="CT110" i="1"/>
  <c r="CT104" i="1"/>
  <c r="CT102" i="1"/>
  <c r="CT100" i="1"/>
  <c r="CT96" i="1"/>
  <c r="CT94" i="1"/>
  <c r="CT91" i="1"/>
  <c r="CU85" i="1"/>
  <c r="CU81" i="1"/>
  <c r="CT78" i="1"/>
  <c r="CU74" i="1"/>
  <c r="CU69" i="1"/>
  <c r="CU64" i="1"/>
  <c r="CU59" i="1"/>
  <c r="CU55" i="1"/>
  <c r="CU50" i="1"/>
  <c r="CT47" i="1"/>
  <c r="CT45" i="1"/>
  <c r="CT39" i="1"/>
  <c r="CT37" i="1"/>
  <c r="CT35" i="1"/>
  <c r="CT33" i="1"/>
  <c r="CT31" i="1"/>
  <c r="CT29" i="1"/>
  <c r="CT27" i="1"/>
  <c r="CT22" i="1"/>
  <c r="CT20" i="1"/>
  <c r="CU302" i="1"/>
  <c r="CV209" i="1"/>
  <c r="CV206" i="1"/>
  <c r="CV108" i="1"/>
  <c r="CV286" i="1"/>
  <c r="CW209" i="1"/>
  <c r="CW206" i="1"/>
  <c r="CW108" i="1"/>
  <c r="CT230" i="1"/>
  <c r="CT231" i="1"/>
  <c r="CT232" i="1"/>
  <c r="CT233" i="1"/>
  <c r="CT234" i="1"/>
  <c r="CT236" i="1"/>
  <c r="CT237" i="1"/>
  <c r="CT238" i="1"/>
  <c r="CT240" i="1"/>
  <c r="N222" i="1"/>
  <c r="AN222" i="1"/>
  <c r="AR222" i="1"/>
  <c r="AW222" i="1"/>
  <c r="AY222" i="1"/>
  <c r="BG222" i="1"/>
  <c r="BQ222" i="1"/>
  <c r="BS222" i="1"/>
  <c r="BU222" i="1"/>
  <c r="CB222" i="1"/>
  <c r="CF222" i="1"/>
  <c r="CH222" i="1"/>
  <c r="CL222" i="1"/>
  <c r="CP222" i="1"/>
  <c r="CR222" i="1"/>
  <c r="CV222" i="1"/>
  <c r="CT243" i="1"/>
  <c r="CT251" i="1"/>
  <c r="CT245" i="1"/>
  <c r="CT246" i="1"/>
  <c r="CT247" i="1"/>
  <c r="CT248" i="1"/>
  <c r="CT249" i="1"/>
  <c r="CT256" i="1"/>
  <c r="CT260" i="1"/>
  <c r="CT261" i="1"/>
  <c r="CT262" i="1"/>
  <c r="CT263" i="1"/>
  <c r="CT264" i="1"/>
  <c r="CT265" i="1"/>
  <c r="CT268" i="1"/>
  <c r="CT269" i="1"/>
  <c r="E97" i="1"/>
  <c r="E225" i="1"/>
  <c r="E239" i="1"/>
  <c r="E98" i="1"/>
  <c r="BA200" i="1"/>
  <c r="BZ22" i="1"/>
  <c r="BZ20" i="1"/>
  <c r="CT58" i="1"/>
  <c r="G132" i="1"/>
  <c r="G95" i="1"/>
  <c r="G26" i="1"/>
  <c r="AF68" i="1"/>
  <c r="BA202" i="1"/>
  <c r="BA198" i="1"/>
  <c r="BA172" i="1"/>
  <c r="BA150" i="1"/>
  <c r="BA146" i="1"/>
  <c r="BA144" i="1"/>
  <c r="BA134" i="1"/>
  <c r="BA132" i="1"/>
  <c r="BA129" i="1"/>
  <c r="BA103" i="1"/>
  <c r="BA101" i="1"/>
  <c r="BA99" i="1"/>
  <c r="BA95" i="1"/>
  <c r="BA77" i="1"/>
  <c r="BA46" i="1"/>
  <c r="BA44" i="1"/>
  <c r="BA38" i="1"/>
  <c r="BA36" i="1"/>
  <c r="BZ119" i="1"/>
  <c r="BZ31" i="1"/>
  <c r="BA236" i="1"/>
  <c r="BA241" i="1"/>
  <c r="BZ243" i="1"/>
  <c r="BA245" i="1"/>
  <c r="BA247" i="1"/>
  <c r="G178" i="1"/>
  <c r="G144" i="1"/>
  <c r="AF112" i="1"/>
  <c r="AF73" i="1"/>
  <c r="BA65" i="1"/>
  <c r="CL63" i="1"/>
  <c r="AP68" i="1"/>
  <c r="AQ161" i="1"/>
  <c r="AR161" i="1"/>
  <c r="BB165" i="1"/>
  <c r="BB109" i="1"/>
  <c r="BB90" i="1"/>
  <c r="BK162" i="1"/>
  <c r="BM174" i="1"/>
  <c r="BM152" i="1"/>
  <c r="CT178" i="1"/>
  <c r="CT218" i="1"/>
  <c r="BA226" i="1"/>
  <c r="G227" i="1"/>
  <c r="G193" i="1"/>
  <c r="G107" i="1"/>
  <c r="H112" i="1"/>
  <c r="H42" i="1"/>
  <c r="I23" i="1"/>
  <c r="J213" i="1"/>
  <c r="J152" i="1"/>
  <c r="G151" i="1"/>
  <c r="G145" i="1"/>
  <c r="G134" i="1"/>
  <c r="G34" i="1"/>
  <c r="G32" i="1"/>
  <c r="G30" i="1"/>
  <c r="G28" i="1"/>
  <c r="K112" i="1"/>
  <c r="G136" i="1"/>
  <c r="R112" i="1"/>
  <c r="T117" i="1"/>
  <c r="G101" i="1"/>
  <c r="AF89" i="1"/>
  <c r="R242" i="1"/>
  <c r="I52" i="1"/>
  <c r="R168" i="1"/>
  <c r="CA169" i="1"/>
  <c r="BZ170" i="1"/>
  <c r="CA106" i="1"/>
  <c r="BZ107" i="1"/>
  <c r="G116" i="1"/>
  <c r="G82" i="1"/>
  <c r="H52" i="1"/>
  <c r="H23" i="1"/>
  <c r="I42" i="1"/>
  <c r="P63" i="1"/>
  <c r="Q213" i="1"/>
  <c r="G201" i="1"/>
  <c r="G197" i="1"/>
  <c r="G186" i="1"/>
  <c r="G183" i="1"/>
  <c r="G129" i="1"/>
  <c r="G111" i="1"/>
  <c r="G103" i="1"/>
  <c r="G99" i="1"/>
  <c r="G92" i="1"/>
  <c r="G38" i="1"/>
  <c r="R181" i="1"/>
  <c r="T161" i="1"/>
  <c r="T63" i="1"/>
  <c r="AM161" i="1"/>
  <c r="AZ68" i="1"/>
  <c r="BA154" i="1"/>
  <c r="BA301" i="1"/>
  <c r="BZ111" i="1"/>
  <c r="BZ95" i="1"/>
  <c r="BZ223" i="1"/>
  <c r="CO50" i="1"/>
  <c r="CK51" i="1"/>
  <c r="CU109" i="1"/>
  <c r="CT111" i="1"/>
  <c r="CU83" i="1"/>
  <c r="CT84" i="1"/>
  <c r="CU66" i="1"/>
  <c r="CT67" i="1"/>
  <c r="CU288" i="1"/>
  <c r="CN242" i="1"/>
  <c r="BA34" i="1"/>
  <c r="BA32" i="1"/>
  <c r="BA30" i="1"/>
  <c r="BA28" i="1"/>
  <c r="BA26" i="1"/>
  <c r="BA24" i="1"/>
  <c r="BA21" i="1"/>
  <c r="BB219" i="1"/>
  <c r="BA186" i="1"/>
  <c r="BA183" i="1"/>
  <c r="BA166" i="1"/>
  <c r="BA159" i="1"/>
  <c r="BA157" i="1"/>
  <c r="BI63" i="1"/>
  <c r="BK174" i="1"/>
  <c r="BM76" i="1"/>
  <c r="BA220" i="1"/>
  <c r="CC68" i="1"/>
  <c r="CE112" i="1"/>
  <c r="CE289" i="1"/>
  <c r="CG112" i="1"/>
  <c r="CI68" i="1"/>
  <c r="CV68" i="1"/>
  <c r="G224" i="1"/>
  <c r="BZ224" i="1"/>
  <c r="G226" i="1"/>
  <c r="BA231" i="1"/>
  <c r="G232" i="1"/>
  <c r="BZ232" i="1"/>
  <c r="G233" i="1"/>
  <c r="BA233" i="1"/>
  <c r="G234" i="1"/>
  <c r="BZ234" i="1"/>
  <c r="G236" i="1"/>
  <c r="G237" i="1"/>
  <c r="BZ237" i="1"/>
  <c r="G238" i="1"/>
  <c r="BA238" i="1"/>
  <c r="BI222" i="1"/>
  <c r="G240" i="1"/>
  <c r="BZ240" i="1"/>
  <c r="G241" i="1"/>
  <c r="BZ241" i="1"/>
  <c r="BJ222" i="1"/>
  <c r="AS242" i="1"/>
  <c r="I242" i="1"/>
  <c r="AA242" i="1"/>
  <c r="BZ264" i="1"/>
  <c r="AE252" i="1"/>
  <c r="V262" i="1"/>
  <c r="CS270" i="1"/>
  <c r="V293" i="1"/>
  <c r="BB296" i="1"/>
  <c r="BA297" i="1"/>
  <c r="R16" i="1"/>
  <c r="S147" i="1"/>
  <c r="T168" i="1"/>
  <c r="U168" i="1"/>
  <c r="U117" i="1"/>
  <c r="AQ181" i="1"/>
  <c r="AR168" i="1"/>
  <c r="AR117" i="1"/>
  <c r="AZ73" i="1"/>
  <c r="BB17" i="1"/>
  <c r="BA18" i="1"/>
  <c r="BA110" i="1"/>
  <c r="CC73" i="1"/>
  <c r="CD66" i="1"/>
  <c r="BZ67" i="1"/>
  <c r="CE52" i="1"/>
  <c r="CU207" i="1"/>
  <c r="CT208" i="1"/>
  <c r="CU192" i="1"/>
  <c r="CT193" i="1"/>
  <c r="CU188" i="1"/>
  <c r="CT189" i="1"/>
  <c r="CU118" i="1"/>
  <c r="CT119" i="1"/>
  <c r="CU113" i="1"/>
  <c r="CT114" i="1"/>
  <c r="CU42" i="1"/>
  <c r="CU23" i="1"/>
  <c r="CT25" i="1"/>
  <c r="CU298" i="1"/>
  <c r="CT299" i="1"/>
  <c r="CU294" i="1"/>
  <c r="CT295" i="1"/>
  <c r="CU290" i="1"/>
  <c r="CT291" i="1"/>
  <c r="G170" i="1"/>
  <c r="G285" i="1"/>
  <c r="H68" i="1"/>
  <c r="H63" i="1"/>
  <c r="I117" i="1"/>
  <c r="I68" i="1"/>
  <c r="I63" i="1"/>
  <c r="K63" i="1"/>
  <c r="N89" i="1"/>
  <c r="O161" i="1"/>
  <c r="O63" i="1"/>
  <c r="P89" i="1"/>
  <c r="R52" i="1"/>
  <c r="R289" i="1"/>
  <c r="S126" i="1"/>
  <c r="T181" i="1"/>
  <c r="U181" i="1"/>
  <c r="X292" i="1"/>
  <c r="AI52" i="1"/>
  <c r="AI289" i="1"/>
  <c r="AM40" i="1"/>
  <c r="AE41" i="1"/>
  <c r="AP73" i="1"/>
  <c r="AQ168" i="1"/>
  <c r="AQ117" i="1"/>
  <c r="AR181" i="1"/>
  <c r="AZ122" i="1"/>
  <c r="AE123" i="1"/>
  <c r="BA293" i="1"/>
  <c r="BP135" i="1"/>
  <c r="BM137" i="1"/>
  <c r="BZ205" i="1"/>
  <c r="BZ80" i="1"/>
  <c r="BZ214" i="1"/>
  <c r="BZ202" i="1"/>
  <c r="BZ200" i="1"/>
  <c r="BZ198" i="1"/>
  <c r="BZ187" i="1"/>
  <c r="BZ185" i="1"/>
  <c r="BZ182" i="1"/>
  <c r="BZ175" i="1"/>
  <c r="BZ172" i="1"/>
  <c r="BZ160" i="1"/>
  <c r="BZ158" i="1"/>
  <c r="BZ156" i="1"/>
  <c r="BZ153" i="1"/>
  <c r="BZ150" i="1"/>
  <c r="BZ146" i="1"/>
  <c r="BZ144" i="1"/>
  <c r="BZ137" i="1"/>
  <c r="BZ134" i="1"/>
  <c r="BZ38" i="1"/>
  <c r="BZ21" i="1"/>
  <c r="CE16" i="1"/>
  <c r="CF126" i="1"/>
  <c r="CG52" i="1"/>
  <c r="CH147" i="1"/>
  <c r="CT51" i="1"/>
  <c r="CT303" i="1"/>
  <c r="U289" i="1"/>
  <c r="G146" i="1"/>
  <c r="Z161" i="1"/>
  <c r="Z68" i="1"/>
  <c r="AE293" i="1"/>
  <c r="AI112" i="1"/>
  <c r="AI16" i="1"/>
  <c r="AN89" i="1"/>
  <c r="AP112" i="1"/>
  <c r="AP89" i="1"/>
  <c r="AQ63" i="1"/>
  <c r="AR63" i="1"/>
  <c r="AT161" i="1"/>
  <c r="AV161" i="1"/>
  <c r="AX161" i="1"/>
  <c r="AX68" i="1"/>
  <c r="AY112" i="1"/>
  <c r="AY216" i="1"/>
  <c r="AZ112" i="1"/>
  <c r="AZ89" i="1"/>
  <c r="AZ23" i="1"/>
  <c r="BJ89" i="1"/>
  <c r="BK213" i="1"/>
  <c r="BK165" i="1"/>
  <c r="BK152" i="1"/>
  <c r="BN89" i="1"/>
  <c r="BO161" i="1"/>
  <c r="BP112" i="1"/>
  <c r="BQ68" i="1"/>
  <c r="BR112" i="1"/>
  <c r="BS68" i="1"/>
  <c r="BT112" i="1"/>
  <c r="BU68" i="1"/>
  <c r="BV112" i="1"/>
  <c r="BW68" i="1"/>
  <c r="BX112" i="1"/>
  <c r="BZ132" i="1"/>
  <c r="BZ129" i="1"/>
  <c r="BZ103" i="1"/>
  <c r="BZ101" i="1"/>
  <c r="BZ99" i="1"/>
  <c r="BZ92" i="1"/>
  <c r="BZ77" i="1"/>
  <c r="BZ46" i="1"/>
  <c r="BZ34" i="1"/>
  <c r="BZ32" i="1"/>
  <c r="BZ30" i="1"/>
  <c r="BZ28" i="1"/>
  <c r="BZ26" i="1"/>
  <c r="BZ220" i="1"/>
  <c r="CC112" i="1"/>
  <c r="CC89" i="1"/>
  <c r="BZ36" i="1"/>
  <c r="CD213" i="1"/>
  <c r="BZ201" i="1"/>
  <c r="BZ176" i="1"/>
  <c r="CD171" i="1"/>
  <c r="BZ163" i="1"/>
  <c r="BZ151" i="1"/>
  <c r="BZ138" i="1"/>
  <c r="BZ128" i="1"/>
  <c r="BZ45" i="1"/>
  <c r="BZ35" i="1"/>
  <c r="BZ27" i="1"/>
  <c r="CE68" i="1"/>
  <c r="CE63" i="1"/>
  <c r="CF147" i="1"/>
  <c r="CG16" i="1"/>
  <c r="CH126" i="1"/>
  <c r="CU124" i="1"/>
  <c r="CT125" i="1"/>
  <c r="CU120" i="1"/>
  <c r="CT121" i="1"/>
  <c r="CU106" i="1"/>
  <c r="CT107" i="1"/>
  <c r="CU87" i="1"/>
  <c r="CT88" i="1"/>
  <c r="CU79" i="1"/>
  <c r="CT80" i="1"/>
  <c r="CU71" i="1"/>
  <c r="CT72" i="1"/>
  <c r="CU61" i="1"/>
  <c r="CT62" i="1"/>
  <c r="CU53" i="1"/>
  <c r="CT54" i="1"/>
  <c r="CU48" i="1"/>
  <c r="CT49" i="1"/>
  <c r="CU40" i="1"/>
  <c r="CT41" i="1"/>
  <c r="CV73" i="1"/>
  <c r="BB242" i="1"/>
  <c r="BK242" i="1"/>
  <c r="BF242" i="1"/>
  <c r="CD242" i="1"/>
  <c r="CF161" i="1"/>
  <c r="CF68" i="1"/>
  <c r="CG68" i="1"/>
  <c r="CG63" i="1"/>
  <c r="CH161" i="1"/>
  <c r="CH68" i="1"/>
  <c r="CK213" i="1"/>
  <c r="CL89" i="1"/>
  <c r="CQ63" i="1"/>
  <c r="CR89" i="1"/>
  <c r="CS68" i="1"/>
  <c r="CU165" i="1"/>
  <c r="CU219" i="1"/>
  <c r="CV112" i="1"/>
  <c r="CV89" i="1"/>
  <c r="BA275" i="1"/>
  <c r="G279" i="1"/>
  <c r="BA282" i="1"/>
  <c r="BZ282" i="1"/>
  <c r="BA283" i="1"/>
  <c r="BZ257" i="1"/>
  <c r="BA258" i="1"/>
  <c r="BZ259" i="1"/>
  <c r="BA267" i="1"/>
  <c r="J93" i="1"/>
  <c r="N117" i="1"/>
  <c r="G130" i="1"/>
  <c r="G128" i="1"/>
  <c r="G110" i="1"/>
  <c r="AJ147" i="1"/>
  <c r="AS126" i="1"/>
  <c r="AT181" i="1"/>
  <c r="AU168" i="1"/>
  <c r="AU117" i="1"/>
  <c r="AV181" i="1"/>
  <c r="AW168" i="1"/>
  <c r="AW117" i="1"/>
  <c r="BM127" i="1"/>
  <c r="BM19" i="1"/>
  <c r="CA83" i="1"/>
  <c r="BZ84" i="1"/>
  <c r="CA298" i="1"/>
  <c r="BZ299" i="1"/>
  <c r="CA290" i="1"/>
  <c r="BZ291" i="1"/>
  <c r="CC42" i="1"/>
  <c r="CA44" i="1"/>
  <c r="CD219" i="1"/>
  <c r="BZ221" i="1"/>
  <c r="CD284" i="1"/>
  <c r="BZ285" i="1"/>
  <c r="CI73" i="1"/>
  <c r="CS73" i="1"/>
  <c r="CK251" i="1"/>
  <c r="CO242" i="1"/>
  <c r="G205" i="1"/>
  <c r="G189" i="1"/>
  <c r="G154" i="1"/>
  <c r="G140" i="1"/>
  <c r="G123" i="1"/>
  <c r="G18" i="1"/>
  <c r="I135" i="1"/>
  <c r="J19" i="1"/>
  <c r="K89" i="1"/>
  <c r="K68" i="1"/>
  <c r="L161" i="1"/>
  <c r="O42" i="1"/>
  <c r="P112" i="1"/>
  <c r="P68" i="1"/>
  <c r="G25" i="1"/>
  <c r="G153" i="1"/>
  <c r="G150" i="1"/>
  <c r="Q137" i="1"/>
  <c r="G220" i="1"/>
  <c r="R161" i="1"/>
  <c r="R68" i="1"/>
  <c r="R63" i="1"/>
  <c r="S161" i="1"/>
  <c r="S68" i="1"/>
  <c r="U161" i="1"/>
  <c r="U63" i="1"/>
  <c r="G203" i="1"/>
  <c r="G199" i="1"/>
  <c r="V173" i="1"/>
  <c r="G163" i="1"/>
  <c r="V109" i="1"/>
  <c r="V90" i="1"/>
  <c r="V60" i="1"/>
  <c r="V46" i="1"/>
  <c r="V36" i="1"/>
  <c r="X63" i="1"/>
  <c r="Y161" i="1"/>
  <c r="AA89" i="1"/>
  <c r="AB89" i="1"/>
  <c r="AE164" i="1"/>
  <c r="AE44" i="1"/>
  <c r="AI68" i="1"/>
  <c r="AI63" i="1"/>
  <c r="AJ126" i="1"/>
  <c r="BA176" i="1"/>
  <c r="BA75" i="1"/>
  <c r="BA56" i="1"/>
  <c r="BA214" i="1"/>
  <c r="BB115" i="1"/>
  <c r="BA116" i="1"/>
  <c r="BB106" i="1"/>
  <c r="BA107" i="1"/>
  <c r="BB79" i="1"/>
  <c r="BA80" i="1"/>
  <c r="BC126" i="1"/>
  <c r="BD52" i="1"/>
  <c r="BD289" i="1"/>
  <c r="BE126" i="1"/>
  <c r="BF179" i="1"/>
  <c r="BA180" i="1"/>
  <c r="BA163" i="1"/>
  <c r="BF69" i="1"/>
  <c r="BA70" i="1"/>
  <c r="BF59" i="1"/>
  <c r="BA60" i="1"/>
  <c r="BF302" i="1"/>
  <c r="BA303" i="1"/>
  <c r="BF298" i="1"/>
  <c r="BA299" i="1"/>
  <c r="BF294" i="1"/>
  <c r="BA295" i="1"/>
  <c r="BF291" i="1"/>
  <c r="BA223" i="1"/>
  <c r="BG52" i="1"/>
  <c r="BG289" i="1"/>
  <c r="BH126" i="1"/>
  <c r="BM155" i="1"/>
  <c r="BM143" i="1"/>
  <c r="BM131" i="1"/>
  <c r="BZ215" i="1"/>
  <c r="BZ189" i="1"/>
  <c r="BZ88" i="1"/>
  <c r="BZ75" i="1"/>
  <c r="BZ60" i="1"/>
  <c r="BZ303" i="1"/>
  <c r="BZ288" i="1"/>
  <c r="CA207" i="1"/>
  <c r="BZ208" i="1"/>
  <c r="BZ203" i="1"/>
  <c r="BZ199" i="1"/>
  <c r="CA192" i="1"/>
  <c r="BZ193" i="1"/>
  <c r="BZ186" i="1"/>
  <c r="CA179" i="1"/>
  <c r="BZ180" i="1"/>
  <c r="BZ173" i="1"/>
  <c r="BZ166" i="1"/>
  <c r="BZ159" i="1"/>
  <c r="BZ154" i="1"/>
  <c r="BZ149" i="1"/>
  <c r="CA141" i="1"/>
  <c r="BZ142" i="1"/>
  <c r="BZ136" i="1"/>
  <c r="CA133" i="1"/>
  <c r="BZ130" i="1"/>
  <c r="CA122" i="1"/>
  <c r="BZ123" i="1"/>
  <c r="CA113" i="1"/>
  <c r="BZ114" i="1"/>
  <c r="BZ110" i="1"/>
  <c r="CA69" i="1"/>
  <c r="BZ70" i="1"/>
  <c r="CA64" i="1"/>
  <c r="BZ65" i="1"/>
  <c r="CA55" i="1"/>
  <c r="BZ56" i="1"/>
  <c r="BZ47" i="1"/>
  <c r="BZ33" i="1"/>
  <c r="BZ29" i="1"/>
  <c r="BZ25" i="1"/>
  <c r="CU204" i="1"/>
  <c r="CT205" i="1"/>
  <c r="CU17" i="1"/>
  <c r="CT18" i="1"/>
  <c r="CU300" i="1"/>
  <c r="CT301" i="1"/>
  <c r="CU296" i="1"/>
  <c r="CT297" i="1"/>
  <c r="CU292" i="1"/>
  <c r="CT293" i="1"/>
  <c r="CU284" i="1"/>
  <c r="CT285" i="1"/>
  <c r="CW216" i="1"/>
  <c r="CN296" i="1"/>
  <c r="CK297" i="1"/>
  <c r="AJ161" i="1"/>
  <c r="AJ68" i="1"/>
  <c r="AK161" i="1"/>
  <c r="AL89" i="1"/>
  <c r="AS147" i="1"/>
  <c r="AT168" i="1"/>
  <c r="AT117" i="1"/>
  <c r="AU181" i="1"/>
  <c r="AU161" i="1"/>
  <c r="AV168" i="1"/>
  <c r="AV117" i="1"/>
  <c r="AW181" i="1"/>
  <c r="AW161" i="1"/>
  <c r="AX73" i="1"/>
  <c r="BC147" i="1"/>
  <c r="BD112" i="1"/>
  <c r="BD16" i="1"/>
  <c r="BE147" i="1"/>
  <c r="BG112" i="1"/>
  <c r="BG16" i="1"/>
  <c r="BH147" i="1"/>
  <c r="BI89" i="1"/>
  <c r="BL89" i="1"/>
  <c r="BM213" i="1"/>
  <c r="BM162" i="1"/>
  <c r="BM109" i="1"/>
  <c r="BM90" i="1"/>
  <c r="BQ73" i="1"/>
  <c r="BS73" i="1"/>
  <c r="BU73" i="1"/>
  <c r="BW73" i="1"/>
  <c r="CA165" i="1"/>
  <c r="CA162" i="1"/>
  <c r="CA109" i="1"/>
  <c r="BZ104" i="1"/>
  <c r="BZ102" i="1"/>
  <c r="BZ100" i="1"/>
  <c r="BZ96" i="1"/>
  <c r="BZ94" i="1"/>
  <c r="BZ91" i="1"/>
  <c r="CB112" i="1"/>
  <c r="CC161" i="1"/>
  <c r="CQ289" i="1"/>
  <c r="CI112" i="1"/>
  <c r="CI89" i="1"/>
  <c r="CK90" i="1"/>
  <c r="CL112" i="1"/>
  <c r="CL68" i="1"/>
  <c r="CM161" i="1"/>
  <c r="CN89" i="1"/>
  <c r="CO161" i="1"/>
  <c r="CP112" i="1"/>
  <c r="CQ89" i="1"/>
  <c r="CS112" i="1"/>
  <c r="CS89" i="1"/>
  <c r="BZ250" i="1"/>
  <c r="BA277" i="1"/>
  <c r="BZ277" i="1"/>
  <c r="G276" i="1"/>
  <c r="BA249" i="1"/>
  <c r="V245" i="1"/>
  <c r="O242" i="1"/>
  <c r="U242" i="1"/>
  <c r="AM242" i="1"/>
  <c r="K242" i="1"/>
  <c r="Y242" i="1"/>
  <c r="AE248" i="1"/>
  <c r="J251" i="1"/>
  <c r="V251" i="1"/>
  <c r="BA256" i="1"/>
  <c r="BA269" i="1"/>
  <c r="V253" i="1"/>
  <c r="V254" i="1"/>
  <c r="V256" i="1"/>
  <c r="J258" i="1"/>
  <c r="V258" i="1"/>
  <c r="V260" i="1"/>
  <c r="AE261" i="1"/>
  <c r="V263" i="1"/>
  <c r="V266" i="1"/>
  <c r="V267" i="1"/>
  <c r="O181" i="1"/>
  <c r="Q155" i="1"/>
  <c r="Q131" i="1"/>
  <c r="V196" i="1"/>
  <c r="G215" i="1"/>
  <c r="G208" i="1"/>
  <c r="G195" i="1"/>
  <c r="G191" i="1"/>
  <c r="G142" i="1"/>
  <c r="G119" i="1"/>
  <c r="G114" i="1"/>
  <c r="G94" i="1"/>
  <c r="G86" i="1"/>
  <c r="G56" i="1"/>
  <c r="G20" i="1"/>
  <c r="G288" i="1"/>
  <c r="G166" i="1"/>
  <c r="G159" i="1"/>
  <c r="G157" i="1"/>
  <c r="J143" i="1"/>
  <c r="J133" i="1"/>
  <c r="J127" i="1"/>
  <c r="G223" i="1"/>
  <c r="L89" i="1"/>
  <c r="L16" i="1"/>
  <c r="M147" i="1"/>
  <c r="M117" i="1"/>
  <c r="M89" i="1"/>
  <c r="N181" i="1"/>
  <c r="N161" i="1"/>
  <c r="O168" i="1"/>
  <c r="O89" i="1"/>
  <c r="Q174" i="1"/>
  <c r="Q152" i="1"/>
  <c r="Q127" i="1"/>
  <c r="Q76" i="1"/>
  <c r="Q219" i="1"/>
  <c r="S73" i="1"/>
  <c r="V184" i="1"/>
  <c r="V165" i="1"/>
  <c r="V156" i="1"/>
  <c r="V138" i="1"/>
  <c r="W112" i="1"/>
  <c r="X112" i="1"/>
  <c r="Y89" i="1"/>
  <c r="Y289" i="1"/>
  <c r="Z168" i="1"/>
  <c r="Z117" i="1"/>
  <c r="Z89" i="1"/>
  <c r="AA161" i="1"/>
  <c r="AA63" i="1"/>
  <c r="AB181" i="1"/>
  <c r="L52" i="1"/>
  <c r="L289" i="1"/>
  <c r="N168" i="1"/>
  <c r="Q143" i="1"/>
  <c r="W52" i="1"/>
  <c r="Z181" i="1"/>
  <c r="AB168" i="1"/>
  <c r="AB117" i="1"/>
  <c r="AC52" i="1"/>
  <c r="AC289" i="1"/>
  <c r="AF126" i="1"/>
  <c r="AG52" i="1"/>
  <c r="AH52" i="1"/>
  <c r="AK181" i="1"/>
  <c r="AL168" i="1"/>
  <c r="AL117" i="1"/>
  <c r="AM181" i="1"/>
  <c r="AN168" i="1"/>
  <c r="AN117" i="1"/>
  <c r="AO52" i="1"/>
  <c r="AO289" i="1"/>
  <c r="AP126" i="1"/>
  <c r="AS73" i="1"/>
  <c r="BB184" i="1"/>
  <c r="BC73" i="1"/>
  <c r="BE73" i="1"/>
  <c r="BH73" i="1"/>
  <c r="BK93" i="1"/>
  <c r="BN181" i="1"/>
  <c r="BN161" i="1"/>
  <c r="BO168" i="1"/>
  <c r="BO117" i="1"/>
  <c r="BO89" i="1"/>
  <c r="BP181" i="1"/>
  <c r="BP161" i="1"/>
  <c r="BP52" i="1"/>
  <c r="BP289" i="1"/>
  <c r="BQ126" i="1"/>
  <c r="BQ112" i="1"/>
  <c r="BQ89" i="1"/>
  <c r="BR52" i="1"/>
  <c r="BR289" i="1"/>
  <c r="BS126" i="1"/>
  <c r="BS112" i="1"/>
  <c r="BS89" i="1"/>
  <c r="BT52" i="1"/>
  <c r="BT289" i="1"/>
  <c r="BU126" i="1"/>
  <c r="BU112" i="1"/>
  <c r="BU89" i="1"/>
  <c r="BV52" i="1"/>
  <c r="BV289" i="1"/>
  <c r="BW126" i="1"/>
  <c r="BW112" i="1"/>
  <c r="BW89" i="1"/>
  <c r="BX52" i="1"/>
  <c r="BX289" i="1"/>
  <c r="BZ167" i="1"/>
  <c r="BZ164" i="1"/>
  <c r="BZ125" i="1"/>
  <c r="BZ121" i="1"/>
  <c r="BZ72" i="1"/>
  <c r="BZ62" i="1"/>
  <c r="BZ58" i="1"/>
  <c r="BZ54" i="1"/>
  <c r="BZ49" i="1"/>
  <c r="BZ41" i="1"/>
  <c r="CB52" i="1"/>
  <c r="CC23" i="1"/>
  <c r="CK93" i="1"/>
  <c r="AB161" i="1"/>
  <c r="AC112" i="1"/>
  <c r="AC16" i="1"/>
  <c r="AE165" i="1"/>
  <c r="AF147" i="1"/>
  <c r="AG112" i="1"/>
  <c r="AH112" i="1"/>
  <c r="AJ73" i="1"/>
  <c r="AK168" i="1"/>
  <c r="AK117" i="1"/>
  <c r="AK89" i="1"/>
  <c r="AL181" i="1"/>
  <c r="AL161" i="1"/>
  <c r="AM168" i="1"/>
  <c r="AM117" i="1"/>
  <c r="AM89" i="1"/>
  <c r="AN181" i="1"/>
  <c r="AN161" i="1"/>
  <c r="AO112" i="1"/>
  <c r="AO16" i="1"/>
  <c r="AP147" i="1"/>
  <c r="AS161" i="1"/>
  <c r="AS68" i="1"/>
  <c r="AT63" i="1"/>
  <c r="AU63" i="1"/>
  <c r="AV63" i="1"/>
  <c r="AW63" i="1"/>
  <c r="AX112" i="1"/>
  <c r="AX89" i="1"/>
  <c r="BA211" i="1"/>
  <c r="BA140" i="1"/>
  <c r="BA88" i="1"/>
  <c r="BA67" i="1"/>
  <c r="BB196" i="1"/>
  <c r="BB171" i="1"/>
  <c r="BB148" i="1"/>
  <c r="BB42" i="1"/>
  <c r="BB23" i="1"/>
  <c r="BC161" i="1"/>
  <c r="BC68" i="1"/>
  <c r="BD68" i="1"/>
  <c r="BD63" i="1"/>
  <c r="BE161" i="1"/>
  <c r="BE68" i="1"/>
  <c r="BF213" i="1"/>
  <c r="BF171" i="1"/>
  <c r="BF219" i="1"/>
  <c r="BG68" i="1"/>
  <c r="BG63" i="1"/>
  <c r="BH161" i="1"/>
  <c r="BH68" i="1"/>
  <c r="BI112" i="1"/>
  <c r="BI68" i="1"/>
  <c r="BJ161" i="1"/>
  <c r="BJ63" i="1"/>
  <c r="BK90" i="1"/>
  <c r="BL161" i="1"/>
  <c r="BL63" i="1"/>
  <c r="BN168" i="1"/>
  <c r="BN117" i="1"/>
  <c r="BO181" i="1"/>
  <c r="BP168" i="1"/>
  <c r="BP16" i="1"/>
  <c r="BQ147" i="1"/>
  <c r="BR16" i="1"/>
  <c r="BS147" i="1"/>
  <c r="BT16" i="1"/>
  <c r="BU147" i="1"/>
  <c r="BV16" i="1"/>
  <c r="BW147" i="1"/>
  <c r="BX16" i="1"/>
  <c r="CB16" i="1"/>
  <c r="CC181" i="1"/>
  <c r="CI126" i="1"/>
  <c r="CI296" i="1"/>
  <c r="CD297" i="1"/>
  <c r="CK155" i="1"/>
  <c r="CK143" i="1"/>
  <c r="CK131" i="1"/>
  <c r="CC168" i="1"/>
  <c r="CF73" i="1"/>
  <c r="CH73" i="1"/>
  <c r="CI147" i="1"/>
  <c r="CK174" i="1"/>
  <c r="CK152" i="1"/>
  <c r="CK135" i="1"/>
  <c r="CK127" i="1"/>
  <c r="CK76" i="1"/>
  <c r="CM168" i="1"/>
  <c r="CM117" i="1"/>
  <c r="CM89" i="1"/>
  <c r="CN181" i="1"/>
  <c r="CN161" i="1"/>
  <c r="CO168" i="1"/>
  <c r="CO117" i="1"/>
  <c r="CO89" i="1"/>
  <c r="CP52" i="1"/>
  <c r="CP289" i="1"/>
  <c r="CQ211" i="1"/>
  <c r="CQ112" i="1"/>
  <c r="CQ68" i="1"/>
  <c r="CR161" i="1"/>
  <c r="CR63" i="1"/>
  <c r="CS147" i="1"/>
  <c r="CT195" i="1"/>
  <c r="CT191" i="1"/>
  <c r="CT86" i="1"/>
  <c r="CT82" i="1"/>
  <c r="CU196" i="1"/>
  <c r="CU171" i="1"/>
  <c r="CU148" i="1"/>
  <c r="CV147" i="1"/>
  <c r="CW112" i="1"/>
  <c r="CW16" i="1"/>
  <c r="BZ227" i="1"/>
  <c r="G229" i="1"/>
  <c r="BA229" i="1"/>
  <c r="G230" i="1"/>
  <c r="G231" i="1"/>
  <c r="W242" i="1"/>
  <c r="G271" i="1"/>
  <c r="J270" i="1"/>
  <c r="CM181" i="1"/>
  <c r="CN168" i="1"/>
  <c r="CN117" i="1"/>
  <c r="CO181" i="1"/>
  <c r="CP16" i="1"/>
  <c r="CR289" i="1"/>
  <c r="CR216" i="1"/>
  <c r="CS126" i="1"/>
  <c r="CU184" i="1"/>
  <c r="CV126" i="1"/>
  <c r="CW52" i="1"/>
  <c r="CW289" i="1"/>
  <c r="AE246" i="1"/>
  <c r="AG242" i="1"/>
  <c r="AE249" i="1"/>
  <c r="BA244" i="1"/>
  <c r="BA251" i="1"/>
  <c r="G272" i="1"/>
  <c r="V270" i="1"/>
  <c r="BK270" i="1"/>
  <c r="Q270" i="1"/>
  <c r="AE270" i="1"/>
  <c r="BM270" i="1"/>
  <c r="CD270" i="1"/>
  <c r="BA278" i="1"/>
  <c r="BZ278" i="1"/>
  <c r="G280" i="1"/>
  <c r="AE245" i="1"/>
  <c r="H242" i="1"/>
  <c r="J246" i="1"/>
  <c r="P242" i="1"/>
  <c r="V246" i="1"/>
  <c r="AH242" i="1"/>
  <c r="AL242" i="1"/>
  <c r="J248" i="1"/>
  <c r="V248" i="1"/>
  <c r="Z242" i="1"/>
  <c r="J249" i="1"/>
  <c r="V249" i="1"/>
  <c r="V250" i="1"/>
  <c r="AE251" i="1"/>
  <c r="BA254" i="1"/>
  <c r="G257" i="1"/>
  <c r="BA260" i="1"/>
  <c r="BA262" i="1"/>
  <c r="BA263" i="1"/>
  <c r="BZ268" i="1"/>
  <c r="J252" i="1"/>
  <c r="V252" i="1"/>
  <c r="J255" i="1"/>
  <c r="V255" i="1"/>
  <c r="Q258" i="1"/>
  <c r="AE258" i="1"/>
  <c r="V259" i="1"/>
  <c r="V261" i="1"/>
  <c r="AE262" i="1"/>
  <c r="V264" i="1"/>
  <c r="V265" i="1"/>
  <c r="AE267" i="1"/>
  <c r="V269" i="1"/>
  <c r="I168" i="1"/>
  <c r="I73" i="1"/>
  <c r="J174" i="1"/>
  <c r="J171" i="1"/>
  <c r="J162" i="1"/>
  <c r="J90" i="1"/>
  <c r="J76" i="1"/>
  <c r="K181" i="1"/>
  <c r="K161" i="1"/>
  <c r="L168" i="1"/>
  <c r="L117" i="1"/>
  <c r="L112" i="1"/>
  <c r="L63" i="1"/>
  <c r="M161" i="1"/>
  <c r="M63" i="1"/>
  <c r="N63" i="1"/>
  <c r="N216" i="1"/>
  <c r="O117" i="1"/>
  <c r="O112" i="1"/>
  <c r="O68" i="1"/>
  <c r="P181" i="1"/>
  <c r="P161" i="1"/>
  <c r="Q162" i="1"/>
  <c r="Q109" i="1"/>
  <c r="Q90" i="1"/>
  <c r="R73" i="1"/>
  <c r="S112" i="1"/>
  <c r="S89" i="1"/>
  <c r="T89" i="1"/>
  <c r="U89" i="1"/>
  <c r="V174" i="1"/>
  <c r="V152" i="1"/>
  <c r="W126" i="1"/>
  <c r="W68" i="1"/>
  <c r="W63" i="1"/>
  <c r="X181" i="1"/>
  <c r="X161" i="1"/>
  <c r="X68" i="1"/>
  <c r="Y168" i="1"/>
  <c r="Y117" i="1"/>
  <c r="Y112" i="1"/>
  <c r="Y68" i="1"/>
  <c r="Y63" i="1"/>
  <c r="Z52" i="1"/>
  <c r="AA117" i="1"/>
  <c r="AA112" i="1"/>
  <c r="AA68" i="1"/>
  <c r="AB63" i="1"/>
  <c r="AB289" i="1"/>
  <c r="AC126" i="1"/>
  <c r="AC68" i="1"/>
  <c r="AC63" i="1"/>
  <c r="AE213" i="1"/>
  <c r="AE196" i="1"/>
  <c r="AE171" i="1"/>
  <c r="AE148" i="1"/>
  <c r="AE23" i="1"/>
  <c r="AF16" i="1"/>
  <c r="AG147" i="1"/>
  <c r="AG73" i="1"/>
  <c r="AS52" i="1"/>
  <c r="AX147" i="1"/>
  <c r="AY73" i="1"/>
  <c r="AY289" i="1"/>
  <c r="I181" i="1"/>
  <c r="I147" i="1"/>
  <c r="K168" i="1"/>
  <c r="K117" i="1"/>
  <c r="L181" i="1"/>
  <c r="P168" i="1"/>
  <c r="P117" i="1"/>
  <c r="Q93" i="1"/>
  <c r="S52" i="1"/>
  <c r="S16" i="1"/>
  <c r="W147" i="1"/>
  <c r="W73" i="1"/>
  <c r="X168" i="1"/>
  <c r="Y181" i="1"/>
  <c r="Y73" i="1"/>
  <c r="Z16" i="1"/>
  <c r="AC147" i="1"/>
  <c r="AC73" i="1"/>
  <c r="AE184" i="1"/>
  <c r="AE109" i="1"/>
  <c r="AE76" i="1"/>
  <c r="AE219" i="1"/>
  <c r="AF161" i="1"/>
  <c r="AF52" i="1"/>
  <c r="AF289" i="1"/>
  <c r="AG126" i="1"/>
  <c r="AG68" i="1"/>
  <c r="AG63" i="1"/>
  <c r="AG16" i="1"/>
  <c r="AH68" i="1"/>
  <c r="AH63" i="1"/>
  <c r="AI161" i="1"/>
  <c r="AJ112" i="1"/>
  <c r="AJ89" i="1"/>
  <c r="AK63" i="1"/>
  <c r="AL63" i="1"/>
  <c r="AM63" i="1"/>
  <c r="AN63" i="1"/>
  <c r="AO68" i="1"/>
  <c r="AO63" i="1"/>
  <c r="AP161" i="1"/>
  <c r="AQ89" i="1"/>
  <c r="AR89" i="1"/>
  <c r="AS112" i="1"/>
  <c r="AS89" i="1"/>
  <c r="AT89" i="1"/>
  <c r="AU89" i="1"/>
  <c r="AV89" i="1"/>
  <c r="AW89" i="1"/>
  <c r="AX126" i="1"/>
  <c r="AX16" i="1"/>
  <c r="AY147" i="1"/>
  <c r="AY52" i="1"/>
  <c r="CA217" i="1"/>
  <c r="BZ218" i="1"/>
  <c r="AX52" i="1"/>
  <c r="AX289" i="1"/>
  <c r="AY126" i="1"/>
  <c r="AY68" i="1"/>
  <c r="AY63" i="1"/>
  <c r="AY16" i="1"/>
  <c r="AZ52" i="1"/>
  <c r="BA92" i="1"/>
  <c r="BA84" i="1"/>
  <c r="BB174" i="1"/>
  <c r="BB152" i="1"/>
  <c r="BC112" i="1"/>
  <c r="BC89" i="1"/>
  <c r="BC16" i="1"/>
  <c r="BD147" i="1"/>
  <c r="BD73" i="1"/>
  <c r="BE112" i="1"/>
  <c r="BE89" i="1"/>
  <c r="BE16" i="1"/>
  <c r="BA187" i="1"/>
  <c r="BF184" i="1"/>
  <c r="BA182" i="1"/>
  <c r="BA175" i="1"/>
  <c r="BF165" i="1"/>
  <c r="BF162" i="1"/>
  <c r="BA160" i="1"/>
  <c r="BA158" i="1"/>
  <c r="BA156" i="1"/>
  <c r="BA153" i="1"/>
  <c r="BF109" i="1"/>
  <c r="BA104" i="1"/>
  <c r="BA102" i="1"/>
  <c r="BA100" i="1"/>
  <c r="BA96" i="1"/>
  <c r="BA94" i="1"/>
  <c r="BA91" i="1"/>
  <c r="BF76" i="1"/>
  <c r="BG147" i="1"/>
  <c r="BG73" i="1"/>
  <c r="BH112" i="1"/>
  <c r="BH89" i="1"/>
  <c r="BH16" i="1"/>
  <c r="BI181" i="1"/>
  <c r="BI161" i="1"/>
  <c r="BJ168" i="1"/>
  <c r="BJ117" i="1"/>
  <c r="BJ112" i="1"/>
  <c r="BJ68" i="1"/>
  <c r="BK155" i="1"/>
  <c r="BK143" i="1"/>
  <c r="BK131" i="1"/>
  <c r="BK109" i="1"/>
  <c r="BK76" i="1"/>
  <c r="BK19" i="1"/>
  <c r="BL168" i="1"/>
  <c r="BL117" i="1"/>
  <c r="BL112" i="1"/>
  <c r="BL68" i="1"/>
  <c r="BM93" i="1"/>
  <c r="BM219" i="1"/>
  <c r="BN63" i="1"/>
  <c r="BO63" i="1"/>
  <c r="BP68" i="1"/>
  <c r="BP63" i="1"/>
  <c r="BQ161" i="1"/>
  <c r="BQ52" i="1"/>
  <c r="BQ289" i="1"/>
  <c r="BQ216" i="1"/>
  <c r="BR126" i="1"/>
  <c r="BR68" i="1"/>
  <c r="BR63" i="1"/>
  <c r="BS161" i="1"/>
  <c r="BS52" i="1"/>
  <c r="BS289" i="1"/>
  <c r="BT126" i="1"/>
  <c r="BT68" i="1"/>
  <c r="BT63" i="1"/>
  <c r="BU161" i="1"/>
  <c r="BU52" i="1"/>
  <c r="BU289" i="1"/>
  <c r="BV126" i="1"/>
  <c r="BV68" i="1"/>
  <c r="BV63" i="1"/>
  <c r="BW161" i="1"/>
  <c r="BW52" i="1"/>
  <c r="BW289" i="1"/>
  <c r="BX126" i="1"/>
  <c r="BX68" i="1"/>
  <c r="BX63" i="1"/>
  <c r="BZ195" i="1"/>
  <c r="BZ191" i="1"/>
  <c r="BZ178" i="1"/>
  <c r="CB147" i="1"/>
  <c r="CA210" i="1"/>
  <c r="BZ211" i="1"/>
  <c r="CA139" i="1"/>
  <c r="BZ140" i="1"/>
  <c r="CA115" i="1"/>
  <c r="BZ116" i="1"/>
  <c r="CA85" i="1"/>
  <c r="BZ86" i="1"/>
  <c r="CA81" i="1"/>
  <c r="BZ82" i="1"/>
  <c r="CA76" i="1"/>
  <c r="BZ78" i="1"/>
  <c r="CA17" i="1"/>
  <c r="BZ18" i="1"/>
  <c r="CA300" i="1"/>
  <c r="BZ301" i="1"/>
  <c r="CA292" i="1"/>
  <c r="BZ293" i="1"/>
  <c r="BC52" i="1"/>
  <c r="BC289" i="1"/>
  <c r="BD126" i="1"/>
  <c r="BE52" i="1"/>
  <c r="BE289" i="1"/>
  <c r="BA203" i="1"/>
  <c r="BA201" i="1"/>
  <c r="BA199" i="1"/>
  <c r="BF196" i="1"/>
  <c r="BA151" i="1"/>
  <c r="BF148" i="1"/>
  <c r="BA145" i="1"/>
  <c r="BA138" i="1"/>
  <c r="BA136" i="1"/>
  <c r="BA133" i="1"/>
  <c r="BA130" i="1"/>
  <c r="BA128" i="1"/>
  <c r="BA47" i="1"/>
  <c r="BA45" i="1"/>
  <c r="BF42" i="1"/>
  <c r="BA39" i="1"/>
  <c r="BA37" i="1"/>
  <c r="BA35" i="1"/>
  <c r="BA33" i="1"/>
  <c r="BA31" i="1"/>
  <c r="BA29" i="1"/>
  <c r="BA27" i="1"/>
  <c r="BF23" i="1"/>
  <c r="BA22" i="1"/>
  <c r="BA20" i="1"/>
  <c r="BG126" i="1"/>
  <c r="BH52" i="1"/>
  <c r="BH289" i="1"/>
  <c r="BI168" i="1"/>
  <c r="BI117" i="1"/>
  <c r="BJ181" i="1"/>
  <c r="BK135" i="1"/>
  <c r="BK127" i="1"/>
  <c r="BL181" i="1"/>
  <c r="BP73" i="1"/>
  <c r="BQ16" i="1"/>
  <c r="BR147" i="1"/>
  <c r="BR73" i="1"/>
  <c r="BS16" i="1"/>
  <c r="BT147" i="1"/>
  <c r="BT73" i="1"/>
  <c r="BU16" i="1"/>
  <c r="BV147" i="1"/>
  <c r="BV73" i="1"/>
  <c r="BW16" i="1"/>
  <c r="BX147" i="1"/>
  <c r="BX73" i="1"/>
  <c r="CA184" i="1"/>
  <c r="CB73" i="1"/>
  <c r="CD196" i="1"/>
  <c r="CD148" i="1"/>
  <c r="CD42" i="1"/>
  <c r="CD23" i="1"/>
  <c r="CE126" i="1"/>
  <c r="CF52" i="1"/>
  <c r="CF289" i="1"/>
  <c r="CG126" i="1"/>
  <c r="CH52" i="1"/>
  <c r="CI16" i="1"/>
  <c r="CK19" i="1"/>
  <c r="CL168" i="1"/>
  <c r="CL117" i="1"/>
  <c r="CU90" i="1"/>
  <c r="CV161" i="1"/>
  <c r="CV52" i="1"/>
  <c r="CV289" i="1"/>
  <c r="CW126" i="1"/>
  <c r="CW68" i="1"/>
  <c r="CW63" i="1"/>
  <c r="CU242" i="1"/>
  <c r="BM242" i="1"/>
  <c r="BZ271" i="1"/>
  <c r="CK270" i="1"/>
  <c r="G273" i="1"/>
  <c r="BZ275" i="1"/>
  <c r="G274" i="1"/>
  <c r="BZ279" i="1"/>
  <c r="G281" i="1"/>
  <c r="BA252" i="1"/>
  <c r="BZ253" i="1"/>
  <c r="BA265" i="1"/>
  <c r="BZ266" i="1"/>
  <c r="CA213" i="1"/>
  <c r="CA196" i="1"/>
  <c r="CA171" i="1"/>
  <c r="CA148" i="1"/>
  <c r="CA219" i="1"/>
  <c r="CB126" i="1"/>
  <c r="CB68" i="1"/>
  <c r="CB63" i="1"/>
  <c r="CC52" i="1"/>
  <c r="CC289" i="1"/>
  <c r="CD184" i="1"/>
  <c r="CD165" i="1"/>
  <c r="CD162" i="1"/>
  <c r="CD109" i="1"/>
  <c r="CD76" i="1"/>
  <c r="CE147" i="1"/>
  <c r="CE73" i="1"/>
  <c r="CF112" i="1"/>
  <c r="CF89" i="1"/>
  <c r="CF16" i="1"/>
  <c r="CG147" i="1"/>
  <c r="CG73" i="1"/>
  <c r="CH112" i="1"/>
  <c r="CH89" i="1"/>
  <c r="CH16" i="1"/>
  <c r="CI181" i="1"/>
  <c r="CI161" i="1"/>
  <c r="CI52" i="1"/>
  <c r="CK162" i="1"/>
  <c r="CL181" i="1"/>
  <c r="CL161" i="1"/>
  <c r="CL216" i="1"/>
  <c r="CM63" i="1"/>
  <c r="CN63" i="1"/>
  <c r="CO63" i="1"/>
  <c r="CP68" i="1"/>
  <c r="CP63" i="1"/>
  <c r="CQ161" i="1"/>
  <c r="CR112" i="1"/>
  <c r="CR68" i="1"/>
  <c r="CS161" i="1"/>
  <c r="CT170" i="1"/>
  <c r="CT149" i="1"/>
  <c r="CT142" i="1"/>
  <c r="CU174" i="1"/>
  <c r="CU152" i="1"/>
  <c r="CV16" i="1"/>
  <c r="CW147" i="1"/>
  <c r="CW73" i="1"/>
  <c r="G211" i="1"/>
  <c r="G180" i="1"/>
  <c r="G176" i="1"/>
  <c r="G125" i="1"/>
  <c r="G121" i="1"/>
  <c r="G88" i="1"/>
  <c r="G84" i="1"/>
  <c r="G80" i="1"/>
  <c r="G72" i="1"/>
  <c r="G62" i="1"/>
  <c r="G58" i="1"/>
  <c r="G54" i="1"/>
  <c r="H135" i="1"/>
  <c r="I161" i="1"/>
  <c r="I112" i="1"/>
  <c r="J165" i="1"/>
  <c r="J156" i="1"/>
  <c r="J109" i="1"/>
  <c r="G77" i="1"/>
  <c r="G45" i="1"/>
  <c r="G35" i="1"/>
  <c r="G33" i="1"/>
  <c r="G31" i="1"/>
  <c r="G29" i="1"/>
  <c r="G27" i="1"/>
  <c r="L73" i="1"/>
  <c r="L68" i="1"/>
  <c r="M168" i="1"/>
  <c r="M112" i="1"/>
  <c r="M68" i="1"/>
  <c r="M16" i="1"/>
  <c r="N147" i="1"/>
  <c r="N112" i="1"/>
  <c r="N68" i="1"/>
  <c r="N16" i="1"/>
  <c r="O147" i="1"/>
  <c r="O73" i="1"/>
  <c r="O52" i="1"/>
  <c r="O289" i="1"/>
  <c r="P73" i="1"/>
  <c r="P52" i="1"/>
  <c r="P23" i="1"/>
  <c r="Q184" i="1"/>
  <c r="Q171" i="1"/>
  <c r="Q165" i="1"/>
  <c r="Q148" i="1"/>
  <c r="Q22" i="1"/>
  <c r="R147" i="1"/>
  <c r="R89" i="1"/>
  <c r="S168" i="1"/>
  <c r="S117" i="1"/>
  <c r="S63" i="1"/>
  <c r="T147" i="1"/>
  <c r="T112" i="1"/>
  <c r="T68" i="1"/>
  <c r="T16" i="1"/>
  <c r="U147" i="1"/>
  <c r="U112" i="1"/>
  <c r="U68" i="1"/>
  <c r="V213" i="1"/>
  <c r="V162" i="1"/>
  <c r="V127" i="1"/>
  <c r="V93" i="1"/>
  <c r="V76" i="1"/>
  <c r="V47" i="1"/>
  <c r="W181" i="1"/>
  <c r="W161" i="1"/>
  <c r="W89" i="1"/>
  <c r="W289" i="1"/>
  <c r="X89" i="1"/>
  <c r="X52" i="1"/>
  <c r="Y126" i="1"/>
  <c r="Z147" i="1"/>
  <c r="Z112" i="1"/>
  <c r="Z63" i="1"/>
  <c r="AA181" i="1"/>
  <c r="AA126" i="1"/>
  <c r="AA73" i="1"/>
  <c r="AA52" i="1"/>
  <c r="AB147" i="1"/>
  <c r="AB112" i="1"/>
  <c r="AB68" i="1"/>
  <c r="AC181" i="1"/>
  <c r="AC161" i="1"/>
  <c r="AC89" i="1"/>
  <c r="AE174" i="1"/>
  <c r="AE152" i="1"/>
  <c r="AE143" i="1"/>
  <c r="AE131" i="1"/>
  <c r="AE90" i="1"/>
  <c r="AE46" i="1"/>
  <c r="AF168" i="1"/>
  <c r="AF117" i="1"/>
  <c r="AF63" i="1"/>
  <c r="AG181" i="1"/>
  <c r="AG161" i="1"/>
  <c r="AG89" i="1"/>
  <c r="AH147" i="1"/>
  <c r="AH73" i="1"/>
  <c r="AI168" i="1"/>
  <c r="AI117" i="1"/>
  <c r="AJ181" i="1"/>
  <c r="AJ52" i="1"/>
  <c r="AJ289" i="1"/>
  <c r="AK73" i="1"/>
  <c r="AL73" i="1"/>
  <c r="AM73" i="1"/>
  <c r="AN73" i="1"/>
  <c r="AO147" i="1"/>
  <c r="AO73" i="1"/>
  <c r="AP16" i="1"/>
  <c r="AP289" i="1"/>
  <c r="BB63" i="1"/>
  <c r="M181" i="1"/>
  <c r="M73" i="1"/>
  <c r="M52" i="1"/>
  <c r="M289" i="1"/>
  <c r="N126" i="1"/>
  <c r="N73" i="1"/>
  <c r="N52" i="1"/>
  <c r="N289" i="1"/>
  <c r="P147" i="1"/>
  <c r="P289" i="1"/>
  <c r="Q196" i="1"/>
  <c r="Q68" i="1"/>
  <c r="Q42" i="1"/>
  <c r="Q23" i="1"/>
  <c r="R117" i="1"/>
  <c r="S181" i="1"/>
  <c r="S289" i="1"/>
  <c r="T126" i="1"/>
  <c r="T73" i="1"/>
  <c r="T52" i="1"/>
  <c r="T289" i="1"/>
  <c r="U126" i="1"/>
  <c r="U73" i="1"/>
  <c r="U52" i="1"/>
  <c r="V143" i="1"/>
  <c r="V131" i="1"/>
  <c r="V117" i="1"/>
  <c r="W168" i="1"/>
  <c r="W117" i="1"/>
  <c r="X117" i="1"/>
  <c r="X16" i="1"/>
  <c r="Y147" i="1"/>
  <c r="Y16" i="1"/>
  <c r="Z126" i="1"/>
  <c r="Z73" i="1"/>
  <c r="AA147" i="1"/>
  <c r="AA289" i="1"/>
  <c r="AB126" i="1"/>
  <c r="AB73" i="1"/>
  <c r="AB52" i="1"/>
  <c r="AC168" i="1"/>
  <c r="AC117" i="1"/>
  <c r="AE155" i="1"/>
  <c r="AE135" i="1"/>
  <c r="AE127" i="1"/>
  <c r="AE93" i="1"/>
  <c r="AE63" i="1"/>
  <c r="AE19" i="1"/>
  <c r="AF181" i="1"/>
  <c r="AG168" i="1"/>
  <c r="AG117" i="1"/>
  <c r="AH168" i="1"/>
  <c r="AH126" i="1"/>
  <c r="AH117" i="1"/>
  <c r="AH16" i="1"/>
  <c r="AI181" i="1"/>
  <c r="AI147" i="1"/>
  <c r="AI73" i="1"/>
  <c r="AK126" i="1"/>
  <c r="AK52" i="1"/>
  <c r="AK289" i="1"/>
  <c r="AL126" i="1"/>
  <c r="AL52" i="1"/>
  <c r="AL289" i="1"/>
  <c r="AM126" i="1"/>
  <c r="AM52" i="1"/>
  <c r="AM289" i="1"/>
  <c r="AN126" i="1"/>
  <c r="AN52" i="1"/>
  <c r="AN289" i="1"/>
  <c r="AO168" i="1"/>
  <c r="AO126" i="1"/>
  <c r="AO117" i="1"/>
  <c r="AP181" i="1"/>
  <c r="AP52" i="1"/>
  <c r="AH181" i="1"/>
  <c r="AH161" i="1"/>
  <c r="AH89" i="1"/>
  <c r="AH289" i="1"/>
  <c r="AI89" i="1"/>
  <c r="AJ168" i="1"/>
  <c r="AJ117" i="1"/>
  <c r="AJ63" i="1"/>
  <c r="AJ16" i="1"/>
  <c r="AK147" i="1"/>
  <c r="AK112" i="1"/>
  <c r="AK68" i="1"/>
  <c r="AK16" i="1"/>
  <c r="AL147" i="1"/>
  <c r="AL112" i="1"/>
  <c r="AL68" i="1"/>
  <c r="AL16" i="1"/>
  <c r="AM147" i="1"/>
  <c r="AM112" i="1"/>
  <c r="AM68" i="1"/>
  <c r="AN147" i="1"/>
  <c r="AN112" i="1"/>
  <c r="AN68" i="1"/>
  <c r="AO181" i="1"/>
  <c r="AO161" i="1"/>
  <c r="AO89" i="1"/>
  <c r="AP168" i="1"/>
  <c r="AP117" i="1"/>
  <c r="AP63" i="1"/>
  <c r="AQ147" i="1"/>
  <c r="AQ112" i="1"/>
  <c r="AQ68" i="1"/>
  <c r="AQ16" i="1"/>
  <c r="AR147" i="1"/>
  <c r="AR112" i="1"/>
  <c r="AR68" i="1"/>
  <c r="AR16" i="1"/>
  <c r="AS168" i="1"/>
  <c r="AS117" i="1"/>
  <c r="AS63" i="1"/>
  <c r="AS16" i="1"/>
  <c r="AT147" i="1"/>
  <c r="AT112" i="1"/>
  <c r="AT68" i="1"/>
  <c r="AT16" i="1"/>
  <c r="AU147" i="1"/>
  <c r="AU112" i="1"/>
  <c r="AU68" i="1"/>
  <c r="AU16" i="1"/>
  <c r="AV147" i="1"/>
  <c r="AV112" i="1"/>
  <c r="AV68" i="1"/>
  <c r="AV16" i="1"/>
  <c r="AW147" i="1"/>
  <c r="AW112" i="1"/>
  <c r="AW68" i="1"/>
  <c r="AW16" i="1"/>
  <c r="AX168" i="1"/>
  <c r="AX117" i="1"/>
  <c r="AX63" i="1"/>
  <c r="AY181" i="1"/>
  <c r="AY161" i="1"/>
  <c r="AY89" i="1"/>
  <c r="AZ168" i="1"/>
  <c r="AZ126" i="1"/>
  <c r="AZ63" i="1"/>
  <c r="BA215" i="1"/>
  <c r="BA208" i="1"/>
  <c r="BA205" i="1"/>
  <c r="BA197" i="1"/>
  <c r="BA195" i="1"/>
  <c r="BA193" i="1"/>
  <c r="BA191" i="1"/>
  <c r="BA189" i="1"/>
  <c r="BA185" i="1"/>
  <c r="BA178" i="1"/>
  <c r="BA173" i="1"/>
  <c r="BA170" i="1"/>
  <c r="BA167" i="1"/>
  <c r="BA164" i="1"/>
  <c r="BA149" i="1"/>
  <c r="BA142" i="1"/>
  <c r="BA125" i="1"/>
  <c r="BA123" i="1"/>
  <c r="BA121" i="1"/>
  <c r="BA119" i="1"/>
  <c r="BA114" i="1"/>
  <c r="BA111" i="1"/>
  <c r="BA86" i="1"/>
  <c r="BA82" i="1"/>
  <c r="BA78" i="1"/>
  <c r="BA72" i="1"/>
  <c r="BA62" i="1"/>
  <c r="BA58" i="1"/>
  <c r="BA54" i="1"/>
  <c r="BA51" i="1"/>
  <c r="BA49" i="1"/>
  <c r="BA43" i="1"/>
  <c r="BA41" i="1"/>
  <c r="BA25" i="1"/>
  <c r="BA288" i="1"/>
  <c r="BA218" i="1"/>
  <c r="BA221" i="1"/>
  <c r="BA285" i="1"/>
  <c r="BB213" i="1"/>
  <c r="BB162" i="1"/>
  <c r="BB155" i="1"/>
  <c r="BB135" i="1"/>
  <c r="BB127" i="1"/>
  <c r="BB93" i="1"/>
  <c r="BB76" i="1"/>
  <c r="BB19" i="1"/>
  <c r="BC168" i="1"/>
  <c r="BC117" i="1"/>
  <c r="BC63" i="1"/>
  <c r="BD181" i="1"/>
  <c r="BD161" i="1"/>
  <c r="BD89" i="1"/>
  <c r="BE168" i="1"/>
  <c r="BE117" i="1"/>
  <c r="BE63" i="1"/>
  <c r="BF174" i="1"/>
  <c r="BF152" i="1"/>
  <c r="BF143" i="1"/>
  <c r="BF131" i="1"/>
  <c r="BF90" i="1"/>
  <c r="BG181" i="1"/>
  <c r="BG161" i="1"/>
  <c r="BG89" i="1"/>
  <c r="BH168" i="1"/>
  <c r="BH117" i="1"/>
  <c r="BH63" i="1"/>
  <c r="BI126" i="1"/>
  <c r="BI73" i="1"/>
  <c r="BI52" i="1"/>
  <c r="BI289" i="1"/>
  <c r="BJ126" i="1"/>
  <c r="BJ73" i="1"/>
  <c r="BJ52" i="1"/>
  <c r="BJ289" i="1"/>
  <c r="BK171" i="1"/>
  <c r="BK219" i="1"/>
  <c r="BL126" i="1"/>
  <c r="BL73" i="1"/>
  <c r="BL52" i="1"/>
  <c r="BL289" i="1"/>
  <c r="BM184" i="1"/>
  <c r="BM171" i="1"/>
  <c r="BM165" i="1"/>
  <c r="BM148" i="1"/>
  <c r="BM63" i="1"/>
  <c r="BN147" i="1"/>
  <c r="BN112" i="1"/>
  <c r="BN68" i="1"/>
  <c r="BN16" i="1"/>
  <c r="BO147" i="1"/>
  <c r="BO112" i="1"/>
  <c r="BO68" i="1"/>
  <c r="BO16" i="1"/>
  <c r="BP147" i="1"/>
  <c r="BP89" i="1"/>
  <c r="BQ168" i="1"/>
  <c r="BQ117" i="1"/>
  <c r="BQ63" i="1"/>
  <c r="BR181" i="1"/>
  <c r="BR161" i="1"/>
  <c r="BR89" i="1"/>
  <c r="BS168" i="1"/>
  <c r="BS117" i="1"/>
  <c r="BS63" i="1"/>
  <c r="BT181" i="1"/>
  <c r="BT161" i="1"/>
  <c r="BT89" i="1"/>
  <c r="BU168" i="1"/>
  <c r="BU117" i="1"/>
  <c r="BU63" i="1"/>
  <c r="BV181" i="1"/>
  <c r="BV161" i="1"/>
  <c r="BV89" i="1"/>
  <c r="BW168" i="1"/>
  <c r="BW117" i="1"/>
  <c r="BW63" i="1"/>
  <c r="BX181" i="1"/>
  <c r="BX161" i="1"/>
  <c r="BX89" i="1"/>
  <c r="AQ126" i="1"/>
  <c r="AQ73" i="1"/>
  <c r="AQ52" i="1"/>
  <c r="AQ289" i="1"/>
  <c r="AR126" i="1"/>
  <c r="AR73" i="1"/>
  <c r="AR52" i="1"/>
  <c r="AR289" i="1"/>
  <c r="AS181" i="1"/>
  <c r="AS289" i="1"/>
  <c r="AT126" i="1"/>
  <c r="AT73" i="1"/>
  <c r="AT52" i="1"/>
  <c r="AT289" i="1"/>
  <c r="AU126" i="1"/>
  <c r="AU73" i="1"/>
  <c r="AU52" i="1"/>
  <c r="AU289" i="1"/>
  <c r="AV126" i="1"/>
  <c r="AV73" i="1"/>
  <c r="AV52" i="1"/>
  <c r="AV289" i="1"/>
  <c r="AW126" i="1"/>
  <c r="AW73" i="1"/>
  <c r="AW52" i="1"/>
  <c r="AW289" i="1"/>
  <c r="AX181" i="1"/>
  <c r="AY168" i="1"/>
  <c r="AY117" i="1"/>
  <c r="AZ181" i="1"/>
  <c r="AZ147" i="1"/>
  <c r="BB143" i="1"/>
  <c r="BB131" i="1"/>
  <c r="BC181" i="1"/>
  <c r="BD168" i="1"/>
  <c r="BD117" i="1"/>
  <c r="BE181" i="1"/>
  <c r="BF155" i="1"/>
  <c r="BF135" i="1"/>
  <c r="BF127" i="1"/>
  <c r="BF93" i="1"/>
  <c r="BF19" i="1"/>
  <c r="BG168" i="1"/>
  <c r="BG117" i="1"/>
  <c r="BH181" i="1"/>
  <c r="BI147" i="1"/>
  <c r="BI16" i="1"/>
  <c r="BJ147" i="1"/>
  <c r="BJ16" i="1"/>
  <c r="BK196" i="1"/>
  <c r="BL147" i="1"/>
  <c r="BL16" i="1"/>
  <c r="BM196" i="1"/>
  <c r="BM68" i="1"/>
  <c r="BM42" i="1"/>
  <c r="BM23" i="1"/>
  <c r="BN126" i="1"/>
  <c r="BN73" i="1"/>
  <c r="BN52" i="1"/>
  <c r="BN289" i="1"/>
  <c r="BO126" i="1"/>
  <c r="BO73" i="1"/>
  <c r="BO52" i="1"/>
  <c r="BO289" i="1"/>
  <c r="BP117" i="1"/>
  <c r="BQ181" i="1"/>
  <c r="BR168" i="1"/>
  <c r="BR117" i="1"/>
  <c r="BS181" i="1"/>
  <c r="BT168" i="1"/>
  <c r="BT117" i="1"/>
  <c r="BU181" i="1"/>
  <c r="BV168" i="1"/>
  <c r="BV117" i="1"/>
  <c r="BW181" i="1"/>
  <c r="BX168" i="1"/>
  <c r="BX117" i="1"/>
  <c r="CA174" i="1"/>
  <c r="CA152" i="1"/>
  <c r="CA143" i="1"/>
  <c r="CA90" i="1"/>
  <c r="CB181" i="1"/>
  <c r="CB161" i="1"/>
  <c r="CB89" i="1"/>
  <c r="CC147" i="1"/>
  <c r="CC117" i="1"/>
  <c r="CC63" i="1"/>
  <c r="CD174" i="1"/>
  <c r="CD152" i="1"/>
  <c r="CD143" i="1"/>
  <c r="CD131" i="1"/>
  <c r="CD90" i="1"/>
  <c r="CE181" i="1"/>
  <c r="CE161" i="1"/>
  <c r="CE89" i="1"/>
  <c r="CF168" i="1"/>
  <c r="CF117" i="1"/>
  <c r="CF63" i="1"/>
  <c r="CG181" i="1"/>
  <c r="CG161" i="1"/>
  <c r="CG89" i="1"/>
  <c r="CH168" i="1"/>
  <c r="CH117" i="1"/>
  <c r="CH63" i="1"/>
  <c r="CI63" i="1"/>
  <c r="CK171" i="1"/>
  <c r="CK165" i="1"/>
  <c r="CK109" i="1"/>
  <c r="CK42" i="1"/>
  <c r="CK23" i="1"/>
  <c r="CK219" i="1"/>
  <c r="CL126" i="1"/>
  <c r="CL73" i="1"/>
  <c r="CL52" i="1"/>
  <c r="CL289" i="1"/>
  <c r="CM126" i="1"/>
  <c r="CM52" i="1"/>
  <c r="CM289" i="1"/>
  <c r="CN126" i="1"/>
  <c r="CN52" i="1"/>
  <c r="CO126" i="1"/>
  <c r="CO52" i="1"/>
  <c r="CP168" i="1"/>
  <c r="CP126" i="1"/>
  <c r="CP117" i="1"/>
  <c r="CQ181" i="1"/>
  <c r="CQ147" i="1"/>
  <c r="CR168" i="1"/>
  <c r="CR117" i="1"/>
  <c r="CR16" i="1"/>
  <c r="CS181" i="1"/>
  <c r="CS52" i="1"/>
  <c r="CT211" i="1"/>
  <c r="CT180" i="1"/>
  <c r="CT176" i="1"/>
  <c r="CT154" i="1"/>
  <c r="CT140" i="1"/>
  <c r="CT116" i="1"/>
  <c r="CT75" i="1"/>
  <c r="CT70" i="1"/>
  <c r="CT65" i="1"/>
  <c r="CT60" i="1"/>
  <c r="CT56" i="1"/>
  <c r="CA155" i="1"/>
  <c r="CA135" i="1"/>
  <c r="CA127" i="1"/>
  <c r="CA93" i="1"/>
  <c r="CA19" i="1"/>
  <c r="CB168" i="1"/>
  <c r="CB117" i="1"/>
  <c r="CD155" i="1"/>
  <c r="CD135" i="1"/>
  <c r="CD127" i="1"/>
  <c r="CD93" i="1"/>
  <c r="CD19" i="1"/>
  <c r="CE168" i="1"/>
  <c r="CE117" i="1"/>
  <c r="CF181" i="1"/>
  <c r="CG168" i="1"/>
  <c r="CG117" i="1"/>
  <c r="CH181" i="1"/>
  <c r="CL147" i="1"/>
  <c r="CM73" i="1"/>
  <c r="CN73" i="1"/>
  <c r="CO73" i="1"/>
  <c r="CP147" i="1"/>
  <c r="CP73" i="1"/>
  <c r="CQ168" i="1"/>
  <c r="CQ117" i="1"/>
  <c r="CQ16" i="1"/>
  <c r="CR181" i="1"/>
  <c r="CR147" i="1"/>
  <c r="CS16" i="1"/>
  <c r="CU143" i="1"/>
  <c r="CU131" i="1"/>
  <c r="CV181" i="1"/>
  <c r="CW168" i="1"/>
  <c r="CW117" i="1"/>
  <c r="CL16" i="1"/>
  <c r="CM147" i="1"/>
  <c r="CM112" i="1"/>
  <c r="CM68" i="1"/>
  <c r="CM16" i="1"/>
  <c r="CN147" i="1"/>
  <c r="CN112" i="1"/>
  <c r="CN68" i="1"/>
  <c r="CN16" i="1"/>
  <c r="CO147" i="1"/>
  <c r="CO112" i="1"/>
  <c r="CO68" i="1"/>
  <c r="CP181" i="1"/>
  <c r="CP161" i="1"/>
  <c r="CP89" i="1"/>
  <c r="CQ126" i="1"/>
  <c r="CQ73" i="1"/>
  <c r="CQ52" i="1"/>
  <c r="CR126" i="1"/>
  <c r="CR73" i="1"/>
  <c r="CR52" i="1"/>
  <c r="CS168" i="1"/>
  <c r="CS117" i="1"/>
  <c r="CS63" i="1"/>
  <c r="CT223" i="1"/>
  <c r="CU213" i="1"/>
  <c r="CU162" i="1"/>
  <c r="CU155" i="1"/>
  <c r="CU135" i="1"/>
  <c r="CU127" i="1"/>
  <c r="CU93" i="1"/>
  <c r="CU76" i="1"/>
  <c r="CU19" i="1"/>
  <c r="CV168" i="1"/>
  <c r="CV117" i="1"/>
  <c r="CV63" i="1"/>
  <c r="CW181" i="1"/>
  <c r="CW161" i="1"/>
  <c r="CW89" i="1"/>
  <c r="X242" i="1"/>
  <c r="AJ242" i="1"/>
  <c r="AZ242" i="1"/>
  <c r="CC242" i="1"/>
  <c r="G247" i="1"/>
  <c r="H50" i="1"/>
  <c r="J74" i="1"/>
  <c r="J64" i="1"/>
  <c r="G65" i="1"/>
  <c r="J40" i="1"/>
  <c r="G41" i="1"/>
  <c r="J302" i="1"/>
  <c r="G303" i="1"/>
  <c r="J298" i="1"/>
  <c r="J294" i="1"/>
  <c r="G295" i="1"/>
  <c r="J290" i="1"/>
  <c r="G291" i="1"/>
  <c r="J217" i="1"/>
  <c r="G218" i="1"/>
  <c r="H168" i="1"/>
  <c r="H147" i="1"/>
  <c r="H73" i="1"/>
  <c r="I289" i="1"/>
  <c r="J196" i="1"/>
  <c r="J148" i="1"/>
  <c r="K126" i="1"/>
  <c r="K73" i="1"/>
  <c r="K52" i="1"/>
  <c r="K289" i="1"/>
  <c r="L147" i="1"/>
  <c r="Q63" i="1"/>
  <c r="AA16" i="1"/>
  <c r="H90" i="1"/>
  <c r="G91" i="1"/>
  <c r="J66" i="1"/>
  <c r="G67" i="1"/>
  <c r="J48" i="1"/>
  <c r="G49" i="1"/>
  <c r="G43" i="1"/>
  <c r="J300" i="1"/>
  <c r="G301" i="1"/>
  <c r="J296" i="1"/>
  <c r="J292" i="1"/>
  <c r="J219" i="1"/>
  <c r="H181" i="1"/>
  <c r="H117" i="1"/>
  <c r="H289" i="1"/>
  <c r="J184" i="1"/>
  <c r="K147" i="1"/>
  <c r="K16" i="1"/>
  <c r="L126" i="1"/>
  <c r="U16" i="1"/>
  <c r="J138" i="1"/>
  <c r="J70" i="1"/>
  <c r="J24" i="1"/>
  <c r="V149" i="1"/>
  <c r="V75" i="1"/>
  <c r="V51" i="1"/>
  <c r="V21" i="1"/>
  <c r="V221" i="1"/>
  <c r="AE51" i="1"/>
  <c r="BK148" i="1"/>
  <c r="BK68" i="1"/>
  <c r="BK42" i="1"/>
  <c r="BK23" i="1"/>
  <c r="BK184" i="1"/>
  <c r="CI168" i="1"/>
  <c r="CI117" i="1"/>
  <c r="CK196" i="1"/>
  <c r="CK148" i="1"/>
  <c r="CK184" i="1"/>
  <c r="CK63" i="1"/>
  <c r="BA224" i="1"/>
  <c r="BZ226" i="1"/>
  <c r="BA227" i="1"/>
  <c r="BZ229" i="1"/>
  <c r="BA230" i="1"/>
  <c r="BZ231" i="1"/>
  <c r="BA232" i="1"/>
  <c r="BZ233" i="1"/>
  <c r="BA234" i="1"/>
  <c r="BZ236" i="1"/>
  <c r="BA237" i="1"/>
  <c r="BZ238" i="1"/>
  <c r="BA240" i="1"/>
  <c r="BA243" i="1"/>
  <c r="BZ244" i="1"/>
  <c r="BA250" i="1"/>
  <c r="BZ263" i="1"/>
  <c r="BB270" i="1"/>
  <c r="CA270" i="1"/>
  <c r="CU270" i="1"/>
  <c r="BA272" i="1"/>
  <c r="BZ272" i="1"/>
  <c r="CT272" i="1"/>
  <c r="BA271" i="1"/>
  <c r="BA273" i="1"/>
  <c r="BZ273" i="1"/>
  <c r="CT273" i="1"/>
  <c r="G277" i="1"/>
  <c r="BA276" i="1"/>
  <c r="BZ276" i="1"/>
  <c r="CT276" i="1"/>
  <c r="G275" i="1"/>
  <c r="BA274" i="1"/>
  <c r="BZ274" i="1"/>
  <c r="CT274" i="1"/>
  <c r="G278" i="1"/>
  <c r="BA280" i="1"/>
  <c r="BZ280" i="1"/>
  <c r="CT280" i="1"/>
  <c r="BA279" i="1"/>
  <c r="BA281" i="1"/>
  <c r="BZ281" i="1"/>
  <c r="CT281" i="1"/>
  <c r="G282" i="1"/>
  <c r="G283" i="1"/>
  <c r="BZ283" i="1"/>
  <c r="CT283" i="1"/>
  <c r="BZ245" i="1"/>
  <c r="BA246" i="1"/>
  <c r="BZ247" i="1"/>
  <c r="BA248" i="1"/>
  <c r="BZ249" i="1"/>
  <c r="BA253" i="1"/>
  <c r="BA255" i="1"/>
  <c r="BA257" i="1"/>
  <c r="BA259" i="1"/>
  <c r="BZ260" i="1"/>
  <c r="BA261" i="1"/>
  <c r="BA264" i="1"/>
  <c r="BZ265" i="1"/>
  <c r="BA266" i="1"/>
  <c r="BZ267" i="1"/>
  <c r="BA268" i="1"/>
  <c r="AO216" i="1"/>
  <c r="CT213" i="1"/>
  <c r="CS289" i="1"/>
  <c r="BZ256" i="1"/>
  <c r="BZ254" i="1"/>
  <c r="BZ252" i="1"/>
  <c r="AB222" i="1"/>
  <c r="CO289" i="1"/>
  <c r="CH289" i="1"/>
  <c r="AR216" i="1"/>
  <c r="BZ298" i="1"/>
  <c r="BU216" i="1"/>
  <c r="AV216" i="1"/>
  <c r="BT216" i="1"/>
  <c r="BZ230" i="1"/>
  <c r="CF216" i="1"/>
  <c r="M222" i="1"/>
  <c r="CT155" i="1"/>
  <c r="BZ269" i="1"/>
  <c r="BY271" i="1"/>
  <c r="BM117" i="1"/>
  <c r="BM289" i="1"/>
  <c r="BK112" i="1"/>
  <c r="H161" i="1"/>
  <c r="G297" i="1"/>
  <c r="CT162" i="1"/>
  <c r="CT90" i="1"/>
  <c r="CM216" i="1"/>
  <c r="BZ248" i="1"/>
  <c r="CA296" i="1"/>
  <c r="AK216" i="1"/>
  <c r="CB289" i="1"/>
  <c r="BH216" i="1"/>
  <c r="BC216" i="1"/>
  <c r="AG289" i="1"/>
  <c r="BX216" i="1"/>
  <c r="BP216" i="1"/>
  <c r="BZ255" i="1"/>
  <c r="AE296" i="1"/>
  <c r="BF112" i="1"/>
  <c r="G143" i="1"/>
  <c r="F132" i="1"/>
  <c r="CT148" i="1"/>
  <c r="CT165" i="1"/>
  <c r="CB216" i="1"/>
  <c r="BZ246" i="1"/>
  <c r="BY295" i="1"/>
  <c r="AF216" i="1"/>
  <c r="CT122" i="1"/>
  <c r="BZ262" i="1"/>
  <c r="BZ258" i="1"/>
  <c r="F241" i="1"/>
  <c r="CK68" i="1"/>
  <c r="G293" i="1"/>
  <c r="CT76" i="1"/>
  <c r="CN289" i="1"/>
  <c r="CT143" i="1"/>
  <c r="CI289" i="1"/>
  <c r="BL216" i="1"/>
  <c r="X289" i="1"/>
  <c r="BW216" i="1"/>
  <c r="BO216" i="1"/>
  <c r="BZ294" i="1"/>
  <c r="BY185" i="1"/>
  <c r="M216" i="1"/>
  <c r="BE216" i="1"/>
  <c r="AU216" i="1"/>
  <c r="AT216" i="1"/>
  <c r="BD216" i="1"/>
  <c r="AZ289" i="1"/>
  <c r="I89" i="1"/>
  <c r="BA152" i="1"/>
  <c r="G262" i="1"/>
  <c r="BY278" i="1"/>
  <c r="G256" i="1"/>
  <c r="BZ302" i="1"/>
  <c r="AE162" i="1"/>
  <c r="BZ290" i="1"/>
  <c r="CU112" i="1"/>
  <c r="BY67" i="1"/>
  <c r="BY107" i="1"/>
  <c r="BY170" i="1"/>
  <c r="BY119" i="1"/>
  <c r="CW286" i="1"/>
  <c r="AI222" i="1"/>
  <c r="G76" i="1"/>
  <c r="H126" i="1"/>
  <c r="BY279" i="1"/>
  <c r="BY121" i="1"/>
  <c r="BZ162" i="1"/>
  <c r="BM135" i="1"/>
  <c r="BJ216" i="1"/>
  <c r="CT109" i="1"/>
  <c r="CV216" i="1"/>
  <c r="CH216" i="1"/>
  <c r="BS216" i="1"/>
  <c r="BG216" i="1"/>
  <c r="AW216" i="1"/>
  <c r="AN216" i="1"/>
  <c r="CT93" i="1"/>
  <c r="CT127" i="1"/>
  <c r="CT135" i="1"/>
  <c r="CT171" i="1"/>
  <c r="CT196" i="1"/>
  <c r="CK112" i="1"/>
  <c r="CD68" i="1"/>
  <c r="CD112" i="1"/>
  <c r="CD117" i="1"/>
  <c r="BM52" i="1"/>
  <c r="BK289" i="1"/>
  <c r="BK52" i="1"/>
  <c r="BK63" i="1"/>
  <c r="BK117" i="1"/>
  <c r="BF63" i="1"/>
  <c r="BF117" i="1"/>
  <c r="BB52" i="1"/>
  <c r="AE68" i="1"/>
  <c r="Q52" i="1"/>
  <c r="Q117" i="1"/>
  <c r="CQ216" i="1"/>
  <c r="CI216" i="1"/>
  <c r="BV216" i="1"/>
  <c r="BR216" i="1"/>
  <c r="BN216" i="1"/>
  <c r="AX216" i="1"/>
  <c r="AC216" i="1"/>
  <c r="CT219" i="1"/>
  <c r="J117" i="1"/>
  <c r="Z289" i="1"/>
  <c r="S222" i="1"/>
  <c r="G244" i="1"/>
  <c r="CR209" i="1"/>
  <c r="BI212" i="1"/>
  <c r="AZ161" i="1"/>
  <c r="AA168" i="1"/>
  <c r="Y52" i="1"/>
  <c r="X126" i="1"/>
  <c r="X147" i="1"/>
  <c r="P126" i="1"/>
  <c r="O126" i="1"/>
  <c r="M126" i="1"/>
  <c r="AN16" i="1"/>
  <c r="AI126" i="1"/>
  <c r="AB16" i="1"/>
  <c r="W16" i="1"/>
  <c r="R126" i="1"/>
  <c r="CG289" i="1"/>
  <c r="AE298" i="1"/>
  <c r="G268" i="1"/>
  <c r="BZ261" i="1"/>
  <c r="T222" i="1"/>
  <c r="AQ222" i="1"/>
  <c r="G243" i="1"/>
  <c r="BZ24" i="1"/>
  <c r="CC126" i="1"/>
  <c r="X73" i="1"/>
  <c r="V112" i="1"/>
  <c r="J42" i="1"/>
  <c r="BZ174" i="1"/>
  <c r="BZ219" i="1"/>
  <c r="CT23" i="1"/>
  <c r="BZ19" i="1"/>
  <c r="BM73" i="1"/>
  <c r="AE181" i="1"/>
  <c r="CK52" i="1"/>
  <c r="CD52" i="1"/>
  <c r="AE52" i="1"/>
  <c r="Q168" i="1"/>
  <c r="CA242" i="1"/>
  <c r="AZ16" i="1"/>
  <c r="CT42" i="1"/>
  <c r="CA73" i="1"/>
  <c r="Q73" i="1"/>
  <c r="CT242" i="1"/>
  <c r="CT19" i="1"/>
  <c r="CT131" i="1"/>
  <c r="CT184" i="1"/>
  <c r="CK117" i="1"/>
  <c r="BM112" i="1"/>
  <c r="BB68" i="1"/>
  <c r="BB117" i="1"/>
  <c r="AE73" i="1"/>
  <c r="V63" i="1"/>
  <c r="Q289" i="1"/>
  <c r="Q112" i="1"/>
  <c r="J52" i="1"/>
  <c r="J112" i="1"/>
  <c r="F200" i="1"/>
  <c r="F244" i="1"/>
  <c r="BZ76" i="1"/>
  <c r="F226" i="1"/>
  <c r="I16" i="1"/>
  <c r="G299" i="1"/>
  <c r="G298" i="1"/>
  <c r="CA23" i="1"/>
  <c r="CD181" i="1"/>
  <c r="G269" i="1"/>
  <c r="Q242" i="1"/>
  <c r="BY167" i="1"/>
  <c r="F229" i="1"/>
  <c r="G93" i="1"/>
  <c r="G254" i="1"/>
  <c r="AP222" i="1"/>
  <c r="L222" i="1"/>
  <c r="BY106" i="1"/>
  <c r="X222" i="1"/>
  <c r="CT212" i="1"/>
  <c r="CD147" i="1"/>
  <c r="CT64" i="1"/>
  <c r="CT74" i="1"/>
  <c r="CT174" i="1"/>
  <c r="CT210" i="1"/>
  <c r="BB161" i="1"/>
  <c r="BA217" i="1"/>
  <c r="BA57" i="1"/>
  <c r="BA81" i="1"/>
  <c r="BA141" i="1"/>
  <c r="BA169" i="1"/>
  <c r="BA188" i="1"/>
  <c r="F33" i="1"/>
  <c r="J108" i="1"/>
  <c r="CD73" i="1"/>
  <c r="CU222" i="1"/>
  <c r="F39" i="1"/>
  <c r="BF181" i="1"/>
  <c r="BY78" i="1"/>
  <c r="BY66" i="1"/>
  <c r="BK73" i="1"/>
  <c r="BA90" i="1"/>
  <c r="F102" i="1"/>
  <c r="F187" i="1"/>
  <c r="F92" i="1"/>
  <c r="AE108" i="1"/>
  <c r="AJ222" i="1"/>
  <c r="J242" i="1"/>
  <c r="CU212" i="1"/>
  <c r="CT161" i="1"/>
  <c r="CT59" i="1"/>
  <c r="CT69" i="1"/>
  <c r="CT115" i="1"/>
  <c r="CT152" i="1"/>
  <c r="CT179" i="1"/>
  <c r="CK108" i="1"/>
  <c r="CK168" i="1"/>
  <c r="BA131" i="1"/>
  <c r="BB212" i="1"/>
  <c r="BA287" i="1"/>
  <c r="BA40" i="1"/>
  <c r="BA48" i="1"/>
  <c r="BA53" i="1"/>
  <c r="BA61" i="1"/>
  <c r="BA76" i="1"/>
  <c r="BA85" i="1"/>
  <c r="BA120" i="1"/>
  <c r="BA124" i="1"/>
  <c r="BA148" i="1"/>
  <c r="BA171" i="1"/>
  <c r="BA190" i="1"/>
  <c r="BA194" i="1"/>
  <c r="BA204" i="1"/>
  <c r="V212" i="1"/>
  <c r="F77" i="1"/>
  <c r="G196" i="1"/>
  <c r="CT108" i="1"/>
  <c r="CT141" i="1"/>
  <c r="CT169" i="1"/>
  <c r="CD108" i="1"/>
  <c r="BY266" i="1"/>
  <c r="BY253" i="1"/>
  <c r="G250" i="1"/>
  <c r="BY246" i="1"/>
  <c r="BY275" i="1"/>
  <c r="BM222" i="1"/>
  <c r="F37" i="1"/>
  <c r="F145" i="1"/>
  <c r="CA209" i="1"/>
  <c r="BY120" i="1"/>
  <c r="BK108" i="1"/>
  <c r="BF73" i="1"/>
  <c r="F94" i="1"/>
  <c r="F100" i="1"/>
  <c r="F104" i="1"/>
  <c r="F158" i="1"/>
  <c r="F175" i="1"/>
  <c r="BA83" i="1"/>
  <c r="AB216" i="1"/>
  <c r="Q108" i="1"/>
  <c r="G265" i="1"/>
  <c r="G259" i="1"/>
  <c r="Z222" i="1"/>
  <c r="AH222" i="1"/>
  <c r="G245" i="1"/>
  <c r="AG222" i="1"/>
  <c r="W222" i="1"/>
  <c r="CT81" i="1"/>
  <c r="CT190" i="1"/>
  <c r="CP216" i="1"/>
  <c r="BK89" i="1"/>
  <c r="BF212" i="1"/>
  <c r="BA66" i="1"/>
  <c r="BA139" i="1"/>
  <c r="BZ120" i="1"/>
  <c r="BY164" i="1"/>
  <c r="V135" i="1"/>
  <c r="F159" i="1"/>
  <c r="G287" i="1"/>
  <c r="G55" i="1"/>
  <c r="G118" i="1"/>
  <c r="G190" i="1"/>
  <c r="G207" i="1"/>
  <c r="G263" i="1"/>
  <c r="K222" i="1"/>
  <c r="U222" i="1"/>
  <c r="BY230" i="1"/>
  <c r="BY91" i="1"/>
  <c r="BY96" i="1"/>
  <c r="BY102" i="1"/>
  <c r="CA108" i="1"/>
  <c r="BM108" i="1"/>
  <c r="BM212" i="1"/>
  <c r="BB222" i="1"/>
  <c r="CT284" i="1"/>
  <c r="CT292" i="1"/>
  <c r="CT296" i="1"/>
  <c r="CT300" i="1"/>
  <c r="CT17" i="1"/>
  <c r="CT204" i="1"/>
  <c r="BY25" i="1"/>
  <c r="BY33" i="1"/>
  <c r="CA117" i="1"/>
  <c r="BY149" i="1"/>
  <c r="BY159" i="1"/>
  <c r="BY173" i="1"/>
  <c r="BY199" i="1"/>
  <c r="BZ287" i="1"/>
  <c r="BY215" i="1"/>
  <c r="BF222" i="1"/>
  <c r="BA294" i="1"/>
  <c r="BA298" i="1"/>
  <c r="BA302" i="1"/>
  <c r="BA59" i="1"/>
  <c r="BA69" i="1"/>
  <c r="BA79" i="1"/>
  <c r="BA106" i="1"/>
  <c r="BA115" i="1"/>
  <c r="F214" i="1"/>
  <c r="BA74" i="1"/>
  <c r="G164" i="1"/>
  <c r="V23" i="1"/>
  <c r="V59" i="1"/>
  <c r="V68" i="1"/>
  <c r="V108" i="1"/>
  <c r="V171" i="1"/>
  <c r="G137" i="1"/>
  <c r="O16" i="1"/>
  <c r="I126" i="1"/>
  <c r="G139" i="1"/>
  <c r="G188" i="1"/>
  <c r="CO222" i="1"/>
  <c r="BY221" i="1"/>
  <c r="BZ44" i="1"/>
  <c r="BY291" i="1"/>
  <c r="BY299" i="1"/>
  <c r="BZ83" i="1"/>
  <c r="G184" i="1"/>
  <c r="CU68" i="1"/>
  <c r="CK212" i="1"/>
  <c r="CD222" i="1"/>
  <c r="BK222" i="1"/>
  <c r="CU52" i="1"/>
  <c r="CU105" i="1"/>
  <c r="CU117" i="1"/>
  <c r="BY27" i="1"/>
  <c r="BY45" i="1"/>
  <c r="BY128" i="1"/>
  <c r="BY151" i="1"/>
  <c r="BY201" i="1"/>
  <c r="BY24" i="1"/>
  <c r="BY220" i="1"/>
  <c r="BY28" i="1"/>
  <c r="BY32" i="1"/>
  <c r="BY46" i="1"/>
  <c r="BY92" i="1"/>
  <c r="BY101" i="1"/>
  <c r="BY129" i="1"/>
  <c r="BK161" i="1"/>
  <c r="AQ216" i="1"/>
  <c r="AE112" i="1"/>
  <c r="CT50" i="1"/>
  <c r="CG216" i="1"/>
  <c r="BY38" i="1"/>
  <c r="BY137" i="1"/>
  <c r="BY146" i="1"/>
  <c r="BY153" i="1"/>
  <c r="BY158" i="1"/>
  <c r="BY172" i="1"/>
  <c r="BY182" i="1"/>
  <c r="BY187" i="1"/>
  <c r="BY200" i="1"/>
  <c r="BY214" i="1"/>
  <c r="BZ204" i="1"/>
  <c r="BP126" i="1"/>
  <c r="AZ117" i="1"/>
  <c r="AM16" i="1"/>
  <c r="G169" i="1"/>
  <c r="CT113" i="1"/>
  <c r="CT118" i="1"/>
  <c r="CT188" i="1"/>
  <c r="CT192" i="1"/>
  <c r="CT207" i="1"/>
  <c r="CD63" i="1"/>
  <c r="BB289" i="1"/>
  <c r="CS216" i="1"/>
  <c r="AA222" i="1"/>
  <c r="AS222" i="1"/>
  <c r="CE216" i="1"/>
  <c r="BY241" i="1"/>
  <c r="BY240" i="1"/>
  <c r="BI216" i="1"/>
  <c r="BY234" i="1"/>
  <c r="BY232" i="1"/>
  <c r="BY224" i="1"/>
  <c r="F26" i="1"/>
  <c r="F30" i="1"/>
  <c r="F34" i="1"/>
  <c r="CU63" i="1"/>
  <c r="CU108" i="1"/>
  <c r="CO16" i="1"/>
  <c r="BY95" i="1"/>
  <c r="BA300" i="1"/>
  <c r="AI216" i="1"/>
  <c r="F38" i="1"/>
  <c r="F99" i="1"/>
  <c r="Q212" i="1"/>
  <c r="G115" i="1"/>
  <c r="CA105" i="1"/>
  <c r="F134" i="1"/>
  <c r="J212" i="1"/>
  <c r="G106" i="1"/>
  <c r="CT217" i="1"/>
  <c r="BB108" i="1"/>
  <c r="BA64" i="1"/>
  <c r="G177" i="1"/>
  <c r="BY243" i="1"/>
  <c r="BZ118" i="1"/>
  <c r="F172" i="1"/>
  <c r="F202" i="1"/>
  <c r="CT57" i="1"/>
  <c r="BY22" i="1"/>
  <c r="CC222" i="1"/>
  <c r="AZ222" i="1"/>
  <c r="CU161" i="1"/>
  <c r="CD16" i="1"/>
  <c r="CT55" i="1"/>
  <c r="CT139" i="1"/>
  <c r="CK161" i="1"/>
  <c r="BF16" i="1"/>
  <c r="BM168" i="1"/>
  <c r="BB89" i="1"/>
  <c r="BA284" i="1"/>
  <c r="BA50" i="1"/>
  <c r="BA71" i="1"/>
  <c r="BA162" i="1"/>
  <c r="BA177" i="1"/>
  <c r="BA192" i="1"/>
  <c r="BA207" i="1"/>
  <c r="Q147" i="1"/>
  <c r="P16" i="1"/>
  <c r="F29" i="1"/>
  <c r="CA212" i="1"/>
  <c r="F201" i="1"/>
  <c r="BM89" i="1"/>
  <c r="F96" i="1"/>
  <c r="BF108" i="1"/>
  <c r="F160" i="1"/>
  <c r="F182" i="1"/>
  <c r="Q89" i="1"/>
  <c r="AE212" i="1"/>
  <c r="G264" i="1"/>
  <c r="G261" i="1"/>
  <c r="BY268" i="1"/>
  <c r="AL222" i="1"/>
  <c r="P222" i="1"/>
  <c r="H222" i="1"/>
  <c r="CU181" i="1"/>
  <c r="BY227" i="1"/>
  <c r="CT85" i="1"/>
  <c r="CT194" i="1"/>
  <c r="CQ210" i="1"/>
  <c r="CK73" i="1"/>
  <c r="CD296" i="1"/>
  <c r="BA87" i="1"/>
  <c r="BA210" i="1"/>
  <c r="BZ124" i="1"/>
  <c r="V155" i="1"/>
  <c r="G165" i="1"/>
  <c r="G85" i="1"/>
  <c r="G113" i="1"/>
  <c r="G141" i="1"/>
  <c r="G194" i="1"/>
  <c r="G213" i="1"/>
  <c r="G266" i="1"/>
  <c r="BY261" i="1"/>
  <c r="G260" i="1"/>
  <c r="BY255" i="1"/>
  <c r="G253" i="1"/>
  <c r="Y222" i="1"/>
  <c r="AM222" i="1"/>
  <c r="O222" i="1"/>
  <c r="BY277" i="1"/>
  <c r="BY250" i="1"/>
  <c r="BY100" i="1"/>
  <c r="BY104" i="1"/>
  <c r="CK296" i="1"/>
  <c r="BY29" i="1"/>
  <c r="BY47" i="1"/>
  <c r="CA52" i="1"/>
  <c r="CA63" i="1"/>
  <c r="CA68" i="1"/>
  <c r="BZ113" i="1"/>
  <c r="BY130" i="1"/>
  <c r="BY136" i="1"/>
  <c r="BY154" i="1"/>
  <c r="BY166" i="1"/>
  <c r="BY186" i="1"/>
  <c r="BY203" i="1"/>
  <c r="CA206" i="1"/>
  <c r="BY303" i="1"/>
  <c r="BF52" i="1"/>
  <c r="BF68" i="1"/>
  <c r="BA179" i="1"/>
  <c r="BB105" i="1"/>
  <c r="BB112" i="1"/>
  <c r="BA55" i="1"/>
  <c r="G44" i="1"/>
  <c r="F150" i="1"/>
  <c r="G122" i="1"/>
  <c r="G204" i="1"/>
  <c r="BY118" i="1"/>
  <c r="BY259" i="1"/>
  <c r="BY257" i="1"/>
  <c r="BY282" i="1"/>
  <c r="CT40" i="1"/>
  <c r="CT48" i="1"/>
  <c r="CT53" i="1"/>
  <c r="CT61" i="1"/>
  <c r="CT71" i="1"/>
  <c r="CT79" i="1"/>
  <c r="CT87" i="1"/>
  <c r="CT106" i="1"/>
  <c r="CT120" i="1"/>
  <c r="CT124" i="1"/>
  <c r="BY35" i="1"/>
  <c r="BY138" i="1"/>
  <c r="BY163" i="1"/>
  <c r="BY176" i="1"/>
  <c r="CD212" i="1"/>
  <c r="BY36" i="1"/>
  <c r="BY26" i="1"/>
  <c r="BY30" i="1"/>
  <c r="BY34" i="1"/>
  <c r="BY77" i="1"/>
  <c r="BY99" i="1"/>
  <c r="BY103" i="1"/>
  <c r="BY132" i="1"/>
  <c r="BK212" i="1"/>
  <c r="AE292" i="1"/>
  <c r="CT302" i="1"/>
  <c r="BY21" i="1"/>
  <c r="BY134" i="1"/>
  <c r="BY144" i="1"/>
  <c r="BY150" i="1"/>
  <c r="BY156" i="1"/>
  <c r="BY160" i="1"/>
  <c r="BY175" i="1"/>
  <c r="BY198" i="1"/>
  <c r="BY202" i="1"/>
  <c r="BA137" i="1"/>
  <c r="BA292" i="1"/>
  <c r="AE122" i="1"/>
  <c r="AE40" i="1"/>
  <c r="G284" i="1"/>
  <c r="CT290" i="1"/>
  <c r="CT294" i="1"/>
  <c r="CT298" i="1"/>
  <c r="CU206" i="1"/>
  <c r="BZ66" i="1"/>
  <c r="BA17" i="1"/>
  <c r="BA296" i="1"/>
  <c r="V292" i="1"/>
  <c r="BY264" i="1"/>
  <c r="I222" i="1"/>
  <c r="BY237" i="1"/>
  <c r="CN222" i="1"/>
  <c r="CT66" i="1"/>
  <c r="CT83" i="1"/>
  <c r="BY223" i="1"/>
  <c r="BY111" i="1"/>
  <c r="F103" i="1"/>
  <c r="G81" i="1"/>
  <c r="BZ106" i="1"/>
  <c r="BZ169" i="1"/>
  <c r="R222" i="1"/>
  <c r="G192" i="1"/>
  <c r="CT177" i="1"/>
  <c r="F144" i="1"/>
  <c r="BY31" i="1"/>
  <c r="F198" i="1"/>
  <c r="F95" i="1"/>
  <c r="BY20" i="1"/>
  <c r="CK206" i="1"/>
  <c r="CD286" i="1"/>
  <c r="CD206" i="1"/>
  <c r="BM209" i="1"/>
  <c r="BK206" i="1"/>
  <c r="BF286" i="1"/>
  <c r="BF206" i="1"/>
  <c r="BB286" i="1"/>
  <c r="BB209" i="1"/>
  <c r="AE206" i="1"/>
  <c r="V286" i="1"/>
  <c r="V105" i="1"/>
  <c r="V209" i="1"/>
  <c r="Q286" i="1"/>
  <c r="Q209" i="1"/>
  <c r="J286" i="1"/>
  <c r="J105" i="1"/>
  <c r="CU209" i="1"/>
  <c r="CK286" i="1"/>
  <c r="CK105" i="1"/>
  <c r="CK209" i="1"/>
  <c r="CD105" i="1"/>
  <c r="CD209" i="1"/>
  <c r="CA286" i="1"/>
  <c r="BY37" i="1"/>
  <c r="BY39" i="1"/>
  <c r="BY43" i="1"/>
  <c r="BY145" i="1"/>
  <c r="BY157" i="1"/>
  <c r="BY183" i="1"/>
  <c r="BY197" i="1"/>
  <c r="BM286" i="1"/>
  <c r="BM105" i="1"/>
  <c r="BM206" i="1"/>
  <c r="BK286" i="1"/>
  <c r="BK105" i="1"/>
  <c r="BK209" i="1"/>
  <c r="BF105" i="1"/>
  <c r="BF209" i="1"/>
  <c r="BB206" i="1"/>
  <c r="AE286" i="1"/>
  <c r="AE105" i="1"/>
  <c r="AE209" i="1"/>
  <c r="V206" i="1"/>
  <c r="Q105" i="1"/>
  <c r="Q206" i="1"/>
  <c r="J209" i="1"/>
  <c r="J206" i="1"/>
  <c r="AW304" i="1"/>
  <c r="BB168" i="1"/>
  <c r="BB16" i="1"/>
  <c r="BA19" i="1"/>
  <c r="F236" i="1"/>
  <c r="BA143" i="1"/>
  <c r="BO304" i="1"/>
  <c r="AE89" i="1"/>
  <c r="J168" i="1"/>
  <c r="V181" i="1"/>
  <c r="G152" i="1"/>
  <c r="BM181" i="1"/>
  <c r="AF304" i="1"/>
  <c r="BY110" i="1"/>
  <c r="BZ109" i="1"/>
  <c r="BZ133" i="1"/>
  <c r="CA131" i="1"/>
  <c r="BZ141" i="1"/>
  <c r="BY142" i="1"/>
  <c r="BZ87" i="1"/>
  <c r="BY88" i="1"/>
  <c r="BM16" i="1"/>
  <c r="CT288" i="1"/>
  <c r="CU287" i="1"/>
  <c r="CU73" i="1"/>
  <c r="CU147" i="1"/>
  <c r="J161" i="1"/>
  <c r="F128" i="1"/>
  <c r="BA127" i="1"/>
  <c r="BZ23" i="1"/>
  <c r="CA112" i="1"/>
  <c r="BZ42" i="1"/>
  <c r="CW304" i="1"/>
  <c r="BY288" i="1"/>
  <c r="BR304" i="1"/>
  <c r="J131" i="1"/>
  <c r="G133" i="1"/>
  <c r="BY94" i="1"/>
  <c r="BZ93" i="1"/>
  <c r="BZ188" i="1"/>
  <c r="BY189" i="1"/>
  <c r="F220" i="1"/>
  <c r="G17" i="1"/>
  <c r="F18" i="1"/>
  <c r="BZ251" i="1"/>
  <c r="CK242" i="1"/>
  <c r="CD89" i="1"/>
  <c r="BB73" i="1"/>
  <c r="BA23" i="1"/>
  <c r="BA42" i="1"/>
  <c r="BA196" i="1"/>
  <c r="G46" i="1"/>
  <c r="Q161" i="1"/>
  <c r="F107" i="1"/>
  <c r="CU168" i="1"/>
  <c r="F136" i="1"/>
  <c r="F151" i="1"/>
  <c r="F231" i="1"/>
  <c r="BB181" i="1"/>
  <c r="CK89" i="1"/>
  <c r="F146" i="1"/>
  <c r="F32" i="1"/>
  <c r="F129" i="1"/>
  <c r="F101" i="1"/>
  <c r="G255" i="1"/>
  <c r="G252" i="1"/>
  <c r="G249" i="1"/>
  <c r="G248" i="1"/>
  <c r="G246" i="1"/>
  <c r="CK126" i="1"/>
  <c r="CU126" i="1"/>
  <c r="CD126" i="1"/>
  <c r="CA147" i="1"/>
  <c r="BK126" i="1"/>
  <c r="F28" i="1"/>
  <c r="CL304" i="1"/>
  <c r="N304" i="1"/>
  <c r="CD161" i="1"/>
  <c r="BY125" i="1"/>
  <c r="BF161" i="1"/>
  <c r="AO304" i="1"/>
  <c r="AE168" i="1"/>
  <c r="Q135" i="1"/>
  <c r="CA161" i="1"/>
  <c r="BM126" i="1"/>
  <c r="V89" i="1"/>
  <c r="F154" i="1"/>
  <c r="F238" i="1"/>
  <c r="F233" i="1"/>
  <c r="BK168" i="1"/>
  <c r="F166" i="1"/>
  <c r="F183" i="1"/>
  <c r="CA168" i="1"/>
  <c r="BQ304" i="1"/>
  <c r="BF168" i="1"/>
  <c r="G258" i="1"/>
  <c r="G251" i="1"/>
  <c r="CD168" i="1"/>
  <c r="BZ90" i="1"/>
  <c r="CU289" i="1"/>
  <c r="BB147" i="1"/>
  <c r="G267" i="1"/>
  <c r="CA181" i="1"/>
  <c r="CU89" i="1"/>
  <c r="BZ143" i="1"/>
  <c r="CA89" i="1"/>
  <c r="BZ135" i="1"/>
  <c r="BF126" i="1"/>
  <c r="BB126" i="1"/>
  <c r="BA174" i="1"/>
  <c r="BM147" i="1"/>
  <c r="BA219" i="1"/>
  <c r="BA165" i="1"/>
  <c r="AE126" i="1"/>
  <c r="BA93" i="1"/>
  <c r="V42" i="1"/>
  <c r="Q181" i="1"/>
  <c r="F27" i="1"/>
  <c r="F31" i="1"/>
  <c r="F35" i="1"/>
  <c r="F56" i="1"/>
  <c r="CA42" i="1"/>
  <c r="BZ171" i="1"/>
  <c r="BZ196" i="1"/>
  <c r="F199" i="1"/>
  <c r="BY84" i="1"/>
  <c r="BA155" i="1"/>
  <c r="AY304" i="1"/>
  <c r="AE147" i="1"/>
  <c r="BZ148" i="1"/>
  <c r="BZ165" i="1"/>
  <c r="F223" i="1"/>
  <c r="F157" i="1"/>
  <c r="CC16" i="1"/>
  <c r="F110" i="1"/>
  <c r="G127" i="1"/>
  <c r="J89" i="1"/>
  <c r="CK50" i="1"/>
  <c r="BZ51" i="1"/>
  <c r="F186" i="1"/>
  <c r="CU16" i="1"/>
  <c r="BZ127" i="1"/>
  <c r="BZ155" i="1"/>
  <c r="BZ213" i="1"/>
  <c r="BM161" i="1"/>
  <c r="BA184" i="1"/>
  <c r="BA213" i="1"/>
  <c r="V161" i="1"/>
  <c r="F45" i="1"/>
  <c r="F116" i="1"/>
  <c r="AE242" i="1"/>
  <c r="BZ152" i="1"/>
  <c r="F20" i="1"/>
  <c r="F130" i="1"/>
  <c r="F203" i="1"/>
  <c r="BZ297" i="1"/>
  <c r="BY114" i="1"/>
  <c r="F153" i="1"/>
  <c r="BZ184" i="1"/>
  <c r="BY205" i="1"/>
  <c r="G109" i="1"/>
  <c r="BZ79" i="1"/>
  <c r="BY80" i="1"/>
  <c r="V242" i="1"/>
  <c r="BZ122" i="1"/>
  <c r="BY123" i="1"/>
  <c r="BZ179" i="1"/>
  <c r="BY180" i="1"/>
  <c r="BZ74" i="1"/>
  <c r="BY75" i="1"/>
  <c r="G36" i="1"/>
  <c r="BZ55" i="1"/>
  <c r="BY56" i="1"/>
  <c r="BZ64" i="1"/>
  <c r="BY65" i="1"/>
  <c r="BZ69" i="1"/>
  <c r="BY70" i="1"/>
  <c r="BZ192" i="1"/>
  <c r="BY193" i="1"/>
  <c r="BZ207" i="1"/>
  <c r="BY208" i="1"/>
  <c r="BZ59" i="1"/>
  <c r="BY60" i="1"/>
  <c r="BF290" i="1"/>
  <c r="BA291" i="1"/>
  <c r="F163" i="1"/>
  <c r="G60" i="1"/>
  <c r="BZ284" i="1"/>
  <c r="BY285" i="1"/>
  <c r="G173" i="1"/>
  <c r="BZ40" i="1"/>
  <c r="BY41" i="1"/>
  <c r="BZ53" i="1"/>
  <c r="BY54" i="1"/>
  <c r="BZ61" i="1"/>
  <c r="BY62" i="1"/>
  <c r="BZ48" i="1"/>
  <c r="BY49" i="1"/>
  <c r="BZ57" i="1"/>
  <c r="BY58" i="1"/>
  <c r="BZ71" i="1"/>
  <c r="BY72" i="1"/>
  <c r="F140" i="1"/>
  <c r="BZ190" i="1"/>
  <c r="BY191" i="1"/>
  <c r="BZ292" i="1"/>
  <c r="BY293" i="1"/>
  <c r="BZ300" i="1"/>
  <c r="BY301" i="1"/>
  <c r="BZ17" i="1"/>
  <c r="BY18" i="1"/>
  <c r="BZ81" i="1"/>
  <c r="BY82" i="1"/>
  <c r="BZ85" i="1"/>
  <c r="BY86" i="1"/>
  <c r="BZ115" i="1"/>
  <c r="BY116" i="1"/>
  <c r="BZ139" i="1"/>
  <c r="BY140" i="1"/>
  <c r="BZ210" i="1"/>
  <c r="BY211" i="1"/>
  <c r="BZ177" i="1"/>
  <c r="BY178" i="1"/>
  <c r="BZ194" i="1"/>
  <c r="BY195" i="1"/>
  <c r="BY218" i="1"/>
  <c r="BZ217" i="1"/>
  <c r="BA113" i="1"/>
  <c r="F114" i="1"/>
  <c r="G53" i="1"/>
  <c r="F54" i="1"/>
  <c r="G61" i="1"/>
  <c r="F62" i="1"/>
  <c r="G79" i="1"/>
  <c r="F80" i="1"/>
  <c r="G87" i="1"/>
  <c r="F88" i="1"/>
  <c r="F121" i="1"/>
  <c r="G120" i="1"/>
  <c r="G174" i="1"/>
  <c r="F176" i="1"/>
  <c r="BF147" i="1"/>
  <c r="G47" i="1"/>
  <c r="F285" i="1"/>
  <c r="F82" i="1"/>
  <c r="F185" i="1"/>
  <c r="F191" i="1"/>
  <c r="F195" i="1"/>
  <c r="F205" i="1"/>
  <c r="F215" i="1"/>
  <c r="F25" i="1"/>
  <c r="AE42" i="1"/>
  <c r="BA109" i="1"/>
  <c r="F111" i="1"/>
  <c r="BA118" i="1"/>
  <c r="F119" i="1"/>
  <c r="BA122" i="1"/>
  <c r="F123" i="1"/>
  <c r="Q19" i="1"/>
  <c r="G22" i="1"/>
  <c r="J155" i="1"/>
  <c r="G156" i="1"/>
  <c r="G57" i="1"/>
  <c r="F58" i="1"/>
  <c r="G71" i="1"/>
  <c r="F72" i="1"/>
  <c r="G83" i="1"/>
  <c r="F84" i="1"/>
  <c r="F125" i="1"/>
  <c r="G124" i="1"/>
  <c r="G179" i="1"/>
  <c r="F180" i="1"/>
  <c r="G210" i="1"/>
  <c r="F211" i="1"/>
  <c r="BF89" i="1"/>
  <c r="F288" i="1"/>
  <c r="F86" i="1"/>
  <c r="F142" i="1"/>
  <c r="F170" i="1"/>
  <c r="F178" i="1"/>
  <c r="F189" i="1"/>
  <c r="F193" i="1"/>
  <c r="F197" i="1"/>
  <c r="F208" i="1"/>
  <c r="F78" i="1"/>
  <c r="F167" i="1"/>
  <c r="F247" i="1"/>
  <c r="BY265" i="1"/>
  <c r="BA270" i="1"/>
  <c r="CT270" i="1"/>
  <c r="F237" i="1"/>
  <c r="BY233" i="1"/>
  <c r="BY229" i="1"/>
  <c r="F227" i="1"/>
  <c r="CK181" i="1"/>
  <c r="BK181" i="1"/>
  <c r="BK16" i="1"/>
  <c r="BK147" i="1"/>
  <c r="V219" i="1"/>
  <c r="V50" i="1"/>
  <c r="V148" i="1"/>
  <c r="G149" i="1"/>
  <c r="J69" i="1"/>
  <c r="G70" i="1"/>
  <c r="H89" i="1"/>
  <c r="J289" i="1"/>
  <c r="J63" i="1"/>
  <c r="J73" i="1"/>
  <c r="H16" i="1"/>
  <c r="G21" i="1"/>
  <c r="BY260" i="1"/>
  <c r="BY247" i="1"/>
  <c r="BY283" i="1"/>
  <c r="BY238" i="1"/>
  <c r="F232" i="1"/>
  <c r="BY267" i="1"/>
  <c r="F257" i="1"/>
  <c r="BY249" i="1"/>
  <c r="BY245" i="1"/>
  <c r="F283" i="1"/>
  <c r="F282" i="1"/>
  <c r="BY281" i="1"/>
  <c r="BY280" i="1"/>
  <c r="F278" i="1"/>
  <c r="BY274" i="1"/>
  <c r="F275" i="1"/>
  <c r="G270" i="1"/>
  <c r="BY276" i="1"/>
  <c r="F277" i="1"/>
  <c r="BY273" i="1"/>
  <c r="BY272" i="1"/>
  <c r="BZ270" i="1"/>
  <c r="BY263" i="1"/>
  <c r="BY244" i="1"/>
  <c r="BA242" i="1"/>
  <c r="F240" i="1"/>
  <c r="BY236" i="1"/>
  <c r="F234" i="1"/>
  <c r="BY231" i="1"/>
  <c r="F230" i="1"/>
  <c r="BY226" i="1"/>
  <c r="F224" i="1"/>
  <c r="CK147" i="1"/>
  <c r="AE50" i="1"/>
  <c r="V74" i="1"/>
  <c r="J23" i="1"/>
  <c r="G24" i="1"/>
  <c r="J135" i="1"/>
  <c r="G138" i="1"/>
  <c r="G300" i="1"/>
  <c r="F301" i="1"/>
  <c r="F43" i="1"/>
  <c r="G48" i="1"/>
  <c r="F49" i="1"/>
  <c r="G66" i="1"/>
  <c r="F67" i="1"/>
  <c r="G90" i="1"/>
  <c r="F91" i="1"/>
  <c r="G217" i="1"/>
  <c r="F218" i="1"/>
  <c r="G290" i="1"/>
  <c r="G294" i="1"/>
  <c r="F295" i="1"/>
  <c r="G302" i="1"/>
  <c r="F303" i="1"/>
  <c r="G40" i="1"/>
  <c r="F41" i="1"/>
  <c r="G64" i="1"/>
  <c r="F65" i="1"/>
  <c r="F281" i="1"/>
  <c r="F279" i="1"/>
  <c r="F280" i="1"/>
  <c r="F274" i="1"/>
  <c r="F276" i="1"/>
  <c r="F273" i="1"/>
  <c r="F271" i="1"/>
  <c r="F272" i="1"/>
  <c r="V19" i="1"/>
  <c r="G221" i="1"/>
  <c r="G75" i="1"/>
  <c r="G51" i="1"/>
  <c r="J181" i="1"/>
  <c r="T216" i="1"/>
  <c r="BY252" i="1"/>
  <c r="BY254" i="1"/>
  <c r="AV304" i="1"/>
  <c r="G292" i="1"/>
  <c r="BY256" i="1"/>
  <c r="AC304" i="1"/>
  <c r="AX304" i="1"/>
  <c r="CF304" i="1"/>
  <c r="BT304" i="1"/>
  <c r="AT304" i="1"/>
  <c r="BE304" i="1"/>
  <c r="CH304" i="1"/>
  <c r="BI304" i="1"/>
  <c r="CM304" i="1"/>
  <c r="CA289" i="1"/>
  <c r="BC304" i="1"/>
  <c r="F293" i="1"/>
  <c r="CI304" i="1"/>
  <c r="E241" i="1"/>
  <c r="BY262" i="1"/>
  <c r="F268" i="1"/>
  <c r="AR304" i="1"/>
  <c r="F256" i="1"/>
  <c r="CR304" i="1"/>
  <c r="BU304" i="1"/>
  <c r="F243" i="1"/>
  <c r="BG304" i="1"/>
  <c r="BS304" i="1"/>
  <c r="BN304" i="1"/>
  <c r="BK216" i="1"/>
  <c r="BJ304" i="1"/>
  <c r="BX304" i="1"/>
  <c r="AQ304" i="1"/>
  <c r="BV304" i="1"/>
  <c r="CV304" i="1"/>
  <c r="AE161" i="1"/>
  <c r="AN304" i="1"/>
  <c r="F262" i="1"/>
  <c r="BY169" i="1"/>
  <c r="AK304" i="1"/>
  <c r="G296" i="1"/>
  <c r="F250" i="1"/>
  <c r="BD304" i="1"/>
  <c r="BY248" i="1"/>
  <c r="F297" i="1"/>
  <c r="BY269" i="1"/>
  <c r="BF216" i="1"/>
  <c r="CP304" i="1"/>
  <c r="CB304" i="1"/>
  <c r="BH304" i="1"/>
  <c r="BY90" i="1"/>
  <c r="CT89" i="1"/>
  <c r="F251" i="1"/>
  <c r="BY294" i="1"/>
  <c r="BY258" i="1"/>
  <c r="BW304" i="1"/>
  <c r="BL304" i="1"/>
  <c r="M304" i="1"/>
  <c r="AU304" i="1"/>
  <c r="F55" i="1"/>
  <c r="BA89" i="1"/>
  <c r="Q126" i="1"/>
  <c r="E107" i="1"/>
  <c r="E106" i="1"/>
  <c r="E95" i="1"/>
  <c r="P216" i="1"/>
  <c r="E201" i="1"/>
  <c r="CG304" i="1"/>
  <c r="CD216" i="1"/>
  <c r="G162" i="1"/>
  <c r="F265" i="1"/>
  <c r="AB304" i="1"/>
  <c r="BM216" i="1"/>
  <c r="CT147" i="1"/>
  <c r="Q222" i="1"/>
  <c r="CT222" i="1"/>
  <c r="F246" i="1"/>
  <c r="F133" i="1"/>
  <c r="F260" i="1"/>
  <c r="F266" i="1"/>
  <c r="AI304" i="1"/>
  <c r="CS304" i="1"/>
  <c r="E33" i="1"/>
  <c r="F259" i="1"/>
  <c r="CU216" i="1"/>
  <c r="F269" i="1"/>
  <c r="T304" i="1"/>
  <c r="F299" i="1"/>
  <c r="CA222" i="1"/>
  <c r="S216" i="1"/>
  <c r="E26" i="1"/>
  <c r="BY219" i="1"/>
  <c r="CT117" i="1"/>
  <c r="E28" i="1"/>
  <c r="BA73" i="1"/>
  <c r="CT126" i="1"/>
  <c r="BY109" i="1"/>
  <c r="E29" i="1"/>
  <c r="BA68" i="1"/>
  <c r="E99" i="1"/>
  <c r="E182" i="1"/>
  <c r="E158" i="1"/>
  <c r="BY127" i="1"/>
  <c r="G181" i="1"/>
  <c r="CT73" i="1"/>
  <c r="E104" i="1"/>
  <c r="E94" i="1"/>
  <c r="E220" i="1"/>
  <c r="BY171" i="1"/>
  <c r="G42" i="1"/>
  <c r="CT181" i="1"/>
  <c r="BY152" i="1"/>
  <c r="BY135" i="1"/>
  <c r="CT16" i="1"/>
  <c r="BB216" i="1"/>
  <c r="BP304" i="1"/>
  <c r="G131" i="1"/>
  <c r="F164" i="1"/>
  <c r="F106" i="1"/>
  <c r="E92" i="1"/>
  <c r="E100" i="1"/>
  <c r="E136" i="1"/>
  <c r="BY93" i="1"/>
  <c r="E214" i="1"/>
  <c r="V126" i="1"/>
  <c r="E187" i="1"/>
  <c r="BY165" i="1"/>
  <c r="CA126" i="1"/>
  <c r="BY213" i="1"/>
  <c r="CE304" i="1"/>
  <c r="F263" i="1"/>
  <c r="CT168" i="1"/>
  <c r="BY155" i="1"/>
  <c r="E159" i="1"/>
  <c r="BA52" i="1"/>
  <c r="CT52" i="1"/>
  <c r="CT112" i="1"/>
  <c r="F143" i="1"/>
  <c r="F264" i="1"/>
  <c r="E233" i="1"/>
  <c r="F248" i="1"/>
  <c r="F261" i="1"/>
  <c r="F253" i="1"/>
  <c r="E166" i="1"/>
  <c r="E34" i="1"/>
  <c r="V168" i="1"/>
  <c r="G112" i="1"/>
  <c r="E32" i="1"/>
  <c r="F252" i="1"/>
  <c r="F254" i="1"/>
  <c r="E198" i="1"/>
  <c r="L216" i="1"/>
  <c r="AP216" i="1"/>
  <c r="BZ242" i="1"/>
  <c r="BY251" i="1"/>
  <c r="F255" i="1"/>
  <c r="E132" i="1"/>
  <c r="E153" i="1"/>
  <c r="E145" i="1"/>
  <c r="E146" i="1"/>
  <c r="BY148" i="1"/>
  <c r="E151" i="1"/>
  <c r="F137" i="1"/>
  <c r="BA135" i="1"/>
  <c r="E30" i="1"/>
  <c r="BY196" i="1"/>
  <c r="BY23" i="1"/>
  <c r="E134" i="1"/>
  <c r="E229" i="1"/>
  <c r="J147" i="1"/>
  <c r="BA108" i="1"/>
  <c r="E25" i="1"/>
  <c r="F47" i="1"/>
  <c r="BA222" i="1"/>
  <c r="E247" i="1"/>
  <c r="E167" i="1"/>
  <c r="E223" i="1"/>
  <c r="F22" i="1"/>
  <c r="BY194" i="1"/>
  <c r="BY177" i="1"/>
  <c r="BY210" i="1"/>
  <c r="BY139" i="1"/>
  <c r="BY115" i="1"/>
  <c r="BY85" i="1"/>
  <c r="BY81" i="1"/>
  <c r="BY300" i="1"/>
  <c r="BY292" i="1"/>
  <c r="BY190" i="1"/>
  <c r="BY71" i="1"/>
  <c r="BY57" i="1"/>
  <c r="BY48" i="1"/>
  <c r="BY61" i="1"/>
  <c r="BY53" i="1"/>
  <c r="BY40" i="1"/>
  <c r="G171" i="1"/>
  <c r="E163" i="1"/>
  <c r="BF289" i="1"/>
  <c r="BZ206" i="1"/>
  <c r="BZ63" i="1"/>
  <c r="F36" i="1"/>
  <c r="BZ117" i="1"/>
  <c r="BY79" i="1"/>
  <c r="BY204" i="1"/>
  <c r="BY113" i="1"/>
  <c r="E203" i="1"/>
  <c r="E20" i="1"/>
  <c r="AE222" i="1"/>
  <c r="E45" i="1"/>
  <c r="BA181" i="1"/>
  <c r="BZ212" i="1"/>
  <c r="BA147" i="1"/>
  <c r="E110" i="1"/>
  <c r="E157" i="1"/>
  <c r="BZ161" i="1"/>
  <c r="BY83" i="1"/>
  <c r="E31" i="1"/>
  <c r="BA161" i="1"/>
  <c r="BA168" i="1"/>
  <c r="BZ89" i="1"/>
  <c r="F267" i="1"/>
  <c r="F258" i="1"/>
  <c r="E154" i="1"/>
  <c r="BA16" i="1"/>
  <c r="BY143" i="1"/>
  <c r="F249" i="1"/>
  <c r="E129" i="1"/>
  <c r="E202" i="1"/>
  <c r="F46" i="1"/>
  <c r="CK222" i="1"/>
  <c r="F17" i="1"/>
  <c r="BY287" i="1"/>
  <c r="CU286" i="1"/>
  <c r="BY298" i="1"/>
  <c r="BY290" i="1"/>
  <c r="BY44" i="1"/>
  <c r="CO216" i="1"/>
  <c r="BZ286" i="1"/>
  <c r="CT289" i="1"/>
  <c r="W216" i="1"/>
  <c r="AG216" i="1"/>
  <c r="F245" i="1"/>
  <c r="AH216" i="1"/>
  <c r="Z216" i="1"/>
  <c r="CT68" i="1"/>
  <c r="P304" i="1"/>
  <c r="G209" i="1"/>
  <c r="Q16" i="1"/>
  <c r="BA112" i="1"/>
  <c r="BY217" i="1"/>
  <c r="BZ209" i="1"/>
  <c r="BZ112" i="1"/>
  <c r="F139" i="1"/>
  <c r="BY284" i="1"/>
  <c r="BA290" i="1"/>
  <c r="BY59" i="1"/>
  <c r="BY207" i="1"/>
  <c r="BY192" i="1"/>
  <c r="BY69" i="1"/>
  <c r="BY64" i="1"/>
  <c r="BY55" i="1"/>
  <c r="BY74" i="1"/>
  <c r="BY179" i="1"/>
  <c r="BY122" i="1"/>
  <c r="V222" i="1"/>
  <c r="G108" i="1"/>
  <c r="BZ296" i="1"/>
  <c r="E130" i="1"/>
  <c r="F115" i="1"/>
  <c r="BA212" i="1"/>
  <c r="E186" i="1"/>
  <c r="CK16" i="1"/>
  <c r="E199" i="1"/>
  <c r="CA16" i="1"/>
  <c r="E35" i="1"/>
  <c r="E27" i="1"/>
  <c r="E183" i="1"/>
  <c r="BY124" i="1"/>
  <c r="E101" i="1"/>
  <c r="BY188" i="1"/>
  <c r="E128" i="1"/>
  <c r="CT287" i="1"/>
  <c r="BY87" i="1"/>
  <c r="BY141" i="1"/>
  <c r="BZ108" i="1"/>
  <c r="BY19" i="1"/>
  <c r="E144" i="1"/>
  <c r="R216" i="1"/>
  <c r="BZ105" i="1"/>
  <c r="E103" i="1"/>
  <c r="CN216" i="1"/>
  <c r="I216" i="1"/>
  <c r="V289" i="1"/>
  <c r="AE117" i="1"/>
  <c r="BY174" i="1"/>
  <c r="AE289" i="1"/>
  <c r="BY162" i="1"/>
  <c r="CT105" i="1"/>
  <c r="E150" i="1"/>
  <c r="F44" i="1"/>
  <c r="BY302" i="1"/>
  <c r="CK289" i="1"/>
  <c r="O216" i="1"/>
  <c r="AM216" i="1"/>
  <c r="Y216" i="1"/>
  <c r="G212" i="1"/>
  <c r="BA209" i="1"/>
  <c r="CD289" i="1"/>
  <c r="CQ209" i="1"/>
  <c r="H216" i="1"/>
  <c r="AL216" i="1"/>
  <c r="BY184" i="1"/>
  <c r="E160" i="1"/>
  <c r="E96" i="1"/>
  <c r="BA206" i="1"/>
  <c r="AZ216" i="1"/>
  <c r="CC216" i="1"/>
  <c r="BA63" i="1"/>
  <c r="G105" i="1"/>
  <c r="AS216" i="1"/>
  <c r="AA216" i="1"/>
  <c r="CT206" i="1"/>
  <c r="E200" i="1"/>
  <c r="E172" i="1"/>
  <c r="E38" i="1"/>
  <c r="V52" i="1"/>
  <c r="BA105" i="1"/>
  <c r="U216" i="1"/>
  <c r="K216" i="1"/>
  <c r="G206" i="1"/>
  <c r="G286" i="1"/>
  <c r="E175" i="1"/>
  <c r="E37" i="1"/>
  <c r="E77" i="1"/>
  <c r="BA286" i="1"/>
  <c r="J222" i="1"/>
  <c r="AJ216" i="1"/>
  <c r="E102" i="1"/>
  <c r="BY76" i="1"/>
  <c r="E39" i="1"/>
  <c r="CT209" i="1"/>
  <c r="CT63" i="1"/>
  <c r="X216" i="1"/>
  <c r="BY105" i="1"/>
  <c r="F93" i="1"/>
  <c r="BY133" i="1"/>
  <c r="BZ131" i="1"/>
  <c r="F173" i="1"/>
  <c r="E56" i="1"/>
  <c r="E238" i="1"/>
  <c r="BY297" i="1"/>
  <c r="F127" i="1"/>
  <c r="F152" i="1"/>
  <c r="G242" i="1"/>
  <c r="BZ50" i="1"/>
  <c r="BY51" i="1"/>
  <c r="F291" i="1"/>
  <c r="E140" i="1"/>
  <c r="E116" i="1"/>
  <c r="BZ168" i="1"/>
  <c r="BZ68" i="1"/>
  <c r="BZ147" i="1"/>
  <c r="G59" i="1"/>
  <c r="F60" i="1"/>
  <c r="BZ52" i="1"/>
  <c r="BY17" i="1"/>
  <c r="E18" i="1"/>
  <c r="F165" i="1"/>
  <c r="BZ181" i="1"/>
  <c r="BZ73" i="1"/>
  <c r="F76" i="1"/>
  <c r="E78" i="1"/>
  <c r="F207" i="1"/>
  <c r="E208" i="1"/>
  <c r="F192" i="1"/>
  <c r="E193" i="1"/>
  <c r="F177" i="1"/>
  <c r="E178" i="1"/>
  <c r="F141" i="1"/>
  <c r="E142" i="1"/>
  <c r="F287" i="1"/>
  <c r="E288" i="1"/>
  <c r="F210" i="1"/>
  <c r="E211" i="1"/>
  <c r="F179" i="1"/>
  <c r="E180" i="1"/>
  <c r="F83" i="1"/>
  <c r="E84" i="1"/>
  <c r="F71" i="1"/>
  <c r="E72" i="1"/>
  <c r="F57" i="1"/>
  <c r="E58" i="1"/>
  <c r="G155" i="1"/>
  <c r="F156" i="1"/>
  <c r="F122" i="1"/>
  <c r="E123" i="1"/>
  <c r="F118" i="1"/>
  <c r="E119" i="1"/>
  <c r="E111" i="1"/>
  <c r="F109" i="1"/>
  <c r="F213" i="1"/>
  <c r="E215" i="1"/>
  <c r="F194" i="1"/>
  <c r="E195" i="1"/>
  <c r="E185" i="1"/>
  <c r="F184" i="1"/>
  <c r="F284" i="1"/>
  <c r="E285" i="1"/>
  <c r="F174" i="1"/>
  <c r="E176" i="1"/>
  <c r="F87" i="1"/>
  <c r="E88" i="1"/>
  <c r="F79" i="1"/>
  <c r="E80" i="1"/>
  <c r="F61" i="1"/>
  <c r="E62" i="1"/>
  <c r="F53" i="1"/>
  <c r="E54" i="1"/>
  <c r="F113" i="1"/>
  <c r="E114" i="1"/>
  <c r="G117" i="1"/>
  <c r="F196" i="1"/>
  <c r="E197" i="1"/>
  <c r="F188" i="1"/>
  <c r="E189" i="1"/>
  <c r="F169" i="1"/>
  <c r="E170" i="1"/>
  <c r="F85" i="1"/>
  <c r="E86" i="1"/>
  <c r="F124" i="1"/>
  <c r="E125" i="1"/>
  <c r="F204" i="1"/>
  <c r="E205" i="1"/>
  <c r="E191" i="1"/>
  <c r="F190" i="1"/>
  <c r="F81" i="1"/>
  <c r="E82" i="1"/>
  <c r="F120" i="1"/>
  <c r="E121" i="1"/>
  <c r="BA117" i="1"/>
  <c r="E279" i="1"/>
  <c r="F40" i="1"/>
  <c r="E41" i="1"/>
  <c r="F90" i="1"/>
  <c r="E91" i="1"/>
  <c r="F48" i="1"/>
  <c r="E49" i="1"/>
  <c r="F138" i="1"/>
  <c r="G135" i="1"/>
  <c r="J16" i="1"/>
  <c r="V73" i="1"/>
  <c r="AE16" i="1"/>
  <c r="E230" i="1"/>
  <c r="E234" i="1"/>
  <c r="E240" i="1"/>
  <c r="E275" i="1"/>
  <c r="E278" i="1"/>
  <c r="E282" i="1"/>
  <c r="E283" i="1"/>
  <c r="E257" i="1"/>
  <c r="E232" i="1"/>
  <c r="E250" i="1"/>
  <c r="F21" i="1"/>
  <c r="G19" i="1"/>
  <c r="G69" i="1"/>
  <c r="F70" i="1"/>
  <c r="V147" i="1"/>
  <c r="E244" i="1"/>
  <c r="BY270" i="1"/>
  <c r="G50" i="1"/>
  <c r="F51" i="1"/>
  <c r="G219" i="1"/>
  <c r="F221" i="1"/>
  <c r="E272" i="1"/>
  <c r="E273" i="1"/>
  <c r="E274" i="1"/>
  <c r="G63" i="1"/>
  <c r="F302" i="1"/>
  <c r="E303" i="1"/>
  <c r="F294" i="1"/>
  <c r="E295" i="1"/>
  <c r="G74" i="1"/>
  <c r="F75" i="1"/>
  <c r="V16" i="1"/>
  <c r="E271" i="1"/>
  <c r="F270" i="1"/>
  <c r="E276" i="1"/>
  <c r="E280" i="1"/>
  <c r="E281" i="1"/>
  <c r="F64" i="1"/>
  <c r="E65" i="1"/>
  <c r="F217" i="1"/>
  <c r="E218" i="1"/>
  <c r="G89" i="1"/>
  <c r="F66" i="1"/>
  <c r="E67" i="1"/>
  <c r="E43" i="1"/>
  <c r="F300" i="1"/>
  <c r="E301" i="1"/>
  <c r="J126" i="1"/>
  <c r="G23" i="1"/>
  <c r="F24" i="1"/>
  <c r="E224" i="1"/>
  <c r="E243" i="1"/>
  <c r="E277" i="1"/>
  <c r="J68" i="1"/>
  <c r="G148" i="1"/>
  <c r="F149" i="1"/>
  <c r="E227" i="1"/>
  <c r="E237" i="1"/>
  <c r="E226" i="1"/>
  <c r="E231" i="1"/>
  <c r="E236" i="1"/>
  <c r="F292" i="1"/>
  <c r="E256" i="1"/>
  <c r="E268" i="1"/>
  <c r="E293" i="1"/>
  <c r="E262" i="1"/>
  <c r="BK304" i="1"/>
  <c r="G289" i="1"/>
  <c r="CT216" i="1"/>
  <c r="E299" i="1"/>
  <c r="F296" i="1"/>
  <c r="E245" i="1"/>
  <c r="E260" i="1"/>
  <c r="E266" i="1"/>
  <c r="BM304" i="1"/>
  <c r="E246" i="1"/>
  <c r="F298" i="1"/>
  <c r="E259" i="1"/>
  <c r="F131" i="1"/>
  <c r="BY108" i="1"/>
  <c r="G161" i="1"/>
  <c r="F105" i="1"/>
  <c r="E269" i="1"/>
  <c r="E265" i="1"/>
  <c r="F171" i="1"/>
  <c r="E249" i="1"/>
  <c r="E258" i="1"/>
  <c r="BA216" i="1"/>
  <c r="BA126" i="1"/>
  <c r="E255" i="1"/>
  <c r="BZ222" i="1"/>
  <c r="E261" i="1"/>
  <c r="F162" i="1"/>
  <c r="BZ16" i="1"/>
  <c r="E297" i="1"/>
  <c r="E296" i="1"/>
  <c r="BZ126" i="1"/>
  <c r="H304" i="1"/>
  <c r="CD304" i="1"/>
  <c r="BZ289" i="1"/>
  <c r="V216" i="1"/>
  <c r="CU304" i="1"/>
  <c r="BF304" i="1"/>
  <c r="G168" i="1"/>
  <c r="E137" i="1"/>
  <c r="BY242" i="1"/>
  <c r="E263" i="1"/>
  <c r="BY212" i="1"/>
  <c r="BY89" i="1"/>
  <c r="BB304" i="1"/>
  <c r="S304" i="1"/>
  <c r="CA216" i="1"/>
  <c r="Q216" i="1"/>
  <c r="E164" i="1"/>
  <c r="F242" i="1"/>
  <c r="BY147" i="1"/>
  <c r="F42" i="1"/>
  <c r="E251" i="1"/>
  <c r="BY181" i="1"/>
  <c r="BY68" i="1"/>
  <c r="E127" i="1"/>
  <c r="BY52" i="1"/>
  <c r="BY73" i="1"/>
  <c r="BY168" i="1"/>
  <c r="E165" i="1"/>
  <c r="E152" i="1"/>
  <c r="E252" i="1"/>
  <c r="E267" i="1"/>
  <c r="E264" i="1"/>
  <c r="E253" i="1"/>
  <c r="E248" i="1"/>
  <c r="E254" i="1"/>
  <c r="E93" i="1"/>
  <c r="AP304" i="1"/>
  <c r="L304" i="1"/>
  <c r="BY42" i="1"/>
  <c r="E120" i="1"/>
  <c r="E81" i="1"/>
  <c r="E190" i="1"/>
  <c r="F112" i="1"/>
  <c r="E184" i="1"/>
  <c r="F212" i="1"/>
  <c r="E109" i="1"/>
  <c r="F209" i="1"/>
  <c r="F286" i="1"/>
  <c r="F206" i="1"/>
  <c r="G52" i="1"/>
  <c r="E139" i="1"/>
  <c r="E291" i="1"/>
  <c r="G222" i="1"/>
  <c r="E173" i="1"/>
  <c r="BY131" i="1"/>
  <c r="K304" i="1"/>
  <c r="AL304" i="1"/>
  <c r="CQ304" i="1"/>
  <c r="Y304" i="1"/>
  <c r="AM304" i="1"/>
  <c r="O304" i="1"/>
  <c r="E44" i="1"/>
  <c r="CT286" i="1"/>
  <c r="BY161" i="1"/>
  <c r="BY117" i="1"/>
  <c r="BY63" i="1"/>
  <c r="BY206" i="1"/>
  <c r="BA289" i="1"/>
  <c r="Z304" i="1"/>
  <c r="AG304" i="1"/>
  <c r="W304" i="1"/>
  <c r="CO304" i="1"/>
  <c r="AE216" i="1"/>
  <c r="E36" i="1"/>
  <c r="E105" i="1"/>
  <c r="E22" i="1"/>
  <c r="E204" i="1"/>
  <c r="E124" i="1"/>
  <c r="E85" i="1"/>
  <c r="E169" i="1"/>
  <c r="E188" i="1"/>
  <c r="E196" i="1"/>
  <c r="E113" i="1"/>
  <c r="E53" i="1"/>
  <c r="E61" i="1"/>
  <c r="E79" i="1"/>
  <c r="E87" i="1"/>
  <c r="E174" i="1"/>
  <c r="E284" i="1"/>
  <c r="E194" i="1"/>
  <c r="E213" i="1"/>
  <c r="F108" i="1"/>
  <c r="E118" i="1"/>
  <c r="E122" i="1"/>
  <c r="E57" i="1"/>
  <c r="E71" i="1"/>
  <c r="E83" i="1"/>
  <c r="E179" i="1"/>
  <c r="E210" i="1"/>
  <c r="E287" i="1"/>
  <c r="E141" i="1"/>
  <c r="E177" i="1"/>
  <c r="E192" i="1"/>
  <c r="E207" i="1"/>
  <c r="E76" i="1"/>
  <c r="E17" i="1"/>
  <c r="E115" i="1"/>
  <c r="BY50" i="1"/>
  <c r="BY296" i="1"/>
  <c r="E55" i="1"/>
  <c r="X304" i="1"/>
  <c r="AJ304" i="1"/>
  <c r="J216" i="1"/>
  <c r="U304" i="1"/>
  <c r="AA304" i="1"/>
  <c r="AS304" i="1"/>
  <c r="CC304" i="1"/>
  <c r="AZ304" i="1"/>
  <c r="I304" i="1"/>
  <c r="CN304" i="1"/>
  <c r="R304" i="1"/>
  <c r="AH304" i="1"/>
  <c r="BY286" i="1"/>
  <c r="CK216" i="1"/>
  <c r="E46" i="1"/>
  <c r="E143" i="1"/>
  <c r="BY112" i="1"/>
  <c r="BY209" i="1"/>
  <c r="E47" i="1"/>
  <c r="E133" i="1"/>
  <c r="F290" i="1"/>
  <c r="E60" i="1"/>
  <c r="F59" i="1"/>
  <c r="F117" i="1"/>
  <c r="F155" i="1"/>
  <c r="E156" i="1"/>
  <c r="F181" i="1"/>
  <c r="E300" i="1"/>
  <c r="E217" i="1"/>
  <c r="F63" i="1"/>
  <c r="E270" i="1"/>
  <c r="F74" i="1"/>
  <c r="E75" i="1"/>
  <c r="G73" i="1"/>
  <c r="E302" i="1"/>
  <c r="F50" i="1"/>
  <c r="E51" i="1"/>
  <c r="G68" i="1"/>
  <c r="E21" i="1"/>
  <c r="F19" i="1"/>
  <c r="G126" i="1"/>
  <c r="E138" i="1"/>
  <c r="F135" i="1"/>
  <c r="E90" i="1"/>
  <c r="F148" i="1"/>
  <c r="E149" i="1"/>
  <c r="G147" i="1"/>
  <c r="F23" i="1"/>
  <c r="E24" i="1"/>
  <c r="E66" i="1"/>
  <c r="E64" i="1"/>
  <c r="E294" i="1"/>
  <c r="F219" i="1"/>
  <c r="E221" i="1"/>
  <c r="E70" i="1"/>
  <c r="F69" i="1"/>
  <c r="G16" i="1"/>
  <c r="E48" i="1"/>
  <c r="F89" i="1"/>
  <c r="E40" i="1"/>
  <c r="E292" i="1"/>
  <c r="F168" i="1"/>
  <c r="E298" i="1"/>
  <c r="BY222" i="1"/>
  <c r="F222" i="1"/>
  <c r="BA304" i="1"/>
  <c r="V304" i="1"/>
  <c r="F161" i="1"/>
  <c r="CA304" i="1"/>
  <c r="J304" i="1"/>
  <c r="AE304" i="1"/>
  <c r="CT304" i="1"/>
  <c r="G216" i="1"/>
  <c r="E290" i="1"/>
  <c r="E162" i="1"/>
  <c r="BZ216" i="1"/>
  <c r="Q304" i="1"/>
  <c r="E161" i="1"/>
  <c r="BY16" i="1"/>
  <c r="E42" i="1"/>
  <c r="E112" i="1"/>
  <c r="E242" i="1"/>
  <c r="E181" i="1"/>
  <c r="E117" i="1"/>
  <c r="E155" i="1"/>
  <c r="E59" i="1"/>
  <c r="F289" i="1"/>
  <c r="F52" i="1"/>
  <c r="E131" i="1"/>
  <c r="CK304" i="1"/>
  <c r="BY289" i="1"/>
  <c r="E206" i="1"/>
  <c r="E286" i="1"/>
  <c r="E212" i="1"/>
  <c r="E209" i="1"/>
  <c r="BY126" i="1"/>
  <c r="E171" i="1"/>
  <c r="E108" i="1"/>
  <c r="E69" i="1"/>
  <c r="E219" i="1"/>
  <c r="E148" i="1"/>
  <c r="F16" i="1"/>
  <c r="E19" i="1"/>
  <c r="E50" i="1"/>
  <c r="F73" i="1"/>
  <c r="F68" i="1"/>
  <c r="E63" i="1"/>
  <c r="E23" i="1"/>
  <c r="F147" i="1"/>
  <c r="E89" i="1"/>
  <c r="F126" i="1"/>
  <c r="E135" i="1"/>
  <c r="E74" i="1"/>
  <c r="F216" i="1"/>
  <c r="G304" i="1"/>
  <c r="E289" i="1"/>
  <c r="BY216" i="1"/>
  <c r="BZ304" i="1"/>
  <c r="E222" i="1"/>
  <c r="E168" i="1"/>
  <c r="E52" i="1"/>
  <c r="E73" i="1"/>
  <c r="E147" i="1"/>
  <c r="E126" i="1"/>
  <c r="E16" i="1"/>
  <c r="F304" i="1"/>
  <c r="E68" i="1"/>
  <c r="BY304" i="1"/>
  <c r="E216" i="1"/>
  <c r="E304" i="1"/>
</calcChain>
</file>

<file path=xl/sharedStrings.xml><?xml version="1.0" encoding="utf-8"?>
<sst xmlns="http://schemas.openxmlformats.org/spreadsheetml/2006/main" count="1353" uniqueCount="567">
  <si>
    <t>0100</t>
  </si>
  <si>
    <t/>
  </si>
  <si>
    <t>ГОСУДАРСТВЕННОЕ УПРАВЛЕНИЕ И МЕСТНОЕ САМОУПРАВЛЕНИЕ</t>
  </si>
  <si>
    <t>01</t>
  </si>
  <si>
    <t>Функционирование главы государства - Президента ПМР</t>
  </si>
  <si>
    <t>102</t>
  </si>
  <si>
    <t>Администрация Президента ПМР</t>
  </si>
  <si>
    <t>02</t>
  </si>
  <si>
    <t>Функционирование органов законодательной гос-ной власти</t>
  </si>
  <si>
    <t>101</t>
  </si>
  <si>
    <t>Верховный Совет ПМР</t>
  </si>
  <si>
    <t>103</t>
  </si>
  <si>
    <t>Счётная палата ПМР</t>
  </si>
  <si>
    <t>148</t>
  </si>
  <si>
    <t>Аппарат Уполномоченного по правам человека в ПМР</t>
  </si>
  <si>
    <t>03</t>
  </si>
  <si>
    <t>Функционирование исполнительных органов гос-ной власти</t>
  </si>
  <si>
    <t>109</t>
  </si>
  <si>
    <t>Министерство экономического развития ПМР (аппарат)</t>
  </si>
  <si>
    <t>110</t>
  </si>
  <si>
    <t>Министерство по социальной защите и труду ПМР (аппарат)</t>
  </si>
  <si>
    <t>113</t>
  </si>
  <si>
    <t>Министерство здравоохранения  ПМР (аппарат)</t>
  </si>
  <si>
    <t>114</t>
  </si>
  <si>
    <t>Министерство просвещения ПМР (аппарат)</t>
  </si>
  <si>
    <t>115</t>
  </si>
  <si>
    <t>Министерство юстиции ПМР (аппарат)</t>
  </si>
  <si>
    <t>119</t>
  </si>
  <si>
    <t>Министерство иностранных дел ПМР (аппарат)</t>
  </si>
  <si>
    <t>120</t>
  </si>
  <si>
    <t>Министерство с/х и природных ресурсов ПМР (аппарат)</t>
  </si>
  <si>
    <t>140</t>
  </si>
  <si>
    <t>ГС по спорту ПМР (аппарат)</t>
  </si>
  <si>
    <t>142</t>
  </si>
  <si>
    <t>143</t>
  </si>
  <si>
    <t>ГС средств массовой информации ПМР (аппарат)</t>
  </si>
  <si>
    <t>144</t>
  </si>
  <si>
    <t>ГС связи ПМР (аппарат)</t>
  </si>
  <si>
    <t>145</t>
  </si>
  <si>
    <t>146</t>
  </si>
  <si>
    <t>ГС экологического контроля и охраны ок. среды ПМР</t>
  </si>
  <si>
    <t>149</t>
  </si>
  <si>
    <t>Фонд государственного резерва ПМР (аппарат)</t>
  </si>
  <si>
    <t>150</t>
  </si>
  <si>
    <t>Министерство финансов ПМР (аппарат)</t>
  </si>
  <si>
    <t>154</t>
  </si>
  <si>
    <t>ГС статистики ПМР (аппарат)</t>
  </si>
  <si>
    <t>04</t>
  </si>
  <si>
    <t>Деятельность финансовых и налоговых органов</t>
  </si>
  <si>
    <t>Министерство финансов (подведомственные)</t>
  </si>
  <si>
    <t>05</t>
  </si>
  <si>
    <t>Прочие расходы на общегосударственное управление</t>
  </si>
  <si>
    <t>Министерство юстиции (ГС РиН, БСЭ)</t>
  </si>
  <si>
    <t>Мин-во с/х и природных ресурсов (террит. управления)</t>
  </si>
  <si>
    <t>08</t>
  </si>
  <si>
    <t>Функционирование органов статистики</t>
  </si>
  <si>
    <t>ГС статистики ПМР (территор.упр-я статистики)</t>
  </si>
  <si>
    <t>10</t>
  </si>
  <si>
    <t>Функционирование Правительства ПМР</t>
  </si>
  <si>
    <t>100</t>
  </si>
  <si>
    <t>Правительство  ПМР</t>
  </si>
  <si>
    <t>0200</t>
  </si>
  <si>
    <t>ОРГАНЫ СУДЕБНОЙ ВЛАСТИ</t>
  </si>
  <si>
    <t>Конституционный суд</t>
  </si>
  <si>
    <t>125</t>
  </si>
  <si>
    <t>Конституционный суд ПМР</t>
  </si>
  <si>
    <t>Верховный суд</t>
  </si>
  <si>
    <t>106</t>
  </si>
  <si>
    <t>Верховный суд ПМР</t>
  </si>
  <si>
    <t>Судебные органы</t>
  </si>
  <si>
    <t>139</t>
  </si>
  <si>
    <t>Судебный департамент  при Верховном суде ПМР</t>
  </si>
  <si>
    <t>Арбитражный суд</t>
  </si>
  <si>
    <t>107</t>
  </si>
  <si>
    <t>Арбитражный суд ПМР</t>
  </si>
  <si>
    <t>Органы судебной власти, не отн. к др.гр.</t>
  </si>
  <si>
    <t>Оплата труда адвокатов</t>
  </si>
  <si>
    <t>0300</t>
  </si>
  <si>
    <t>МЕЖДУНАРОДНАЯ ДЕЯТЕЛЬНОСТЬ</t>
  </si>
  <si>
    <t>Международное сотрудничество</t>
  </si>
  <si>
    <t>Министерство иностранных дел (представительства)</t>
  </si>
  <si>
    <t>Реализация международных соглашений</t>
  </si>
  <si>
    <t>0400</t>
  </si>
  <si>
    <t>ГОСУДАРСТВЕННАЯ ОБОРОНА</t>
  </si>
  <si>
    <t>Государственная армия</t>
  </si>
  <si>
    <t>116</t>
  </si>
  <si>
    <t>Министерство обороны ПМР</t>
  </si>
  <si>
    <t>Миротворческие силы</t>
  </si>
  <si>
    <t>0500</t>
  </si>
  <si>
    <t>ПРАВООХРАНИТЕЛЬНАЯ ДЕЯТЕЛЬНОСТЬ И ОБЕСПЕЧ. БЕЗОПАСНОСТИ ГОС-ВА</t>
  </si>
  <si>
    <t>Органы внутренних дел</t>
  </si>
  <si>
    <t>117</t>
  </si>
  <si>
    <t>Министерство внутренних дел ПМР</t>
  </si>
  <si>
    <t>137</t>
  </si>
  <si>
    <t>ГС судебных исполнителей МЮ ПМР</t>
  </si>
  <si>
    <t>138</t>
  </si>
  <si>
    <t>ГС исполнения наказаний МЮ ПМР</t>
  </si>
  <si>
    <t>Органы государственной безопасности</t>
  </si>
  <si>
    <t>118</t>
  </si>
  <si>
    <t>Министерство государственной безопасности ПМР</t>
  </si>
  <si>
    <t>07</t>
  </si>
  <si>
    <t>Следственные органы</t>
  </si>
  <si>
    <t>135</t>
  </si>
  <si>
    <t>Следственный комитет ПМР</t>
  </si>
  <si>
    <t>Прокуратура ПМР и ее территориальные органы</t>
  </si>
  <si>
    <t>108</t>
  </si>
  <si>
    <t>Прокуратура ПМР</t>
  </si>
  <si>
    <t>09</t>
  </si>
  <si>
    <t>Надзорные органы</t>
  </si>
  <si>
    <t>151</t>
  </si>
  <si>
    <t>Служба государственного надзора МЮ ПМР</t>
  </si>
  <si>
    <t>13</t>
  </si>
  <si>
    <t>Органы и учреждения, не отн. к др.гр.</t>
  </si>
  <si>
    <t>141</t>
  </si>
  <si>
    <t>Государственная служба охраны</t>
  </si>
  <si>
    <t>0600</t>
  </si>
  <si>
    <t>ФУНДАМЕНТАЛЬНЫЕ ИССЛЕДОВАНИЯ И СОДЕЙСТВИЕ НТП</t>
  </si>
  <si>
    <t>06</t>
  </si>
  <si>
    <t>Прикладные научные исследования</t>
  </si>
  <si>
    <t>Министерство с/х и природных ресурсов (НИУ)</t>
  </si>
  <si>
    <t>ГС экологического контроля и охраны ок. среды ПМР (наука)</t>
  </si>
  <si>
    <t>Учр. и меропр. в области науч. иссл., не отн. к др.гр.</t>
  </si>
  <si>
    <t>136</t>
  </si>
  <si>
    <t>ГС по культуре  и историческому наследию ПМР (НИЛ)</t>
  </si>
  <si>
    <t>0700</t>
  </si>
  <si>
    <t>ПРОМЫШЛЕННОСТЬ, ЭНЕРГЕТИКА И СТРОИТЕЛЬСТВО</t>
  </si>
  <si>
    <t>Деят-ность и усл.в обл. пром-ти, энер-ки и стр., не отн.к др.гр.</t>
  </si>
  <si>
    <t>Компенсация разницы в тарифах</t>
  </si>
  <si>
    <t>0800</t>
  </si>
  <si>
    <t>СЕЛЬСКОЕ ХОЗЯЙСТВО</t>
  </si>
  <si>
    <t>Деят-сть и усл. в области сельского хоз-ва, не отн. к др.гр.</t>
  </si>
  <si>
    <t>Мин-во с/х и прир.рес. (оросительные системы)</t>
  </si>
  <si>
    <t>Мин-во с/х и прир.рес. (РЦ ВСиФСБ)</t>
  </si>
  <si>
    <t>0900</t>
  </si>
  <si>
    <t>ОХРАНА ОКРУЖ. СРЕДЫ, ГИДРОМЕТЕОРОЛОГИЯ, ЛЕСНОЕ, РЫБНОЕ И ВОДНОЕ ХОЗ-ВО</t>
  </si>
  <si>
    <t>Лесное хозяйство</t>
  </si>
  <si>
    <t>Гидрометеорология</t>
  </si>
  <si>
    <t>Мин-во с/х и прир.рес. (Республиканский  ГМЦ)</t>
  </si>
  <si>
    <t>1000</t>
  </si>
  <si>
    <t>ТРАНСПОРТ, ДОРОЖНОЕ ХОЗЯЙСТВО, СВЯЗЬ И ИНФОРМАТИКА</t>
  </si>
  <si>
    <t>Автомобильный и электротранспорт</t>
  </si>
  <si>
    <t>Возмещение льгот по транспорту</t>
  </si>
  <si>
    <t>Связь</t>
  </si>
  <si>
    <t>ГС связи (почты)</t>
  </si>
  <si>
    <t>Информатика</t>
  </si>
  <si>
    <t>Госзаказ по созданию ГИС</t>
  </si>
  <si>
    <t>Расходы в обл. тр-та, дор. хоз-ва, связи и информатики</t>
  </si>
  <si>
    <t>ГС связи (лицензионный сбор)</t>
  </si>
  <si>
    <t>1300</t>
  </si>
  <si>
    <t>ОБРАЗОВАНИЕ</t>
  </si>
  <si>
    <t>Среднее образование</t>
  </si>
  <si>
    <t>Общеобразовательные школы-интернаты</t>
  </si>
  <si>
    <t>Спецшколы-интернаты</t>
  </si>
  <si>
    <t>Общеобразовательные школы</t>
  </si>
  <si>
    <t>Специальное образование</t>
  </si>
  <si>
    <t>Техникумы и колледжи системы здравоохранения</t>
  </si>
  <si>
    <t>Техникумы и колледжи системы просвещения</t>
  </si>
  <si>
    <t>Высшее образование</t>
  </si>
  <si>
    <t>Высшие колледжи</t>
  </si>
  <si>
    <t>Университет</t>
  </si>
  <si>
    <t>Высшие колледжи ГС К и ИН</t>
  </si>
  <si>
    <t>Курсы и учреждения по повышению квалификации</t>
  </si>
  <si>
    <t>ГИПК (курсы и учреждения по повышению квалификации)</t>
  </si>
  <si>
    <t>Детские дома, детские дома семейного типа</t>
  </si>
  <si>
    <t>Детский дом</t>
  </si>
  <si>
    <t>Учрежд. и меропр. в области образования, не отн. к др. гр.</t>
  </si>
  <si>
    <t>Мероприятия по охране прав детства и защите прав сирот</t>
  </si>
  <si>
    <t>Прочие мероприятия в области образования</t>
  </si>
  <si>
    <t>Центр экспертизы качества образования</t>
  </si>
  <si>
    <t>1400</t>
  </si>
  <si>
    <t>КУЛЬТУРА, ИСКУССТВО, КИНЕМАТОГРАФИЯ</t>
  </si>
  <si>
    <t>14</t>
  </si>
  <si>
    <t>Деятельность в области культуры и искусства</t>
  </si>
  <si>
    <t>Дворцы и дома культуры, клубы и др.учр-я ГСКиИН</t>
  </si>
  <si>
    <t>Музеи и выставки ГСКиИН</t>
  </si>
  <si>
    <t>Спорт и мероприятия для молодежи</t>
  </si>
  <si>
    <t>Мероприятия для молодежи</t>
  </si>
  <si>
    <t>Мероприятия по спорту</t>
  </si>
  <si>
    <t>Учр. и меропр. в обл. культ.,искус.,спорта, не отн.к др.гр.</t>
  </si>
  <si>
    <t>Респ.спорт.-реаб.центр инвалидов</t>
  </si>
  <si>
    <t>Республиканский стадион</t>
  </si>
  <si>
    <t>РЦОП</t>
  </si>
  <si>
    <t>СДЮШОР</t>
  </si>
  <si>
    <t>Прочие мероприятия по культуре и искусству ГСКиИН</t>
  </si>
  <si>
    <t>1500</t>
  </si>
  <si>
    <t>СРЕДСТВА МАССОВОЙ ИНФОРМАЦИИ</t>
  </si>
  <si>
    <t>15</t>
  </si>
  <si>
    <t>Телевидение и радиовещание</t>
  </si>
  <si>
    <t>ГС СМИ (ПГТРК)</t>
  </si>
  <si>
    <t>ГС связи (ретрансляция)</t>
  </si>
  <si>
    <t>Периодическая печать и издательства</t>
  </si>
  <si>
    <t>ГИИЦ</t>
  </si>
  <si>
    <t>ГС  СМИ (газета)</t>
  </si>
  <si>
    <t>1600</t>
  </si>
  <si>
    <t>ЗДРАВООХРАНЕНИЕ</t>
  </si>
  <si>
    <t>16</t>
  </si>
  <si>
    <t>Больницы</t>
  </si>
  <si>
    <t>Поликлиники, амбулатории и фельдшерско-акушерские пункты</t>
  </si>
  <si>
    <t>Поликлиники и амбулатории</t>
  </si>
  <si>
    <t>Станции скорой медицинской помощи</t>
  </si>
  <si>
    <t>Санитарно-эпидемиологические профилактич. службы и учрежд.</t>
  </si>
  <si>
    <t>Дом ребенка</t>
  </si>
  <si>
    <t>Мероприятия по борьбе с эпидемиями</t>
  </si>
  <si>
    <t>Мед., протезы и продукц., исп. в мед. практике</t>
  </si>
  <si>
    <t>Мед., протезы и продукция, использ. по предп.врача</t>
  </si>
  <si>
    <t>Учр. и услуги в области здравоохранения, не отн. к др.гр.</t>
  </si>
  <si>
    <t>Консилиумы врачебной экспертизы жизнеспособности</t>
  </si>
  <si>
    <t>1700</t>
  </si>
  <si>
    <t>СОЦИАЛЬНАЯ ПОЛИТИКА</t>
  </si>
  <si>
    <t>17</t>
  </si>
  <si>
    <t>Пенсии военнослужащим</t>
  </si>
  <si>
    <t>134</t>
  </si>
  <si>
    <t>Пенсии и пособия работн. органов судебной власти и прокурат.</t>
  </si>
  <si>
    <t>Учреждения социального обеспечения</t>
  </si>
  <si>
    <t>Дома-интернаты для малолетних инвалидов</t>
  </si>
  <si>
    <t>Дома-интернаты для престарелых и инвалидов</t>
  </si>
  <si>
    <t>Республиканский центр по протезированию и ортопедии</t>
  </si>
  <si>
    <t>Пенсии и пособия, возмещаемые из бюджета</t>
  </si>
  <si>
    <t>Пенсии и пособия, возмещаемые  из бюджета</t>
  </si>
  <si>
    <t>Поэтапная индексация вкладов населения</t>
  </si>
  <si>
    <t>Индексация вкладов населения</t>
  </si>
  <si>
    <t>Индексация страх. взносов по договорам добровольн. страх.</t>
  </si>
  <si>
    <t>Индексация страховых взносов населения</t>
  </si>
  <si>
    <t>Повышение пенсий за особые заслуги перед гос-вом</t>
  </si>
  <si>
    <t>Повышение пенсий за особые заслуги</t>
  </si>
  <si>
    <t>11</t>
  </si>
  <si>
    <t>Учрежд. и усл. в обл. соц.обесп. и поддержки, не отн. к др.гр.</t>
  </si>
  <si>
    <t>Выплаты и гарантии бывшим руковод.должн.лицам (ВС)</t>
  </si>
  <si>
    <t>Выплаты и гарантии бывшим руковод.должн.лицам (АП)</t>
  </si>
  <si>
    <t>Возмещение вреда по трудовому увечью</t>
  </si>
  <si>
    <t>Выплата компенс. гр-нам, участ. ликв. аварии на ЧАЭС</t>
  </si>
  <si>
    <t>Гос.пособия гражданам, имеющим детей</t>
  </si>
  <si>
    <t>Учр-я и услуги в области соц.обеспеч., не отн. к др. гр.</t>
  </si>
  <si>
    <t>12</t>
  </si>
  <si>
    <t>Льготы отдельным категориям населения на ЖКУ</t>
  </si>
  <si>
    <t>1800</t>
  </si>
  <si>
    <t>ОБСЛУЖИВАНИЕ ГОСУДАРСТВЕННОГО ДОЛГА</t>
  </si>
  <si>
    <t>18</t>
  </si>
  <si>
    <t>Обслуживание внутреннего гос.долга</t>
  </si>
  <si>
    <t>2000</t>
  </si>
  <si>
    <t>ФИНАНСОВАЯ ПОМОЩЬ БЮДЖЕТАМ ДРУГИХ УРОВНЕЙ</t>
  </si>
  <si>
    <t>20</t>
  </si>
  <si>
    <t>Финансовая помощь бюджетам др. уровней</t>
  </si>
  <si>
    <t>Трансферты на обеспечение социальных выплат МБ</t>
  </si>
  <si>
    <t>Трансферты на покрытие разницы в ценах и тарифах на ЖКУ</t>
  </si>
  <si>
    <t>3000</t>
  </si>
  <si>
    <t>ПРОЧИЕ РАСХОДЫ</t>
  </si>
  <si>
    <t>30</t>
  </si>
  <si>
    <t>Резервный фонд Президента ПМР</t>
  </si>
  <si>
    <t>130</t>
  </si>
  <si>
    <t>Проведение выборов и референдумов</t>
  </si>
  <si>
    <t>112</t>
  </si>
  <si>
    <t>Проведение выборов депутатов ВС ПМР</t>
  </si>
  <si>
    <t>Центральная избирательная комиссия ПМР</t>
  </si>
  <si>
    <t>Расходы, не отнесённые к другим группам</t>
  </si>
  <si>
    <t>Обеспечение миротворческой деятельности</t>
  </si>
  <si>
    <t>ГИС в сфере закупок</t>
  </si>
  <si>
    <t>Консалтинговые услуги ОАО ГУК</t>
  </si>
  <si>
    <t>Министерство экон. развития (приватизация)</t>
  </si>
  <si>
    <t>Расходы от оказ.плат.усл. (Минэкономразвития, ГИИЦ)</t>
  </si>
  <si>
    <t>Расходы от оказ.плат.усл. (Мин-во СЗиТ, соц.патронаж)</t>
  </si>
  <si>
    <t>Расходы от оказ.плат.усл. (Минздрав, больницы)</t>
  </si>
  <si>
    <t>Расходы от оказ.плат.усл. (Минздрав, медколледжи)</t>
  </si>
  <si>
    <t>Расходы от оказ.плат.усл. (Минздрав, поликлиники)</t>
  </si>
  <si>
    <t>Расходы от оказ.плат.усл. (Минздрав, СЭС)</t>
  </si>
  <si>
    <t>Мероприятия по обнов. уч. фондов орг. общего образования</t>
  </si>
  <si>
    <t>Мероприятия по оснащению раб. тетрадями</t>
  </si>
  <si>
    <t>Расходы от оказ.плат.усл. (Минпрос, образование)</t>
  </si>
  <si>
    <t>Расходы от оказ.плат.усл. (Минюст, ГУ "Юр.литер-ра")</t>
  </si>
  <si>
    <t>Расходы от оказ.плат.усл. (МВД)</t>
  </si>
  <si>
    <t>Расходы на формирование зем.участков и сост.планов зем.уч.</t>
  </si>
  <si>
    <t>Расходы от оказ.плат.усл. (Мин.с/х и прир.рес., ГМЦ)</t>
  </si>
  <si>
    <t>Расходы от оказ.плат.усл. (Мин.с/х и прир.рес., ГУ "РЦ ВСиФСБ")</t>
  </si>
  <si>
    <t>Расходы от оказ.плат.усл. (Мин.с/х и прир.рес., наука)</t>
  </si>
  <si>
    <t>Расходы от оказ.плат.усл. (Мин.с/х и прир.рес., оросит.системы)</t>
  </si>
  <si>
    <t>124</t>
  </si>
  <si>
    <t>Расходы от оказ.плат.усл. (ГУ ЦКОМФП)</t>
  </si>
  <si>
    <t>Расходы от оказ.плат.усл. (ПГУ)</t>
  </si>
  <si>
    <t>Расходы от оказ.плат.усл. (ГС СИ МЮ)</t>
  </si>
  <si>
    <t>Расходы от оказ.плат.усл. (ГС ИН)</t>
  </si>
  <si>
    <t>Расходы от оказ.плат.усл. (ГС по спорту)</t>
  </si>
  <si>
    <t>Расходы от оказ.плат.усл.  РКВЦ</t>
  </si>
  <si>
    <t>Расходы от оказ.плат.усл. ГС КиИН, ГОУ</t>
  </si>
  <si>
    <t>Расходы от оказ.плат.усл. ГС КиИН, культура и искусство</t>
  </si>
  <si>
    <t>Расходы от оказ.плат.усл. (ГС СМИ,  ПГТРК)</t>
  </si>
  <si>
    <t>Расходы от оказ.плат.усл. (ГС СМИ, газета)</t>
  </si>
  <si>
    <t>Расходы от оказ.плат.усл. (ГС экологического кон., наука)</t>
  </si>
  <si>
    <t>147</t>
  </si>
  <si>
    <t>Субсидии на развитие дорожного хозяйства</t>
  </si>
  <si>
    <t>Целевые программы</t>
  </si>
  <si>
    <t>ГЦП "Профилактика туберкулеза"</t>
  </si>
  <si>
    <t>Целевая программа "Иммунизация населения ПМР"</t>
  </si>
  <si>
    <t>Целевая программа "Онкология"</t>
  </si>
  <si>
    <t>Целевая программа ВИЧ-СПИД</t>
  </si>
  <si>
    <t>Целевая программа "Учебник"</t>
  </si>
  <si>
    <t>ГЦП развития АПК</t>
  </si>
  <si>
    <t>Резервный фонд Правительства ПМР</t>
  </si>
  <si>
    <t>126</t>
  </si>
  <si>
    <t>3100</t>
  </si>
  <si>
    <t>ВОЗВРАТ КРЕДИТОВ ПО ГОСУДАРСТВЕННОМУ  ДОЛГУ</t>
  </si>
  <si>
    <t>31</t>
  </si>
  <si>
    <t>Возврат кредитов по внутреннему гос. долгу</t>
  </si>
  <si>
    <t>Возврат кредитов по внутреннему гос.долгу</t>
  </si>
  <si>
    <t>3200</t>
  </si>
  <si>
    <t>ЦЕЛЕВЫЕ БЮДЖЕТНЫЕ ФОНДЫ</t>
  </si>
  <si>
    <t>32</t>
  </si>
  <si>
    <t>Республиканский экологический фонд ПМР</t>
  </si>
  <si>
    <t>127</t>
  </si>
  <si>
    <t>Государственный целевой фонд таможенных органов ПМР</t>
  </si>
  <si>
    <t>Фонд по обесп.гос.гарантий гр-м, имеющим право на зем.долю (пай)</t>
  </si>
  <si>
    <t>Фонд по обесп.гос.гарантий гр-м, имеющим право на зем.долю</t>
  </si>
  <si>
    <t>Фонд капитальных вложений</t>
  </si>
  <si>
    <t>133</t>
  </si>
  <si>
    <t>Фонд  развития предпринимательства</t>
  </si>
  <si>
    <t>Фонд поддержки молодежи</t>
  </si>
  <si>
    <t>Фонд стимулирования и развития тер.</t>
  </si>
  <si>
    <t>Фонд развития и стимулирования тер.</t>
  </si>
  <si>
    <t>Функцион.</t>
  </si>
  <si>
    <t>Раздел</t>
  </si>
  <si>
    <t>Код пр-пол.</t>
  </si>
  <si>
    <t>Наименование</t>
  </si>
  <si>
    <t>Всего</t>
  </si>
  <si>
    <t>ТЕКУЩИЕ РАСХОДЫ</t>
  </si>
  <si>
    <t>[100000]</t>
  </si>
  <si>
    <t>ЗАКУПКА ТОВАРОВ И ОПЛАТА УСЛУГ</t>
  </si>
  <si>
    <t>[110000]</t>
  </si>
  <si>
    <t>ОПЛАТА ТРУДА</t>
  </si>
  <si>
    <t>[110100]</t>
  </si>
  <si>
    <t>НАЧИСЛЕНИЯ НА ОПЛАТУ ТРУДА</t>
  </si>
  <si>
    <t>[110200]</t>
  </si>
  <si>
    <t>ПРИОБР. ПРЕДМ. СНАБЖ. И РАСХ. МАТЕРИАЛОВ</t>
  </si>
  <si>
    <t>[110300]</t>
  </si>
  <si>
    <t>Медикаменты</t>
  </si>
  <si>
    <t>[110310]</t>
  </si>
  <si>
    <t>Мягкий инвент. и обмундир.</t>
  </si>
  <si>
    <t>[110320]</t>
  </si>
  <si>
    <t>Продукты питания</t>
  </si>
  <si>
    <t>[110330]</t>
  </si>
  <si>
    <t>Оплата топлива</t>
  </si>
  <si>
    <t>[110340]</t>
  </si>
  <si>
    <t>Содерж. автотр-та</t>
  </si>
  <si>
    <t>[110350]</t>
  </si>
  <si>
    <t>Проч. расх. мат-лы и предм. снаб-я</t>
  </si>
  <si>
    <t>[110360]</t>
  </si>
  <si>
    <t>[110400]</t>
  </si>
  <si>
    <t>Внутри республики</t>
  </si>
  <si>
    <t>[110410]</t>
  </si>
  <si>
    <t>За пределы республики</t>
  </si>
  <si>
    <t>[110420]</t>
  </si>
  <si>
    <t>ТРАНСП. УСЛУГИ</t>
  </si>
  <si>
    <t>[110500]</t>
  </si>
  <si>
    <t>ОПЛАТА УСЛУГ СВЯЗИ</t>
  </si>
  <si>
    <t>[110600]</t>
  </si>
  <si>
    <t>ОПЛАТА КОММУН. УСЛУГ</t>
  </si>
  <si>
    <t>[110700]</t>
  </si>
  <si>
    <t>Содержание помещений</t>
  </si>
  <si>
    <t>[110710]</t>
  </si>
  <si>
    <t>Оплата тепловой энергии</t>
  </si>
  <si>
    <t>[110720]</t>
  </si>
  <si>
    <t>Освещение помещений</t>
  </si>
  <si>
    <t>[110730]</t>
  </si>
  <si>
    <t>Водоснабж-е помещений</t>
  </si>
  <si>
    <t>[110740]</t>
  </si>
  <si>
    <t>Вывоз мусора</t>
  </si>
  <si>
    <t>[110750]</t>
  </si>
  <si>
    <t>Аренда помещений</t>
  </si>
  <si>
    <t>[110760]</t>
  </si>
  <si>
    <t>Льготы по коммун. услугам</t>
  </si>
  <si>
    <t>[110770]</t>
  </si>
  <si>
    <t>Оплата газа</t>
  </si>
  <si>
    <t>[110780]</t>
  </si>
  <si>
    <t>ПРОЧ. ТЕК. РАСХ. НА ЗАКУП. ТОВ. И ОПЛ. УСЛУГ</t>
  </si>
  <si>
    <t>[111000]</t>
  </si>
  <si>
    <t>Усл. науч-исслед. орг-ций</t>
  </si>
  <si>
    <t>[111010]</t>
  </si>
  <si>
    <t>Текущ. рем. оборуд. и инвент.</t>
  </si>
  <si>
    <t>[111020]</t>
  </si>
  <si>
    <t>Текущ. рем. зданий и помещ.</t>
  </si>
  <si>
    <t>[111030]</t>
  </si>
  <si>
    <t>Учебн.-нагляд. пособия</t>
  </si>
  <si>
    <t>[111041]</t>
  </si>
  <si>
    <t>Книги и период. издания</t>
  </si>
  <si>
    <t>[111042]</t>
  </si>
  <si>
    <t>Гос. и местн. символика, знаки отличия</t>
  </si>
  <si>
    <t>[111043]</t>
  </si>
  <si>
    <t>Переподготовка кадров</t>
  </si>
  <si>
    <t>[111044]</t>
  </si>
  <si>
    <t>Издат. услуги</t>
  </si>
  <si>
    <t>[111045]</t>
  </si>
  <si>
    <t>Представит. расходы</t>
  </si>
  <si>
    <t>[111046]</t>
  </si>
  <si>
    <t>Приобр. и установ. счетчик.</t>
  </si>
  <si>
    <t>[111047]</t>
  </si>
  <si>
    <t>Проч. спец. расходы</t>
  </si>
  <si>
    <t>[111049]</t>
  </si>
  <si>
    <t>Вневед. охрана</t>
  </si>
  <si>
    <t>[111050]</t>
  </si>
  <si>
    <t>Информ.-вычисл. работы</t>
  </si>
  <si>
    <t>[111051]</t>
  </si>
  <si>
    <t>Участие адвокатов</t>
  </si>
  <si>
    <t>[111052]</t>
  </si>
  <si>
    <t>Молоч. смеси для детей</t>
  </si>
  <si>
    <t>[111053]</t>
  </si>
  <si>
    <t>[111054]</t>
  </si>
  <si>
    <t>Денеж. компенсация</t>
  </si>
  <si>
    <t>[111055]</t>
  </si>
  <si>
    <t>[111056]</t>
  </si>
  <si>
    <t>Тов. и усл., не отнес. к др. гр.</t>
  </si>
  <si>
    <t>[111070]</t>
  </si>
  <si>
    <t>[130000]</t>
  </si>
  <si>
    <t>Тек. трансф. на продукцию и услуги</t>
  </si>
  <si>
    <t>[130100]</t>
  </si>
  <si>
    <t>На покрытие разницы в ценах и тарифах</t>
  </si>
  <si>
    <t>[130110]</t>
  </si>
  <si>
    <t>На покрытие потерь от льгот по тр-ту</t>
  </si>
  <si>
    <t>[130120]</t>
  </si>
  <si>
    <t>Проч. тр-ты на прод. и услуги</t>
  </si>
  <si>
    <t>[130140]</t>
  </si>
  <si>
    <t>Трансферты на произв. цели</t>
  </si>
  <si>
    <t>[130200]</t>
  </si>
  <si>
    <t>Проч. тр-ты на произв. цели</t>
  </si>
  <si>
    <t>[130270]</t>
  </si>
  <si>
    <t>[130280]</t>
  </si>
  <si>
    <t>[130300]</t>
  </si>
  <si>
    <t>[130310]</t>
  </si>
  <si>
    <t>Тр-ты фин. учр. и др. орг-циям</t>
  </si>
  <si>
    <t>[130400]</t>
  </si>
  <si>
    <t>Страх. комп. на обяз. гос., личн. страхование</t>
  </si>
  <si>
    <t>[130410]</t>
  </si>
  <si>
    <t>[130500]</t>
  </si>
  <si>
    <t>Пенсии и пожизн. содержание</t>
  </si>
  <si>
    <t>[130510]</t>
  </si>
  <si>
    <t>Повышение пенсий за особ. засл. перед гос-вом</t>
  </si>
  <si>
    <t>[130530]</t>
  </si>
  <si>
    <t>Стипендии</t>
  </si>
  <si>
    <t>[130550]</t>
  </si>
  <si>
    <t>[130560]</t>
  </si>
  <si>
    <t>Индексация страховых взносов</t>
  </si>
  <si>
    <t>[130570]</t>
  </si>
  <si>
    <t>Оплата квартир и комм. услуг</t>
  </si>
  <si>
    <t>[130580]</t>
  </si>
  <si>
    <t>[130610]</t>
  </si>
  <si>
    <t>Приобретение тр-ных ср-в для инвалидов</t>
  </si>
  <si>
    <t>[130630]</t>
  </si>
  <si>
    <t>Компенсация тр-ных расх. инвалидам</t>
  </si>
  <si>
    <t>[130640]</t>
  </si>
  <si>
    <t>Денежные компенсации</t>
  </si>
  <si>
    <t>[130650]</t>
  </si>
  <si>
    <t>Прочие тр-ты населению</t>
  </si>
  <si>
    <t>[130660]</t>
  </si>
  <si>
    <t>[200000]</t>
  </si>
  <si>
    <t>КАП. ВЛОЖЕНИЯ В ОСНОВНЫЕ ФОНДЫ</t>
  </si>
  <si>
    <t>[240000]</t>
  </si>
  <si>
    <t>Приобр. оборуд.</t>
  </si>
  <si>
    <t>[240100]</t>
  </si>
  <si>
    <t>Приобр. произв. оборуд.</t>
  </si>
  <si>
    <t>[240110]</t>
  </si>
  <si>
    <t>Приобр. непроизв. оборуд.</t>
  </si>
  <si>
    <t>[240120]</t>
  </si>
  <si>
    <t>Кап. влож. в строительство</t>
  </si>
  <si>
    <t>[240200]</t>
  </si>
  <si>
    <t>В жил. строительство</t>
  </si>
  <si>
    <t>[240210]</t>
  </si>
  <si>
    <t>[240230]</t>
  </si>
  <si>
    <t>В строит. админ. зданий</t>
  </si>
  <si>
    <t>[240240]</t>
  </si>
  <si>
    <t>В строит. коммун. объектов</t>
  </si>
  <si>
    <t>[240250]</t>
  </si>
  <si>
    <t>Капитальный ремонт</t>
  </si>
  <si>
    <t>[240300]</t>
  </si>
  <si>
    <t>[240310]</t>
  </si>
  <si>
    <t>[240330]</t>
  </si>
  <si>
    <t>[240340]</t>
  </si>
  <si>
    <t>[240360]</t>
  </si>
  <si>
    <t>УЧАСТИЕ ПРАВ-ВА В ОСУЩ-ИИ ОТД-Х ПРОГРАММ</t>
  </si>
  <si>
    <t>[290000]</t>
  </si>
  <si>
    <t>[400000]</t>
  </si>
  <si>
    <t>Уплата % и погашение внутр-х кредитов</t>
  </si>
  <si>
    <t>[420000]</t>
  </si>
  <si>
    <t>Уплата % по внутр-м кредитам</t>
  </si>
  <si>
    <t>[420100]</t>
  </si>
  <si>
    <t>Погашение внутр-х кредитов</t>
  </si>
  <si>
    <t>[420200]</t>
  </si>
  <si>
    <t>Приложение № 2</t>
  </si>
  <si>
    <t>к Закону Приднестровской Молдавской Республики</t>
  </si>
  <si>
    <t>Плановые расходы республиканского бюджета на 2020 год</t>
  </si>
  <si>
    <t>Расходы от оказ.плат.усл.</t>
  </si>
  <si>
    <t>"О республиканском бюджете на 2020 год"</t>
  </si>
  <si>
    <t>Протези-рование</t>
  </si>
  <si>
    <t>Услуги судмед-экспертизы</t>
  </si>
  <si>
    <t>КОМАНДИ-РОВКИ И СЛУЖЕБНЫЕ РАЗЪЕЗДЫ</t>
  </si>
  <si>
    <t>Под-раздел</t>
  </si>
  <si>
    <t>ГС по культуре  и историческому наследию ПМР (аппарат)</t>
  </si>
  <si>
    <t>ГС управления документацией и архивами ПМР (аппарат)</t>
  </si>
  <si>
    <t>ГУ "Агентство по инвестициям и развитию ПМР"</t>
  </si>
  <si>
    <t>ГУ "Агентство по туризму ПМР"</t>
  </si>
  <si>
    <t>ГУ "Единый аукционный центр"</t>
  </si>
  <si>
    <t>ГУ "Агентство по инв. "Торговый проект"</t>
  </si>
  <si>
    <t>Органы, исполняющие наказания и судебные решения</t>
  </si>
  <si>
    <t>Мин-во с/х и прир.рес. (ГУП "Приднестровье-лес")</t>
  </si>
  <si>
    <t>ГОУ СПО "Училище олимпийского резерва"</t>
  </si>
  <si>
    <t>Погаш.кред.зад.дор.предпр.перед ГУП "Дуб.ГЭС"</t>
  </si>
  <si>
    <t>Мероприятия по обеспечению игрушками, канц. товар. и пред. гиг.</t>
  </si>
  <si>
    <t>Мероприятия по оснащению каб. химии и физики</t>
  </si>
  <si>
    <t>План мероприятий по обеспечению спорт. об. и инвен. орг. образования</t>
  </si>
  <si>
    <t>Создание информац. ресурсов в сфере налогооблажения</t>
  </si>
  <si>
    <t>Субсидии на осуществление программы "Столица"</t>
  </si>
  <si>
    <t>Расходы от оказ.плат.усл., театр</t>
  </si>
  <si>
    <t>Расходы от оказ. плат. усл. (ГУ "Архивы Приднестровья")</t>
  </si>
  <si>
    <t>Программа обеспечения жильем детей-сирот</t>
  </si>
  <si>
    <t>ГП воспроизводства минерально-сырьевой базы ПМР</t>
  </si>
  <si>
    <t>ГЦП "Стратегия развития ПГУ им. Т. Г. Шевченко"</t>
  </si>
  <si>
    <t>ГЦП "Равные возможности" на 2019-2022 годы</t>
  </si>
  <si>
    <t>ГЦП "Сохран. недвижимых объектов культурного наследия"</t>
  </si>
  <si>
    <t>ИТОГО</t>
  </si>
  <si>
    <t>ПГУ им. Т. Г. Шевченко (Центр российского образования и науки)</t>
  </si>
  <si>
    <t>Приднестровский гос. театр драмы и комедии им. Н. С. Аронецкой ГС КиИН</t>
  </si>
  <si>
    <t>Министерство экономического развития ПМР</t>
  </si>
  <si>
    <t>Министерство здравоохранения  ПМР</t>
  </si>
  <si>
    <t>Министерство просвещения ПМР</t>
  </si>
  <si>
    <t>Министерство с/х и природных ресурсов</t>
  </si>
  <si>
    <t>Министерство юстиции ПМР</t>
  </si>
  <si>
    <t>1900</t>
  </si>
  <si>
    <t>19</t>
  </si>
  <si>
    <t>Фонд государственного резерва ПМР</t>
  </si>
  <si>
    <t>ПОПОЛНЕНИЕ ГОСУДАРСТВЕННЫХ РЕЗЕРВОВ</t>
  </si>
  <si>
    <t>ГП на проведение приватизации и расзгосударствления</t>
  </si>
  <si>
    <t>[240220]</t>
  </si>
  <si>
    <t>В строительство произв. объектов</t>
  </si>
  <si>
    <t>[240320]</t>
  </si>
  <si>
    <t>Штрафы</t>
  </si>
  <si>
    <t>Денежное вознаг. за выполненные работы, услуги</t>
  </si>
  <si>
    <t>Создание госрезервов</t>
  </si>
  <si>
    <t>МЭР мост. сооруж.</t>
  </si>
  <si>
    <t>[111048]</t>
  </si>
  <si>
    <t>[111058]</t>
  </si>
  <si>
    <t>[250000]</t>
  </si>
  <si>
    <t>[250100]</t>
  </si>
  <si>
    <t>Расходы от оказ.плат.усл. (по госзаказу ПГУ)</t>
  </si>
  <si>
    <t>(руб.)</t>
  </si>
  <si>
    <t>Погашение к/з по програм. стр-ва и ремонта систем водоснабжения</t>
  </si>
  <si>
    <t>СРЕДСТВА, ПЕРЕДАВ. БЮДЖ. ДР. УР.</t>
  </si>
  <si>
    <t>КАПИТ. РАСХОДЫ</t>
  </si>
  <si>
    <t>В строит. объект. соц.- культ. назнач.</t>
  </si>
  <si>
    <t>СОЗДАНИЕ ГОСУДАРСТ. РЕЗЕРВОВ</t>
  </si>
  <si>
    <t xml:space="preserve"> [240270] </t>
  </si>
  <si>
    <t>НИЛ ПГУ им. Т. Г. Шевченко</t>
  </si>
  <si>
    <t>Министерство просвещения (НИЛ)</t>
  </si>
  <si>
    <t>Государственная служба охраны ПМР</t>
  </si>
  <si>
    <t>МЭР (резерв  Дорожного фонда)</t>
  </si>
  <si>
    <t>Субсидии с/х производителей</t>
  </si>
  <si>
    <t>В строит. прочих объектов</t>
  </si>
  <si>
    <t xml:space="preserve">"О внесении изменений и дополнений </t>
  </si>
  <si>
    <t xml:space="preserve">в Закон Приднестровской Молдавской Республики </t>
  </si>
  <si>
    <t>Мероприятия по развитию мин.-сырьевой базы и охраны недр</t>
  </si>
  <si>
    <t>Сред., направляемые на покрытия дефицита ГЦФТО</t>
  </si>
  <si>
    <t>ТЕКУЩИЕ ТРАНСФЕР-ТЫ</t>
  </si>
  <si>
    <t>Из Экологическо-го фонда</t>
  </si>
  <si>
    <t>Расходы на осуществление          г. Тирасполем функций столицы</t>
  </si>
  <si>
    <t>ТРАНСФЕР-ТЫ НАСЕЛЕНИЮ</t>
  </si>
  <si>
    <t>жилого фонда</t>
  </si>
  <si>
    <t>произв. объектов</t>
  </si>
  <si>
    <t>объект. соц.-культ. назнач.</t>
  </si>
  <si>
    <t>админ. зданий</t>
  </si>
  <si>
    <t>прочих объектов</t>
  </si>
  <si>
    <t>Приложение № 8</t>
  </si>
  <si>
    <t>УПЛАТА % И ПОГАШ. КРЕДИТОВ СОГЛ. ДОГОВОРАМ, ЗАКЛЮЧ-М С ГЛ. РАСП-МИ КРЕД.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</si>
</sst>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#"/>
    <numFmt numFmtId="165" formatCode="#,##0;\-#,##0;;@"/>
  </numFmts>
  <fonts count="16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Arial"/>
      <family val="2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  <font>
      <b/>
      <sz val="8"/>
      <color indexed="8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horizontal="right"/>
    </xf>
    <xf numFmtId="164" fontId="7" fillId="0" borderId="1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vertical="center"/>
    </xf>
    <xf numFmtId="164" fontId="9" fillId="2" borderId="4" xfId="0" applyNumberFormat="1" applyFont="1" applyFill="1" applyBorder="1" applyAlignment="1">
      <alignment vertical="center"/>
    </xf>
    <xf numFmtId="164" fontId="9" fillId="2" borderId="5" xfId="0" applyNumberFormat="1" applyFont="1" applyFill="1" applyBorder="1" applyAlignment="1">
      <alignment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vertical="center"/>
    </xf>
    <xf numFmtId="164" fontId="10" fillId="0" borderId="7" xfId="0" applyNumberFormat="1" applyFont="1" applyBorder="1" applyAlignment="1">
      <alignment vertical="center"/>
    </xf>
    <xf numFmtId="164" fontId="10" fillId="0" borderId="8" xfId="0" applyNumberFormat="1" applyFont="1" applyBorder="1" applyAlignment="1">
      <alignment vertical="center"/>
    </xf>
    <xf numFmtId="49" fontId="8" fillId="2" borderId="6" xfId="0" applyNumberFormat="1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center" vertical="center"/>
    </xf>
    <xf numFmtId="164" fontId="8" fillId="2" borderId="7" xfId="0" applyNumberFormat="1" applyFont="1" applyFill="1" applyBorder="1" applyAlignment="1">
      <alignment vertical="center"/>
    </xf>
    <xf numFmtId="164" fontId="9" fillId="2" borderId="7" xfId="0" applyNumberFormat="1" applyFont="1" applyFill="1" applyBorder="1" applyAlignment="1">
      <alignment vertical="center"/>
    </xf>
    <xf numFmtId="164" fontId="9" fillId="2" borderId="8" xfId="0" applyNumberFormat="1" applyFont="1" applyFill="1" applyBorder="1" applyAlignment="1">
      <alignment vertical="center"/>
    </xf>
    <xf numFmtId="164" fontId="7" fillId="0" borderId="8" xfId="0" applyNumberFormat="1" applyFont="1" applyBorder="1" applyAlignment="1">
      <alignment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164" fontId="9" fillId="2" borderId="2" xfId="0" applyNumberFormat="1" applyFont="1" applyFill="1" applyBorder="1" applyAlignment="1">
      <alignment vertical="center"/>
    </xf>
    <xf numFmtId="0" fontId="11" fillId="2" borderId="4" xfId="0" applyFont="1" applyFill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1" fillId="2" borderId="7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49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164" fontId="10" fillId="0" borderId="0" xfId="0" applyNumberFormat="1" applyFont="1" applyBorder="1" applyAlignment="1">
      <alignment vertical="center"/>
    </xf>
    <xf numFmtId="0" fontId="0" fillId="0" borderId="0" xfId="0" applyBorder="1"/>
    <xf numFmtId="0" fontId="13" fillId="0" borderId="0" xfId="0" applyFont="1"/>
    <xf numFmtId="164" fontId="14" fillId="0" borderId="0" xfId="0" applyNumberFormat="1" applyFont="1" applyAlignment="1">
      <alignment horizontal="right" vertical="center"/>
    </xf>
    <xf numFmtId="165" fontId="0" fillId="0" borderId="0" xfId="0" applyNumberFormat="1"/>
    <xf numFmtId="164" fontId="10" fillId="0" borderId="7" xfId="0" applyNumberFormat="1" applyFont="1" applyFill="1" applyBorder="1" applyAlignment="1">
      <alignment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165" fontId="7" fillId="0" borderId="7" xfId="0" applyNumberFormat="1" applyFont="1" applyFill="1" applyBorder="1" applyAlignment="1">
      <alignment horizontal="center" vertical="center"/>
    </xf>
    <xf numFmtId="165" fontId="4" fillId="0" borderId="7" xfId="0" applyNumberFormat="1" applyFont="1" applyFill="1" applyBorder="1" applyAlignment="1">
      <alignment vertical="center" wrapText="1"/>
    </xf>
    <xf numFmtId="164" fontId="7" fillId="0" borderId="7" xfId="0" applyNumberFormat="1" applyFont="1" applyFill="1" applyBorder="1" applyAlignment="1">
      <alignment vertical="center"/>
    </xf>
    <xf numFmtId="164" fontId="10" fillId="0" borderId="8" xfId="0" applyNumberFormat="1" applyFont="1" applyFill="1" applyBorder="1" applyAlignment="1">
      <alignment vertical="center"/>
    </xf>
    <xf numFmtId="165" fontId="0" fillId="0" borderId="0" xfId="0" applyNumberFormat="1" applyFill="1"/>
    <xf numFmtId="0" fontId="0" fillId="0" borderId="0" xfId="0" applyFill="1"/>
    <xf numFmtId="0" fontId="4" fillId="0" borderId="7" xfId="0" applyFont="1" applyFill="1" applyBorder="1" applyAlignment="1">
      <alignment vertical="center" wrapText="1"/>
    </xf>
    <xf numFmtId="164" fontId="15" fillId="0" borderId="0" xfId="0" applyNumberFormat="1" applyFont="1" applyAlignment="1">
      <alignment horizontal="right" vertical="center"/>
    </xf>
    <xf numFmtId="164" fontId="7" fillId="0" borderId="10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7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305"/>
  <sheetViews>
    <sheetView tabSelected="1" view="pageBreakPreview" zoomScaleNormal="100" zoomScaleSheetLayoutView="100" workbookViewId="0">
      <pane xSplit="5" ySplit="15" topLeftCell="F299" activePane="bottomRight" state="frozenSplit"/>
      <selection pane="topRight" activeCell="I1" sqref="I1"/>
      <selection pane="bottomLeft" activeCell="A10" sqref="A10"/>
      <selection pane="bottomRight" activeCell="A11" sqref="A11:J11"/>
    </sheetView>
  </sheetViews>
  <sheetFormatPr defaultRowHeight="15" x14ac:dyDescent="0.25"/>
  <cols>
    <col min="1" max="3" width="6.7109375" style="1" customWidth="1"/>
    <col min="4" max="4" width="50.7109375" style="2" customWidth="1"/>
    <col min="5" max="5" width="11.5703125" style="3" customWidth="1"/>
    <col min="6" max="7" width="11.42578125" style="4" customWidth="1"/>
    <col min="8" max="8" width="10.7109375" style="4" customWidth="1"/>
    <col min="9" max="9" width="13.28515625" style="4" customWidth="1"/>
    <col min="10" max="10" width="13.42578125" style="4" customWidth="1"/>
    <col min="11" max="11" width="12.140625" style="4" customWidth="1"/>
    <col min="12" max="15" width="10.7109375" style="4" customWidth="1"/>
    <col min="16" max="16" width="11.140625" style="4" customWidth="1"/>
    <col min="17" max="17" width="12.42578125" style="4" customWidth="1"/>
    <col min="18" max="37" width="10.7109375" style="4" customWidth="1"/>
    <col min="38" max="38" width="11.140625" style="4" customWidth="1"/>
    <col min="39" max="50" width="10.7109375" style="4" customWidth="1"/>
    <col min="51" max="51" width="12.85546875" style="4" customWidth="1"/>
    <col min="52" max="53" width="10.7109375" style="4" customWidth="1"/>
    <col min="54" max="54" width="13.5703125" style="4" customWidth="1"/>
    <col min="55" max="56" width="10.7109375" style="4" customWidth="1"/>
    <col min="57" max="57" width="13.7109375" style="4" customWidth="1"/>
    <col min="58" max="58" width="13.5703125" style="4" customWidth="1"/>
    <col min="59" max="59" width="11.140625" style="4" customWidth="1"/>
    <col min="60" max="60" width="10.7109375" style="4" customWidth="1"/>
    <col min="61" max="61" width="11.85546875" style="4" customWidth="1"/>
    <col min="62" max="62" width="12.85546875" style="4" customWidth="1"/>
    <col min="63" max="69" width="10.7109375" style="4" customWidth="1"/>
    <col min="70" max="70" width="12.28515625" style="4" customWidth="1"/>
    <col min="71" max="71" width="11.85546875" style="4" customWidth="1"/>
    <col min="72" max="73" width="10.7109375" style="4" customWidth="1"/>
    <col min="74" max="74" width="15" style="4" customWidth="1"/>
    <col min="75" max="75" width="13.42578125" style="4" customWidth="1"/>
    <col min="76" max="78" width="10.7109375" style="4" customWidth="1"/>
    <col min="79" max="79" width="13.42578125" style="4" customWidth="1"/>
    <col min="80" max="81" width="12.7109375" style="4" customWidth="1"/>
    <col min="82" max="84" width="10.7109375" style="4" customWidth="1"/>
    <col min="85" max="85" width="11.85546875" style="4" customWidth="1"/>
    <col min="86" max="90" width="10.7109375" style="4" customWidth="1"/>
    <col min="91" max="91" width="13.28515625" style="4" customWidth="1"/>
    <col min="92" max="92" width="12.140625" style="4" customWidth="1"/>
    <col min="93" max="93" width="11.42578125" style="4" customWidth="1"/>
    <col min="94" max="94" width="10.7109375" style="4" customWidth="1"/>
    <col min="95" max="95" width="11.42578125" style="4" customWidth="1"/>
    <col min="96" max="96" width="9.7109375" customWidth="1"/>
    <col min="97" max="97" width="10.85546875" customWidth="1"/>
    <col min="98" max="98" width="12.85546875" customWidth="1"/>
    <col min="99" max="99" width="9.5703125" customWidth="1"/>
    <col min="101" max="102" width="13.5703125" bestFit="1" customWidth="1"/>
    <col min="103" max="103" width="12.7109375" bestFit="1" customWidth="1"/>
  </cols>
  <sheetData>
    <row r="1" spans="1:103" ht="15.75" x14ac:dyDescent="0.25">
      <c r="J1" s="5" t="s">
        <v>565</v>
      </c>
    </row>
    <row r="2" spans="1:103" ht="15.75" x14ac:dyDescent="0.25">
      <c r="J2" s="5" t="s">
        <v>484</v>
      </c>
    </row>
    <row r="3" spans="1:103" ht="15.75" x14ac:dyDescent="0.25">
      <c r="J3" s="39" t="s">
        <v>552</v>
      </c>
    </row>
    <row r="4" spans="1:103" ht="15.75" x14ac:dyDescent="0.25">
      <c r="J4" s="39" t="s">
        <v>553</v>
      </c>
    </row>
    <row r="5" spans="1:103" ht="15.75" x14ac:dyDescent="0.25">
      <c r="J5" s="5" t="s">
        <v>487</v>
      </c>
    </row>
    <row r="7" spans="1:103" ht="15.75" x14ac:dyDescent="0.25">
      <c r="A7" s="38"/>
      <c r="B7"/>
      <c r="C7"/>
      <c r="D7"/>
      <c r="E7"/>
      <c r="F7"/>
      <c r="G7"/>
      <c r="I7"/>
      <c r="J7" s="5" t="s">
        <v>483</v>
      </c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</row>
    <row r="8" spans="1:103" ht="15.75" x14ac:dyDescent="0.25">
      <c r="A8"/>
      <c r="B8"/>
      <c r="C8"/>
      <c r="D8"/>
      <c r="E8"/>
      <c r="F8"/>
      <c r="G8"/>
      <c r="I8"/>
      <c r="J8" s="5" t="s">
        <v>484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</row>
    <row r="9" spans="1:103" ht="15.75" x14ac:dyDescent="0.25">
      <c r="A9"/>
      <c r="B9"/>
      <c r="C9"/>
      <c r="D9"/>
      <c r="E9"/>
      <c r="F9"/>
      <c r="G9"/>
      <c r="I9"/>
      <c r="J9" s="5" t="s">
        <v>487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</row>
    <row r="11" spans="1:103" ht="15.75" x14ac:dyDescent="0.25">
      <c r="A11" s="60" t="s">
        <v>485</v>
      </c>
      <c r="B11" s="60"/>
      <c r="C11" s="60"/>
      <c r="D11" s="60"/>
      <c r="E11" s="60"/>
      <c r="F11" s="60"/>
      <c r="G11" s="60"/>
      <c r="H11" s="60"/>
      <c r="I11" s="60"/>
      <c r="J11" s="60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</row>
    <row r="12" spans="1:103" ht="16.5" thickBot="1" x14ac:dyDescent="0.3">
      <c r="J12" s="51" t="s">
        <v>539</v>
      </c>
      <c r="CR12" s="4"/>
      <c r="CS12" s="4"/>
      <c r="CT12" s="4"/>
      <c r="CU12" s="4"/>
      <c r="CV12" s="4"/>
      <c r="CW12" s="4"/>
    </row>
    <row r="13" spans="1:103" ht="20.100000000000001" customHeight="1" x14ac:dyDescent="0.25">
      <c r="A13" s="54" t="s">
        <v>317</v>
      </c>
      <c r="B13" s="55"/>
      <c r="C13" s="55" t="s">
        <v>319</v>
      </c>
      <c r="D13" s="61" t="s">
        <v>320</v>
      </c>
      <c r="E13" s="64" t="s">
        <v>321</v>
      </c>
      <c r="F13" s="52" t="s">
        <v>322</v>
      </c>
      <c r="G13" s="52" t="s">
        <v>324</v>
      </c>
      <c r="H13" s="52" t="s">
        <v>326</v>
      </c>
      <c r="I13" s="52" t="s">
        <v>328</v>
      </c>
      <c r="J13" s="52" t="s">
        <v>330</v>
      </c>
      <c r="K13" s="52" t="s">
        <v>332</v>
      </c>
      <c r="L13" s="52" t="s">
        <v>334</v>
      </c>
      <c r="M13" s="52" t="s">
        <v>336</v>
      </c>
      <c r="N13" s="52" t="s">
        <v>338</v>
      </c>
      <c r="O13" s="52" t="s">
        <v>340</v>
      </c>
      <c r="P13" s="52" t="s">
        <v>342</v>
      </c>
      <c r="Q13" s="52" t="s">
        <v>490</v>
      </c>
      <c r="R13" s="52" t="s">
        <v>345</v>
      </c>
      <c r="S13" s="52" t="s">
        <v>347</v>
      </c>
      <c r="T13" s="52" t="s">
        <v>349</v>
      </c>
      <c r="U13" s="52" t="s">
        <v>351</v>
      </c>
      <c r="V13" s="52" t="s">
        <v>353</v>
      </c>
      <c r="W13" s="52" t="s">
        <v>355</v>
      </c>
      <c r="X13" s="52" t="s">
        <v>357</v>
      </c>
      <c r="Y13" s="52" t="s">
        <v>359</v>
      </c>
      <c r="Z13" s="52" t="s">
        <v>361</v>
      </c>
      <c r="AA13" s="52" t="s">
        <v>363</v>
      </c>
      <c r="AB13" s="52" t="s">
        <v>365</v>
      </c>
      <c r="AC13" s="52" t="s">
        <v>367</v>
      </c>
      <c r="AD13" s="52" t="s">
        <v>369</v>
      </c>
      <c r="AE13" s="52" t="s">
        <v>371</v>
      </c>
      <c r="AF13" s="52" t="s">
        <v>373</v>
      </c>
      <c r="AG13" s="52" t="s">
        <v>375</v>
      </c>
      <c r="AH13" s="52" t="s">
        <v>377</v>
      </c>
      <c r="AI13" s="52" t="s">
        <v>379</v>
      </c>
      <c r="AJ13" s="52" t="s">
        <v>381</v>
      </c>
      <c r="AK13" s="52" t="s">
        <v>383</v>
      </c>
      <c r="AL13" s="52" t="s">
        <v>385</v>
      </c>
      <c r="AM13" s="52" t="s">
        <v>387</v>
      </c>
      <c r="AN13" s="52" t="s">
        <v>389</v>
      </c>
      <c r="AO13" s="52" t="s">
        <v>391</v>
      </c>
      <c r="AP13" s="52" t="s">
        <v>530</v>
      </c>
      <c r="AQ13" s="52" t="s">
        <v>393</v>
      </c>
      <c r="AR13" s="52" t="s">
        <v>395</v>
      </c>
      <c r="AS13" s="52" t="s">
        <v>397</v>
      </c>
      <c r="AT13" s="52" t="s">
        <v>399</v>
      </c>
      <c r="AU13" s="52" t="s">
        <v>401</v>
      </c>
      <c r="AV13" s="52" t="s">
        <v>488</v>
      </c>
      <c r="AW13" s="52" t="s">
        <v>404</v>
      </c>
      <c r="AX13" s="52" t="s">
        <v>489</v>
      </c>
      <c r="AY13" s="52" t="s">
        <v>531</v>
      </c>
      <c r="AZ13" s="52" t="s">
        <v>407</v>
      </c>
      <c r="BA13" s="52" t="s">
        <v>556</v>
      </c>
      <c r="BB13" s="52" t="s">
        <v>410</v>
      </c>
      <c r="BC13" s="52" t="s">
        <v>412</v>
      </c>
      <c r="BD13" s="52" t="s">
        <v>414</v>
      </c>
      <c r="BE13" s="52" t="s">
        <v>416</v>
      </c>
      <c r="BF13" s="52" t="s">
        <v>418</v>
      </c>
      <c r="BG13" s="52" t="s">
        <v>420</v>
      </c>
      <c r="BH13" s="52" t="s">
        <v>557</v>
      </c>
      <c r="BI13" s="52" t="s">
        <v>541</v>
      </c>
      <c r="BJ13" s="52" t="s">
        <v>558</v>
      </c>
      <c r="BK13" s="52" t="s">
        <v>425</v>
      </c>
      <c r="BL13" s="52" t="s">
        <v>427</v>
      </c>
      <c r="BM13" s="52" t="s">
        <v>559</v>
      </c>
      <c r="BN13" s="52" t="s">
        <v>430</v>
      </c>
      <c r="BO13" s="52" t="s">
        <v>432</v>
      </c>
      <c r="BP13" s="52" t="s">
        <v>434</v>
      </c>
      <c r="BQ13" s="52" t="s">
        <v>220</v>
      </c>
      <c r="BR13" s="52" t="s">
        <v>437</v>
      </c>
      <c r="BS13" s="52" t="s">
        <v>439</v>
      </c>
      <c r="BT13" s="52" t="s">
        <v>217</v>
      </c>
      <c r="BU13" s="52" t="s">
        <v>442</v>
      </c>
      <c r="BV13" s="52" t="s">
        <v>444</v>
      </c>
      <c r="BW13" s="52" t="s">
        <v>446</v>
      </c>
      <c r="BX13" s="52" t="s">
        <v>448</v>
      </c>
      <c r="BY13" s="52" t="s">
        <v>542</v>
      </c>
      <c r="BZ13" s="52" t="s">
        <v>451</v>
      </c>
      <c r="CA13" s="52" t="s">
        <v>453</v>
      </c>
      <c r="CB13" s="52" t="s">
        <v>455</v>
      </c>
      <c r="CC13" s="52" t="s">
        <v>457</v>
      </c>
      <c r="CD13" s="52" t="s">
        <v>459</v>
      </c>
      <c r="CE13" s="52" t="s">
        <v>461</v>
      </c>
      <c r="CF13" s="52" t="s">
        <v>528</v>
      </c>
      <c r="CG13" s="52" t="s">
        <v>543</v>
      </c>
      <c r="CH13" s="52" t="s">
        <v>464</v>
      </c>
      <c r="CI13" s="52" t="s">
        <v>466</v>
      </c>
      <c r="CJ13" s="52" t="s">
        <v>551</v>
      </c>
      <c r="CK13" s="52" t="s">
        <v>468</v>
      </c>
      <c r="CL13" s="52" t="s">
        <v>560</v>
      </c>
      <c r="CM13" s="52" t="s">
        <v>561</v>
      </c>
      <c r="CN13" s="52" t="s">
        <v>562</v>
      </c>
      <c r="CO13" s="52" t="s">
        <v>563</v>
      </c>
      <c r="CP13" s="52" t="s">
        <v>564</v>
      </c>
      <c r="CQ13" s="52" t="s">
        <v>544</v>
      </c>
      <c r="CR13" s="52" t="s">
        <v>532</v>
      </c>
      <c r="CS13" s="52" t="s">
        <v>474</v>
      </c>
      <c r="CT13" s="52" t="s">
        <v>566</v>
      </c>
      <c r="CU13" s="52" t="s">
        <v>477</v>
      </c>
      <c r="CV13" s="52" t="s">
        <v>479</v>
      </c>
      <c r="CW13" s="67" t="s">
        <v>481</v>
      </c>
    </row>
    <row r="14" spans="1:103" ht="85.5" customHeight="1" x14ac:dyDescent="0.25">
      <c r="A14" s="56" t="s">
        <v>318</v>
      </c>
      <c r="B14" s="58" t="s">
        <v>491</v>
      </c>
      <c r="C14" s="58"/>
      <c r="D14" s="62"/>
      <c r="E14" s="65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68"/>
    </row>
    <row r="15" spans="1:103" ht="15.75" thickBot="1" x14ac:dyDescent="0.3">
      <c r="A15" s="57"/>
      <c r="B15" s="59"/>
      <c r="C15" s="59"/>
      <c r="D15" s="63"/>
      <c r="E15" s="66"/>
      <c r="F15" s="6" t="s">
        <v>323</v>
      </c>
      <c r="G15" s="6" t="s">
        <v>325</v>
      </c>
      <c r="H15" s="6" t="s">
        <v>327</v>
      </c>
      <c r="I15" s="6" t="s">
        <v>329</v>
      </c>
      <c r="J15" s="6" t="s">
        <v>331</v>
      </c>
      <c r="K15" s="6" t="s">
        <v>333</v>
      </c>
      <c r="L15" s="6" t="s">
        <v>335</v>
      </c>
      <c r="M15" s="6" t="s">
        <v>337</v>
      </c>
      <c r="N15" s="6" t="s">
        <v>339</v>
      </c>
      <c r="O15" s="6" t="s">
        <v>341</v>
      </c>
      <c r="P15" s="6" t="s">
        <v>343</v>
      </c>
      <c r="Q15" s="6" t="s">
        <v>344</v>
      </c>
      <c r="R15" s="6" t="s">
        <v>346</v>
      </c>
      <c r="S15" s="6" t="s">
        <v>348</v>
      </c>
      <c r="T15" s="6" t="s">
        <v>350</v>
      </c>
      <c r="U15" s="6" t="s">
        <v>352</v>
      </c>
      <c r="V15" s="6" t="s">
        <v>354</v>
      </c>
      <c r="W15" s="6" t="s">
        <v>356</v>
      </c>
      <c r="X15" s="6" t="s">
        <v>358</v>
      </c>
      <c r="Y15" s="6" t="s">
        <v>360</v>
      </c>
      <c r="Z15" s="6" t="s">
        <v>362</v>
      </c>
      <c r="AA15" s="6" t="s">
        <v>364</v>
      </c>
      <c r="AB15" s="6" t="s">
        <v>366</v>
      </c>
      <c r="AC15" s="6" t="s">
        <v>368</v>
      </c>
      <c r="AD15" s="6" t="s">
        <v>370</v>
      </c>
      <c r="AE15" s="6" t="s">
        <v>372</v>
      </c>
      <c r="AF15" s="6" t="s">
        <v>374</v>
      </c>
      <c r="AG15" s="6" t="s">
        <v>376</v>
      </c>
      <c r="AH15" s="6" t="s">
        <v>378</v>
      </c>
      <c r="AI15" s="6" t="s">
        <v>380</v>
      </c>
      <c r="AJ15" s="6" t="s">
        <v>382</v>
      </c>
      <c r="AK15" s="6" t="s">
        <v>384</v>
      </c>
      <c r="AL15" s="6" t="s">
        <v>386</v>
      </c>
      <c r="AM15" s="6" t="s">
        <v>388</v>
      </c>
      <c r="AN15" s="6" t="s">
        <v>390</v>
      </c>
      <c r="AO15" s="6" t="s">
        <v>392</v>
      </c>
      <c r="AP15" s="6" t="s">
        <v>534</v>
      </c>
      <c r="AQ15" s="6" t="s">
        <v>394</v>
      </c>
      <c r="AR15" s="6" t="s">
        <v>396</v>
      </c>
      <c r="AS15" s="6" t="s">
        <v>398</v>
      </c>
      <c r="AT15" s="6" t="s">
        <v>400</v>
      </c>
      <c r="AU15" s="6" t="s">
        <v>402</v>
      </c>
      <c r="AV15" s="6" t="s">
        <v>403</v>
      </c>
      <c r="AW15" s="6" t="s">
        <v>405</v>
      </c>
      <c r="AX15" s="6" t="s">
        <v>406</v>
      </c>
      <c r="AY15" s="6" t="s">
        <v>535</v>
      </c>
      <c r="AZ15" s="6" t="s">
        <v>408</v>
      </c>
      <c r="BA15" s="6" t="s">
        <v>409</v>
      </c>
      <c r="BB15" s="6" t="s">
        <v>411</v>
      </c>
      <c r="BC15" s="6" t="s">
        <v>413</v>
      </c>
      <c r="BD15" s="6" t="s">
        <v>415</v>
      </c>
      <c r="BE15" s="6" t="s">
        <v>417</v>
      </c>
      <c r="BF15" s="6" t="s">
        <v>419</v>
      </c>
      <c r="BG15" s="6" t="s">
        <v>421</v>
      </c>
      <c r="BH15" s="6" t="s">
        <v>422</v>
      </c>
      <c r="BI15" s="6" t="s">
        <v>423</v>
      </c>
      <c r="BJ15" s="6" t="s">
        <v>424</v>
      </c>
      <c r="BK15" s="6" t="s">
        <v>426</v>
      </c>
      <c r="BL15" s="6" t="s">
        <v>428</v>
      </c>
      <c r="BM15" s="6" t="s">
        <v>429</v>
      </c>
      <c r="BN15" s="6" t="s">
        <v>431</v>
      </c>
      <c r="BO15" s="6" t="s">
        <v>433</v>
      </c>
      <c r="BP15" s="6" t="s">
        <v>435</v>
      </c>
      <c r="BQ15" s="6" t="s">
        <v>436</v>
      </c>
      <c r="BR15" s="6" t="s">
        <v>438</v>
      </c>
      <c r="BS15" s="6" t="s">
        <v>440</v>
      </c>
      <c r="BT15" s="6" t="s">
        <v>441</v>
      </c>
      <c r="BU15" s="6" t="s">
        <v>443</v>
      </c>
      <c r="BV15" s="6" t="s">
        <v>445</v>
      </c>
      <c r="BW15" s="6" t="s">
        <v>447</v>
      </c>
      <c r="BX15" s="6" t="s">
        <v>449</v>
      </c>
      <c r="BY15" s="6" t="s">
        <v>450</v>
      </c>
      <c r="BZ15" s="6" t="s">
        <v>452</v>
      </c>
      <c r="CA15" s="6" t="s">
        <v>454</v>
      </c>
      <c r="CB15" s="6" t="s">
        <v>456</v>
      </c>
      <c r="CC15" s="6" t="s">
        <v>458</v>
      </c>
      <c r="CD15" s="6" t="s">
        <v>460</v>
      </c>
      <c r="CE15" s="6" t="s">
        <v>462</v>
      </c>
      <c r="CF15" s="6" t="s">
        <v>527</v>
      </c>
      <c r="CG15" s="6" t="s">
        <v>463</v>
      </c>
      <c r="CH15" s="6" t="s">
        <v>465</v>
      </c>
      <c r="CI15" s="6" t="s">
        <v>467</v>
      </c>
      <c r="CJ15" s="6" t="s">
        <v>545</v>
      </c>
      <c r="CK15" s="6" t="s">
        <v>469</v>
      </c>
      <c r="CL15" s="6" t="s">
        <v>470</v>
      </c>
      <c r="CM15" s="6" t="s">
        <v>529</v>
      </c>
      <c r="CN15" s="6" t="s">
        <v>471</v>
      </c>
      <c r="CO15" s="6" t="s">
        <v>472</v>
      </c>
      <c r="CP15" s="6" t="s">
        <v>473</v>
      </c>
      <c r="CQ15" s="6" t="s">
        <v>536</v>
      </c>
      <c r="CR15" s="6" t="s">
        <v>537</v>
      </c>
      <c r="CS15" s="6" t="s">
        <v>475</v>
      </c>
      <c r="CT15" s="6" t="s">
        <v>476</v>
      </c>
      <c r="CU15" s="6" t="s">
        <v>478</v>
      </c>
      <c r="CV15" s="6" t="s">
        <v>480</v>
      </c>
      <c r="CW15" s="7" t="s">
        <v>482</v>
      </c>
    </row>
    <row r="16" spans="1:103" ht="31.5" x14ac:dyDescent="0.25">
      <c r="A16" s="8" t="s">
        <v>0</v>
      </c>
      <c r="B16" s="9" t="s">
        <v>1</v>
      </c>
      <c r="C16" s="9" t="s">
        <v>1</v>
      </c>
      <c r="D16" s="29" t="s">
        <v>2</v>
      </c>
      <c r="E16" s="10">
        <f t="shared" ref="E16:AJ16" si="0">SUM(E17+E19+E23+E40+E42+E48+E50)</f>
        <v>207031020</v>
      </c>
      <c r="F16" s="11">
        <f t="shared" si="0"/>
        <v>195715715</v>
      </c>
      <c r="G16" s="11">
        <f t="shared" si="0"/>
        <v>190609709</v>
      </c>
      <c r="H16" s="11">
        <f t="shared" si="0"/>
        <v>127935109</v>
      </c>
      <c r="I16" s="11">
        <f t="shared" si="0"/>
        <v>26892705</v>
      </c>
      <c r="J16" s="11">
        <f t="shared" si="0"/>
        <v>12046519</v>
      </c>
      <c r="K16" s="11">
        <f t="shared" si="0"/>
        <v>0</v>
      </c>
      <c r="L16" s="11">
        <f t="shared" si="0"/>
        <v>1550107</v>
      </c>
      <c r="M16" s="11">
        <f t="shared" si="0"/>
        <v>0</v>
      </c>
      <c r="N16" s="11">
        <f t="shared" si="0"/>
        <v>0</v>
      </c>
      <c r="O16" s="11">
        <f t="shared" si="0"/>
        <v>7449037</v>
      </c>
      <c r="P16" s="11">
        <f t="shared" si="0"/>
        <v>3047375</v>
      </c>
      <c r="Q16" s="11">
        <f t="shared" si="0"/>
        <v>3331327</v>
      </c>
      <c r="R16" s="11">
        <f t="shared" si="0"/>
        <v>19859</v>
      </c>
      <c r="S16" s="11">
        <f t="shared" si="0"/>
        <v>3311468</v>
      </c>
      <c r="T16" s="11">
        <f t="shared" si="0"/>
        <v>0</v>
      </c>
      <c r="U16" s="11">
        <f t="shared" si="0"/>
        <v>5471797</v>
      </c>
      <c r="V16" s="11">
        <f t="shared" si="0"/>
        <v>2669990</v>
      </c>
      <c r="W16" s="11">
        <f t="shared" si="0"/>
        <v>687931</v>
      </c>
      <c r="X16" s="11">
        <f t="shared" si="0"/>
        <v>470444</v>
      </c>
      <c r="Y16" s="11">
        <f t="shared" si="0"/>
        <v>653527</v>
      </c>
      <c r="Z16" s="11">
        <f t="shared" si="0"/>
        <v>92021</v>
      </c>
      <c r="AA16" s="11">
        <f t="shared" si="0"/>
        <v>124578</v>
      </c>
      <c r="AB16" s="11">
        <f t="shared" si="0"/>
        <v>585464</v>
      </c>
      <c r="AC16" s="11">
        <f t="shared" si="0"/>
        <v>0</v>
      </c>
      <c r="AD16" s="11">
        <f t="shared" ref="AD16" si="1">SUM(AD17+AD19+AD23+AD40+AD42+AD48+AD50)</f>
        <v>56025</v>
      </c>
      <c r="AE16" s="11">
        <f t="shared" si="0"/>
        <v>12262262</v>
      </c>
      <c r="AF16" s="11">
        <f t="shared" si="0"/>
        <v>0</v>
      </c>
      <c r="AG16" s="11">
        <f t="shared" si="0"/>
        <v>462605</v>
      </c>
      <c r="AH16" s="11">
        <f t="shared" si="0"/>
        <v>570150</v>
      </c>
      <c r="AI16" s="11">
        <f t="shared" si="0"/>
        <v>0</v>
      </c>
      <c r="AJ16" s="11">
        <f t="shared" si="0"/>
        <v>151849</v>
      </c>
      <c r="AK16" s="11">
        <f t="shared" ref="AK16:BP16" si="2">SUM(AK17+AK19+AK23+AK40+AK42+AK48+AK50)</f>
        <v>1000740</v>
      </c>
      <c r="AL16" s="11">
        <f t="shared" si="2"/>
        <v>1214911</v>
      </c>
      <c r="AM16" s="11">
        <f t="shared" si="2"/>
        <v>702099</v>
      </c>
      <c r="AN16" s="11">
        <f t="shared" si="2"/>
        <v>4173146</v>
      </c>
      <c r="AO16" s="11">
        <f t="shared" si="2"/>
        <v>120688</v>
      </c>
      <c r="AP16" s="11">
        <f t="shared" si="2"/>
        <v>0</v>
      </c>
      <c r="AQ16" s="11">
        <f t="shared" si="2"/>
        <v>0</v>
      </c>
      <c r="AR16" s="11">
        <f t="shared" si="2"/>
        <v>551112</v>
      </c>
      <c r="AS16" s="11">
        <f t="shared" si="2"/>
        <v>103526</v>
      </c>
      <c r="AT16" s="11">
        <f t="shared" si="2"/>
        <v>0</v>
      </c>
      <c r="AU16" s="11">
        <f t="shared" si="2"/>
        <v>0</v>
      </c>
      <c r="AV16" s="11">
        <f t="shared" si="2"/>
        <v>0</v>
      </c>
      <c r="AW16" s="11">
        <f t="shared" si="2"/>
        <v>1351409</v>
      </c>
      <c r="AX16" s="11">
        <f t="shared" si="2"/>
        <v>0</v>
      </c>
      <c r="AY16" s="11">
        <f t="shared" si="2"/>
        <v>43660</v>
      </c>
      <c r="AZ16" s="11">
        <f t="shared" si="2"/>
        <v>1816367</v>
      </c>
      <c r="BA16" s="11">
        <f t="shared" si="2"/>
        <v>5106006</v>
      </c>
      <c r="BB16" s="11">
        <f t="shared" si="2"/>
        <v>0</v>
      </c>
      <c r="BC16" s="11">
        <f t="shared" si="2"/>
        <v>0</v>
      </c>
      <c r="BD16" s="11">
        <f t="shared" si="2"/>
        <v>0</v>
      </c>
      <c r="BE16" s="11">
        <f t="shared" si="2"/>
        <v>0</v>
      </c>
      <c r="BF16" s="11">
        <f t="shared" si="2"/>
        <v>0</v>
      </c>
      <c r="BG16" s="11">
        <f t="shared" si="2"/>
        <v>0</v>
      </c>
      <c r="BH16" s="11">
        <f t="shared" si="2"/>
        <v>0</v>
      </c>
      <c r="BI16" s="11">
        <f t="shared" si="2"/>
        <v>0</v>
      </c>
      <c r="BJ16" s="11">
        <f t="shared" si="2"/>
        <v>0</v>
      </c>
      <c r="BK16" s="11">
        <f t="shared" si="2"/>
        <v>0</v>
      </c>
      <c r="BL16" s="11">
        <f t="shared" si="2"/>
        <v>0</v>
      </c>
      <c r="BM16" s="11">
        <f t="shared" si="2"/>
        <v>5106006</v>
      </c>
      <c r="BN16" s="11">
        <f t="shared" si="2"/>
        <v>0</v>
      </c>
      <c r="BO16" s="11">
        <f t="shared" si="2"/>
        <v>0</v>
      </c>
      <c r="BP16" s="11">
        <f t="shared" si="2"/>
        <v>0</v>
      </c>
      <c r="BQ16" s="11">
        <f t="shared" ref="BQ16:CW16" si="3">SUM(BQ17+BQ19+BQ23+BQ40+BQ42+BQ48+BQ50)</f>
        <v>0</v>
      </c>
      <c r="BR16" s="11">
        <f t="shared" si="3"/>
        <v>0</v>
      </c>
      <c r="BS16" s="11">
        <f t="shared" si="3"/>
        <v>0</v>
      </c>
      <c r="BT16" s="11">
        <f t="shared" si="3"/>
        <v>0</v>
      </c>
      <c r="BU16" s="11">
        <f t="shared" si="3"/>
        <v>0</v>
      </c>
      <c r="BV16" s="11">
        <f t="shared" si="3"/>
        <v>0</v>
      </c>
      <c r="BW16" s="11">
        <f t="shared" si="3"/>
        <v>5106006</v>
      </c>
      <c r="BX16" s="11">
        <f t="shared" si="3"/>
        <v>0</v>
      </c>
      <c r="BY16" s="11">
        <f t="shared" si="3"/>
        <v>11315305</v>
      </c>
      <c r="BZ16" s="11">
        <f t="shared" si="3"/>
        <v>11315305</v>
      </c>
      <c r="CA16" s="11">
        <f t="shared" si="3"/>
        <v>4588410</v>
      </c>
      <c r="CB16" s="11">
        <f t="shared" si="3"/>
        <v>0</v>
      </c>
      <c r="CC16" s="11">
        <f t="shared" si="3"/>
        <v>4588410</v>
      </c>
      <c r="CD16" s="11">
        <f t="shared" si="3"/>
        <v>5227875</v>
      </c>
      <c r="CE16" s="11">
        <f t="shared" si="3"/>
        <v>1267875</v>
      </c>
      <c r="CF16" s="11">
        <f t="shared" si="3"/>
        <v>0</v>
      </c>
      <c r="CG16" s="11">
        <f t="shared" si="3"/>
        <v>0</v>
      </c>
      <c r="CH16" s="11">
        <f t="shared" si="3"/>
        <v>3960000</v>
      </c>
      <c r="CI16" s="11">
        <f t="shared" si="3"/>
        <v>0</v>
      </c>
      <c r="CJ16" s="11">
        <f t="shared" ref="CJ16" si="4">SUM(CJ17+CJ19+CJ23+CJ40+CJ42+CJ48+CJ50)</f>
        <v>0</v>
      </c>
      <c r="CK16" s="11">
        <f t="shared" si="3"/>
        <v>1499020</v>
      </c>
      <c r="CL16" s="11">
        <f t="shared" si="3"/>
        <v>0</v>
      </c>
      <c r="CM16" s="11">
        <f t="shared" si="3"/>
        <v>0</v>
      </c>
      <c r="CN16" s="11">
        <f t="shared" si="3"/>
        <v>0</v>
      </c>
      <c r="CO16" s="11">
        <f t="shared" si="3"/>
        <v>1499020</v>
      </c>
      <c r="CP16" s="11">
        <f t="shared" si="3"/>
        <v>0</v>
      </c>
      <c r="CQ16" s="11">
        <f t="shared" si="3"/>
        <v>0</v>
      </c>
      <c r="CR16" s="11">
        <f t="shared" si="3"/>
        <v>0</v>
      </c>
      <c r="CS16" s="11">
        <f t="shared" si="3"/>
        <v>0</v>
      </c>
      <c r="CT16" s="11">
        <f t="shared" si="3"/>
        <v>0</v>
      </c>
      <c r="CU16" s="11">
        <f t="shared" si="3"/>
        <v>0</v>
      </c>
      <c r="CV16" s="11">
        <f t="shared" si="3"/>
        <v>0</v>
      </c>
      <c r="CW16" s="12">
        <f t="shared" si="3"/>
        <v>0</v>
      </c>
      <c r="CX16" s="40"/>
      <c r="CY16" s="40"/>
    </row>
    <row r="17" spans="1:103" ht="31.5" x14ac:dyDescent="0.25">
      <c r="A17" s="13" t="s">
        <v>3</v>
      </c>
      <c r="B17" s="14" t="s">
        <v>3</v>
      </c>
      <c r="C17" s="14" t="s">
        <v>1</v>
      </c>
      <c r="D17" s="30" t="s">
        <v>4</v>
      </c>
      <c r="E17" s="15">
        <f>SUM(E18)</f>
        <v>20869636</v>
      </c>
      <c r="F17" s="16">
        <f t="shared" ref="F17:BS17" si="5">SUM(F18)</f>
        <v>19317055</v>
      </c>
      <c r="G17" s="16">
        <f t="shared" si="5"/>
        <v>19285233</v>
      </c>
      <c r="H17" s="16">
        <f t="shared" si="5"/>
        <v>8640021</v>
      </c>
      <c r="I17" s="16">
        <f t="shared" si="5"/>
        <v>2061842</v>
      </c>
      <c r="J17" s="16">
        <f t="shared" si="5"/>
        <v>2455362</v>
      </c>
      <c r="K17" s="16">
        <f t="shared" si="5"/>
        <v>0</v>
      </c>
      <c r="L17" s="16">
        <f t="shared" si="5"/>
        <v>19272</v>
      </c>
      <c r="M17" s="16">
        <f t="shared" si="5"/>
        <v>0</v>
      </c>
      <c r="N17" s="16">
        <f t="shared" si="5"/>
        <v>0</v>
      </c>
      <c r="O17" s="16">
        <f t="shared" si="5"/>
        <v>1876650</v>
      </c>
      <c r="P17" s="16">
        <f t="shared" si="5"/>
        <v>559440</v>
      </c>
      <c r="Q17" s="16">
        <f t="shared" si="5"/>
        <v>435133</v>
      </c>
      <c r="R17" s="16">
        <f t="shared" si="5"/>
        <v>856</v>
      </c>
      <c r="S17" s="16">
        <f t="shared" si="5"/>
        <v>434277</v>
      </c>
      <c r="T17" s="16">
        <f t="shared" si="5"/>
        <v>0</v>
      </c>
      <c r="U17" s="16">
        <f t="shared" si="5"/>
        <v>868840</v>
      </c>
      <c r="V17" s="16">
        <f t="shared" si="5"/>
        <v>324994</v>
      </c>
      <c r="W17" s="16">
        <f t="shared" si="5"/>
        <v>114772</v>
      </c>
      <c r="X17" s="16">
        <f t="shared" si="5"/>
        <v>32396</v>
      </c>
      <c r="Y17" s="16">
        <f t="shared" si="5"/>
        <v>112439</v>
      </c>
      <c r="Z17" s="16">
        <f t="shared" si="5"/>
        <v>17150</v>
      </c>
      <c r="AA17" s="16">
        <f t="shared" si="5"/>
        <v>30451</v>
      </c>
      <c r="AB17" s="16">
        <f t="shared" si="5"/>
        <v>0</v>
      </c>
      <c r="AC17" s="16">
        <f t="shared" si="5"/>
        <v>0</v>
      </c>
      <c r="AD17" s="16">
        <f t="shared" si="5"/>
        <v>17786</v>
      </c>
      <c r="AE17" s="16">
        <f t="shared" si="5"/>
        <v>4499041</v>
      </c>
      <c r="AF17" s="16">
        <f t="shared" si="5"/>
        <v>0</v>
      </c>
      <c r="AG17" s="16">
        <f t="shared" si="5"/>
        <v>41883</v>
      </c>
      <c r="AH17" s="16">
        <f t="shared" si="5"/>
        <v>51101</v>
      </c>
      <c r="AI17" s="16">
        <f t="shared" si="5"/>
        <v>0</v>
      </c>
      <c r="AJ17" s="16">
        <f t="shared" si="5"/>
        <v>21455</v>
      </c>
      <c r="AK17" s="16">
        <f t="shared" si="5"/>
        <v>980574</v>
      </c>
      <c r="AL17" s="16">
        <f t="shared" si="5"/>
        <v>77747</v>
      </c>
      <c r="AM17" s="16">
        <f t="shared" si="5"/>
        <v>137000</v>
      </c>
      <c r="AN17" s="16">
        <f t="shared" si="5"/>
        <v>2574685</v>
      </c>
      <c r="AO17" s="16">
        <f t="shared" si="5"/>
        <v>7326</v>
      </c>
      <c r="AP17" s="16">
        <f t="shared" si="5"/>
        <v>0</v>
      </c>
      <c r="AQ17" s="16">
        <f t="shared" si="5"/>
        <v>0</v>
      </c>
      <c r="AR17" s="16">
        <f t="shared" si="5"/>
        <v>0</v>
      </c>
      <c r="AS17" s="16">
        <f t="shared" si="5"/>
        <v>13574</v>
      </c>
      <c r="AT17" s="16">
        <f t="shared" si="5"/>
        <v>0</v>
      </c>
      <c r="AU17" s="16">
        <f t="shared" si="5"/>
        <v>0</v>
      </c>
      <c r="AV17" s="16">
        <f t="shared" si="5"/>
        <v>0</v>
      </c>
      <c r="AW17" s="16">
        <f t="shared" si="5"/>
        <v>0</v>
      </c>
      <c r="AX17" s="16">
        <f t="shared" si="5"/>
        <v>0</v>
      </c>
      <c r="AY17" s="16">
        <f t="shared" si="5"/>
        <v>0</v>
      </c>
      <c r="AZ17" s="16">
        <f t="shared" si="5"/>
        <v>593696</v>
      </c>
      <c r="BA17" s="16">
        <f t="shared" si="5"/>
        <v>31822</v>
      </c>
      <c r="BB17" s="16">
        <f t="shared" si="5"/>
        <v>0</v>
      </c>
      <c r="BC17" s="16">
        <f t="shared" si="5"/>
        <v>0</v>
      </c>
      <c r="BD17" s="16">
        <f t="shared" si="5"/>
        <v>0</v>
      </c>
      <c r="BE17" s="16">
        <f t="shared" si="5"/>
        <v>0</v>
      </c>
      <c r="BF17" s="16">
        <f t="shared" si="5"/>
        <v>0</v>
      </c>
      <c r="BG17" s="16">
        <f t="shared" si="5"/>
        <v>0</v>
      </c>
      <c r="BH17" s="16">
        <f t="shared" si="5"/>
        <v>0</v>
      </c>
      <c r="BI17" s="16">
        <f t="shared" si="5"/>
        <v>0</v>
      </c>
      <c r="BJ17" s="16">
        <f t="shared" si="5"/>
        <v>0</v>
      </c>
      <c r="BK17" s="16">
        <f t="shared" si="5"/>
        <v>0</v>
      </c>
      <c r="BL17" s="16">
        <f t="shared" si="5"/>
        <v>0</v>
      </c>
      <c r="BM17" s="16">
        <f t="shared" si="5"/>
        <v>31822</v>
      </c>
      <c r="BN17" s="16">
        <f t="shared" si="5"/>
        <v>0</v>
      </c>
      <c r="BO17" s="16">
        <f t="shared" si="5"/>
        <v>0</v>
      </c>
      <c r="BP17" s="16">
        <f t="shared" si="5"/>
        <v>0</v>
      </c>
      <c r="BQ17" s="16">
        <f t="shared" si="5"/>
        <v>0</v>
      </c>
      <c r="BR17" s="16">
        <f t="shared" si="5"/>
        <v>0</v>
      </c>
      <c r="BS17" s="16">
        <f t="shared" si="5"/>
        <v>0</v>
      </c>
      <c r="BT17" s="16">
        <f t="shared" ref="BT17:CW17" si="6">SUM(BT18)</f>
        <v>0</v>
      </c>
      <c r="BU17" s="16">
        <f t="shared" si="6"/>
        <v>0</v>
      </c>
      <c r="BV17" s="16">
        <f t="shared" si="6"/>
        <v>0</v>
      </c>
      <c r="BW17" s="16">
        <f t="shared" si="6"/>
        <v>31822</v>
      </c>
      <c r="BX17" s="16">
        <f t="shared" si="6"/>
        <v>0</v>
      </c>
      <c r="BY17" s="16">
        <f t="shared" si="6"/>
        <v>1552581</v>
      </c>
      <c r="BZ17" s="16">
        <f t="shared" si="6"/>
        <v>1552581</v>
      </c>
      <c r="CA17" s="16">
        <f t="shared" si="6"/>
        <v>777466</v>
      </c>
      <c r="CB17" s="16">
        <f t="shared" si="6"/>
        <v>0</v>
      </c>
      <c r="CC17" s="16">
        <f t="shared" si="6"/>
        <v>777466</v>
      </c>
      <c r="CD17" s="16">
        <f t="shared" si="6"/>
        <v>0</v>
      </c>
      <c r="CE17" s="16">
        <f t="shared" si="6"/>
        <v>0</v>
      </c>
      <c r="CF17" s="16">
        <f t="shared" si="6"/>
        <v>0</v>
      </c>
      <c r="CG17" s="16">
        <f t="shared" si="6"/>
        <v>0</v>
      </c>
      <c r="CH17" s="16">
        <f t="shared" si="6"/>
        <v>0</v>
      </c>
      <c r="CI17" s="16">
        <f t="shared" si="6"/>
        <v>0</v>
      </c>
      <c r="CJ17" s="16">
        <f t="shared" si="6"/>
        <v>0</v>
      </c>
      <c r="CK17" s="16">
        <f t="shared" si="6"/>
        <v>775115</v>
      </c>
      <c r="CL17" s="16">
        <f t="shared" si="6"/>
        <v>0</v>
      </c>
      <c r="CM17" s="16">
        <f t="shared" si="6"/>
        <v>0</v>
      </c>
      <c r="CN17" s="16">
        <f t="shared" si="6"/>
        <v>0</v>
      </c>
      <c r="CO17" s="16">
        <f t="shared" si="6"/>
        <v>775115</v>
      </c>
      <c r="CP17" s="16">
        <f t="shared" si="6"/>
        <v>0</v>
      </c>
      <c r="CQ17" s="16">
        <f t="shared" si="6"/>
        <v>0</v>
      </c>
      <c r="CR17" s="16">
        <f t="shared" si="6"/>
        <v>0</v>
      </c>
      <c r="CS17" s="16">
        <f t="shared" si="6"/>
        <v>0</v>
      </c>
      <c r="CT17" s="16">
        <f t="shared" si="6"/>
        <v>0</v>
      </c>
      <c r="CU17" s="16">
        <f t="shared" si="6"/>
        <v>0</v>
      </c>
      <c r="CV17" s="16">
        <f t="shared" si="6"/>
        <v>0</v>
      </c>
      <c r="CW17" s="17">
        <f t="shared" si="6"/>
        <v>0</v>
      </c>
      <c r="CX17" s="40"/>
      <c r="CY17" s="40"/>
    </row>
    <row r="18" spans="1:103" ht="15.75" x14ac:dyDescent="0.25">
      <c r="A18" s="13" t="s">
        <v>1</v>
      </c>
      <c r="B18" s="14" t="s">
        <v>1</v>
      </c>
      <c r="C18" s="14" t="s">
        <v>5</v>
      </c>
      <c r="D18" s="30" t="s">
        <v>6</v>
      </c>
      <c r="E18" s="15">
        <f>SUM(F18+BY18+CT18)</f>
        <v>20869636</v>
      </c>
      <c r="F18" s="16">
        <f>SUM(G18+BA18)</f>
        <v>19317055</v>
      </c>
      <c r="G18" s="16">
        <f>SUM(H18+I18+J18+Q18+T18+U18+V18+AE18)</f>
        <v>19285233</v>
      </c>
      <c r="H18" s="16">
        <v>8640021</v>
      </c>
      <c r="I18" s="16">
        <v>2061842</v>
      </c>
      <c r="J18" s="16">
        <f t="shared" ref="J18:J80" si="7">SUM(K18:P18)</f>
        <v>2455362</v>
      </c>
      <c r="K18" s="16">
        <v>0</v>
      </c>
      <c r="L18" s="16">
        <v>19272</v>
      </c>
      <c r="M18" s="16">
        <v>0</v>
      </c>
      <c r="N18" s="16">
        <v>0</v>
      </c>
      <c r="O18" s="16">
        <v>1876650</v>
      </c>
      <c r="P18" s="16">
        <v>559440</v>
      </c>
      <c r="Q18" s="16">
        <f t="shared" ref="Q18:Q80" si="8">SUM(R18:S18)</f>
        <v>435133</v>
      </c>
      <c r="R18" s="16">
        <v>856</v>
      </c>
      <c r="S18" s="16">
        <v>434277</v>
      </c>
      <c r="T18" s="16">
        <v>0</v>
      </c>
      <c r="U18" s="16">
        <v>868840</v>
      </c>
      <c r="V18" s="16">
        <f>SUM(W18:AD18)</f>
        <v>324994</v>
      </c>
      <c r="W18" s="16">
        <v>114772</v>
      </c>
      <c r="X18" s="16">
        <v>32396</v>
      </c>
      <c r="Y18" s="16">
        <v>112439</v>
      </c>
      <c r="Z18" s="16">
        <v>17150</v>
      </c>
      <c r="AA18" s="16">
        <v>30451</v>
      </c>
      <c r="AB18" s="16">
        <v>0</v>
      </c>
      <c r="AC18" s="16">
        <v>0</v>
      </c>
      <c r="AD18" s="16">
        <v>17786</v>
      </c>
      <c r="AE18" s="16">
        <f>SUM(AF18:AZ18)</f>
        <v>4499041</v>
      </c>
      <c r="AF18" s="16">
        <v>0</v>
      </c>
      <c r="AG18" s="16">
        <v>41883</v>
      </c>
      <c r="AH18" s="16">
        <v>51101</v>
      </c>
      <c r="AI18" s="16">
        <v>0</v>
      </c>
      <c r="AJ18" s="16">
        <v>21455</v>
      </c>
      <c r="AK18" s="16">
        <v>980574</v>
      </c>
      <c r="AL18" s="16">
        <v>77747</v>
      </c>
      <c r="AM18" s="16">
        <v>137000</v>
      </c>
      <c r="AN18" s="16">
        <v>2574685</v>
      </c>
      <c r="AO18" s="16">
        <v>7326</v>
      </c>
      <c r="AP18" s="16"/>
      <c r="AQ18" s="16">
        <v>0</v>
      </c>
      <c r="AR18" s="16">
        <v>0</v>
      </c>
      <c r="AS18" s="16">
        <v>13574</v>
      </c>
      <c r="AT18" s="16">
        <v>0</v>
      </c>
      <c r="AU18" s="16">
        <v>0</v>
      </c>
      <c r="AV18" s="16">
        <v>0</v>
      </c>
      <c r="AW18" s="16">
        <v>0</v>
      </c>
      <c r="AX18" s="16">
        <v>0</v>
      </c>
      <c r="AY18" s="16"/>
      <c r="AZ18" s="16">
        <v>593696</v>
      </c>
      <c r="BA18" s="16">
        <f>SUM(BB18+BF18+BI18+BK18+BM18)</f>
        <v>31822</v>
      </c>
      <c r="BB18" s="16">
        <f>SUM(BC18:BE18)</f>
        <v>0</v>
      </c>
      <c r="BC18" s="16">
        <v>0</v>
      </c>
      <c r="BD18" s="16">
        <v>0</v>
      </c>
      <c r="BE18" s="16">
        <v>0</v>
      </c>
      <c r="BF18" s="16">
        <f t="shared" ref="BF18:BF80" si="9">SUM(BG18:BH18)</f>
        <v>0</v>
      </c>
      <c r="BG18" s="16">
        <v>0</v>
      </c>
      <c r="BH18" s="16">
        <v>0</v>
      </c>
      <c r="BI18" s="16">
        <v>0</v>
      </c>
      <c r="BJ18" s="16">
        <v>0</v>
      </c>
      <c r="BK18" s="16">
        <f t="shared" ref="BK18:BK80" si="10">SUM(BL18)</f>
        <v>0</v>
      </c>
      <c r="BL18" s="16">
        <v>0</v>
      </c>
      <c r="BM18" s="16">
        <f t="shared" ref="BM18:BM80" si="11">SUM(BN18:BX18)</f>
        <v>31822</v>
      </c>
      <c r="BN18" s="16">
        <v>0</v>
      </c>
      <c r="BO18" s="16">
        <v>0</v>
      </c>
      <c r="BP18" s="16">
        <v>0</v>
      </c>
      <c r="BQ18" s="16">
        <v>0</v>
      </c>
      <c r="BR18" s="16">
        <v>0</v>
      </c>
      <c r="BS18" s="16">
        <v>0</v>
      </c>
      <c r="BT18" s="16">
        <v>0</v>
      </c>
      <c r="BU18" s="16">
        <v>0</v>
      </c>
      <c r="BV18" s="16">
        <v>0</v>
      </c>
      <c r="BW18" s="16">
        <v>31822</v>
      </c>
      <c r="BX18" s="16">
        <v>0</v>
      </c>
      <c r="BY18" s="16">
        <f>SUM(BZ18+CS18)</f>
        <v>1552581</v>
      </c>
      <c r="BZ18" s="16">
        <f>SUM(CA18+CD18+CK18)</f>
        <v>1552581</v>
      </c>
      <c r="CA18" s="16">
        <f t="shared" ref="CA18:CA80" si="12">SUM(CB18:CC18)</f>
        <v>777466</v>
      </c>
      <c r="CB18" s="16">
        <v>0</v>
      </c>
      <c r="CC18" s="16">
        <v>777466</v>
      </c>
      <c r="CD18" s="16">
        <f t="shared" ref="CD18:CD80" si="13">SUM(CE18:CI18)</f>
        <v>0</v>
      </c>
      <c r="CE18" s="16">
        <v>0</v>
      </c>
      <c r="CF18" s="16">
        <v>0</v>
      </c>
      <c r="CG18" s="16">
        <v>0</v>
      </c>
      <c r="CH18" s="16">
        <v>0</v>
      </c>
      <c r="CI18" s="16">
        <v>0</v>
      </c>
      <c r="CJ18" s="16">
        <v>0</v>
      </c>
      <c r="CK18" s="16">
        <f t="shared" ref="CK18:CK80" si="14">SUM(CL18:CP18)</f>
        <v>775115</v>
      </c>
      <c r="CL18" s="16">
        <v>0</v>
      </c>
      <c r="CM18" s="16">
        <v>0</v>
      </c>
      <c r="CN18" s="16">
        <v>0</v>
      </c>
      <c r="CO18" s="16">
        <v>775115</v>
      </c>
      <c r="CP18" s="16">
        <v>0</v>
      </c>
      <c r="CQ18" s="16">
        <f>SUM(CR18)</f>
        <v>0</v>
      </c>
      <c r="CR18" s="16"/>
      <c r="CS18" s="16">
        <v>0</v>
      </c>
      <c r="CT18" s="16">
        <f t="shared" ref="CT18:CT80" si="15">SUM(CU18)</f>
        <v>0</v>
      </c>
      <c r="CU18" s="16">
        <f t="shared" ref="CU18:CU80" si="16">SUM(CV18:CW18)</f>
        <v>0</v>
      </c>
      <c r="CV18" s="16">
        <v>0</v>
      </c>
      <c r="CW18" s="17">
        <v>0</v>
      </c>
      <c r="CX18" s="40"/>
      <c r="CY18" s="40"/>
    </row>
    <row r="19" spans="1:103" ht="31.5" x14ac:dyDescent="0.25">
      <c r="A19" s="13" t="s">
        <v>3</v>
      </c>
      <c r="B19" s="14" t="s">
        <v>7</v>
      </c>
      <c r="C19" s="14" t="s">
        <v>1</v>
      </c>
      <c r="D19" s="30" t="s">
        <v>8</v>
      </c>
      <c r="E19" s="15">
        <f>SUM(E20:E22)</f>
        <v>39071659</v>
      </c>
      <c r="F19" s="16">
        <f t="shared" ref="F19:BS19" si="17">SUM(F20:F22)</f>
        <v>36215312</v>
      </c>
      <c r="G19" s="16">
        <f t="shared" si="17"/>
        <v>33810594</v>
      </c>
      <c r="H19" s="16">
        <f t="shared" si="17"/>
        <v>21975058</v>
      </c>
      <c r="I19" s="16">
        <f t="shared" si="17"/>
        <v>5268641</v>
      </c>
      <c r="J19" s="16">
        <f t="shared" si="17"/>
        <v>3193895</v>
      </c>
      <c r="K19" s="16">
        <f t="shared" si="17"/>
        <v>0</v>
      </c>
      <c r="L19" s="16">
        <f t="shared" si="17"/>
        <v>87018</v>
      </c>
      <c r="M19" s="16">
        <f t="shared" si="17"/>
        <v>0</v>
      </c>
      <c r="N19" s="16">
        <f t="shared" si="17"/>
        <v>0</v>
      </c>
      <c r="O19" s="16">
        <f t="shared" si="17"/>
        <v>2135643</v>
      </c>
      <c r="P19" s="16">
        <f t="shared" si="17"/>
        <v>971234</v>
      </c>
      <c r="Q19" s="16">
        <f t="shared" si="17"/>
        <v>720002</v>
      </c>
      <c r="R19" s="16">
        <f t="shared" si="17"/>
        <v>0</v>
      </c>
      <c r="S19" s="16">
        <f t="shared" si="17"/>
        <v>720002</v>
      </c>
      <c r="T19" s="16">
        <f t="shared" si="17"/>
        <v>0</v>
      </c>
      <c r="U19" s="16">
        <f t="shared" si="17"/>
        <v>970685</v>
      </c>
      <c r="V19" s="16">
        <f t="shared" si="17"/>
        <v>83043</v>
      </c>
      <c r="W19" s="16">
        <f t="shared" si="17"/>
        <v>3606</v>
      </c>
      <c r="X19" s="16">
        <f t="shared" si="17"/>
        <v>14960</v>
      </c>
      <c r="Y19" s="16">
        <f t="shared" si="17"/>
        <v>41904</v>
      </c>
      <c r="Z19" s="16">
        <f t="shared" si="17"/>
        <v>7858</v>
      </c>
      <c r="AA19" s="16">
        <f t="shared" si="17"/>
        <v>5156</v>
      </c>
      <c r="AB19" s="16">
        <f t="shared" si="17"/>
        <v>648</v>
      </c>
      <c r="AC19" s="16">
        <f t="shared" si="17"/>
        <v>0</v>
      </c>
      <c r="AD19" s="16">
        <f t="shared" ref="AD19" si="18">SUM(AD20:AD22)</f>
        <v>8911</v>
      </c>
      <c r="AE19" s="16">
        <f t="shared" si="17"/>
        <v>1599270</v>
      </c>
      <c r="AF19" s="16">
        <f t="shared" si="17"/>
        <v>0</v>
      </c>
      <c r="AG19" s="16">
        <f t="shared" si="17"/>
        <v>87752</v>
      </c>
      <c r="AH19" s="16">
        <f t="shared" si="17"/>
        <v>116813</v>
      </c>
      <c r="AI19" s="16">
        <f t="shared" si="17"/>
        <v>0</v>
      </c>
      <c r="AJ19" s="16">
        <f t="shared" si="17"/>
        <v>40495</v>
      </c>
      <c r="AK19" s="16">
        <f t="shared" si="17"/>
        <v>0</v>
      </c>
      <c r="AL19" s="16">
        <f t="shared" si="17"/>
        <v>227044</v>
      </c>
      <c r="AM19" s="16">
        <f t="shared" si="17"/>
        <v>70164</v>
      </c>
      <c r="AN19" s="16">
        <f t="shared" si="17"/>
        <v>903693</v>
      </c>
      <c r="AO19" s="16">
        <f t="shared" si="17"/>
        <v>0</v>
      </c>
      <c r="AP19" s="16"/>
      <c r="AQ19" s="16">
        <f t="shared" si="17"/>
        <v>0</v>
      </c>
      <c r="AR19" s="16">
        <f t="shared" si="17"/>
        <v>42153</v>
      </c>
      <c r="AS19" s="16">
        <f t="shared" si="17"/>
        <v>27042</v>
      </c>
      <c r="AT19" s="16">
        <f t="shared" si="17"/>
        <v>0</v>
      </c>
      <c r="AU19" s="16">
        <f t="shared" si="17"/>
        <v>0</v>
      </c>
      <c r="AV19" s="16">
        <f t="shared" si="17"/>
        <v>0</v>
      </c>
      <c r="AW19" s="16">
        <f t="shared" si="17"/>
        <v>0</v>
      </c>
      <c r="AX19" s="16">
        <f t="shared" si="17"/>
        <v>0</v>
      </c>
      <c r="AY19" s="16"/>
      <c r="AZ19" s="16">
        <f t="shared" si="17"/>
        <v>84114</v>
      </c>
      <c r="BA19" s="16">
        <f t="shared" si="17"/>
        <v>2404718</v>
      </c>
      <c r="BB19" s="16">
        <f t="shared" si="17"/>
        <v>0</v>
      </c>
      <c r="BC19" s="16">
        <f t="shared" si="17"/>
        <v>0</v>
      </c>
      <c r="BD19" s="16">
        <f t="shared" si="17"/>
        <v>0</v>
      </c>
      <c r="BE19" s="16">
        <f t="shared" si="17"/>
        <v>0</v>
      </c>
      <c r="BF19" s="16">
        <f t="shared" si="17"/>
        <v>0</v>
      </c>
      <c r="BG19" s="16">
        <f t="shared" si="17"/>
        <v>0</v>
      </c>
      <c r="BH19" s="16">
        <f t="shared" si="17"/>
        <v>0</v>
      </c>
      <c r="BI19" s="16">
        <f t="shared" si="17"/>
        <v>0</v>
      </c>
      <c r="BJ19" s="16">
        <f t="shared" si="17"/>
        <v>0</v>
      </c>
      <c r="BK19" s="16">
        <f t="shared" si="17"/>
        <v>0</v>
      </c>
      <c r="BL19" s="16">
        <f t="shared" si="17"/>
        <v>0</v>
      </c>
      <c r="BM19" s="16">
        <f t="shared" si="17"/>
        <v>2404718</v>
      </c>
      <c r="BN19" s="16">
        <f t="shared" si="17"/>
        <v>0</v>
      </c>
      <c r="BO19" s="16">
        <f t="shared" si="17"/>
        <v>0</v>
      </c>
      <c r="BP19" s="16">
        <f t="shared" si="17"/>
        <v>0</v>
      </c>
      <c r="BQ19" s="16">
        <f t="shared" si="17"/>
        <v>0</v>
      </c>
      <c r="BR19" s="16">
        <f t="shared" si="17"/>
        <v>0</v>
      </c>
      <c r="BS19" s="16">
        <f t="shared" si="17"/>
        <v>0</v>
      </c>
      <c r="BT19" s="16">
        <f t="shared" ref="BT19:CW19" si="19">SUM(BT20:BT22)</f>
        <v>0</v>
      </c>
      <c r="BU19" s="16">
        <f t="shared" si="19"/>
        <v>0</v>
      </c>
      <c r="BV19" s="16">
        <f t="shared" si="19"/>
        <v>0</v>
      </c>
      <c r="BW19" s="16">
        <f t="shared" si="19"/>
        <v>2404718</v>
      </c>
      <c r="BX19" s="16">
        <f t="shared" si="19"/>
        <v>0</v>
      </c>
      <c r="BY19" s="16">
        <f t="shared" si="19"/>
        <v>2856347</v>
      </c>
      <c r="BZ19" s="16">
        <f t="shared" si="19"/>
        <v>2856347</v>
      </c>
      <c r="CA19" s="16">
        <f t="shared" si="19"/>
        <v>1588472</v>
      </c>
      <c r="CB19" s="16">
        <f t="shared" si="19"/>
        <v>0</v>
      </c>
      <c r="CC19" s="16">
        <f t="shared" si="19"/>
        <v>1588472</v>
      </c>
      <c r="CD19" s="16">
        <f t="shared" si="19"/>
        <v>1267875</v>
      </c>
      <c r="CE19" s="16">
        <f t="shared" si="19"/>
        <v>1267875</v>
      </c>
      <c r="CF19" s="16">
        <f>SUM(CF20:CF22)</f>
        <v>0</v>
      </c>
      <c r="CG19" s="16">
        <f t="shared" si="19"/>
        <v>0</v>
      </c>
      <c r="CH19" s="16">
        <f t="shared" si="19"/>
        <v>0</v>
      </c>
      <c r="CI19" s="16">
        <f t="shared" si="19"/>
        <v>0</v>
      </c>
      <c r="CJ19" s="16">
        <f t="shared" ref="CJ19" si="20">SUM(CJ20:CJ22)</f>
        <v>0</v>
      </c>
      <c r="CK19" s="16">
        <f t="shared" si="19"/>
        <v>0</v>
      </c>
      <c r="CL19" s="16">
        <f t="shared" si="19"/>
        <v>0</v>
      </c>
      <c r="CM19" s="16">
        <f>SUM(CM20:CM22)</f>
        <v>0</v>
      </c>
      <c r="CN19" s="16">
        <f t="shared" si="19"/>
        <v>0</v>
      </c>
      <c r="CO19" s="16">
        <f t="shared" si="19"/>
        <v>0</v>
      </c>
      <c r="CP19" s="16">
        <f t="shared" si="19"/>
        <v>0</v>
      </c>
      <c r="CQ19" s="16">
        <f>SUM(CR19)</f>
        <v>0</v>
      </c>
      <c r="CR19" s="16"/>
      <c r="CS19" s="16">
        <f t="shared" si="19"/>
        <v>0</v>
      </c>
      <c r="CT19" s="16">
        <f t="shared" si="19"/>
        <v>0</v>
      </c>
      <c r="CU19" s="16">
        <f t="shared" si="19"/>
        <v>0</v>
      </c>
      <c r="CV19" s="16">
        <f t="shared" si="19"/>
        <v>0</v>
      </c>
      <c r="CW19" s="17">
        <f t="shared" si="19"/>
        <v>0</v>
      </c>
      <c r="CX19" s="40"/>
      <c r="CY19" s="40"/>
    </row>
    <row r="20" spans="1:103" ht="15.75" x14ac:dyDescent="0.25">
      <c r="A20" s="13" t="s">
        <v>1</v>
      </c>
      <c r="B20" s="14" t="s">
        <v>1</v>
      </c>
      <c r="C20" s="14" t="s">
        <v>9</v>
      </c>
      <c r="D20" s="30" t="s">
        <v>10</v>
      </c>
      <c r="E20" s="15">
        <f>SUM(F20+BY20+CT20)</f>
        <v>26690585</v>
      </c>
      <c r="F20" s="16">
        <f>SUM(G20+BA20)</f>
        <v>24498869</v>
      </c>
      <c r="G20" s="16">
        <f>SUM(H20+I20+J20+Q20+T20+U20+V20+AE20)</f>
        <v>22107177</v>
      </c>
      <c r="H20" s="16">
        <v>13873375</v>
      </c>
      <c r="I20" s="16">
        <v>3336840</v>
      </c>
      <c r="J20" s="16">
        <f t="shared" si="7"/>
        <v>2271467</v>
      </c>
      <c r="K20" s="16">
        <v>0</v>
      </c>
      <c r="L20" s="16">
        <v>0</v>
      </c>
      <c r="M20" s="16">
        <v>0</v>
      </c>
      <c r="N20" s="16">
        <v>0</v>
      </c>
      <c r="O20" s="16">
        <v>1658609</v>
      </c>
      <c r="P20" s="16">
        <v>612858</v>
      </c>
      <c r="Q20" s="16">
        <f t="shared" si="8"/>
        <v>640000</v>
      </c>
      <c r="R20" s="16">
        <v>0</v>
      </c>
      <c r="S20" s="16">
        <v>640000</v>
      </c>
      <c r="T20" s="16">
        <v>0</v>
      </c>
      <c r="U20" s="16">
        <v>797759</v>
      </c>
      <c r="V20" s="16">
        <f>SUM(W20:AD20)</f>
        <v>2882</v>
      </c>
      <c r="W20" s="16">
        <v>0</v>
      </c>
      <c r="X20" s="16">
        <v>0</v>
      </c>
      <c r="Y20" s="16">
        <v>1548</v>
      </c>
      <c r="Z20" s="16">
        <v>964</v>
      </c>
      <c r="AA20" s="16">
        <v>370</v>
      </c>
      <c r="AB20" s="16">
        <v>0</v>
      </c>
      <c r="AC20" s="16">
        <v>0</v>
      </c>
      <c r="AD20" s="16">
        <v>0</v>
      </c>
      <c r="AE20" s="16">
        <f>SUM(AF20:AZ20)</f>
        <v>1184854</v>
      </c>
      <c r="AF20" s="16">
        <v>0</v>
      </c>
      <c r="AG20" s="16">
        <v>72672</v>
      </c>
      <c r="AH20" s="16">
        <v>100000</v>
      </c>
      <c r="AI20" s="16">
        <v>0</v>
      </c>
      <c r="AJ20" s="16">
        <v>9558</v>
      </c>
      <c r="AK20" s="16">
        <v>0</v>
      </c>
      <c r="AL20" s="16">
        <v>122572</v>
      </c>
      <c r="AM20" s="16">
        <v>62208</v>
      </c>
      <c r="AN20" s="16">
        <v>785400</v>
      </c>
      <c r="AO20" s="16">
        <v>0</v>
      </c>
      <c r="AP20" s="16">
        <v>0</v>
      </c>
      <c r="AQ20" s="16">
        <v>0</v>
      </c>
      <c r="AR20" s="16">
        <v>13008</v>
      </c>
      <c r="AS20" s="16">
        <v>15842</v>
      </c>
      <c r="AT20" s="16">
        <v>0</v>
      </c>
      <c r="AU20" s="16">
        <v>0</v>
      </c>
      <c r="AV20" s="16">
        <v>0</v>
      </c>
      <c r="AW20" s="16">
        <v>0</v>
      </c>
      <c r="AX20" s="16">
        <v>0</v>
      </c>
      <c r="AY20" s="16">
        <v>0</v>
      </c>
      <c r="AZ20" s="16">
        <v>3594</v>
      </c>
      <c r="BA20" s="16">
        <f>SUM(BB20+BF20+BI20+BK20+BM20)</f>
        <v>2391692</v>
      </c>
      <c r="BB20" s="16">
        <f>SUM(BC20:BE20)</f>
        <v>0</v>
      </c>
      <c r="BC20" s="16">
        <v>0</v>
      </c>
      <c r="BD20" s="16">
        <v>0</v>
      </c>
      <c r="BE20" s="16">
        <v>0</v>
      </c>
      <c r="BF20" s="16">
        <f t="shared" si="9"/>
        <v>0</v>
      </c>
      <c r="BG20" s="16">
        <v>0</v>
      </c>
      <c r="BH20" s="16">
        <v>0</v>
      </c>
      <c r="BI20" s="16">
        <v>0</v>
      </c>
      <c r="BJ20" s="16">
        <v>0</v>
      </c>
      <c r="BK20" s="16">
        <f t="shared" si="10"/>
        <v>0</v>
      </c>
      <c r="BL20" s="16">
        <v>0</v>
      </c>
      <c r="BM20" s="16">
        <f t="shared" si="11"/>
        <v>2391692</v>
      </c>
      <c r="BN20" s="16">
        <v>0</v>
      </c>
      <c r="BO20" s="16">
        <v>0</v>
      </c>
      <c r="BP20" s="16">
        <v>0</v>
      </c>
      <c r="BQ20" s="16">
        <v>0</v>
      </c>
      <c r="BR20" s="16">
        <v>0</v>
      </c>
      <c r="BS20" s="16">
        <v>0</v>
      </c>
      <c r="BT20" s="16">
        <v>0</v>
      </c>
      <c r="BU20" s="16">
        <v>0</v>
      </c>
      <c r="BV20" s="16">
        <v>0</v>
      </c>
      <c r="BW20" s="16">
        <v>2391692</v>
      </c>
      <c r="BX20" s="16">
        <v>0</v>
      </c>
      <c r="BY20" s="16">
        <f>SUM(BZ20+CS20)</f>
        <v>2191716</v>
      </c>
      <c r="BZ20" s="16">
        <f>SUM(CA20+CD20+CK20)</f>
        <v>2191716</v>
      </c>
      <c r="CA20" s="16">
        <f t="shared" si="12"/>
        <v>1225716</v>
      </c>
      <c r="CB20" s="16">
        <v>0</v>
      </c>
      <c r="CC20" s="16">
        <v>1225716</v>
      </c>
      <c r="CD20" s="16">
        <f t="shared" si="13"/>
        <v>966000</v>
      </c>
      <c r="CE20" s="16">
        <v>966000</v>
      </c>
      <c r="CF20" s="16"/>
      <c r="CG20" s="16">
        <v>0</v>
      </c>
      <c r="CH20" s="16">
        <v>0</v>
      </c>
      <c r="CI20" s="16">
        <v>0</v>
      </c>
      <c r="CJ20" s="16">
        <v>0</v>
      </c>
      <c r="CK20" s="16">
        <f t="shared" si="14"/>
        <v>0</v>
      </c>
      <c r="CL20" s="16">
        <v>0</v>
      </c>
      <c r="CM20" s="16">
        <v>0</v>
      </c>
      <c r="CN20" s="16">
        <v>0</v>
      </c>
      <c r="CO20" s="16">
        <v>0</v>
      </c>
      <c r="CP20" s="16">
        <v>0</v>
      </c>
      <c r="CQ20" s="16">
        <f>SUM(CR20)</f>
        <v>0</v>
      </c>
      <c r="CR20" s="16">
        <v>0</v>
      </c>
      <c r="CS20" s="16">
        <v>0</v>
      </c>
      <c r="CT20" s="16">
        <f t="shared" si="15"/>
        <v>0</v>
      </c>
      <c r="CU20" s="16">
        <f t="shared" si="16"/>
        <v>0</v>
      </c>
      <c r="CV20" s="16">
        <v>0</v>
      </c>
      <c r="CW20" s="17">
        <v>0</v>
      </c>
      <c r="CX20" s="40"/>
      <c r="CY20" s="40"/>
    </row>
    <row r="21" spans="1:103" ht="15.75" x14ac:dyDescent="0.25">
      <c r="A21" s="13" t="s">
        <v>1</v>
      </c>
      <c r="B21" s="14" t="s">
        <v>1</v>
      </c>
      <c r="C21" s="14" t="s">
        <v>11</v>
      </c>
      <c r="D21" s="30" t="s">
        <v>12</v>
      </c>
      <c r="E21" s="15">
        <f>SUM(F21+BY21+CT21)</f>
        <v>10783642</v>
      </c>
      <c r="F21" s="16">
        <f>SUM(G21+BA21)</f>
        <v>10139599</v>
      </c>
      <c r="G21" s="16">
        <f>SUM(H21+I21+J21+Q21+T21+U21+V21+AE21)</f>
        <v>10132324</v>
      </c>
      <c r="H21" s="16">
        <v>7005911</v>
      </c>
      <c r="I21" s="16">
        <v>1667464</v>
      </c>
      <c r="J21" s="16">
        <f t="shared" si="7"/>
        <v>851847</v>
      </c>
      <c r="K21" s="16">
        <v>0</v>
      </c>
      <c r="L21" s="16">
        <v>87018</v>
      </c>
      <c r="M21" s="16">
        <v>0</v>
      </c>
      <c r="N21" s="16">
        <v>0</v>
      </c>
      <c r="O21" s="16">
        <v>422661</v>
      </c>
      <c r="P21" s="16">
        <v>342168</v>
      </c>
      <c r="Q21" s="16">
        <f t="shared" si="8"/>
        <v>65755</v>
      </c>
      <c r="R21" s="16">
        <v>0</v>
      </c>
      <c r="S21" s="16">
        <v>65755</v>
      </c>
      <c r="T21" s="16">
        <v>0</v>
      </c>
      <c r="U21" s="16">
        <v>110927</v>
      </c>
      <c r="V21" s="16">
        <f>SUM(W21:AD21)</f>
        <v>73046</v>
      </c>
      <c r="W21" s="16">
        <f>16979-13373</f>
        <v>3606</v>
      </c>
      <c r="X21" s="16">
        <v>12125</v>
      </c>
      <c r="Y21" s="16">
        <f>40799-180-3983</f>
        <v>36636</v>
      </c>
      <c r="Z21" s="16">
        <v>6334</v>
      </c>
      <c r="AA21" s="16">
        <v>4786</v>
      </c>
      <c r="AB21" s="16">
        <v>648</v>
      </c>
      <c r="AC21" s="16">
        <v>0</v>
      </c>
      <c r="AD21" s="16">
        <v>8911</v>
      </c>
      <c r="AE21" s="16">
        <f>SUM(AF21:AZ21)</f>
        <v>357374</v>
      </c>
      <c r="AF21" s="16">
        <v>0</v>
      </c>
      <c r="AG21" s="16">
        <v>13978</v>
      </c>
      <c r="AH21" s="16">
        <v>15587</v>
      </c>
      <c r="AI21" s="16">
        <v>0</v>
      </c>
      <c r="AJ21" s="16">
        <v>30937</v>
      </c>
      <c r="AK21" s="16">
        <v>0</v>
      </c>
      <c r="AL21" s="16">
        <v>104472</v>
      </c>
      <c r="AM21" s="16">
        <v>0</v>
      </c>
      <c r="AN21" s="16">
        <v>100680</v>
      </c>
      <c r="AO21" s="16">
        <v>0</v>
      </c>
      <c r="AP21" s="16">
        <v>0</v>
      </c>
      <c r="AQ21" s="16">
        <v>0</v>
      </c>
      <c r="AR21" s="16">
        <v>0</v>
      </c>
      <c r="AS21" s="16">
        <v>11200</v>
      </c>
      <c r="AT21" s="16">
        <v>0</v>
      </c>
      <c r="AU21" s="16">
        <v>0</v>
      </c>
      <c r="AV21" s="16">
        <v>0</v>
      </c>
      <c r="AW21" s="16">
        <v>0</v>
      </c>
      <c r="AX21" s="16">
        <v>0</v>
      </c>
      <c r="AY21" s="16">
        <v>0</v>
      </c>
      <c r="AZ21" s="16">
        <v>80520</v>
      </c>
      <c r="BA21" s="16">
        <f>SUM(BB21+BF21+BI21+BK21+BM21)</f>
        <v>7275</v>
      </c>
      <c r="BB21" s="16">
        <f>SUM(BC21:BE21)</f>
        <v>0</v>
      </c>
      <c r="BC21" s="16">
        <v>0</v>
      </c>
      <c r="BD21" s="16">
        <v>0</v>
      </c>
      <c r="BE21" s="16">
        <v>0</v>
      </c>
      <c r="BF21" s="16">
        <f t="shared" si="9"/>
        <v>0</v>
      </c>
      <c r="BG21" s="16">
        <v>0</v>
      </c>
      <c r="BH21" s="16">
        <v>0</v>
      </c>
      <c r="BI21" s="16">
        <v>0</v>
      </c>
      <c r="BJ21" s="16">
        <v>0</v>
      </c>
      <c r="BK21" s="16">
        <f t="shared" si="10"/>
        <v>0</v>
      </c>
      <c r="BL21" s="16">
        <v>0</v>
      </c>
      <c r="BM21" s="16">
        <f t="shared" si="11"/>
        <v>7275</v>
      </c>
      <c r="BN21" s="16">
        <v>0</v>
      </c>
      <c r="BO21" s="16">
        <v>0</v>
      </c>
      <c r="BP21" s="16">
        <v>0</v>
      </c>
      <c r="BQ21" s="16">
        <v>0</v>
      </c>
      <c r="BR21" s="16">
        <v>0</v>
      </c>
      <c r="BS21" s="16">
        <v>0</v>
      </c>
      <c r="BT21" s="16">
        <v>0</v>
      </c>
      <c r="BU21" s="16">
        <v>0</v>
      </c>
      <c r="BV21" s="16">
        <v>0</v>
      </c>
      <c r="BW21" s="16">
        <v>7275</v>
      </c>
      <c r="BX21" s="16">
        <v>0</v>
      </c>
      <c r="BY21" s="16">
        <f>SUM(BZ21+CS21)</f>
        <v>644043</v>
      </c>
      <c r="BZ21" s="16">
        <f>SUM(CA21+CD21+CK21)</f>
        <v>644043</v>
      </c>
      <c r="CA21" s="16">
        <f t="shared" si="12"/>
        <v>342168</v>
      </c>
      <c r="CB21" s="16">
        <v>0</v>
      </c>
      <c r="CC21" s="16">
        <v>342168</v>
      </c>
      <c r="CD21" s="16">
        <f t="shared" si="13"/>
        <v>301875</v>
      </c>
      <c r="CE21" s="16">
        <v>301875</v>
      </c>
      <c r="CF21" s="16"/>
      <c r="CG21" s="16">
        <v>0</v>
      </c>
      <c r="CH21" s="16">
        <v>0</v>
      </c>
      <c r="CI21" s="16">
        <v>0</v>
      </c>
      <c r="CJ21" s="16">
        <v>0</v>
      </c>
      <c r="CK21" s="16">
        <f t="shared" si="14"/>
        <v>0</v>
      </c>
      <c r="CL21" s="16">
        <v>0</v>
      </c>
      <c r="CM21" s="16">
        <v>0</v>
      </c>
      <c r="CN21" s="16">
        <v>0</v>
      </c>
      <c r="CO21" s="16">
        <v>0</v>
      </c>
      <c r="CP21" s="16">
        <v>0</v>
      </c>
      <c r="CQ21" s="16">
        <v>0</v>
      </c>
      <c r="CR21" s="16">
        <v>0</v>
      </c>
      <c r="CS21" s="16">
        <v>0</v>
      </c>
      <c r="CT21" s="16">
        <f t="shared" si="15"/>
        <v>0</v>
      </c>
      <c r="CU21" s="16">
        <f t="shared" si="16"/>
        <v>0</v>
      </c>
      <c r="CV21" s="16">
        <v>0</v>
      </c>
      <c r="CW21" s="17">
        <v>0</v>
      </c>
      <c r="CX21" s="40"/>
      <c r="CY21" s="40"/>
    </row>
    <row r="22" spans="1:103" ht="31.5" x14ac:dyDescent="0.25">
      <c r="A22" s="13" t="s">
        <v>1</v>
      </c>
      <c r="B22" s="14" t="s">
        <v>1</v>
      </c>
      <c r="C22" s="14" t="s">
        <v>13</v>
      </c>
      <c r="D22" s="30" t="s">
        <v>14</v>
      </c>
      <c r="E22" s="15">
        <f>SUM(F22+BY22+CT22)</f>
        <v>1597432</v>
      </c>
      <c r="F22" s="16">
        <f>SUM(G22+BA22)</f>
        <v>1576844</v>
      </c>
      <c r="G22" s="16">
        <f>SUM(H22+I22+J22+Q22+T22+U22+V22+AE22)</f>
        <v>1571093</v>
      </c>
      <c r="H22" s="16">
        <v>1095772</v>
      </c>
      <c r="I22" s="16">
        <v>264337</v>
      </c>
      <c r="J22" s="16">
        <f t="shared" si="7"/>
        <v>70581</v>
      </c>
      <c r="K22" s="16">
        <v>0</v>
      </c>
      <c r="L22" s="16">
        <v>0</v>
      </c>
      <c r="M22" s="16">
        <v>0</v>
      </c>
      <c r="N22" s="16">
        <v>0</v>
      </c>
      <c r="O22" s="16">
        <v>54373</v>
      </c>
      <c r="P22" s="16">
        <v>16208</v>
      </c>
      <c r="Q22" s="16">
        <f t="shared" si="8"/>
        <v>14247</v>
      </c>
      <c r="R22" s="16">
        <v>0</v>
      </c>
      <c r="S22" s="16">
        <f>15043-796</f>
        <v>14247</v>
      </c>
      <c r="T22" s="16">
        <v>0</v>
      </c>
      <c r="U22" s="16">
        <v>61999</v>
      </c>
      <c r="V22" s="16">
        <f>SUM(W22:AD22)</f>
        <v>7115</v>
      </c>
      <c r="W22" s="16">
        <v>0</v>
      </c>
      <c r="X22" s="16">
        <v>2835</v>
      </c>
      <c r="Y22" s="16">
        <v>3720</v>
      </c>
      <c r="Z22" s="16">
        <v>560</v>
      </c>
      <c r="AA22" s="16">
        <v>0</v>
      </c>
      <c r="AB22" s="16">
        <v>0</v>
      </c>
      <c r="AC22" s="16">
        <v>0</v>
      </c>
      <c r="AD22" s="16">
        <v>0</v>
      </c>
      <c r="AE22" s="16">
        <f>SUM(AF22:AZ22)</f>
        <v>57042</v>
      </c>
      <c r="AF22" s="16">
        <v>0</v>
      </c>
      <c r="AG22" s="16">
        <v>1102</v>
      </c>
      <c r="AH22" s="16">
        <v>1226</v>
      </c>
      <c r="AI22" s="16">
        <v>0</v>
      </c>
      <c r="AJ22" s="16">
        <v>0</v>
      </c>
      <c r="AK22" s="16">
        <v>0</v>
      </c>
      <c r="AL22" s="16">
        <v>0</v>
      </c>
      <c r="AM22" s="16">
        <v>7956</v>
      </c>
      <c r="AN22" s="16">
        <v>17613</v>
      </c>
      <c r="AO22" s="16">
        <v>0</v>
      </c>
      <c r="AP22" s="16">
        <v>0</v>
      </c>
      <c r="AQ22" s="16">
        <v>0</v>
      </c>
      <c r="AR22" s="16">
        <v>29145</v>
      </c>
      <c r="AS22" s="16">
        <v>0</v>
      </c>
      <c r="AT22" s="16">
        <v>0</v>
      </c>
      <c r="AU22" s="16">
        <v>0</v>
      </c>
      <c r="AV22" s="16">
        <v>0</v>
      </c>
      <c r="AW22" s="16">
        <v>0</v>
      </c>
      <c r="AX22" s="16">
        <v>0</v>
      </c>
      <c r="AY22" s="16">
        <v>0</v>
      </c>
      <c r="AZ22" s="16">
        <v>0</v>
      </c>
      <c r="BA22" s="16">
        <f>SUM(BB22+BF22+BI22+BK22+BM22)</f>
        <v>5751</v>
      </c>
      <c r="BB22" s="16">
        <f>SUM(BC22:BE22)</f>
        <v>0</v>
      </c>
      <c r="BC22" s="16">
        <v>0</v>
      </c>
      <c r="BD22" s="16">
        <v>0</v>
      </c>
      <c r="BE22" s="16">
        <v>0</v>
      </c>
      <c r="BF22" s="16">
        <f t="shared" si="9"/>
        <v>0</v>
      </c>
      <c r="BG22" s="16">
        <v>0</v>
      </c>
      <c r="BH22" s="16">
        <v>0</v>
      </c>
      <c r="BI22" s="16">
        <v>0</v>
      </c>
      <c r="BJ22" s="16">
        <v>0</v>
      </c>
      <c r="BK22" s="16">
        <f t="shared" si="10"/>
        <v>0</v>
      </c>
      <c r="BL22" s="16">
        <v>0</v>
      </c>
      <c r="BM22" s="16">
        <f t="shared" si="11"/>
        <v>5751</v>
      </c>
      <c r="BN22" s="16">
        <v>0</v>
      </c>
      <c r="BO22" s="16">
        <v>0</v>
      </c>
      <c r="BP22" s="16">
        <v>0</v>
      </c>
      <c r="BQ22" s="16">
        <v>0</v>
      </c>
      <c r="BR22" s="16">
        <v>0</v>
      </c>
      <c r="BS22" s="16">
        <v>0</v>
      </c>
      <c r="BT22" s="16">
        <v>0</v>
      </c>
      <c r="BU22" s="16">
        <v>0</v>
      </c>
      <c r="BV22" s="16">
        <v>0</v>
      </c>
      <c r="BW22" s="16">
        <v>5751</v>
      </c>
      <c r="BX22" s="16">
        <v>0</v>
      </c>
      <c r="BY22" s="16">
        <f>SUM(BZ22+CS22)</f>
        <v>20588</v>
      </c>
      <c r="BZ22" s="16">
        <f>SUM(CA22+CD22+CK22)</f>
        <v>20588</v>
      </c>
      <c r="CA22" s="16">
        <f t="shared" si="12"/>
        <v>20588</v>
      </c>
      <c r="CB22" s="16">
        <v>0</v>
      </c>
      <c r="CC22" s="16">
        <v>20588</v>
      </c>
      <c r="CD22" s="16">
        <f t="shared" si="13"/>
        <v>0</v>
      </c>
      <c r="CE22" s="16">
        <v>0</v>
      </c>
      <c r="CF22" s="16">
        <v>0</v>
      </c>
      <c r="CG22" s="16">
        <v>0</v>
      </c>
      <c r="CH22" s="16">
        <v>0</v>
      </c>
      <c r="CI22" s="16">
        <v>0</v>
      </c>
      <c r="CJ22" s="16">
        <v>0</v>
      </c>
      <c r="CK22" s="16">
        <f t="shared" si="14"/>
        <v>0</v>
      </c>
      <c r="CL22" s="16">
        <v>0</v>
      </c>
      <c r="CM22" s="16">
        <v>0</v>
      </c>
      <c r="CN22" s="16">
        <v>0</v>
      </c>
      <c r="CO22" s="16">
        <v>0</v>
      </c>
      <c r="CP22" s="16">
        <v>0</v>
      </c>
      <c r="CQ22" s="16">
        <v>0</v>
      </c>
      <c r="CR22" s="16">
        <v>0</v>
      </c>
      <c r="CS22" s="16">
        <v>0</v>
      </c>
      <c r="CT22" s="16">
        <f t="shared" si="15"/>
        <v>0</v>
      </c>
      <c r="CU22" s="16">
        <f t="shared" si="16"/>
        <v>0</v>
      </c>
      <c r="CV22" s="16">
        <v>0</v>
      </c>
      <c r="CW22" s="17">
        <v>0</v>
      </c>
      <c r="CX22" s="40"/>
      <c r="CY22" s="40"/>
    </row>
    <row r="23" spans="1:103" ht="31.5" x14ac:dyDescent="0.25">
      <c r="A23" s="13" t="s">
        <v>3</v>
      </c>
      <c r="B23" s="14" t="s">
        <v>15</v>
      </c>
      <c r="C23" s="14" t="s">
        <v>1</v>
      </c>
      <c r="D23" s="30" t="s">
        <v>16</v>
      </c>
      <c r="E23" s="15">
        <f>SUM(E24:E39)</f>
        <v>86560752</v>
      </c>
      <c r="F23" s="16">
        <f t="shared" ref="F23:BS23" si="21">SUM(F24:F39)</f>
        <v>81312917</v>
      </c>
      <c r="G23" s="16">
        <f t="shared" si="21"/>
        <v>80766171</v>
      </c>
      <c r="H23" s="16">
        <f t="shared" si="21"/>
        <v>57771631</v>
      </c>
      <c r="I23" s="16">
        <f t="shared" si="21"/>
        <v>13047524</v>
      </c>
      <c r="J23" s="16">
        <f t="shared" si="21"/>
        <v>3378142</v>
      </c>
      <c r="K23" s="16">
        <f t="shared" si="21"/>
        <v>0</v>
      </c>
      <c r="L23" s="16">
        <f t="shared" si="21"/>
        <v>145393</v>
      </c>
      <c r="M23" s="16">
        <f t="shared" si="21"/>
        <v>0</v>
      </c>
      <c r="N23" s="16">
        <f t="shared" si="21"/>
        <v>0</v>
      </c>
      <c r="O23" s="16">
        <f t="shared" si="21"/>
        <v>2398812</v>
      </c>
      <c r="P23" s="16">
        <f t="shared" si="21"/>
        <v>833937</v>
      </c>
      <c r="Q23" s="16">
        <f t="shared" si="21"/>
        <v>1118720</v>
      </c>
      <c r="R23" s="16">
        <f t="shared" si="21"/>
        <v>15447</v>
      </c>
      <c r="S23" s="16">
        <f t="shared" si="21"/>
        <v>1103273</v>
      </c>
      <c r="T23" s="16">
        <f t="shared" si="21"/>
        <v>0</v>
      </c>
      <c r="U23" s="16">
        <f t="shared" si="21"/>
        <v>2030498</v>
      </c>
      <c r="V23" s="16">
        <f t="shared" si="21"/>
        <v>808918</v>
      </c>
      <c r="W23" s="16">
        <f t="shared" si="21"/>
        <v>126311</v>
      </c>
      <c r="X23" s="16">
        <f t="shared" si="21"/>
        <v>244742</v>
      </c>
      <c r="Y23" s="16">
        <f t="shared" si="21"/>
        <v>320961</v>
      </c>
      <c r="Z23" s="16">
        <f t="shared" si="21"/>
        <v>37834</v>
      </c>
      <c r="AA23" s="16">
        <f t="shared" si="21"/>
        <v>58205</v>
      </c>
      <c r="AB23" s="16">
        <f t="shared" si="21"/>
        <v>0</v>
      </c>
      <c r="AC23" s="16">
        <f t="shared" si="21"/>
        <v>0</v>
      </c>
      <c r="AD23" s="16">
        <f t="shared" ref="AD23" si="22">SUM(AD24:AD39)</f>
        <v>20865</v>
      </c>
      <c r="AE23" s="16">
        <f t="shared" si="21"/>
        <v>2610738</v>
      </c>
      <c r="AF23" s="16">
        <f t="shared" si="21"/>
        <v>0</v>
      </c>
      <c r="AG23" s="16">
        <f t="shared" si="21"/>
        <v>112930</v>
      </c>
      <c r="AH23" s="16">
        <f t="shared" si="21"/>
        <v>159835</v>
      </c>
      <c r="AI23" s="16">
        <f t="shared" si="21"/>
        <v>0</v>
      </c>
      <c r="AJ23" s="16">
        <f t="shared" si="21"/>
        <v>32233</v>
      </c>
      <c r="AK23" s="16">
        <f t="shared" si="21"/>
        <v>0</v>
      </c>
      <c r="AL23" s="16">
        <f t="shared" si="21"/>
        <v>525263</v>
      </c>
      <c r="AM23" s="16">
        <f t="shared" si="21"/>
        <v>205946</v>
      </c>
      <c r="AN23" s="16">
        <f t="shared" si="21"/>
        <v>409989</v>
      </c>
      <c r="AO23" s="16">
        <f t="shared" si="21"/>
        <v>113362</v>
      </c>
      <c r="AP23" s="16">
        <f>SUM(AP24:AP39)</f>
        <v>0</v>
      </c>
      <c r="AQ23" s="16">
        <f t="shared" si="21"/>
        <v>0</v>
      </c>
      <c r="AR23" s="16">
        <f t="shared" si="21"/>
        <v>436350</v>
      </c>
      <c r="AS23" s="16">
        <f t="shared" si="21"/>
        <v>41060</v>
      </c>
      <c r="AT23" s="16">
        <f t="shared" si="21"/>
        <v>0</v>
      </c>
      <c r="AU23" s="16">
        <f t="shared" si="21"/>
        <v>0</v>
      </c>
      <c r="AV23" s="16">
        <f t="shared" si="21"/>
        <v>0</v>
      </c>
      <c r="AW23" s="16">
        <f t="shared" si="21"/>
        <v>93469</v>
      </c>
      <c r="AX23" s="16">
        <f t="shared" si="21"/>
        <v>0</v>
      </c>
      <c r="AY23" s="16">
        <f t="shared" si="21"/>
        <v>0</v>
      </c>
      <c r="AZ23" s="16">
        <f t="shared" si="21"/>
        <v>480301</v>
      </c>
      <c r="BA23" s="16">
        <f t="shared" si="21"/>
        <v>546746</v>
      </c>
      <c r="BB23" s="16">
        <f t="shared" si="21"/>
        <v>0</v>
      </c>
      <c r="BC23" s="16">
        <f t="shared" si="21"/>
        <v>0</v>
      </c>
      <c r="BD23" s="16">
        <f t="shared" si="21"/>
        <v>0</v>
      </c>
      <c r="BE23" s="16">
        <f t="shared" si="21"/>
        <v>0</v>
      </c>
      <c r="BF23" s="16">
        <f t="shared" si="21"/>
        <v>0</v>
      </c>
      <c r="BG23" s="16">
        <f t="shared" si="21"/>
        <v>0</v>
      </c>
      <c r="BH23" s="16">
        <f t="shared" si="21"/>
        <v>0</v>
      </c>
      <c r="BI23" s="16">
        <f t="shared" si="21"/>
        <v>0</v>
      </c>
      <c r="BJ23" s="16">
        <f t="shared" si="21"/>
        <v>0</v>
      </c>
      <c r="BK23" s="16">
        <f t="shared" si="21"/>
        <v>0</v>
      </c>
      <c r="BL23" s="16">
        <f t="shared" si="21"/>
        <v>0</v>
      </c>
      <c r="BM23" s="16">
        <f t="shared" si="21"/>
        <v>546746</v>
      </c>
      <c r="BN23" s="16">
        <f t="shared" si="21"/>
        <v>0</v>
      </c>
      <c r="BO23" s="16">
        <f t="shared" si="21"/>
        <v>0</v>
      </c>
      <c r="BP23" s="16">
        <f t="shared" si="21"/>
        <v>0</v>
      </c>
      <c r="BQ23" s="16">
        <f t="shared" si="21"/>
        <v>0</v>
      </c>
      <c r="BR23" s="16">
        <f t="shared" si="21"/>
        <v>0</v>
      </c>
      <c r="BS23" s="16">
        <f t="shared" si="21"/>
        <v>0</v>
      </c>
      <c r="BT23" s="16">
        <f t="shared" ref="BT23:CW23" si="23">SUM(BT24:BT39)</f>
        <v>0</v>
      </c>
      <c r="BU23" s="16">
        <f t="shared" si="23"/>
        <v>0</v>
      </c>
      <c r="BV23" s="16">
        <f t="shared" si="23"/>
        <v>0</v>
      </c>
      <c r="BW23" s="16">
        <f t="shared" si="23"/>
        <v>546746</v>
      </c>
      <c r="BX23" s="16">
        <f t="shared" si="23"/>
        <v>0</v>
      </c>
      <c r="BY23" s="16">
        <f t="shared" si="23"/>
        <v>5247835</v>
      </c>
      <c r="BZ23" s="16">
        <f t="shared" si="23"/>
        <v>5247835</v>
      </c>
      <c r="CA23" s="16">
        <f t="shared" si="23"/>
        <v>1287835</v>
      </c>
      <c r="CB23" s="16">
        <f t="shared" si="23"/>
        <v>0</v>
      </c>
      <c r="CC23" s="16">
        <f t="shared" si="23"/>
        <v>1287835</v>
      </c>
      <c r="CD23" s="16">
        <f t="shared" si="23"/>
        <v>3960000</v>
      </c>
      <c r="CE23" s="16">
        <f t="shared" si="23"/>
        <v>0</v>
      </c>
      <c r="CF23" s="16">
        <f>SUM(CF24:CF39)</f>
        <v>0</v>
      </c>
      <c r="CG23" s="16">
        <f t="shared" si="23"/>
        <v>0</v>
      </c>
      <c r="CH23" s="16">
        <f t="shared" si="23"/>
        <v>3960000</v>
      </c>
      <c r="CI23" s="16">
        <f t="shared" si="23"/>
        <v>0</v>
      </c>
      <c r="CJ23" s="16">
        <f t="shared" ref="CJ23" si="24">SUM(CJ24:CJ39)</f>
        <v>0</v>
      </c>
      <c r="CK23" s="16">
        <f t="shared" si="23"/>
        <v>0</v>
      </c>
      <c r="CL23" s="16">
        <f t="shared" si="23"/>
        <v>0</v>
      </c>
      <c r="CM23" s="16">
        <f>SUM(CM24:CM39)</f>
        <v>0</v>
      </c>
      <c r="CN23" s="16">
        <f t="shared" si="23"/>
        <v>0</v>
      </c>
      <c r="CO23" s="16">
        <f t="shared" si="23"/>
        <v>0</v>
      </c>
      <c r="CP23" s="16">
        <f t="shared" si="23"/>
        <v>0</v>
      </c>
      <c r="CQ23" s="16">
        <f t="shared" si="23"/>
        <v>0</v>
      </c>
      <c r="CR23" s="16">
        <f t="shared" si="23"/>
        <v>0</v>
      </c>
      <c r="CS23" s="16">
        <f t="shared" si="23"/>
        <v>0</v>
      </c>
      <c r="CT23" s="16">
        <f t="shared" si="23"/>
        <v>0</v>
      </c>
      <c r="CU23" s="16">
        <f t="shared" si="23"/>
        <v>0</v>
      </c>
      <c r="CV23" s="16">
        <f t="shared" si="23"/>
        <v>0</v>
      </c>
      <c r="CW23" s="17">
        <f t="shared" si="23"/>
        <v>0</v>
      </c>
      <c r="CX23" s="40"/>
      <c r="CY23" s="40"/>
    </row>
    <row r="24" spans="1:103" ht="31.5" x14ac:dyDescent="0.25">
      <c r="A24" s="13" t="s">
        <v>1</v>
      </c>
      <c r="B24" s="14" t="s">
        <v>1</v>
      </c>
      <c r="C24" s="14" t="s">
        <v>17</v>
      </c>
      <c r="D24" s="30" t="s">
        <v>18</v>
      </c>
      <c r="E24" s="15">
        <f t="shared" ref="E24:E39" si="25">SUM(F24+BY24+CT24)</f>
        <v>15171431</v>
      </c>
      <c r="F24" s="16">
        <f t="shared" ref="F24:F39" si="26">SUM(G24+BA24)</f>
        <v>14961919</v>
      </c>
      <c r="G24" s="16">
        <f t="shared" ref="G24:G39" si="27">SUM(H24+I24+J24+Q24+T24+U24+V24+AE24)</f>
        <v>14937381</v>
      </c>
      <c r="H24" s="16">
        <f>10618629-40230</f>
        <v>10578399</v>
      </c>
      <c r="I24" s="16">
        <f>2500339-10058</f>
        <v>2490281</v>
      </c>
      <c r="J24" s="16">
        <f t="shared" si="7"/>
        <v>686643</v>
      </c>
      <c r="K24" s="16">
        <v>0</v>
      </c>
      <c r="L24" s="16">
        <v>0</v>
      </c>
      <c r="M24" s="16">
        <v>0</v>
      </c>
      <c r="N24" s="16">
        <v>0</v>
      </c>
      <c r="O24" s="16">
        <v>567038</v>
      </c>
      <c r="P24" s="16">
        <f>121755-2150</f>
        <v>119605</v>
      </c>
      <c r="Q24" s="16">
        <f t="shared" si="8"/>
        <v>129260</v>
      </c>
      <c r="R24" s="16">
        <v>0</v>
      </c>
      <c r="S24" s="16">
        <v>129260</v>
      </c>
      <c r="T24" s="16">
        <v>0</v>
      </c>
      <c r="U24" s="16">
        <v>358366</v>
      </c>
      <c r="V24" s="16">
        <f t="shared" ref="V24:V39" si="28">SUM(W24:AD24)</f>
        <v>200188</v>
      </c>
      <c r="W24" s="16">
        <v>9330</v>
      </c>
      <c r="X24" s="16">
        <v>48559</v>
      </c>
      <c r="Y24" s="16">
        <v>110760</v>
      </c>
      <c r="Z24" s="16">
        <v>9104</v>
      </c>
      <c r="AA24" s="16">
        <v>12913</v>
      </c>
      <c r="AB24" s="16">
        <v>0</v>
      </c>
      <c r="AC24" s="16">
        <v>0</v>
      </c>
      <c r="AD24" s="16">
        <v>9522</v>
      </c>
      <c r="AE24" s="16">
        <f t="shared" ref="AE24:AE39" si="29">SUM(AF24:AZ24)</f>
        <v>494244</v>
      </c>
      <c r="AF24" s="16">
        <v>0</v>
      </c>
      <c r="AG24" s="16">
        <v>21659</v>
      </c>
      <c r="AH24" s="16">
        <v>20105</v>
      </c>
      <c r="AI24" s="16">
        <v>0</v>
      </c>
      <c r="AJ24" s="16">
        <v>1591</v>
      </c>
      <c r="AK24" s="16">
        <v>0</v>
      </c>
      <c r="AL24" s="16">
        <v>53093</v>
      </c>
      <c r="AM24" s="16">
        <v>45000</v>
      </c>
      <c r="AN24" s="16">
        <v>45674</v>
      </c>
      <c r="AO24" s="16">
        <v>0</v>
      </c>
      <c r="AP24" s="16">
        <v>0</v>
      </c>
      <c r="AQ24" s="16">
        <v>0</v>
      </c>
      <c r="AR24" s="16">
        <v>182054</v>
      </c>
      <c r="AS24" s="16">
        <v>10600</v>
      </c>
      <c r="AT24" s="16">
        <v>0</v>
      </c>
      <c r="AU24" s="16">
        <v>0</v>
      </c>
      <c r="AV24" s="16">
        <v>0</v>
      </c>
      <c r="AW24" s="16">
        <v>0</v>
      </c>
      <c r="AX24" s="16">
        <v>0</v>
      </c>
      <c r="AY24" s="16">
        <v>0</v>
      </c>
      <c r="AZ24" s="16">
        <f>114611-143</f>
        <v>114468</v>
      </c>
      <c r="BA24" s="16">
        <f t="shared" ref="BA24:BA39" si="30">SUM(BB24+BF24+BI24+BK24+BM24)</f>
        <v>24538</v>
      </c>
      <c r="BB24" s="16">
        <f t="shared" ref="BB24:BB39" si="31">SUM(BC24:BE24)</f>
        <v>0</v>
      </c>
      <c r="BC24" s="16">
        <v>0</v>
      </c>
      <c r="BD24" s="16">
        <v>0</v>
      </c>
      <c r="BE24" s="16">
        <v>0</v>
      </c>
      <c r="BF24" s="16">
        <f t="shared" si="9"/>
        <v>0</v>
      </c>
      <c r="BG24" s="16">
        <v>0</v>
      </c>
      <c r="BH24" s="16">
        <v>0</v>
      </c>
      <c r="BI24" s="16">
        <v>0</v>
      </c>
      <c r="BJ24" s="16">
        <v>0</v>
      </c>
      <c r="BK24" s="16">
        <f t="shared" si="10"/>
        <v>0</v>
      </c>
      <c r="BL24" s="16">
        <v>0</v>
      </c>
      <c r="BM24" s="16">
        <f t="shared" si="11"/>
        <v>24538</v>
      </c>
      <c r="BN24" s="16">
        <v>0</v>
      </c>
      <c r="BO24" s="16">
        <v>0</v>
      </c>
      <c r="BP24" s="16">
        <v>0</v>
      </c>
      <c r="BQ24" s="16">
        <v>0</v>
      </c>
      <c r="BR24" s="16">
        <v>0</v>
      </c>
      <c r="BS24" s="16">
        <v>0</v>
      </c>
      <c r="BT24" s="16">
        <v>0</v>
      </c>
      <c r="BU24" s="16">
        <v>0</v>
      </c>
      <c r="BV24" s="16">
        <v>0</v>
      </c>
      <c r="BW24" s="16">
        <v>24538</v>
      </c>
      <c r="BX24" s="16">
        <v>0</v>
      </c>
      <c r="BY24" s="16">
        <f t="shared" ref="BY24:BY39" si="32">SUM(BZ24+CS24)</f>
        <v>209512</v>
      </c>
      <c r="BZ24" s="16">
        <f t="shared" ref="BZ24:BZ39" si="33">SUM(CA24+CD24+CK24)</f>
        <v>209512</v>
      </c>
      <c r="CA24" s="16">
        <f t="shared" si="12"/>
        <v>209512</v>
      </c>
      <c r="CB24" s="16">
        <v>0</v>
      </c>
      <c r="CC24" s="16">
        <f>212373-2861</f>
        <v>209512</v>
      </c>
      <c r="CD24" s="16">
        <f t="shared" si="13"/>
        <v>0</v>
      </c>
      <c r="CE24" s="16">
        <v>0</v>
      </c>
      <c r="CF24" s="16">
        <v>0</v>
      </c>
      <c r="CG24" s="16">
        <v>0</v>
      </c>
      <c r="CH24" s="16">
        <v>0</v>
      </c>
      <c r="CI24" s="16">
        <v>0</v>
      </c>
      <c r="CJ24" s="16">
        <v>0</v>
      </c>
      <c r="CK24" s="16">
        <f t="shared" si="14"/>
        <v>0</v>
      </c>
      <c r="CL24" s="16">
        <v>0</v>
      </c>
      <c r="CM24" s="16">
        <v>0</v>
      </c>
      <c r="CN24" s="16">
        <v>0</v>
      </c>
      <c r="CO24" s="16">
        <v>0</v>
      </c>
      <c r="CP24" s="16">
        <v>0</v>
      </c>
      <c r="CQ24" s="16">
        <v>0</v>
      </c>
      <c r="CR24" s="16">
        <v>0</v>
      </c>
      <c r="CS24" s="16">
        <v>0</v>
      </c>
      <c r="CT24" s="16">
        <f t="shared" si="15"/>
        <v>0</v>
      </c>
      <c r="CU24" s="16">
        <f t="shared" si="16"/>
        <v>0</v>
      </c>
      <c r="CV24" s="16">
        <v>0</v>
      </c>
      <c r="CW24" s="17">
        <v>0</v>
      </c>
      <c r="CX24" s="40"/>
      <c r="CY24" s="40"/>
    </row>
    <row r="25" spans="1:103" ht="31.5" x14ac:dyDescent="0.25">
      <c r="A25" s="13" t="s">
        <v>1</v>
      </c>
      <c r="B25" s="14" t="s">
        <v>1</v>
      </c>
      <c r="C25" s="14" t="s">
        <v>19</v>
      </c>
      <c r="D25" s="30" t="s">
        <v>20</v>
      </c>
      <c r="E25" s="15">
        <f t="shared" si="25"/>
        <v>5914007</v>
      </c>
      <c r="F25" s="16">
        <f t="shared" si="26"/>
        <v>5831189</v>
      </c>
      <c r="G25" s="16">
        <f t="shared" si="27"/>
        <v>5823904</v>
      </c>
      <c r="H25" s="16">
        <v>4140900</v>
      </c>
      <c r="I25" s="16">
        <v>1035760</v>
      </c>
      <c r="J25" s="16">
        <f t="shared" si="7"/>
        <v>176297</v>
      </c>
      <c r="K25" s="16">
        <v>0</v>
      </c>
      <c r="L25" s="16">
        <v>0</v>
      </c>
      <c r="M25" s="16">
        <v>0</v>
      </c>
      <c r="N25" s="16">
        <v>0</v>
      </c>
      <c r="O25" s="16">
        <v>124124</v>
      </c>
      <c r="P25" s="16">
        <f>52173</f>
        <v>52173</v>
      </c>
      <c r="Q25" s="16">
        <f t="shared" si="8"/>
        <v>45926</v>
      </c>
      <c r="R25" s="16">
        <v>0</v>
      </c>
      <c r="S25" s="16">
        <v>45926</v>
      </c>
      <c r="T25" s="16">
        <v>0</v>
      </c>
      <c r="U25" s="16">
        <v>144803</v>
      </c>
      <c r="V25" s="16">
        <f t="shared" si="28"/>
        <v>23778</v>
      </c>
      <c r="W25" s="16">
        <v>0</v>
      </c>
      <c r="X25" s="16">
        <v>10648</v>
      </c>
      <c r="Y25" s="16">
        <v>9433</v>
      </c>
      <c r="Z25" s="16">
        <v>1338</v>
      </c>
      <c r="AA25" s="16">
        <v>2359</v>
      </c>
      <c r="AB25" s="16">
        <v>0</v>
      </c>
      <c r="AC25" s="16">
        <v>0</v>
      </c>
      <c r="AD25" s="16">
        <v>0</v>
      </c>
      <c r="AE25" s="16">
        <f t="shared" si="29"/>
        <v>256440</v>
      </c>
      <c r="AF25" s="16">
        <v>0</v>
      </c>
      <c r="AG25" s="16">
        <v>1877</v>
      </c>
      <c r="AH25" s="16">
        <v>4919</v>
      </c>
      <c r="AI25" s="16">
        <v>0</v>
      </c>
      <c r="AJ25" s="16">
        <v>9925</v>
      </c>
      <c r="AK25" s="16">
        <v>0</v>
      </c>
      <c r="AL25" s="16">
        <v>41409</v>
      </c>
      <c r="AM25" s="16">
        <v>11782</v>
      </c>
      <c r="AN25" s="16">
        <v>14550</v>
      </c>
      <c r="AO25" s="16">
        <v>113362</v>
      </c>
      <c r="AP25" s="16"/>
      <c r="AQ25" s="16">
        <v>0</v>
      </c>
      <c r="AR25" s="16">
        <v>30733</v>
      </c>
      <c r="AS25" s="16">
        <v>24000</v>
      </c>
      <c r="AT25" s="16">
        <v>0</v>
      </c>
      <c r="AU25" s="16">
        <v>0</v>
      </c>
      <c r="AV25" s="16">
        <v>0</v>
      </c>
      <c r="AW25" s="16">
        <v>0</v>
      </c>
      <c r="AX25" s="16">
        <v>0</v>
      </c>
      <c r="AY25" s="16"/>
      <c r="AZ25" s="16">
        <f>3883</f>
        <v>3883</v>
      </c>
      <c r="BA25" s="16">
        <f t="shared" si="30"/>
        <v>7285</v>
      </c>
      <c r="BB25" s="16">
        <f t="shared" si="31"/>
        <v>0</v>
      </c>
      <c r="BC25" s="16">
        <v>0</v>
      </c>
      <c r="BD25" s="16">
        <v>0</v>
      </c>
      <c r="BE25" s="16">
        <v>0</v>
      </c>
      <c r="BF25" s="16">
        <f t="shared" si="9"/>
        <v>0</v>
      </c>
      <c r="BG25" s="16">
        <v>0</v>
      </c>
      <c r="BH25" s="16">
        <v>0</v>
      </c>
      <c r="BI25" s="16">
        <v>0</v>
      </c>
      <c r="BJ25" s="16">
        <v>0</v>
      </c>
      <c r="BK25" s="16">
        <f t="shared" si="10"/>
        <v>0</v>
      </c>
      <c r="BL25" s="16">
        <v>0</v>
      </c>
      <c r="BM25" s="16">
        <f t="shared" si="11"/>
        <v>7285</v>
      </c>
      <c r="BN25" s="16">
        <v>0</v>
      </c>
      <c r="BO25" s="16">
        <v>0</v>
      </c>
      <c r="BP25" s="16">
        <v>0</v>
      </c>
      <c r="BQ25" s="16">
        <v>0</v>
      </c>
      <c r="BR25" s="16">
        <v>0</v>
      </c>
      <c r="BS25" s="16">
        <v>0</v>
      </c>
      <c r="BT25" s="16">
        <v>0</v>
      </c>
      <c r="BU25" s="16">
        <v>0</v>
      </c>
      <c r="BV25" s="16">
        <v>0</v>
      </c>
      <c r="BW25" s="16">
        <v>7285</v>
      </c>
      <c r="BX25" s="16">
        <v>0</v>
      </c>
      <c r="BY25" s="16">
        <f t="shared" si="32"/>
        <v>82818</v>
      </c>
      <c r="BZ25" s="16">
        <f t="shared" si="33"/>
        <v>82818</v>
      </c>
      <c r="CA25" s="16">
        <f t="shared" si="12"/>
        <v>82818</v>
      </c>
      <c r="CB25" s="16">
        <v>0</v>
      </c>
      <c r="CC25" s="16">
        <f>82818</f>
        <v>82818</v>
      </c>
      <c r="CD25" s="16">
        <f t="shared" si="13"/>
        <v>0</v>
      </c>
      <c r="CE25" s="16">
        <v>0</v>
      </c>
      <c r="CF25" s="16">
        <v>0</v>
      </c>
      <c r="CG25" s="16">
        <v>0</v>
      </c>
      <c r="CH25" s="16">
        <v>0</v>
      </c>
      <c r="CI25" s="16">
        <v>0</v>
      </c>
      <c r="CJ25" s="16">
        <v>0</v>
      </c>
      <c r="CK25" s="16">
        <f t="shared" si="14"/>
        <v>0</v>
      </c>
      <c r="CL25" s="16">
        <v>0</v>
      </c>
      <c r="CM25" s="16">
        <v>0</v>
      </c>
      <c r="CN25" s="16">
        <v>0</v>
      </c>
      <c r="CO25" s="16">
        <v>0</v>
      </c>
      <c r="CP25" s="16">
        <v>0</v>
      </c>
      <c r="CQ25" s="16"/>
      <c r="CR25" s="16"/>
      <c r="CS25" s="16">
        <v>0</v>
      </c>
      <c r="CT25" s="16">
        <f t="shared" si="15"/>
        <v>0</v>
      </c>
      <c r="CU25" s="16">
        <f t="shared" si="16"/>
        <v>0</v>
      </c>
      <c r="CV25" s="16">
        <v>0</v>
      </c>
      <c r="CW25" s="17">
        <v>0</v>
      </c>
      <c r="CX25" s="40"/>
      <c r="CY25" s="40"/>
    </row>
    <row r="26" spans="1:103" ht="18" customHeight="1" x14ac:dyDescent="0.25">
      <c r="A26" s="13" t="s">
        <v>1</v>
      </c>
      <c r="B26" s="14" t="s">
        <v>1</v>
      </c>
      <c r="C26" s="14" t="s">
        <v>21</v>
      </c>
      <c r="D26" s="30" t="s">
        <v>22</v>
      </c>
      <c r="E26" s="15">
        <f t="shared" si="25"/>
        <v>7359591</v>
      </c>
      <c r="F26" s="16">
        <f t="shared" si="26"/>
        <v>7109591</v>
      </c>
      <c r="G26" s="16">
        <f t="shared" si="27"/>
        <v>7103840</v>
      </c>
      <c r="H26" s="16">
        <f>5294006+10000</f>
        <v>5304006</v>
      </c>
      <c r="I26" s="16">
        <v>1256226</v>
      </c>
      <c r="J26" s="16">
        <f t="shared" si="7"/>
        <v>74654</v>
      </c>
      <c r="K26" s="16">
        <v>0</v>
      </c>
      <c r="L26" s="16">
        <v>0</v>
      </c>
      <c r="M26" s="16">
        <v>0</v>
      </c>
      <c r="N26" s="16">
        <v>0</v>
      </c>
      <c r="O26" s="16">
        <v>68809</v>
      </c>
      <c r="P26" s="16">
        <v>5845</v>
      </c>
      <c r="Q26" s="16">
        <f t="shared" si="8"/>
        <v>31830</v>
      </c>
      <c r="R26" s="16">
        <v>0</v>
      </c>
      <c r="S26" s="16">
        <v>31830</v>
      </c>
      <c r="T26" s="16">
        <v>0</v>
      </c>
      <c r="U26" s="16">
        <v>110689</v>
      </c>
      <c r="V26" s="16">
        <f t="shared" si="28"/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f t="shared" si="29"/>
        <v>326435</v>
      </c>
      <c r="AF26" s="16">
        <v>0</v>
      </c>
      <c r="AG26" s="16">
        <v>0</v>
      </c>
      <c r="AH26" s="16">
        <v>11428</v>
      </c>
      <c r="AI26" s="16">
        <v>0</v>
      </c>
      <c r="AJ26" s="16">
        <v>1591</v>
      </c>
      <c r="AK26" s="16">
        <v>0</v>
      </c>
      <c r="AL26" s="16">
        <v>52940</v>
      </c>
      <c r="AM26" s="16">
        <v>0</v>
      </c>
      <c r="AN26" s="16">
        <v>10476</v>
      </c>
      <c r="AO26" s="16">
        <v>0</v>
      </c>
      <c r="AP26" s="16">
        <v>0</v>
      </c>
      <c r="AQ26" s="16">
        <v>0</v>
      </c>
      <c r="AR26" s="16">
        <v>0</v>
      </c>
      <c r="AS26" s="16">
        <v>0</v>
      </c>
      <c r="AT26" s="16">
        <v>0</v>
      </c>
      <c r="AU26" s="16">
        <v>0</v>
      </c>
      <c r="AV26" s="16">
        <v>0</v>
      </c>
      <c r="AW26" s="16">
        <v>0</v>
      </c>
      <c r="AX26" s="16">
        <v>0</v>
      </c>
      <c r="AY26" s="16">
        <v>0</v>
      </c>
      <c r="AZ26" s="16">
        <v>250000</v>
      </c>
      <c r="BA26" s="16">
        <f t="shared" si="30"/>
        <v>5751</v>
      </c>
      <c r="BB26" s="16">
        <f t="shared" si="31"/>
        <v>0</v>
      </c>
      <c r="BC26" s="16">
        <v>0</v>
      </c>
      <c r="BD26" s="16">
        <v>0</v>
      </c>
      <c r="BE26" s="16">
        <v>0</v>
      </c>
      <c r="BF26" s="16">
        <f t="shared" si="9"/>
        <v>0</v>
      </c>
      <c r="BG26" s="16">
        <v>0</v>
      </c>
      <c r="BH26" s="16">
        <v>0</v>
      </c>
      <c r="BI26" s="16">
        <v>0</v>
      </c>
      <c r="BJ26" s="16">
        <v>0</v>
      </c>
      <c r="BK26" s="16">
        <f t="shared" si="10"/>
        <v>0</v>
      </c>
      <c r="BL26" s="16">
        <v>0</v>
      </c>
      <c r="BM26" s="16">
        <f t="shared" si="11"/>
        <v>5751</v>
      </c>
      <c r="BN26" s="16">
        <v>0</v>
      </c>
      <c r="BO26" s="16">
        <v>0</v>
      </c>
      <c r="BP26" s="16">
        <v>0</v>
      </c>
      <c r="BQ26" s="16">
        <v>0</v>
      </c>
      <c r="BR26" s="16">
        <v>0</v>
      </c>
      <c r="BS26" s="16">
        <v>0</v>
      </c>
      <c r="BT26" s="16">
        <v>0</v>
      </c>
      <c r="BU26" s="16">
        <v>0</v>
      </c>
      <c r="BV26" s="16">
        <v>0</v>
      </c>
      <c r="BW26" s="16">
        <v>5751</v>
      </c>
      <c r="BX26" s="16">
        <v>0</v>
      </c>
      <c r="BY26" s="16">
        <f t="shared" si="32"/>
        <v>250000</v>
      </c>
      <c r="BZ26" s="16">
        <f t="shared" si="33"/>
        <v>250000</v>
      </c>
      <c r="CA26" s="16">
        <f t="shared" si="12"/>
        <v>250000</v>
      </c>
      <c r="CB26" s="16">
        <v>0</v>
      </c>
      <c r="CC26" s="16">
        <v>250000</v>
      </c>
      <c r="CD26" s="16">
        <f t="shared" si="13"/>
        <v>0</v>
      </c>
      <c r="CE26" s="16">
        <v>0</v>
      </c>
      <c r="CF26" s="16">
        <v>0</v>
      </c>
      <c r="CG26" s="16">
        <v>0</v>
      </c>
      <c r="CH26" s="16">
        <v>0</v>
      </c>
      <c r="CI26" s="16">
        <v>0</v>
      </c>
      <c r="CJ26" s="16">
        <v>0</v>
      </c>
      <c r="CK26" s="16">
        <f t="shared" si="14"/>
        <v>0</v>
      </c>
      <c r="CL26" s="16">
        <v>0</v>
      </c>
      <c r="CM26" s="16">
        <v>0</v>
      </c>
      <c r="CN26" s="16">
        <v>0</v>
      </c>
      <c r="CO26" s="16">
        <v>0</v>
      </c>
      <c r="CP26" s="16">
        <v>0</v>
      </c>
      <c r="CQ26" s="16">
        <v>0</v>
      </c>
      <c r="CR26" s="16">
        <v>0</v>
      </c>
      <c r="CS26" s="16">
        <v>0</v>
      </c>
      <c r="CT26" s="16">
        <f t="shared" si="15"/>
        <v>0</v>
      </c>
      <c r="CU26" s="16">
        <f t="shared" si="16"/>
        <v>0</v>
      </c>
      <c r="CV26" s="16">
        <v>0</v>
      </c>
      <c r="CW26" s="17">
        <v>0</v>
      </c>
      <c r="CX26" s="40"/>
      <c r="CY26" s="40"/>
    </row>
    <row r="27" spans="1:103" ht="15.75" x14ac:dyDescent="0.25">
      <c r="A27" s="13" t="s">
        <v>1</v>
      </c>
      <c r="B27" s="14" t="s">
        <v>1</v>
      </c>
      <c r="C27" s="14" t="s">
        <v>23</v>
      </c>
      <c r="D27" s="30" t="s">
        <v>24</v>
      </c>
      <c r="E27" s="15">
        <f t="shared" si="25"/>
        <v>4431887</v>
      </c>
      <c r="F27" s="16">
        <f t="shared" si="26"/>
        <v>4373476</v>
      </c>
      <c r="G27" s="16">
        <f t="shared" si="27"/>
        <v>4369642</v>
      </c>
      <c r="H27" s="16">
        <f>2920544-29959+349824</f>
        <v>3240409</v>
      </c>
      <c r="I27" s="16">
        <f>696986-7106+82971</f>
        <v>772851</v>
      </c>
      <c r="J27" s="16">
        <f t="shared" si="7"/>
        <v>127804</v>
      </c>
      <c r="K27" s="16">
        <v>0</v>
      </c>
      <c r="L27" s="16">
        <v>0</v>
      </c>
      <c r="M27" s="16">
        <v>0</v>
      </c>
      <c r="N27" s="16">
        <v>0</v>
      </c>
      <c r="O27" s="16">
        <v>117440</v>
      </c>
      <c r="P27" s="16">
        <v>10364</v>
      </c>
      <c r="Q27" s="16">
        <f t="shared" si="8"/>
        <v>50232</v>
      </c>
      <c r="R27" s="16">
        <v>0</v>
      </c>
      <c r="S27" s="16">
        <v>50232</v>
      </c>
      <c r="T27" s="16">
        <v>0</v>
      </c>
      <c r="U27" s="16">
        <v>55073</v>
      </c>
      <c r="V27" s="16">
        <f t="shared" si="28"/>
        <v>67616</v>
      </c>
      <c r="W27" s="16">
        <v>0</v>
      </c>
      <c r="X27" s="16">
        <v>48800</v>
      </c>
      <c r="Y27" s="16">
        <v>13507</v>
      </c>
      <c r="Z27" s="16">
        <v>2048</v>
      </c>
      <c r="AA27" s="16">
        <v>3261</v>
      </c>
      <c r="AB27" s="16">
        <v>0</v>
      </c>
      <c r="AC27" s="16">
        <v>0</v>
      </c>
      <c r="AD27" s="16">
        <v>0</v>
      </c>
      <c r="AE27" s="16">
        <f t="shared" si="29"/>
        <v>55657</v>
      </c>
      <c r="AF27" s="16">
        <v>0</v>
      </c>
      <c r="AG27" s="16">
        <v>690</v>
      </c>
      <c r="AH27" s="16">
        <v>8680</v>
      </c>
      <c r="AI27" s="16">
        <v>0</v>
      </c>
      <c r="AJ27" s="16">
        <v>1591</v>
      </c>
      <c r="AK27" s="16">
        <v>0</v>
      </c>
      <c r="AL27" s="16">
        <v>29205</v>
      </c>
      <c r="AM27" s="16">
        <v>0</v>
      </c>
      <c r="AN27" s="16">
        <v>13386</v>
      </c>
      <c r="AO27" s="16">
        <v>0</v>
      </c>
      <c r="AP27" s="16">
        <v>0</v>
      </c>
      <c r="AQ27" s="16">
        <v>0</v>
      </c>
      <c r="AR27" s="16">
        <v>0</v>
      </c>
      <c r="AS27" s="16">
        <v>0</v>
      </c>
      <c r="AT27" s="16">
        <v>0</v>
      </c>
      <c r="AU27" s="16">
        <v>0</v>
      </c>
      <c r="AV27" s="16">
        <v>0</v>
      </c>
      <c r="AW27" s="16">
        <v>0</v>
      </c>
      <c r="AX27" s="16">
        <v>0</v>
      </c>
      <c r="AY27" s="16">
        <v>0</v>
      </c>
      <c r="AZ27" s="16">
        <v>2105</v>
      </c>
      <c r="BA27" s="16">
        <f t="shared" si="30"/>
        <v>3834</v>
      </c>
      <c r="BB27" s="16">
        <f t="shared" si="31"/>
        <v>0</v>
      </c>
      <c r="BC27" s="16">
        <v>0</v>
      </c>
      <c r="BD27" s="16">
        <v>0</v>
      </c>
      <c r="BE27" s="16">
        <v>0</v>
      </c>
      <c r="BF27" s="16">
        <f t="shared" si="9"/>
        <v>0</v>
      </c>
      <c r="BG27" s="16">
        <v>0</v>
      </c>
      <c r="BH27" s="16">
        <v>0</v>
      </c>
      <c r="BI27" s="16">
        <v>0</v>
      </c>
      <c r="BJ27" s="16">
        <v>0</v>
      </c>
      <c r="BK27" s="16">
        <f t="shared" si="10"/>
        <v>0</v>
      </c>
      <c r="BL27" s="16">
        <v>0</v>
      </c>
      <c r="BM27" s="16">
        <f t="shared" si="11"/>
        <v>3834</v>
      </c>
      <c r="BN27" s="16">
        <v>0</v>
      </c>
      <c r="BO27" s="16">
        <v>0</v>
      </c>
      <c r="BP27" s="16">
        <v>0</v>
      </c>
      <c r="BQ27" s="16">
        <v>0</v>
      </c>
      <c r="BR27" s="16">
        <v>0</v>
      </c>
      <c r="BS27" s="16">
        <v>0</v>
      </c>
      <c r="BT27" s="16">
        <v>0</v>
      </c>
      <c r="BU27" s="16">
        <v>0</v>
      </c>
      <c r="BV27" s="16">
        <v>0</v>
      </c>
      <c r="BW27" s="16">
        <v>3834</v>
      </c>
      <c r="BX27" s="16">
        <v>0</v>
      </c>
      <c r="BY27" s="16">
        <f t="shared" si="32"/>
        <v>58411</v>
      </c>
      <c r="BZ27" s="16">
        <f t="shared" si="33"/>
        <v>58411</v>
      </c>
      <c r="CA27" s="16">
        <f t="shared" si="12"/>
        <v>58411</v>
      </c>
      <c r="CB27" s="16">
        <v>0</v>
      </c>
      <c r="CC27" s="16">
        <v>58411</v>
      </c>
      <c r="CD27" s="16">
        <f t="shared" si="13"/>
        <v>0</v>
      </c>
      <c r="CE27" s="16">
        <v>0</v>
      </c>
      <c r="CF27" s="16">
        <v>0</v>
      </c>
      <c r="CG27" s="16">
        <v>0</v>
      </c>
      <c r="CH27" s="16">
        <v>0</v>
      </c>
      <c r="CI27" s="16">
        <v>0</v>
      </c>
      <c r="CJ27" s="16">
        <v>0</v>
      </c>
      <c r="CK27" s="16">
        <f t="shared" si="14"/>
        <v>0</v>
      </c>
      <c r="CL27" s="16">
        <v>0</v>
      </c>
      <c r="CM27" s="16">
        <v>0</v>
      </c>
      <c r="CN27" s="16">
        <v>0</v>
      </c>
      <c r="CO27" s="16">
        <v>0</v>
      </c>
      <c r="CP27" s="16">
        <v>0</v>
      </c>
      <c r="CQ27" s="16">
        <v>0</v>
      </c>
      <c r="CR27" s="16">
        <v>0</v>
      </c>
      <c r="CS27" s="16">
        <v>0</v>
      </c>
      <c r="CT27" s="16">
        <f t="shared" si="15"/>
        <v>0</v>
      </c>
      <c r="CU27" s="16">
        <f t="shared" si="16"/>
        <v>0</v>
      </c>
      <c r="CV27" s="16">
        <v>0</v>
      </c>
      <c r="CW27" s="17">
        <v>0</v>
      </c>
      <c r="CX27" s="40"/>
      <c r="CY27" s="40"/>
    </row>
    <row r="28" spans="1:103" ht="15.75" x14ac:dyDescent="0.25">
      <c r="A28" s="13" t="s">
        <v>1</v>
      </c>
      <c r="B28" s="14" t="s">
        <v>1</v>
      </c>
      <c r="C28" s="14" t="s">
        <v>25</v>
      </c>
      <c r="D28" s="30" t="s">
        <v>26</v>
      </c>
      <c r="E28" s="15">
        <f t="shared" si="25"/>
        <v>5063393</v>
      </c>
      <c r="F28" s="16">
        <f t="shared" si="26"/>
        <v>4983536</v>
      </c>
      <c r="G28" s="16">
        <f t="shared" si="27"/>
        <v>4976251</v>
      </c>
      <c r="H28" s="16">
        <v>3634112</v>
      </c>
      <c r="I28" s="16">
        <v>746860</v>
      </c>
      <c r="J28" s="16">
        <f t="shared" si="7"/>
        <v>250153</v>
      </c>
      <c r="K28" s="16">
        <v>0</v>
      </c>
      <c r="L28" s="16">
        <v>18838</v>
      </c>
      <c r="M28" s="16">
        <v>0</v>
      </c>
      <c r="N28" s="16">
        <v>0</v>
      </c>
      <c r="O28" s="16">
        <v>177504</v>
      </c>
      <c r="P28" s="16">
        <v>53811</v>
      </c>
      <c r="Q28" s="16">
        <f t="shared" si="8"/>
        <v>9295</v>
      </c>
      <c r="R28" s="16">
        <v>0</v>
      </c>
      <c r="S28" s="16">
        <v>9295</v>
      </c>
      <c r="T28" s="16">
        <v>0</v>
      </c>
      <c r="U28" s="16">
        <v>178501</v>
      </c>
      <c r="V28" s="16">
        <f t="shared" si="28"/>
        <v>46577</v>
      </c>
      <c r="W28" s="16">
        <v>6178</v>
      </c>
      <c r="X28" s="16">
        <v>11405</v>
      </c>
      <c r="Y28" s="16">
        <v>20174</v>
      </c>
      <c r="Z28" s="16">
        <v>4074</v>
      </c>
      <c r="AA28" s="16">
        <v>2508</v>
      </c>
      <c r="AB28" s="16">
        <v>0</v>
      </c>
      <c r="AC28" s="16">
        <v>0</v>
      </c>
      <c r="AD28" s="16">
        <v>2238</v>
      </c>
      <c r="AE28" s="16">
        <f t="shared" si="29"/>
        <v>110753</v>
      </c>
      <c r="AF28" s="16">
        <v>0</v>
      </c>
      <c r="AG28" s="16">
        <v>7411</v>
      </c>
      <c r="AH28" s="16">
        <v>13849</v>
      </c>
      <c r="AI28" s="16">
        <v>0</v>
      </c>
      <c r="AJ28" s="16">
        <v>1591</v>
      </c>
      <c r="AK28" s="16">
        <v>0</v>
      </c>
      <c r="AL28" s="16">
        <v>39929</v>
      </c>
      <c r="AM28" s="16">
        <v>5405</v>
      </c>
      <c r="AN28" s="16">
        <v>25026</v>
      </c>
      <c r="AO28" s="16">
        <v>0</v>
      </c>
      <c r="AP28" s="16">
        <v>0</v>
      </c>
      <c r="AQ28" s="16">
        <v>0</v>
      </c>
      <c r="AR28" s="16">
        <v>0</v>
      </c>
      <c r="AS28" s="16">
        <v>0</v>
      </c>
      <c r="AT28" s="16">
        <v>0</v>
      </c>
      <c r="AU28" s="16">
        <v>0</v>
      </c>
      <c r="AV28" s="16">
        <v>0</v>
      </c>
      <c r="AW28" s="16">
        <v>0</v>
      </c>
      <c r="AX28" s="16">
        <v>0</v>
      </c>
      <c r="AY28" s="16">
        <v>0</v>
      </c>
      <c r="AZ28" s="16">
        <v>17542</v>
      </c>
      <c r="BA28" s="16">
        <f t="shared" si="30"/>
        <v>7285</v>
      </c>
      <c r="BB28" s="16">
        <f t="shared" si="31"/>
        <v>0</v>
      </c>
      <c r="BC28" s="16">
        <v>0</v>
      </c>
      <c r="BD28" s="16">
        <v>0</v>
      </c>
      <c r="BE28" s="16">
        <v>0</v>
      </c>
      <c r="BF28" s="16">
        <f t="shared" si="9"/>
        <v>0</v>
      </c>
      <c r="BG28" s="16">
        <v>0</v>
      </c>
      <c r="BH28" s="16">
        <v>0</v>
      </c>
      <c r="BI28" s="16">
        <v>0</v>
      </c>
      <c r="BJ28" s="16">
        <v>0</v>
      </c>
      <c r="BK28" s="16">
        <f t="shared" si="10"/>
        <v>0</v>
      </c>
      <c r="BL28" s="16">
        <v>0</v>
      </c>
      <c r="BM28" s="16">
        <f t="shared" si="11"/>
        <v>7285</v>
      </c>
      <c r="BN28" s="16">
        <v>0</v>
      </c>
      <c r="BO28" s="16">
        <v>0</v>
      </c>
      <c r="BP28" s="16">
        <v>0</v>
      </c>
      <c r="BQ28" s="16">
        <v>0</v>
      </c>
      <c r="BR28" s="16">
        <v>0</v>
      </c>
      <c r="BS28" s="16">
        <v>0</v>
      </c>
      <c r="BT28" s="16">
        <v>0</v>
      </c>
      <c r="BU28" s="16">
        <v>0</v>
      </c>
      <c r="BV28" s="16">
        <v>0</v>
      </c>
      <c r="BW28" s="16">
        <v>7285</v>
      </c>
      <c r="BX28" s="16">
        <v>0</v>
      </c>
      <c r="BY28" s="16">
        <f t="shared" si="32"/>
        <v>79857</v>
      </c>
      <c r="BZ28" s="16">
        <f t="shared" si="33"/>
        <v>79857</v>
      </c>
      <c r="CA28" s="16">
        <f t="shared" si="12"/>
        <v>79857</v>
      </c>
      <c r="CB28" s="16">
        <v>0</v>
      </c>
      <c r="CC28" s="16">
        <v>79857</v>
      </c>
      <c r="CD28" s="16">
        <f t="shared" si="13"/>
        <v>0</v>
      </c>
      <c r="CE28" s="16">
        <v>0</v>
      </c>
      <c r="CF28" s="16">
        <v>0</v>
      </c>
      <c r="CG28" s="16">
        <v>0</v>
      </c>
      <c r="CH28" s="16">
        <v>0</v>
      </c>
      <c r="CI28" s="16">
        <v>0</v>
      </c>
      <c r="CJ28" s="16">
        <v>0</v>
      </c>
      <c r="CK28" s="16">
        <f t="shared" si="14"/>
        <v>0</v>
      </c>
      <c r="CL28" s="16">
        <v>0</v>
      </c>
      <c r="CM28" s="16">
        <v>0</v>
      </c>
      <c r="CN28" s="16">
        <v>0</v>
      </c>
      <c r="CO28" s="16">
        <v>0</v>
      </c>
      <c r="CP28" s="16">
        <v>0</v>
      </c>
      <c r="CQ28" s="16">
        <v>0</v>
      </c>
      <c r="CR28" s="16">
        <v>0</v>
      </c>
      <c r="CS28" s="16">
        <v>0</v>
      </c>
      <c r="CT28" s="16">
        <f t="shared" si="15"/>
        <v>0</v>
      </c>
      <c r="CU28" s="16">
        <f t="shared" si="16"/>
        <v>0</v>
      </c>
      <c r="CV28" s="16">
        <v>0</v>
      </c>
      <c r="CW28" s="17">
        <v>0</v>
      </c>
      <c r="CX28" s="40"/>
      <c r="CY28" s="40"/>
    </row>
    <row r="29" spans="1:103" ht="21.75" customHeight="1" x14ac:dyDescent="0.25">
      <c r="A29" s="13" t="s">
        <v>1</v>
      </c>
      <c r="B29" s="14" t="s">
        <v>1</v>
      </c>
      <c r="C29" s="14" t="s">
        <v>27</v>
      </c>
      <c r="D29" s="30" t="s">
        <v>28</v>
      </c>
      <c r="E29" s="15">
        <f t="shared" si="25"/>
        <v>6700861</v>
      </c>
      <c r="F29" s="16">
        <f t="shared" si="26"/>
        <v>6626590</v>
      </c>
      <c r="G29" s="16">
        <f t="shared" si="27"/>
        <v>6365065</v>
      </c>
      <c r="H29" s="16">
        <v>3929040</v>
      </c>
      <c r="I29" s="16">
        <v>954496</v>
      </c>
      <c r="J29" s="16">
        <f t="shared" si="7"/>
        <v>246562</v>
      </c>
      <c r="K29" s="16">
        <v>0</v>
      </c>
      <c r="L29" s="16">
        <v>3836</v>
      </c>
      <c r="M29" s="16">
        <v>0</v>
      </c>
      <c r="N29" s="16">
        <v>0</v>
      </c>
      <c r="O29" s="16">
        <v>206852</v>
      </c>
      <c r="P29" s="16">
        <v>35874</v>
      </c>
      <c r="Q29" s="16">
        <f t="shared" si="8"/>
        <v>649674</v>
      </c>
      <c r="R29" s="16">
        <v>0</v>
      </c>
      <c r="S29" s="16">
        <v>649674</v>
      </c>
      <c r="T29" s="16">
        <v>0</v>
      </c>
      <c r="U29" s="16">
        <v>132675</v>
      </c>
      <c r="V29" s="16">
        <f t="shared" si="28"/>
        <v>64255</v>
      </c>
      <c r="W29" s="16">
        <v>43045</v>
      </c>
      <c r="X29" s="16">
        <v>0</v>
      </c>
      <c r="Y29" s="16">
        <v>11866</v>
      </c>
      <c r="Z29" s="16">
        <v>1603</v>
      </c>
      <c r="AA29" s="16">
        <v>4786</v>
      </c>
      <c r="AB29" s="16">
        <v>0</v>
      </c>
      <c r="AC29" s="16">
        <v>0</v>
      </c>
      <c r="AD29" s="16">
        <v>2955</v>
      </c>
      <c r="AE29" s="16">
        <f t="shared" si="29"/>
        <v>388363</v>
      </c>
      <c r="AF29" s="16">
        <v>0</v>
      </c>
      <c r="AG29" s="16">
        <v>4077</v>
      </c>
      <c r="AH29" s="16">
        <v>9036</v>
      </c>
      <c r="AI29" s="16">
        <v>0</v>
      </c>
      <c r="AJ29" s="16">
        <v>1625</v>
      </c>
      <c r="AK29" s="16">
        <v>0</v>
      </c>
      <c r="AL29" s="16">
        <v>39290</v>
      </c>
      <c r="AM29" s="16">
        <v>112000</v>
      </c>
      <c r="AN29" s="16">
        <v>191752</v>
      </c>
      <c r="AO29" s="16">
        <v>0</v>
      </c>
      <c r="AP29" s="16">
        <v>0</v>
      </c>
      <c r="AQ29" s="16">
        <v>0</v>
      </c>
      <c r="AR29" s="16">
        <v>8910</v>
      </c>
      <c r="AS29" s="16">
        <v>2220</v>
      </c>
      <c r="AT29" s="16">
        <v>0</v>
      </c>
      <c r="AU29" s="16">
        <v>0</v>
      </c>
      <c r="AV29" s="16">
        <v>0</v>
      </c>
      <c r="AW29" s="16">
        <v>0</v>
      </c>
      <c r="AX29" s="16">
        <v>0</v>
      </c>
      <c r="AY29" s="16">
        <v>0</v>
      </c>
      <c r="AZ29" s="16">
        <v>19453</v>
      </c>
      <c r="BA29" s="16">
        <f t="shared" si="30"/>
        <v>261525</v>
      </c>
      <c r="BB29" s="16">
        <f t="shared" si="31"/>
        <v>0</v>
      </c>
      <c r="BC29" s="16">
        <v>0</v>
      </c>
      <c r="BD29" s="16">
        <v>0</v>
      </c>
      <c r="BE29" s="16">
        <v>0</v>
      </c>
      <c r="BF29" s="16">
        <f t="shared" si="9"/>
        <v>0</v>
      </c>
      <c r="BG29" s="16">
        <v>0</v>
      </c>
      <c r="BH29" s="16">
        <v>0</v>
      </c>
      <c r="BI29" s="16">
        <v>0</v>
      </c>
      <c r="BJ29" s="16">
        <v>0</v>
      </c>
      <c r="BK29" s="16">
        <f t="shared" si="10"/>
        <v>0</v>
      </c>
      <c r="BL29" s="16">
        <v>0</v>
      </c>
      <c r="BM29" s="16">
        <f t="shared" si="11"/>
        <v>261525</v>
      </c>
      <c r="BN29" s="16">
        <v>0</v>
      </c>
      <c r="BO29" s="16">
        <v>0</v>
      </c>
      <c r="BP29" s="16">
        <v>0</v>
      </c>
      <c r="BQ29" s="16">
        <v>0</v>
      </c>
      <c r="BR29" s="16">
        <v>0</v>
      </c>
      <c r="BS29" s="16">
        <v>0</v>
      </c>
      <c r="BT29" s="16">
        <v>0</v>
      </c>
      <c r="BU29" s="16">
        <v>0</v>
      </c>
      <c r="BV29" s="16">
        <v>0</v>
      </c>
      <c r="BW29" s="16">
        <v>261525</v>
      </c>
      <c r="BX29" s="16">
        <v>0</v>
      </c>
      <c r="BY29" s="16">
        <f t="shared" si="32"/>
        <v>74271</v>
      </c>
      <c r="BZ29" s="16">
        <f t="shared" si="33"/>
        <v>74271</v>
      </c>
      <c r="CA29" s="16">
        <f t="shared" si="12"/>
        <v>74271</v>
      </c>
      <c r="CB29" s="16">
        <v>0</v>
      </c>
      <c r="CC29" s="16">
        <v>74271</v>
      </c>
      <c r="CD29" s="16">
        <f t="shared" si="13"/>
        <v>0</v>
      </c>
      <c r="CE29" s="16">
        <v>0</v>
      </c>
      <c r="CF29" s="16">
        <v>0</v>
      </c>
      <c r="CG29" s="16">
        <v>0</v>
      </c>
      <c r="CH29" s="16">
        <v>0</v>
      </c>
      <c r="CI29" s="16">
        <v>0</v>
      </c>
      <c r="CJ29" s="16">
        <v>0</v>
      </c>
      <c r="CK29" s="16">
        <f t="shared" si="14"/>
        <v>0</v>
      </c>
      <c r="CL29" s="16">
        <v>0</v>
      </c>
      <c r="CM29" s="16">
        <v>0</v>
      </c>
      <c r="CN29" s="16">
        <v>0</v>
      </c>
      <c r="CO29" s="16">
        <v>0</v>
      </c>
      <c r="CP29" s="16">
        <v>0</v>
      </c>
      <c r="CQ29" s="16">
        <v>0</v>
      </c>
      <c r="CR29" s="16">
        <v>0</v>
      </c>
      <c r="CS29" s="16">
        <v>0</v>
      </c>
      <c r="CT29" s="16">
        <f t="shared" si="15"/>
        <v>0</v>
      </c>
      <c r="CU29" s="16">
        <f t="shared" si="16"/>
        <v>0</v>
      </c>
      <c r="CV29" s="16">
        <v>0</v>
      </c>
      <c r="CW29" s="17">
        <v>0</v>
      </c>
      <c r="CX29" s="40"/>
      <c r="CY29" s="40"/>
    </row>
    <row r="30" spans="1:103" ht="31.5" x14ac:dyDescent="0.25">
      <c r="A30" s="13" t="s">
        <v>1</v>
      </c>
      <c r="B30" s="14" t="s">
        <v>1</v>
      </c>
      <c r="C30" s="14" t="s">
        <v>29</v>
      </c>
      <c r="D30" s="30" t="s">
        <v>30</v>
      </c>
      <c r="E30" s="15">
        <f t="shared" si="25"/>
        <v>8908972</v>
      </c>
      <c r="F30" s="16">
        <f t="shared" si="26"/>
        <v>8780110</v>
      </c>
      <c r="G30" s="16">
        <f t="shared" si="27"/>
        <v>8772825</v>
      </c>
      <c r="H30" s="16">
        <v>6443099</v>
      </c>
      <c r="I30" s="16">
        <v>1537621</v>
      </c>
      <c r="J30" s="16">
        <f t="shared" si="7"/>
        <v>433608</v>
      </c>
      <c r="K30" s="16">
        <v>0</v>
      </c>
      <c r="L30" s="16">
        <v>0</v>
      </c>
      <c r="M30" s="16">
        <v>0</v>
      </c>
      <c r="N30" s="16">
        <v>0</v>
      </c>
      <c r="O30" s="16">
        <v>293511</v>
      </c>
      <c r="P30" s="16">
        <v>140097</v>
      </c>
      <c r="Q30" s="16">
        <f t="shared" si="8"/>
        <v>93575</v>
      </c>
      <c r="R30" s="16">
        <v>752</v>
      </c>
      <c r="S30" s="16">
        <v>92823</v>
      </c>
      <c r="T30" s="16">
        <v>0</v>
      </c>
      <c r="U30" s="16">
        <v>49950</v>
      </c>
      <c r="V30" s="16">
        <f t="shared" si="28"/>
        <v>93832</v>
      </c>
      <c r="W30" s="16">
        <v>0</v>
      </c>
      <c r="X30" s="16">
        <v>62908</v>
      </c>
      <c r="Y30" s="16">
        <v>20212</v>
      </c>
      <c r="Z30" s="16">
        <v>4190</v>
      </c>
      <c r="AA30" s="16">
        <v>6522</v>
      </c>
      <c r="AB30" s="16">
        <v>0</v>
      </c>
      <c r="AC30" s="16">
        <v>0</v>
      </c>
      <c r="AD30" s="16">
        <v>0</v>
      </c>
      <c r="AE30" s="16">
        <f t="shared" si="29"/>
        <v>121140</v>
      </c>
      <c r="AF30" s="16">
        <v>0</v>
      </c>
      <c r="AG30" s="16">
        <v>20000</v>
      </c>
      <c r="AH30" s="16">
        <v>17568</v>
      </c>
      <c r="AI30" s="16">
        <v>0</v>
      </c>
      <c r="AJ30" s="16">
        <v>1591</v>
      </c>
      <c r="AK30" s="16">
        <v>0</v>
      </c>
      <c r="AL30" s="16">
        <v>64431</v>
      </c>
      <c r="AM30" s="16">
        <v>0</v>
      </c>
      <c r="AN30" s="16">
        <v>14550</v>
      </c>
      <c r="AO30" s="16">
        <v>0</v>
      </c>
      <c r="AP30" s="16">
        <v>0</v>
      </c>
      <c r="AQ30" s="16">
        <v>0</v>
      </c>
      <c r="AR30" s="16">
        <v>0</v>
      </c>
      <c r="AS30" s="16">
        <v>0</v>
      </c>
      <c r="AT30" s="16">
        <v>0</v>
      </c>
      <c r="AU30" s="16">
        <v>0</v>
      </c>
      <c r="AV30" s="16">
        <v>0</v>
      </c>
      <c r="AW30" s="16">
        <v>0</v>
      </c>
      <c r="AX30" s="16">
        <v>0</v>
      </c>
      <c r="AY30" s="16">
        <v>0</v>
      </c>
      <c r="AZ30" s="16">
        <v>3000</v>
      </c>
      <c r="BA30" s="16">
        <f t="shared" si="30"/>
        <v>7285</v>
      </c>
      <c r="BB30" s="16">
        <f t="shared" si="31"/>
        <v>0</v>
      </c>
      <c r="BC30" s="16">
        <v>0</v>
      </c>
      <c r="BD30" s="16">
        <v>0</v>
      </c>
      <c r="BE30" s="16">
        <v>0</v>
      </c>
      <c r="BF30" s="16">
        <f t="shared" si="9"/>
        <v>0</v>
      </c>
      <c r="BG30" s="16">
        <v>0</v>
      </c>
      <c r="BH30" s="16">
        <v>0</v>
      </c>
      <c r="BI30" s="16">
        <v>0</v>
      </c>
      <c r="BJ30" s="16">
        <v>0</v>
      </c>
      <c r="BK30" s="16">
        <f t="shared" si="10"/>
        <v>0</v>
      </c>
      <c r="BL30" s="16">
        <v>0</v>
      </c>
      <c r="BM30" s="16">
        <f t="shared" si="11"/>
        <v>7285</v>
      </c>
      <c r="BN30" s="16">
        <v>0</v>
      </c>
      <c r="BO30" s="16">
        <v>0</v>
      </c>
      <c r="BP30" s="16">
        <v>0</v>
      </c>
      <c r="BQ30" s="16">
        <v>0</v>
      </c>
      <c r="BR30" s="16">
        <v>0</v>
      </c>
      <c r="BS30" s="16">
        <v>0</v>
      </c>
      <c r="BT30" s="16">
        <v>0</v>
      </c>
      <c r="BU30" s="16">
        <v>0</v>
      </c>
      <c r="BV30" s="16">
        <v>0</v>
      </c>
      <c r="BW30" s="16">
        <v>7285</v>
      </c>
      <c r="BX30" s="16">
        <v>0</v>
      </c>
      <c r="BY30" s="16">
        <f t="shared" si="32"/>
        <v>128862</v>
      </c>
      <c r="BZ30" s="16">
        <f t="shared" si="33"/>
        <v>128862</v>
      </c>
      <c r="CA30" s="16">
        <f t="shared" si="12"/>
        <v>128862</v>
      </c>
      <c r="CB30" s="16">
        <v>0</v>
      </c>
      <c r="CC30" s="16">
        <v>128862</v>
      </c>
      <c r="CD30" s="16">
        <f t="shared" si="13"/>
        <v>0</v>
      </c>
      <c r="CE30" s="16">
        <v>0</v>
      </c>
      <c r="CF30" s="16">
        <v>0</v>
      </c>
      <c r="CG30" s="16">
        <v>0</v>
      </c>
      <c r="CH30" s="16">
        <v>0</v>
      </c>
      <c r="CI30" s="16">
        <v>0</v>
      </c>
      <c r="CJ30" s="16">
        <v>0</v>
      </c>
      <c r="CK30" s="16">
        <f t="shared" si="14"/>
        <v>0</v>
      </c>
      <c r="CL30" s="16">
        <v>0</v>
      </c>
      <c r="CM30" s="16">
        <v>0</v>
      </c>
      <c r="CN30" s="16">
        <v>0</v>
      </c>
      <c r="CO30" s="16">
        <v>0</v>
      </c>
      <c r="CP30" s="16">
        <v>0</v>
      </c>
      <c r="CQ30" s="16">
        <v>0</v>
      </c>
      <c r="CR30" s="16">
        <v>0</v>
      </c>
      <c r="CS30" s="16">
        <v>0</v>
      </c>
      <c r="CT30" s="16">
        <f t="shared" si="15"/>
        <v>0</v>
      </c>
      <c r="CU30" s="16">
        <f t="shared" si="16"/>
        <v>0</v>
      </c>
      <c r="CV30" s="16">
        <v>0</v>
      </c>
      <c r="CW30" s="17">
        <v>0</v>
      </c>
      <c r="CX30" s="40"/>
      <c r="CY30" s="40"/>
    </row>
    <row r="31" spans="1:103" ht="15.75" x14ac:dyDescent="0.25">
      <c r="A31" s="13" t="s">
        <v>1</v>
      </c>
      <c r="B31" s="14" t="s">
        <v>1</v>
      </c>
      <c r="C31" s="14" t="s">
        <v>31</v>
      </c>
      <c r="D31" s="30" t="s">
        <v>32</v>
      </c>
      <c r="E31" s="15">
        <f t="shared" si="25"/>
        <v>1176958</v>
      </c>
      <c r="F31" s="16">
        <f t="shared" si="26"/>
        <v>1158528</v>
      </c>
      <c r="G31" s="16">
        <f t="shared" si="27"/>
        <v>1153927</v>
      </c>
      <c r="H31" s="16">
        <v>862618</v>
      </c>
      <c r="I31" s="16">
        <v>203349</v>
      </c>
      <c r="J31" s="16">
        <f t="shared" si="7"/>
        <v>45964</v>
      </c>
      <c r="K31" s="16">
        <v>0</v>
      </c>
      <c r="L31" s="16">
        <v>0</v>
      </c>
      <c r="M31" s="16">
        <v>0</v>
      </c>
      <c r="N31" s="16">
        <v>0</v>
      </c>
      <c r="O31" s="16">
        <v>12540</v>
      </c>
      <c r="P31" s="16">
        <v>33424</v>
      </c>
      <c r="Q31" s="16">
        <f t="shared" si="8"/>
        <v>0</v>
      </c>
      <c r="R31" s="16">
        <v>0</v>
      </c>
      <c r="S31" s="16">
        <v>0</v>
      </c>
      <c r="T31" s="16">
        <v>0</v>
      </c>
      <c r="U31" s="16">
        <v>17067</v>
      </c>
      <c r="V31" s="16">
        <f t="shared" si="28"/>
        <v>5093</v>
      </c>
      <c r="W31" s="16">
        <v>0</v>
      </c>
      <c r="X31" s="16">
        <v>2794</v>
      </c>
      <c r="Y31" s="16">
        <v>1876</v>
      </c>
      <c r="Z31" s="16">
        <v>423</v>
      </c>
      <c r="AA31" s="16">
        <v>0</v>
      </c>
      <c r="AB31" s="16">
        <v>0</v>
      </c>
      <c r="AC31" s="16">
        <v>0</v>
      </c>
      <c r="AD31" s="16">
        <v>0</v>
      </c>
      <c r="AE31" s="16">
        <f t="shared" si="29"/>
        <v>19836</v>
      </c>
      <c r="AF31" s="16">
        <v>0</v>
      </c>
      <c r="AG31" s="16">
        <v>106</v>
      </c>
      <c r="AH31" s="16">
        <v>0</v>
      </c>
      <c r="AI31" s="16">
        <v>0</v>
      </c>
      <c r="AJ31" s="16">
        <v>0</v>
      </c>
      <c r="AK31" s="16">
        <v>0</v>
      </c>
      <c r="AL31" s="16">
        <v>9215</v>
      </c>
      <c r="AM31" s="16">
        <v>0</v>
      </c>
      <c r="AN31" s="16">
        <v>9894</v>
      </c>
      <c r="AO31" s="16">
        <v>0</v>
      </c>
      <c r="AP31" s="16">
        <v>0</v>
      </c>
      <c r="AQ31" s="16">
        <v>0</v>
      </c>
      <c r="AR31" s="16">
        <v>0</v>
      </c>
      <c r="AS31" s="16">
        <v>0</v>
      </c>
      <c r="AT31" s="16">
        <v>0</v>
      </c>
      <c r="AU31" s="16">
        <v>0</v>
      </c>
      <c r="AV31" s="16">
        <v>0</v>
      </c>
      <c r="AW31" s="16">
        <v>0</v>
      </c>
      <c r="AX31" s="16">
        <v>0</v>
      </c>
      <c r="AY31" s="16">
        <v>0</v>
      </c>
      <c r="AZ31" s="16">
        <v>621</v>
      </c>
      <c r="BA31" s="16">
        <f t="shared" si="30"/>
        <v>4601</v>
      </c>
      <c r="BB31" s="16">
        <f t="shared" si="31"/>
        <v>0</v>
      </c>
      <c r="BC31" s="16">
        <v>0</v>
      </c>
      <c r="BD31" s="16">
        <v>0</v>
      </c>
      <c r="BE31" s="16">
        <v>0</v>
      </c>
      <c r="BF31" s="16">
        <f t="shared" si="9"/>
        <v>0</v>
      </c>
      <c r="BG31" s="16">
        <v>0</v>
      </c>
      <c r="BH31" s="16">
        <v>0</v>
      </c>
      <c r="BI31" s="16">
        <v>0</v>
      </c>
      <c r="BJ31" s="16">
        <v>0</v>
      </c>
      <c r="BK31" s="16">
        <f t="shared" si="10"/>
        <v>0</v>
      </c>
      <c r="BL31" s="16">
        <v>0</v>
      </c>
      <c r="BM31" s="16">
        <f t="shared" si="11"/>
        <v>4601</v>
      </c>
      <c r="BN31" s="16">
        <v>0</v>
      </c>
      <c r="BO31" s="16">
        <v>0</v>
      </c>
      <c r="BP31" s="16">
        <v>0</v>
      </c>
      <c r="BQ31" s="16">
        <v>0</v>
      </c>
      <c r="BR31" s="16">
        <v>0</v>
      </c>
      <c r="BS31" s="16">
        <v>0</v>
      </c>
      <c r="BT31" s="16">
        <v>0</v>
      </c>
      <c r="BU31" s="16">
        <v>0</v>
      </c>
      <c r="BV31" s="16">
        <v>0</v>
      </c>
      <c r="BW31" s="16">
        <v>4601</v>
      </c>
      <c r="BX31" s="16">
        <v>0</v>
      </c>
      <c r="BY31" s="16">
        <f t="shared" si="32"/>
        <v>18430</v>
      </c>
      <c r="BZ31" s="16">
        <f t="shared" si="33"/>
        <v>18430</v>
      </c>
      <c r="CA31" s="16">
        <f t="shared" si="12"/>
        <v>18430</v>
      </c>
      <c r="CB31" s="16">
        <v>0</v>
      </c>
      <c r="CC31" s="16">
        <v>18430</v>
      </c>
      <c r="CD31" s="16">
        <f t="shared" si="13"/>
        <v>0</v>
      </c>
      <c r="CE31" s="16">
        <v>0</v>
      </c>
      <c r="CF31" s="16">
        <v>0</v>
      </c>
      <c r="CG31" s="16">
        <v>0</v>
      </c>
      <c r="CH31" s="16">
        <v>0</v>
      </c>
      <c r="CI31" s="16">
        <v>0</v>
      </c>
      <c r="CJ31" s="16">
        <v>0</v>
      </c>
      <c r="CK31" s="16">
        <f t="shared" si="14"/>
        <v>0</v>
      </c>
      <c r="CL31" s="16">
        <v>0</v>
      </c>
      <c r="CM31" s="16">
        <v>0</v>
      </c>
      <c r="CN31" s="16">
        <v>0</v>
      </c>
      <c r="CO31" s="16">
        <v>0</v>
      </c>
      <c r="CP31" s="16">
        <v>0</v>
      </c>
      <c r="CQ31" s="16">
        <v>0</v>
      </c>
      <c r="CR31" s="16">
        <v>0</v>
      </c>
      <c r="CS31" s="16">
        <v>0</v>
      </c>
      <c r="CT31" s="16">
        <f t="shared" si="15"/>
        <v>0</v>
      </c>
      <c r="CU31" s="16">
        <f t="shared" si="16"/>
        <v>0</v>
      </c>
      <c r="CV31" s="16">
        <v>0</v>
      </c>
      <c r="CW31" s="17">
        <v>0</v>
      </c>
      <c r="CX31" s="40"/>
      <c r="CY31" s="40"/>
    </row>
    <row r="32" spans="1:103" ht="31.5" x14ac:dyDescent="0.25">
      <c r="A32" s="13" t="s">
        <v>1</v>
      </c>
      <c r="B32" s="14" t="s">
        <v>1</v>
      </c>
      <c r="C32" s="14" t="s">
        <v>33</v>
      </c>
      <c r="D32" s="30" t="s">
        <v>492</v>
      </c>
      <c r="E32" s="15">
        <f t="shared" si="25"/>
        <v>1294426</v>
      </c>
      <c r="F32" s="16">
        <f t="shared" si="26"/>
        <v>1273347</v>
      </c>
      <c r="G32" s="16">
        <f t="shared" si="27"/>
        <v>1270663</v>
      </c>
      <c r="H32" s="16">
        <v>961267</v>
      </c>
      <c r="I32" s="16">
        <v>229237</v>
      </c>
      <c r="J32" s="16">
        <f t="shared" si="7"/>
        <v>37914</v>
      </c>
      <c r="K32" s="16">
        <v>0</v>
      </c>
      <c r="L32" s="16">
        <v>0</v>
      </c>
      <c r="M32" s="16">
        <v>0</v>
      </c>
      <c r="N32" s="16">
        <v>0</v>
      </c>
      <c r="O32" s="16">
        <v>25434</v>
      </c>
      <c r="P32" s="16">
        <v>12480</v>
      </c>
      <c r="Q32" s="16">
        <f t="shared" si="8"/>
        <v>0</v>
      </c>
      <c r="R32" s="16">
        <v>0</v>
      </c>
      <c r="S32" s="16">
        <v>0</v>
      </c>
      <c r="T32" s="16">
        <v>0</v>
      </c>
      <c r="U32" s="16">
        <v>24877</v>
      </c>
      <c r="V32" s="16">
        <f t="shared" si="28"/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f t="shared" si="29"/>
        <v>17368</v>
      </c>
      <c r="AF32" s="16">
        <v>0</v>
      </c>
      <c r="AG32" s="16">
        <v>0</v>
      </c>
      <c r="AH32" s="16">
        <v>0</v>
      </c>
      <c r="AI32" s="16">
        <v>0</v>
      </c>
      <c r="AJ32" s="16">
        <v>1591</v>
      </c>
      <c r="AK32" s="16">
        <v>0</v>
      </c>
      <c r="AL32" s="16">
        <v>10539</v>
      </c>
      <c r="AM32" s="16">
        <v>0</v>
      </c>
      <c r="AN32" s="16">
        <v>5238</v>
      </c>
      <c r="AO32" s="16">
        <v>0</v>
      </c>
      <c r="AP32" s="16">
        <v>0</v>
      </c>
      <c r="AQ32" s="16">
        <v>0</v>
      </c>
      <c r="AR32" s="16">
        <v>0</v>
      </c>
      <c r="AS32" s="16">
        <v>0</v>
      </c>
      <c r="AT32" s="16">
        <v>0</v>
      </c>
      <c r="AU32" s="16">
        <v>0</v>
      </c>
      <c r="AV32" s="16">
        <v>0</v>
      </c>
      <c r="AW32" s="16">
        <v>0</v>
      </c>
      <c r="AX32" s="16">
        <v>0</v>
      </c>
      <c r="AY32" s="16">
        <v>0</v>
      </c>
      <c r="AZ32" s="16">
        <v>0</v>
      </c>
      <c r="BA32" s="16">
        <f t="shared" si="30"/>
        <v>2684</v>
      </c>
      <c r="BB32" s="16">
        <f t="shared" si="31"/>
        <v>0</v>
      </c>
      <c r="BC32" s="16">
        <v>0</v>
      </c>
      <c r="BD32" s="16">
        <v>0</v>
      </c>
      <c r="BE32" s="16">
        <v>0</v>
      </c>
      <c r="BF32" s="16">
        <f t="shared" si="9"/>
        <v>0</v>
      </c>
      <c r="BG32" s="16">
        <v>0</v>
      </c>
      <c r="BH32" s="16">
        <v>0</v>
      </c>
      <c r="BI32" s="16">
        <v>0</v>
      </c>
      <c r="BJ32" s="16">
        <v>0</v>
      </c>
      <c r="BK32" s="16">
        <f t="shared" si="10"/>
        <v>0</v>
      </c>
      <c r="BL32" s="16">
        <v>0</v>
      </c>
      <c r="BM32" s="16">
        <f t="shared" si="11"/>
        <v>2684</v>
      </c>
      <c r="BN32" s="16">
        <v>0</v>
      </c>
      <c r="BO32" s="16">
        <v>0</v>
      </c>
      <c r="BP32" s="16">
        <v>0</v>
      </c>
      <c r="BQ32" s="16">
        <v>0</v>
      </c>
      <c r="BR32" s="16">
        <v>0</v>
      </c>
      <c r="BS32" s="16">
        <v>0</v>
      </c>
      <c r="BT32" s="16">
        <v>0</v>
      </c>
      <c r="BU32" s="16">
        <v>0</v>
      </c>
      <c r="BV32" s="16">
        <v>0</v>
      </c>
      <c r="BW32" s="16">
        <v>2684</v>
      </c>
      <c r="BX32" s="16">
        <v>0</v>
      </c>
      <c r="BY32" s="16">
        <f t="shared" si="32"/>
        <v>21079</v>
      </c>
      <c r="BZ32" s="16">
        <f t="shared" si="33"/>
        <v>21079</v>
      </c>
      <c r="CA32" s="16">
        <f t="shared" si="12"/>
        <v>21079</v>
      </c>
      <c r="CB32" s="16">
        <v>0</v>
      </c>
      <c r="CC32" s="16">
        <v>21079</v>
      </c>
      <c r="CD32" s="16">
        <f t="shared" si="13"/>
        <v>0</v>
      </c>
      <c r="CE32" s="16">
        <v>0</v>
      </c>
      <c r="CF32" s="16">
        <v>0</v>
      </c>
      <c r="CG32" s="16">
        <v>0</v>
      </c>
      <c r="CH32" s="16">
        <v>0</v>
      </c>
      <c r="CI32" s="16">
        <v>0</v>
      </c>
      <c r="CJ32" s="16">
        <v>0</v>
      </c>
      <c r="CK32" s="16">
        <f t="shared" si="14"/>
        <v>0</v>
      </c>
      <c r="CL32" s="16">
        <v>0</v>
      </c>
      <c r="CM32" s="16">
        <v>0</v>
      </c>
      <c r="CN32" s="16">
        <v>0</v>
      </c>
      <c r="CO32" s="16">
        <v>0</v>
      </c>
      <c r="CP32" s="16">
        <v>0</v>
      </c>
      <c r="CQ32" s="16">
        <v>0</v>
      </c>
      <c r="CR32" s="16">
        <v>0</v>
      </c>
      <c r="CS32" s="16">
        <v>0</v>
      </c>
      <c r="CT32" s="16">
        <f t="shared" si="15"/>
        <v>0</v>
      </c>
      <c r="CU32" s="16">
        <f t="shared" si="16"/>
        <v>0</v>
      </c>
      <c r="CV32" s="16">
        <v>0</v>
      </c>
      <c r="CW32" s="17">
        <v>0</v>
      </c>
      <c r="CX32" s="40"/>
      <c r="CY32" s="40"/>
    </row>
    <row r="33" spans="1:103" ht="31.5" x14ac:dyDescent="0.25">
      <c r="A33" s="13" t="s">
        <v>1</v>
      </c>
      <c r="B33" s="14" t="s">
        <v>1</v>
      </c>
      <c r="C33" s="14" t="s">
        <v>34</v>
      </c>
      <c r="D33" s="30" t="s">
        <v>35</v>
      </c>
      <c r="E33" s="15">
        <f t="shared" si="25"/>
        <v>2337692</v>
      </c>
      <c r="F33" s="16">
        <f t="shared" si="26"/>
        <v>2309853</v>
      </c>
      <c r="G33" s="16">
        <f t="shared" si="27"/>
        <v>2306083</v>
      </c>
      <c r="H33" s="16">
        <v>1610574</v>
      </c>
      <c r="I33" s="16">
        <v>379734</v>
      </c>
      <c r="J33" s="16">
        <f t="shared" si="7"/>
        <v>161648</v>
      </c>
      <c r="K33" s="16">
        <v>0</v>
      </c>
      <c r="L33" s="16">
        <v>0</v>
      </c>
      <c r="M33" s="16">
        <v>0</v>
      </c>
      <c r="N33" s="16">
        <v>0</v>
      </c>
      <c r="O33" s="16">
        <v>134320</v>
      </c>
      <c r="P33" s="16">
        <v>27328</v>
      </c>
      <c r="Q33" s="16">
        <f t="shared" si="8"/>
        <v>35844</v>
      </c>
      <c r="R33" s="16">
        <v>0</v>
      </c>
      <c r="S33" s="16">
        <v>35844</v>
      </c>
      <c r="T33" s="16">
        <v>0</v>
      </c>
      <c r="U33" s="16">
        <v>41898</v>
      </c>
      <c r="V33" s="16">
        <f t="shared" si="28"/>
        <v>35579</v>
      </c>
      <c r="W33" s="16">
        <v>0</v>
      </c>
      <c r="X33" s="16">
        <v>21473</v>
      </c>
      <c r="Y33" s="16">
        <v>11824</v>
      </c>
      <c r="Z33" s="16">
        <v>1279</v>
      </c>
      <c r="AA33" s="16">
        <v>1003</v>
      </c>
      <c r="AB33" s="16">
        <v>0</v>
      </c>
      <c r="AC33" s="16">
        <v>0</v>
      </c>
      <c r="AD33" s="16">
        <v>0</v>
      </c>
      <c r="AE33" s="16">
        <f t="shared" si="29"/>
        <v>40806</v>
      </c>
      <c r="AF33" s="16">
        <v>0</v>
      </c>
      <c r="AG33" s="16">
        <v>4200</v>
      </c>
      <c r="AH33" s="16">
        <v>4235</v>
      </c>
      <c r="AI33" s="16">
        <v>0</v>
      </c>
      <c r="AJ33" s="16">
        <v>1591</v>
      </c>
      <c r="AK33" s="16">
        <v>0</v>
      </c>
      <c r="AL33" s="16">
        <v>14050</v>
      </c>
      <c r="AM33" s="16">
        <v>0</v>
      </c>
      <c r="AN33" s="16">
        <v>8730</v>
      </c>
      <c r="AO33" s="16">
        <v>0</v>
      </c>
      <c r="AP33" s="16">
        <v>0</v>
      </c>
      <c r="AQ33" s="16">
        <v>0</v>
      </c>
      <c r="AR33" s="16">
        <v>0</v>
      </c>
      <c r="AS33" s="16">
        <v>0</v>
      </c>
      <c r="AT33" s="16">
        <v>0</v>
      </c>
      <c r="AU33" s="16">
        <v>0</v>
      </c>
      <c r="AV33" s="16">
        <v>0</v>
      </c>
      <c r="AW33" s="16">
        <v>0</v>
      </c>
      <c r="AX33" s="16">
        <v>0</v>
      </c>
      <c r="AY33" s="16">
        <v>0</v>
      </c>
      <c r="AZ33" s="16">
        <v>8000</v>
      </c>
      <c r="BA33" s="16">
        <f t="shared" si="30"/>
        <v>3770</v>
      </c>
      <c r="BB33" s="16">
        <f t="shared" si="31"/>
        <v>0</v>
      </c>
      <c r="BC33" s="16">
        <v>0</v>
      </c>
      <c r="BD33" s="16">
        <v>0</v>
      </c>
      <c r="BE33" s="16">
        <v>0</v>
      </c>
      <c r="BF33" s="16">
        <f t="shared" si="9"/>
        <v>0</v>
      </c>
      <c r="BG33" s="16">
        <v>0</v>
      </c>
      <c r="BH33" s="16">
        <v>0</v>
      </c>
      <c r="BI33" s="16">
        <v>0</v>
      </c>
      <c r="BJ33" s="16">
        <v>0</v>
      </c>
      <c r="BK33" s="16">
        <f t="shared" si="10"/>
        <v>0</v>
      </c>
      <c r="BL33" s="16">
        <v>0</v>
      </c>
      <c r="BM33" s="16">
        <f t="shared" si="11"/>
        <v>3770</v>
      </c>
      <c r="BN33" s="16">
        <v>0</v>
      </c>
      <c r="BO33" s="16">
        <v>0</v>
      </c>
      <c r="BP33" s="16">
        <v>0</v>
      </c>
      <c r="BQ33" s="16">
        <v>0</v>
      </c>
      <c r="BR33" s="16">
        <v>0</v>
      </c>
      <c r="BS33" s="16">
        <v>0</v>
      </c>
      <c r="BT33" s="16">
        <v>0</v>
      </c>
      <c r="BU33" s="16">
        <v>0</v>
      </c>
      <c r="BV33" s="16">
        <v>0</v>
      </c>
      <c r="BW33" s="16">
        <v>3770</v>
      </c>
      <c r="BX33" s="16">
        <v>0</v>
      </c>
      <c r="BY33" s="16">
        <f t="shared" si="32"/>
        <v>27839</v>
      </c>
      <c r="BZ33" s="16">
        <f t="shared" si="33"/>
        <v>27839</v>
      </c>
      <c r="CA33" s="16">
        <f t="shared" si="12"/>
        <v>27839</v>
      </c>
      <c r="CB33" s="16">
        <v>0</v>
      </c>
      <c r="CC33" s="16">
        <v>27839</v>
      </c>
      <c r="CD33" s="16">
        <f t="shared" si="13"/>
        <v>0</v>
      </c>
      <c r="CE33" s="16">
        <v>0</v>
      </c>
      <c r="CF33" s="16">
        <v>0</v>
      </c>
      <c r="CG33" s="16">
        <v>0</v>
      </c>
      <c r="CH33" s="16">
        <v>0</v>
      </c>
      <c r="CI33" s="16">
        <v>0</v>
      </c>
      <c r="CJ33" s="16">
        <v>0</v>
      </c>
      <c r="CK33" s="16">
        <f t="shared" si="14"/>
        <v>0</v>
      </c>
      <c r="CL33" s="16">
        <v>0</v>
      </c>
      <c r="CM33" s="16">
        <v>0</v>
      </c>
      <c r="CN33" s="16">
        <v>0</v>
      </c>
      <c r="CO33" s="16">
        <v>0</v>
      </c>
      <c r="CP33" s="16">
        <v>0</v>
      </c>
      <c r="CQ33" s="16">
        <v>0</v>
      </c>
      <c r="CR33" s="16">
        <v>0</v>
      </c>
      <c r="CS33" s="16">
        <v>0</v>
      </c>
      <c r="CT33" s="16">
        <f t="shared" si="15"/>
        <v>0</v>
      </c>
      <c r="CU33" s="16">
        <f t="shared" si="16"/>
        <v>0</v>
      </c>
      <c r="CV33" s="16">
        <v>0</v>
      </c>
      <c r="CW33" s="17">
        <v>0</v>
      </c>
      <c r="CX33" s="40"/>
      <c r="CY33" s="40"/>
    </row>
    <row r="34" spans="1:103" ht="15.75" x14ac:dyDescent="0.25">
      <c r="A34" s="13" t="s">
        <v>1</v>
      </c>
      <c r="B34" s="14" t="s">
        <v>1</v>
      </c>
      <c r="C34" s="14" t="s">
        <v>36</v>
      </c>
      <c r="D34" s="30" t="s">
        <v>37</v>
      </c>
      <c r="E34" s="15">
        <f t="shared" si="25"/>
        <v>3060309</v>
      </c>
      <c r="F34" s="16">
        <f t="shared" si="26"/>
        <v>3021855</v>
      </c>
      <c r="G34" s="16">
        <f t="shared" si="27"/>
        <v>3021855</v>
      </c>
      <c r="H34" s="16">
        <v>2051344</v>
      </c>
      <c r="I34" s="16">
        <v>484749</v>
      </c>
      <c r="J34" s="16">
        <f t="shared" si="7"/>
        <v>88857</v>
      </c>
      <c r="K34" s="16">
        <v>0</v>
      </c>
      <c r="L34" s="16">
        <v>0</v>
      </c>
      <c r="M34" s="16">
        <v>0</v>
      </c>
      <c r="N34" s="16">
        <v>0</v>
      </c>
      <c r="O34" s="16">
        <v>65936</v>
      </c>
      <c r="P34" s="16">
        <v>22921</v>
      </c>
      <c r="Q34" s="16">
        <f t="shared" si="8"/>
        <v>12361</v>
      </c>
      <c r="R34" s="16">
        <v>12361</v>
      </c>
      <c r="S34" s="16">
        <v>0</v>
      </c>
      <c r="T34" s="16">
        <v>0</v>
      </c>
      <c r="U34" s="16">
        <v>166058</v>
      </c>
      <c r="V34" s="16">
        <f t="shared" si="28"/>
        <v>52782</v>
      </c>
      <c r="W34" s="16">
        <v>0</v>
      </c>
      <c r="X34" s="16">
        <v>19249</v>
      </c>
      <c r="Y34" s="16">
        <v>27513</v>
      </c>
      <c r="Z34" s="16">
        <v>2759</v>
      </c>
      <c r="AA34" s="16">
        <v>3261</v>
      </c>
      <c r="AB34" s="16">
        <v>0</v>
      </c>
      <c r="AC34" s="16">
        <v>0</v>
      </c>
      <c r="AD34" s="16">
        <v>0</v>
      </c>
      <c r="AE34" s="16">
        <f t="shared" si="29"/>
        <v>165704</v>
      </c>
      <c r="AF34" s="16">
        <v>0</v>
      </c>
      <c r="AG34" s="16">
        <v>2211</v>
      </c>
      <c r="AH34" s="16">
        <v>6860</v>
      </c>
      <c r="AI34" s="16">
        <v>0</v>
      </c>
      <c r="AJ34" s="16">
        <v>1591</v>
      </c>
      <c r="AK34" s="16">
        <v>0</v>
      </c>
      <c r="AL34" s="16">
        <v>19227</v>
      </c>
      <c r="AM34" s="16">
        <v>0</v>
      </c>
      <c r="AN34" s="16">
        <v>16878</v>
      </c>
      <c r="AO34" s="16">
        <v>0</v>
      </c>
      <c r="AP34" s="16">
        <v>0</v>
      </c>
      <c r="AQ34" s="16">
        <v>0</v>
      </c>
      <c r="AR34" s="16">
        <v>118614</v>
      </c>
      <c r="AS34" s="16">
        <v>0</v>
      </c>
      <c r="AT34" s="16">
        <v>0</v>
      </c>
      <c r="AU34" s="16">
        <v>0</v>
      </c>
      <c r="AV34" s="16">
        <v>0</v>
      </c>
      <c r="AW34" s="16">
        <v>0</v>
      </c>
      <c r="AX34" s="16">
        <v>0</v>
      </c>
      <c r="AY34" s="16">
        <v>0</v>
      </c>
      <c r="AZ34" s="16">
        <v>323</v>
      </c>
      <c r="BA34" s="16">
        <f t="shared" si="30"/>
        <v>0</v>
      </c>
      <c r="BB34" s="16">
        <f t="shared" si="31"/>
        <v>0</v>
      </c>
      <c r="BC34" s="16">
        <v>0</v>
      </c>
      <c r="BD34" s="16">
        <v>0</v>
      </c>
      <c r="BE34" s="16">
        <v>0</v>
      </c>
      <c r="BF34" s="16">
        <f t="shared" si="9"/>
        <v>0</v>
      </c>
      <c r="BG34" s="16">
        <v>0</v>
      </c>
      <c r="BH34" s="16">
        <v>0</v>
      </c>
      <c r="BI34" s="16">
        <v>0</v>
      </c>
      <c r="BJ34" s="16">
        <v>0</v>
      </c>
      <c r="BK34" s="16">
        <f t="shared" si="10"/>
        <v>0</v>
      </c>
      <c r="BL34" s="16">
        <v>0</v>
      </c>
      <c r="BM34" s="16">
        <f t="shared" si="11"/>
        <v>0</v>
      </c>
      <c r="BN34" s="16">
        <v>0</v>
      </c>
      <c r="BO34" s="16">
        <v>0</v>
      </c>
      <c r="BP34" s="16">
        <v>0</v>
      </c>
      <c r="BQ34" s="16">
        <v>0</v>
      </c>
      <c r="BR34" s="16">
        <v>0</v>
      </c>
      <c r="BS34" s="16">
        <v>0</v>
      </c>
      <c r="BT34" s="16">
        <v>0</v>
      </c>
      <c r="BU34" s="16">
        <v>0</v>
      </c>
      <c r="BV34" s="16">
        <v>0</v>
      </c>
      <c r="BW34" s="16">
        <v>0</v>
      </c>
      <c r="BX34" s="16">
        <v>0</v>
      </c>
      <c r="BY34" s="16">
        <f t="shared" si="32"/>
        <v>38454</v>
      </c>
      <c r="BZ34" s="16">
        <f t="shared" si="33"/>
        <v>38454</v>
      </c>
      <c r="CA34" s="16">
        <f t="shared" si="12"/>
        <v>38454</v>
      </c>
      <c r="CB34" s="16">
        <v>0</v>
      </c>
      <c r="CC34" s="16">
        <v>38454</v>
      </c>
      <c r="CD34" s="16">
        <f t="shared" si="13"/>
        <v>0</v>
      </c>
      <c r="CE34" s="16">
        <v>0</v>
      </c>
      <c r="CF34" s="16">
        <v>0</v>
      </c>
      <c r="CG34" s="16">
        <v>0</v>
      </c>
      <c r="CH34" s="16">
        <v>0</v>
      </c>
      <c r="CI34" s="16">
        <v>0</v>
      </c>
      <c r="CJ34" s="16">
        <v>0</v>
      </c>
      <c r="CK34" s="16">
        <f t="shared" si="14"/>
        <v>0</v>
      </c>
      <c r="CL34" s="16">
        <v>0</v>
      </c>
      <c r="CM34" s="16">
        <v>0</v>
      </c>
      <c r="CN34" s="16">
        <v>0</v>
      </c>
      <c r="CO34" s="16">
        <v>0</v>
      </c>
      <c r="CP34" s="16">
        <v>0</v>
      </c>
      <c r="CQ34" s="16">
        <v>0</v>
      </c>
      <c r="CR34" s="16">
        <v>0</v>
      </c>
      <c r="CS34" s="16">
        <v>0</v>
      </c>
      <c r="CT34" s="16">
        <f t="shared" si="15"/>
        <v>0</v>
      </c>
      <c r="CU34" s="16">
        <f t="shared" si="16"/>
        <v>0</v>
      </c>
      <c r="CV34" s="16">
        <v>0</v>
      </c>
      <c r="CW34" s="17">
        <v>0</v>
      </c>
      <c r="CX34" s="40"/>
      <c r="CY34" s="40"/>
    </row>
    <row r="35" spans="1:103" ht="31.5" x14ac:dyDescent="0.25">
      <c r="A35" s="13" t="s">
        <v>1</v>
      </c>
      <c r="B35" s="14" t="s">
        <v>1</v>
      </c>
      <c r="C35" s="14" t="s">
        <v>38</v>
      </c>
      <c r="D35" s="30" t="s">
        <v>493</v>
      </c>
      <c r="E35" s="15">
        <f t="shared" si="25"/>
        <v>1919208</v>
      </c>
      <c r="F35" s="16">
        <f t="shared" si="26"/>
        <v>1890541</v>
      </c>
      <c r="G35" s="16">
        <f t="shared" si="27"/>
        <v>1885940</v>
      </c>
      <c r="H35" s="16">
        <v>1354535</v>
      </c>
      <c r="I35" s="16">
        <v>325500</v>
      </c>
      <c r="J35" s="16">
        <f t="shared" si="7"/>
        <v>40264</v>
      </c>
      <c r="K35" s="16">
        <v>0</v>
      </c>
      <c r="L35" s="16">
        <v>0</v>
      </c>
      <c r="M35" s="16">
        <v>0</v>
      </c>
      <c r="N35" s="16">
        <v>0</v>
      </c>
      <c r="O35" s="16">
        <v>26957</v>
      </c>
      <c r="P35" s="16">
        <v>13307</v>
      </c>
      <c r="Q35" s="16">
        <f t="shared" si="8"/>
        <v>12870</v>
      </c>
      <c r="R35" s="16">
        <v>0</v>
      </c>
      <c r="S35" s="16">
        <v>12870</v>
      </c>
      <c r="T35" s="16">
        <v>0</v>
      </c>
      <c r="U35" s="16">
        <v>25798</v>
      </c>
      <c r="V35" s="16">
        <f t="shared" si="28"/>
        <v>19311</v>
      </c>
      <c r="W35" s="16">
        <v>0</v>
      </c>
      <c r="X35" s="16">
        <v>10871</v>
      </c>
      <c r="Y35" s="16">
        <v>3599</v>
      </c>
      <c r="Z35" s="16">
        <v>1065</v>
      </c>
      <c r="AA35" s="16">
        <v>3776</v>
      </c>
      <c r="AB35" s="16">
        <v>0</v>
      </c>
      <c r="AC35" s="16">
        <v>0</v>
      </c>
      <c r="AD35" s="16">
        <v>0</v>
      </c>
      <c r="AE35" s="16">
        <f t="shared" si="29"/>
        <v>107662</v>
      </c>
      <c r="AF35" s="16">
        <v>0</v>
      </c>
      <c r="AG35" s="16">
        <v>2218</v>
      </c>
      <c r="AH35" s="16">
        <v>5147</v>
      </c>
      <c r="AI35" s="16">
        <v>0</v>
      </c>
      <c r="AJ35" s="16">
        <v>1591</v>
      </c>
      <c r="AK35" s="16">
        <v>0</v>
      </c>
      <c r="AL35" s="16">
        <v>14334</v>
      </c>
      <c r="AM35" s="16">
        <v>0</v>
      </c>
      <c r="AN35" s="16">
        <v>8730</v>
      </c>
      <c r="AO35" s="16">
        <v>0</v>
      </c>
      <c r="AP35" s="16">
        <v>0</v>
      </c>
      <c r="AQ35" s="16">
        <v>0</v>
      </c>
      <c r="AR35" s="16">
        <v>75642</v>
      </c>
      <c r="AS35" s="16">
        <v>0</v>
      </c>
      <c r="AT35" s="16">
        <v>0</v>
      </c>
      <c r="AU35" s="16">
        <v>0</v>
      </c>
      <c r="AV35" s="16">
        <v>0</v>
      </c>
      <c r="AW35" s="16">
        <v>0</v>
      </c>
      <c r="AX35" s="16">
        <v>0</v>
      </c>
      <c r="AY35" s="16">
        <v>0</v>
      </c>
      <c r="AZ35" s="16">
        <v>0</v>
      </c>
      <c r="BA35" s="16">
        <f t="shared" si="30"/>
        <v>4601</v>
      </c>
      <c r="BB35" s="16">
        <f t="shared" si="31"/>
        <v>0</v>
      </c>
      <c r="BC35" s="16">
        <v>0</v>
      </c>
      <c r="BD35" s="16">
        <v>0</v>
      </c>
      <c r="BE35" s="16">
        <v>0</v>
      </c>
      <c r="BF35" s="16">
        <f t="shared" si="9"/>
        <v>0</v>
      </c>
      <c r="BG35" s="16">
        <v>0</v>
      </c>
      <c r="BH35" s="16">
        <v>0</v>
      </c>
      <c r="BI35" s="16">
        <v>0</v>
      </c>
      <c r="BJ35" s="16">
        <v>0</v>
      </c>
      <c r="BK35" s="16">
        <f t="shared" si="10"/>
        <v>0</v>
      </c>
      <c r="BL35" s="16">
        <v>0</v>
      </c>
      <c r="BM35" s="16">
        <f t="shared" si="11"/>
        <v>4601</v>
      </c>
      <c r="BN35" s="16">
        <v>0</v>
      </c>
      <c r="BO35" s="16">
        <v>0</v>
      </c>
      <c r="BP35" s="16">
        <v>0</v>
      </c>
      <c r="BQ35" s="16">
        <v>0</v>
      </c>
      <c r="BR35" s="16">
        <v>0</v>
      </c>
      <c r="BS35" s="16">
        <v>0</v>
      </c>
      <c r="BT35" s="16">
        <v>0</v>
      </c>
      <c r="BU35" s="16">
        <v>0</v>
      </c>
      <c r="BV35" s="16">
        <v>0</v>
      </c>
      <c r="BW35" s="16">
        <v>4601</v>
      </c>
      <c r="BX35" s="16">
        <v>0</v>
      </c>
      <c r="BY35" s="16">
        <f t="shared" si="32"/>
        <v>28667</v>
      </c>
      <c r="BZ35" s="16">
        <f t="shared" si="33"/>
        <v>28667</v>
      </c>
      <c r="CA35" s="16">
        <f t="shared" si="12"/>
        <v>28667</v>
      </c>
      <c r="CB35" s="16">
        <v>0</v>
      </c>
      <c r="CC35" s="16">
        <v>28667</v>
      </c>
      <c r="CD35" s="16">
        <f t="shared" si="13"/>
        <v>0</v>
      </c>
      <c r="CE35" s="16">
        <v>0</v>
      </c>
      <c r="CF35" s="16">
        <v>0</v>
      </c>
      <c r="CG35" s="16">
        <v>0</v>
      </c>
      <c r="CH35" s="16">
        <v>0</v>
      </c>
      <c r="CI35" s="16">
        <v>0</v>
      </c>
      <c r="CJ35" s="16">
        <v>0</v>
      </c>
      <c r="CK35" s="16">
        <f t="shared" si="14"/>
        <v>0</v>
      </c>
      <c r="CL35" s="16">
        <v>0</v>
      </c>
      <c r="CM35" s="16">
        <v>0</v>
      </c>
      <c r="CN35" s="16">
        <v>0</v>
      </c>
      <c r="CO35" s="16">
        <v>0</v>
      </c>
      <c r="CP35" s="16">
        <v>0</v>
      </c>
      <c r="CQ35" s="16">
        <v>0</v>
      </c>
      <c r="CR35" s="16">
        <v>0</v>
      </c>
      <c r="CS35" s="16">
        <v>0</v>
      </c>
      <c r="CT35" s="16">
        <f t="shared" si="15"/>
        <v>0</v>
      </c>
      <c r="CU35" s="16">
        <f t="shared" si="16"/>
        <v>0</v>
      </c>
      <c r="CV35" s="16">
        <v>0</v>
      </c>
      <c r="CW35" s="17">
        <v>0</v>
      </c>
      <c r="CX35" s="40"/>
      <c r="CY35" s="40"/>
    </row>
    <row r="36" spans="1:103" ht="31.5" x14ac:dyDescent="0.25">
      <c r="A36" s="13" t="s">
        <v>1</v>
      </c>
      <c r="B36" s="14" t="s">
        <v>1</v>
      </c>
      <c r="C36" s="14" t="s">
        <v>39</v>
      </c>
      <c r="D36" s="30" t="s">
        <v>40</v>
      </c>
      <c r="E36" s="15">
        <f t="shared" si="25"/>
        <v>3552287</v>
      </c>
      <c r="F36" s="16">
        <f t="shared" si="26"/>
        <v>3510760</v>
      </c>
      <c r="G36" s="16">
        <f t="shared" si="27"/>
        <v>3510760</v>
      </c>
      <c r="H36" s="16">
        <v>2433251</v>
      </c>
      <c r="I36" s="16">
        <v>590797</v>
      </c>
      <c r="J36" s="16">
        <f t="shared" si="7"/>
        <v>402238</v>
      </c>
      <c r="K36" s="16">
        <v>0</v>
      </c>
      <c r="L36" s="16">
        <v>0</v>
      </c>
      <c r="M36" s="16">
        <v>0</v>
      </c>
      <c r="N36" s="16">
        <v>0</v>
      </c>
      <c r="O36" s="16">
        <v>315388</v>
      </c>
      <c r="P36" s="16">
        <f>96005-9155</f>
        <v>86850</v>
      </c>
      <c r="Q36" s="16">
        <f t="shared" si="8"/>
        <v>0</v>
      </c>
      <c r="R36" s="16">
        <v>0</v>
      </c>
      <c r="S36" s="16">
        <v>0</v>
      </c>
      <c r="T36" s="16">
        <v>0</v>
      </c>
      <c r="U36" s="16">
        <v>26719</v>
      </c>
      <c r="V36" s="16">
        <f t="shared" si="28"/>
        <v>11621</v>
      </c>
      <c r="W36" s="16">
        <v>0</v>
      </c>
      <c r="X36" s="16">
        <v>1547</v>
      </c>
      <c r="Y36" s="16">
        <v>6817</v>
      </c>
      <c r="Z36" s="16">
        <v>360</v>
      </c>
      <c r="AA36" s="16">
        <f>3261-364</f>
        <v>2897</v>
      </c>
      <c r="AB36" s="16">
        <v>0</v>
      </c>
      <c r="AC36" s="16">
        <v>0</v>
      </c>
      <c r="AD36" s="16">
        <v>0</v>
      </c>
      <c r="AE36" s="16">
        <f t="shared" si="29"/>
        <v>46134</v>
      </c>
      <c r="AF36" s="16">
        <v>0</v>
      </c>
      <c r="AG36" s="16">
        <v>397</v>
      </c>
      <c r="AH36" s="16">
        <v>6020</v>
      </c>
      <c r="AI36" s="16">
        <v>0</v>
      </c>
      <c r="AJ36" s="16">
        <v>1591</v>
      </c>
      <c r="AK36" s="16">
        <v>0</v>
      </c>
      <c r="AL36" s="16">
        <v>23547</v>
      </c>
      <c r="AM36" s="16">
        <v>0</v>
      </c>
      <c r="AN36" s="16">
        <v>8730</v>
      </c>
      <c r="AO36" s="16">
        <v>0</v>
      </c>
      <c r="AP36" s="16">
        <v>0</v>
      </c>
      <c r="AQ36" s="16">
        <v>0</v>
      </c>
      <c r="AR36" s="16">
        <v>0</v>
      </c>
      <c r="AS36" s="16">
        <v>0</v>
      </c>
      <c r="AT36" s="16">
        <v>0</v>
      </c>
      <c r="AU36" s="16">
        <v>0</v>
      </c>
      <c r="AV36" s="16">
        <v>0</v>
      </c>
      <c r="AW36" s="16">
        <v>0</v>
      </c>
      <c r="AX36" s="16">
        <v>0</v>
      </c>
      <c r="AY36" s="16">
        <v>0</v>
      </c>
      <c r="AZ36" s="16">
        <v>5849</v>
      </c>
      <c r="BA36" s="16">
        <f t="shared" si="30"/>
        <v>0</v>
      </c>
      <c r="BB36" s="16">
        <f t="shared" si="31"/>
        <v>0</v>
      </c>
      <c r="BC36" s="16">
        <v>0</v>
      </c>
      <c r="BD36" s="16">
        <v>0</v>
      </c>
      <c r="BE36" s="16">
        <v>0</v>
      </c>
      <c r="BF36" s="16">
        <f t="shared" si="9"/>
        <v>0</v>
      </c>
      <c r="BG36" s="16">
        <v>0</v>
      </c>
      <c r="BH36" s="16">
        <v>0</v>
      </c>
      <c r="BI36" s="16">
        <v>0</v>
      </c>
      <c r="BJ36" s="16">
        <v>0</v>
      </c>
      <c r="BK36" s="16">
        <f t="shared" si="10"/>
        <v>0</v>
      </c>
      <c r="BL36" s="16">
        <v>0</v>
      </c>
      <c r="BM36" s="16">
        <f t="shared" si="11"/>
        <v>0</v>
      </c>
      <c r="BN36" s="16">
        <v>0</v>
      </c>
      <c r="BO36" s="16">
        <v>0</v>
      </c>
      <c r="BP36" s="16">
        <v>0</v>
      </c>
      <c r="BQ36" s="16">
        <v>0</v>
      </c>
      <c r="BR36" s="16">
        <v>0</v>
      </c>
      <c r="BS36" s="16">
        <v>0</v>
      </c>
      <c r="BT36" s="16">
        <v>0</v>
      </c>
      <c r="BU36" s="16">
        <v>0</v>
      </c>
      <c r="BV36" s="16">
        <v>0</v>
      </c>
      <c r="BW36" s="16">
        <v>0</v>
      </c>
      <c r="BX36" s="16">
        <v>0</v>
      </c>
      <c r="BY36" s="16">
        <f t="shared" si="32"/>
        <v>41527</v>
      </c>
      <c r="BZ36" s="16">
        <f t="shared" si="33"/>
        <v>41527</v>
      </c>
      <c r="CA36" s="16">
        <f t="shared" si="12"/>
        <v>41527</v>
      </c>
      <c r="CB36" s="16">
        <v>0</v>
      </c>
      <c r="CC36" s="16">
        <f>47095-5568</f>
        <v>41527</v>
      </c>
      <c r="CD36" s="16">
        <f t="shared" si="13"/>
        <v>0</v>
      </c>
      <c r="CE36" s="16">
        <v>0</v>
      </c>
      <c r="CF36" s="16">
        <v>0</v>
      </c>
      <c r="CG36" s="16">
        <v>0</v>
      </c>
      <c r="CH36" s="16">
        <v>0</v>
      </c>
      <c r="CI36" s="16">
        <v>0</v>
      </c>
      <c r="CJ36" s="16">
        <v>0</v>
      </c>
      <c r="CK36" s="16">
        <f t="shared" si="14"/>
        <v>0</v>
      </c>
      <c r="CL36" s="16">
        <v>0</v>
      </c>
      <c r="CM36" s="16">
        <v>0</v>
      </c>
      <c r="CN36" s="16">
        <v>0</v>
      </c>
      <c r="CO36" s="16">
        <v>0</v>
      </c>
      <c r="CP36" s="16">
        <v>0</v>
      </c>
      <c r="CQ36" s="16">
        <v>0</v>
      </c>
      <c r="CR36" s="16">
        <v>0</v>
      </c>
      <c r="CS36" s="16">
        <v>0</v>
      </c>
      <c r="CT36" s="16">
        <f t="shared" si="15"/>
        <v>0</v>
      </c>
      <c r="CU36" s="16">
        <f t="shared" si="16"/>
        <v>0</v>
      </c>
      <c r="CV36" s="16">
        <v>0</v>
      </c>
      <c r="CW36" s="17">
        <v>0</v>
      </c>
      <c r="CX36" s="40"/>
      <c r="CY36" s="40"/>
    </row>
    <row r="37" spans="1:103" ht="20.25" customHeight="1" x14ac:dyDescent="0.25">
      <c r="A37" s="13" t="s">
        <v>1</v>
      </c>
      <c r="B37" s="14" t="s">
        <v>1</v>
      </c>
      <c r="C37" s="14" t="s">
        <v>41</v>
      </c>
      <c r="D37" s="30" t="s">
        <v>42</v>
      </c>
      <c r="E37" s="15">
        <f t="shared" si="25"/>
        <v>936818</v>
      </c>
      <c r="F37" s="16">
        <f t="shared" si="26"/>
        <v>921007</v>
      </c>
      <c r="G37" s="16">
        <f t="shared" si="27"/>
        <v>916406</v>
      </c>
      <c r="H37" s="16">
        <v>645800</v>
      </c>
      <c r="I37" s="16">
        <v>152523</v>
      </c>
      <c r="J37" s="16">
        <f t="shared" si="7"/>
        <v>48606</v>
      </c>
      <c r="K37" s="16">
        <v>0</v>
      </c>
      <c r="L37" s="16">
        <v>0</v>
      </c>
      <c r="M37" s="16">
        <v>0</v>
      </c>
      <c r="N37" s="16">
        <v>0</v>
      </c>
      <c r="O37" s="16">
        <v>40381</v>
      </c>
      <c r="P37" s="16">
        <v>8225</v>
      </c>
      <c r="Q37" s="16">
        <f t="shared" si="8"/>
        <v>0</v>
      </c>
      <c r="R37" s="16">
        <v>0</v>
      </c>
      <c r="S37" s="16">
        <v>0</v>
      </c>
      <c r="T37" s="16">
        <v>0</v>
      </c>
      <c r="U37" s="16">
        <v>21536</v>
      </c>
      <c r="V37" s="16">
        <f t="shared" si="28"/>
        <v>4324</v>
      </c>
      <c r="W37" s="16">
        <v>0</v>
      </c>
      <c r="X37" s="16">
        <v>1979</v>
      </c>
      <c r="Y37" s="16">
        <v>1500</v>
      </c>
      <c r="Z37" s="16">
        <v>273</v>
      </c>
      <c r="AA37" s="16">
        <v>572</v>
      </c>
      <c r="AB37" s="16">
        <v>0</v>
      </c>
      <c r="AC37" s="16">
        <v>0</v>
      </c>
      <c r="AD37" s="16">
        <v>0</v>
      </c>
      <c r="AE37" s="16">
        <f t="shared" si="29"/>
        <v>43617</v>
      </c>
      <c r="AF37" s="16">
        <v>0</v>
      </c>
      <c r="AG37" s="16">
        <v>3200</v>
      </c>
      <c r="AH37" s="16">
        <v>21766</v>
      </c>
      <c r="AI37" s="16">
        <v>0</v>
      </c>
      <c r="AJ37" s="16">
        <v>1591</v>
      </c>
      <c r="AK37" s="16">
        <v>0</v>
      </c>
      <c r="AL37" s="16">
        <v>7906</v>
      </c>
      <c r="AM37" s="16">
        <v>0</v>
      </c>
      <c r="AN37" s="16">
        <v>8730</v>
      </c>
      <c r="AO37" s="16">
        <v>0</v>
      </c>
      <c r="AP37" s="16">
        <v>0</v>
      </c>
      <c r="AQ37" s="16">
        <v>0</v>
      </c>
      <c r="AR37" s="16">
        <v>0</v>
      </c>
      <c r="AS37" s="16">
        <v>0</v>
      </c>
      <c r="AT37" s="16">
        <v>0</v>
      </c>
      <c r="AU37" s="16">
        <v>0</v>
      </c>
      <c r="AV37" s="16">
        <v>0</v>
      </c>
      <c r="AW37" s="16">
        <v>0</v>
      </c>
      <c r="AX37" s="16">
        <v>0</v>
      </c>
      <c r="AY37" s="16">
        <v>0</v>
      </c>
      <c r="AZ37" s="16">
        <v>424</v>
      </c>
      <c r="BA37" s="16">
        <f t="shared" si="30"/>
        <v>4601</v>
      </c>
      <c r="BB37" s="16">
        <f t="shared" si="31"/>
        <v>0</v>
      </c>
      <c r="BC37" s="16">
        <v>0</v>
      </c>
      <c r="BD37" s="16">
        <v>0</v>
      </c>
      <c r="BE37" s="16">
        <v>0</v>
      </c>
      <c r="BF37" s="16">
        <f t="shared" si="9"/>
        <v>0</v>
      </c>
      <c r="BG37" s="16">
        <v>0</v>
      </c>
      <c r="BH37" s="16">
        <v>0</v>
      </c>
      <c r="BI37" s="16">
        <v>0</v>
      </c>
      <c r="BJ37" s="16">
        <v>0</v>
      </c>
      <c r="BK37" s="16">
        <f t="shared" si="10"/>
        <v>0</v>
      </c>
      <c r="BL37" s="16">
        <v>0</v>
      </c>
      <c r="BM37" s="16">
        <f t="shared" si="11"/>
        <v>4601</v>
      </c>
      <c r="BN37" s="16">
        <v>0</v>
      </c>
      <c r="BO37" s="16">
        <v>0</v>
      </c>
      <c r="BP37" s="16">
        <v>0</v>
      </c>
      <c r="BQ37" s="16">
        <v>0</v>
      </c>
      <c r="BR37" s="16">
        <v>0</v>
      </c>
      <c r="BS37" s="16">
        <v>0</v>
      </c>
      <c r="BT37" s="16">
        <v>0</v>
      </c>
      <c r="BU37" s="16">
        <v>0</v>
      </c>
      <c r="BV37" s="16">
        <v>0</v>
      </c>
      <c r="BW37" s="16">
        <v>4601</v>
      </c>
      <c r="BX37" s="16">
        <v>0</v>
      </c>
      <c r="BY37" s="16">
        <f t="shared" si="32"/>
        <v>15811</v>
      </c>
      <c r="BZ37" s="16">
        <f t="shared" si="33"/>
        <v>15811</v>
      </c>
      <c r="CA37" s="16">
        <f t="shared" si="12"/>
        <v>15811</v>
      </c>
      <c r="CB37" s="16">
        <v>0</v>
      </c>
      <c r="CC37" s="16">
        <v>15811</v>
      </c>
      <c r="CD37" s="16">
        <f t="shared" si="13"/>
        <v>0</v>
      </c>
      <c r="CE37" s="16">
        <v>0</v>
      </c>
      <c r="CF37" s="16">
        <v>0</v>
      </c>
      <c r="CG37" s="16">
        <v>0</v>
      </c>
      <c r="CH37" s="16">
        <v>0</v>
      </c>
      <c r="CI37" s="16">
        <v>0</v>
      </c>
      <c r="CJ37" s="16">
        <v>0</v>
      </c>
      <c r="CK37" s="16">
        <f t="shared" si="14"/>
        <v>0</v>
      </c>
      <c r="CL37" s="16">
        <v>0</v>
      </c>
      <c r="CM37" s="16">
        <v>0</v>
      </c>
      <c r="CN37" s="16">
        <v>0</v>
      </c>
      <c r="CO37" s="16">
        <v>0</v>
      </c>
      <c r="CP37" s="16">
        <v>0</v>
      </c>
      <c r="CQ37" s="16">
        <v>0</v>
      </c>
      <c r="CR37" s="16">
        <v>0</v>
      </c>
      <c r="CS37" s="16">
        <v>0</v>
      </c>
      <c r="CT37" s="16">
        <f t="shared" si="15"/>
        <v>0</v>
      </c>
      <c r="CU37" s="16">
        <f t="shared" si="16"/>
        <v>0</v>
      </c>
      <c r="CV37" s="16">
        <v>0</v>
      </c>
      <c r="CW37" s="17">
        <v>0</v>
      </c>
      <c r="CX37" s="40"/>
      <c r="CY37" s="40"/>
    </row>
    <row r="38" spans="1:103" ht="15.75" x14ac:dyDescent="0.25">
      <c r="A38" s="13" t="s">
        <v>1</v>
      </c>
      <c r="B38" s="14" t="s">
        <v>1</v>
      </c>
      <c r="C38" s="14" t="s">
        <v>43</v>
      </c>
      <c r="D38" s="30" t="s">
        <v>44</v>
      </c>
      <c r="E38" s="15">
        <f t="shared" si="25"/>
        <v>16539003</v>
      </c>
      <c r="F38" s="16">
        <f t="shared" si="26"/>
        <v>12398800</v>
      </c>
      <c r="G38" s="16">
        <f t="shared" si="27"/>
        <v>12192498</v>
      </c>
      <c r="H38" s="16">
        <v>9010147</v>
      </c>
      <c r="I38" s="16">
        <v>1509958</v>
      </c>
      <c r="J38" s="16">
        <f t="shared" si="7"/>
        <v>475447</v>
      </c>
      <c r="K38" s="16">
        <v>0</v>
      </c>
      <c r="L38" s="16">
        <v>122719</v>
      </c>
      <c r="M38" s="16">
        <v>0</v>
      </c>
      <c r="N38" s="16">
        <v>0</v>
      </c>
      <c r="O38" s="16">
        <v>180842</v>
      </c>
      <c r="P38" s="16">
        <v>171886</v>
      </c>
      <c r="Q38" s="16">
        <f t="shared" si="8"/>
        <v>40108</v>
      </c>
      <c r="R38" s="16">
        <v>2334</v>
      </c>
      <c r="S38" s="16">
        <v>37774</v>
      </c>
      <c r="T38" s="16">
        <v>0</v>
      </c>
      <c r="U38" s="16">
        <v>634642</v>
      </c>
      <c r="V38" s="16">
        <f t="shared" si="28"/>
        <v>174017</v>
      </c>
      <c r="W38" s="16">
        <v>67758</v>
      </c>
      <c r="X38" s="16">
        <v>0</v>
      </c>
      <c r="Y38" s="16">
        <v>77172</v>
      </c>
      <c r="Z38" s="16">
        <v>8590</v>
      </c>
      <c r="AA38" s="16">
        <v>14347</v>
      </c>
      <c r="AB38" s="16">
        <v>0</v>
      </c>
      <c r="AC38" s="16">
        <v>0</v>
      </c>
      <c r="AD38" s="16">
        <v>6150</v>
      </c>
      <c r="AE38" s="16">
        <f t="shared" si="29"/>
        <v>348179</v>
      </c>
      <c r="AF38" s="16">
        <v>0</v>
      </c>
      <c r="AG38" s="16">
        <v>43997</v>
      </c>
      <c r="AH38" s="16">
        <v>30222</v>
      </c>
      <c r="AI38" s="16">
        <v>0</v>
      </c>
      <c r="AJ38" s="16">
        <v>1591</v>
      </c>
      <c r="AK38" s="16">
        <v>0</v>
      </c>
      <c r="AL38" s="16">
        <v>90101</v>
      </c>
      <c r="AM38" s="16">
        <v>11759</v>
      </c>
      <c r="AN38" s="16">
        <v>22407</v>
      </c>
      <c r="AO38" s="16">
        <v>0</v>
      </c>
      <c r="AP38" s="16">
        <v>0</v>
      </c>
      <c r="AQ38" s="16">
        <v>0</v>
      </c>
      <c r="AR38" s="16">
        <v>0</v>
      </c>
      <c r="AS38" s="16">
        <v>0</v>
      </c>
      <c r="AT38" s="16">
        <v>0</v>
      </c>
      <c r="AU38" s="16">
        <v>0</v>
      </c>
      <c r="AV38" s="16">
        <v>0</v>
      </c>
      <c r="AW38" s="16">
        <v>93469</v>
      </c>
      <c r="AX38" s="16">
        <v>0</v>
      </c>
      <c r="AY38" s="16">
        <v>0</v>
      </c>
      <c r="AZ38" s="16">
        <v>54633</v>
      </c>
      <c r="BA38" s="16">
        <f t="shared" si="30"/>
        <v>206302</v>
      </c>
      <c r="BB38" s="16">
        <f t="shared" si="31"/>
        <v>0</v>
      </c>
      <c r="BC38" s="16">
        <v>0</v>
      </c>
      <c r="BD38" s="16">
        <v>0</v>
      </c>
      <c r="BE38" s="16">
        <v>0</v>
      </c>
      <c r="BF38" s="16">
        <f t="shared" si="9"/>
        <v>0</v>
      </c>
      <c r="BG38" s="16">
        <v>0</v>
      </c>
      <c r="BH38" s="16">
        <v>0</v>
      </c>
      <c r="BI38" s="16">
        <v>0</v>
      </c>
      <c r="BJ38" s="16">
        <v>0</v>
      </c>
      <c r="BK38" s="16">
        <f t="shared" si="10"/>
        <v>0</v>
      </c>
      <c r="BL38" s="16">
        <v>0</v>
      </c>
      <c r="BM38" s="16">
        <f t="shared" si="11"/>
        <v>206302</v>
      </c>
      <c r="BN38" s="16">
        <v>0</v>
      </c>
      <c r="BO38" s="16">
        <v>0</v>
      </c>
      <c r="BP38" s="16">
        <v>0</v>
      </c>
      <c r="BQ38" s="16">
        <v>0</v>
      </c>
      <c r="BR38" s="16">
        <v>0</v>
      </c>
      <c r="BS38" s="16">
        <v>0</v>
      </c>
      <c r="BT38" s="16">
        <v>0</v>
      </c>
      <c r="BU38" s="16">
        <v>0</v>
      </c>
      <c r="BV38" s="16">
        <v>0</v>
      </c>
      <c r="BW38" s="16">
        <v>206302</v>
      </c>
      <c r="BX38" s="16">
        <v>0</v>
      </c>
      <c r="BY38" s="16">
        <f t="shared" si="32"/>
        <v>4140203</v>
      </c>
      <c r="BZ38" s="16">
        <f t="shared" si="33"/>
        <v>4140203</v>
      </c>
      <c r="CA38" s="16">
        <f t="shared" si="12"/>
        <v>180203</v>
      </c>
      <c r="CB38" s="16">
        <v>0</v>
      </c>
      <c r="CC38" s="16">
        <v>180203</v>
      </c>
      <c r="CD38" s="16">
        <f t="shared" si="13"/>
        <v>3960000</v>
      </c>
      <c r="CE38" s="16">
        <v>0</v>
      </c>
      <c r="CF38" s="16">
        <v>0</v>
      </c>
      <c r="CG38" s="16">
        <v>0</v>
      </c>
      <c r="CH38" s="16">
        <v>3960000</v>
      </c>
      <c r="CI38" s="16">
        <v>0</v>
      </c>
      <c r="CJ38" s="16">
        <v>0</v>
      </c>
      <c r="CK38" s="16">
        <f t="shared" si="14"/>
        <v>0</v>
      </c>
      <c r="CL38" s="16">
        <v>0</v>
      </c>
      <c r="CM38" s="16">
        <v>0</v>
      </c>
      <c r="CN38" s="16">
        <v>0</v>
      </c>
      <c r="CO38" s="16">
        <v>0</v>
      </c>
      <c r="CP38" s="16">
        <v>0</v>
      </c>
      <c r="CQ38" s="16">
        <v>0</v>
      </c>
      <c r="CR38" s="16">
        <v>0</v>
      </c>
      <c r="CS38" s="16">
        <v>0</v>
      </c>
      <c r="CT38" s="16">
        <f t="shared" si="15"/>
        <v>0</v>
      </c>
      <c r="CU38" s="16">
        <f t="shared" si="16"/>
        <v>0</v>
      </c>
      <c r="CV38" s="16">
        <v>0</v>
      </c>
      <c r="CW38" s="17">
        <v>0</v>
      </c>
      <c r="CX38" s="40"/>
      <c r="CY38" s="40"/>
    </row>
    <row r="39" spans="1:103" ht="15.75" x14ac:dyDescent="0.25">
      <c r="A39" s="13" t="s">
        <v>1</v>
      </c>
      <c r="B39" s="14" t="s">
        <v>1</v>
      </c>
      <c r="C39" s="14" t="s">
        <v>45</v>
      </c>
      <c r="D39" s="30" t="s">
        <v>46</v>
      </c>
      <c r="E39" s="15">
        <f t="shared" si="25"/>
        <v>2193909</v>
      </c>
      <c r="F39" s="16">
        <f t="shared" si="26"/>
        <v>2161815</v>
      </c>
      <c r="G39" s="16">
        <f t="shared" si="27"/>
        <v>2159131</v>
      </c>
      <c r="H39" s="16">
        <v>1572130</v>
      </c>
      <c r="I39" s="16">
        <v>377582</v>
      </c>
      <c r="J39" s="16">
        <f t="shared" si="7"/>
        <v>81483</v>
      </c>
      <c r="K39" s="16">
        <v>0</v>
      </c>
      <c r="L39" s="16">
        <v>0</v>
      </c>
      <c r="M39" s="16">
        <v>0</v>
      </c>
      <c r="N39" s="16">
        <v>0</v>
      </c>
      <c r="O39" s="16">
        <v>41736</v>
      </c>
      <c r="P39" s="16">
        <v>39747</v>
      </c>
      <c r="Q39" s="16">
        <f t="shared" si="8"/>
        <v>7745</v>
      </c>
      <c r="R39" s="16">
        <v>0</v>
      </c>
      <c r="S39" s="16">
        <v>7745</v>
      </c>
      <c r="T39" s="16">
        <v>0</v>
      </c>
      <c r="U39" s="16">
        <v>41846</v>
      </c>
      <c r="V39" s="16">
        <f t="shared" si="28"/>
        <v>9945</v>
      </c>
      <c r="W39" s="16">
        <v>0</v>
      </c>
      <c r="X39" s="16">
        <v>4509</v>
      </c>
      <c r="Y39" s="16">
        <v>4708</v>
      </c>
      <c r="Z39" s="16">
        <v>728</v>
      </c>
      <c r="AA39" s="16">
        <v>0</v>
      </c>
      <c r="AB39" s="16">
        <v>0</v>
      </c>
      <c r="AC39" s="16">
        <v>0</v>
      </c>
      <c r="AD39" s="16">
        <v>0</v>
      </c>
      <c r="AE39" s="16">
        <f t="shared" si="29"/>
        <v>68400</v>
      </c>
      <c r="AF39" s="16">
        <v>0</v>
      </c>
      <c r="AG39" s="16">
        <v>887</v>
      </c>
      <c r="AH39" s="16">
        <v>0</v>
      </c>
      <c r="AI39" s="16">
        <v>0</v>
      </c>
      <c r="AJ39" s="16">
        <v>1591</v>
      </c>
      <c r="AK39" s="16">
        <v>0</v>
      </c>
      <c r="AL39" s="16">
        <v>16047</v>
      </c>
      <c r="AM39" s="16">
        <v>20000</v>
      </c>
      <c r="AN39" s="16">
        <v>5238</v>
      </c>
      <c r="AO39" s="16">
        <v>0</v>
      </c>
      <c r="AP39" s="16">
        <v>0</v>
      </c>
      <c r="AQ39" s="16">
        <v>0</v>
      </c>
      <c r="AR39" s="16">
        <v>20397</v>
      </c>
      <c r="AS39" s="16">
        <v>4240</v>
      </c>
      <c r="AT39" s="16">
        <v>0</v>
      </c>
      <c r="AU39" s="16">
        <v>0</v>
      </c>
      <c r="AV39" s="16">
        <v>0</v>
      </c>
      <c r="AW39" s="16">
        <v>0</v>
      </c>
      <c r="AX39" s="16">
        <v>0</v>
      </c>
      <c r="AY39" s="16">
        <v>0</v>
      </c>
      <c r="AZ39" s="16">
        <v>0</v>
      </c>
      <c r="BA39" s="16">
        <f t="shared" si="30"/>
        <v>2684</v>
      </c>
      <c r="BB39" s="16">
        <f t="shared" si="31"/>
        <v>0</v>
      </c>
      <c r="BC39" s="16">
        <v>0</v>
      </c>
      <c r="BD39" s="16">
        <v>0</v>
      </c>
      <c r="BE39" s="16">
        <v>0</v>
      </c>
      <c r="BF39" s="16">
        <f t="shared" si="9"/>
        <v>0</v>
      </c>
      <c r="BG39" s="16">
        <v>0</v>
      </c>
      <c r="BH39" s="16">
        <v>0</v>
      </c>
      <c r="BI39" s="16">
        <v>0</v>
      </c>
      <c r="BJ39" s="16">
        <v>0</v>
      </c>
      <c r="BK39" s="16">
        <f t="shared" si="10"/>
        <v>0</v>
      </c>
      <c r="BL39" s="16">
        <v>0</v>
      </c>
      <c r="BM39" s="16">
        <f t="shared" si="11"/>
        <v>2684</v>
      </c>
      <c r="BN39" s="16">
        <v>0</v>
      </c>
      <c r="BO39" s="16">
        <v>0</v>
      </c>
      <c r="BP39" s="16">
        <v>0</v>
      </c>
      <c r="BQ39" s="16">
        <v>0</v>
      </c>
      <c r="BR39" s="16">
        <v>0</v>
      </c>
      <c r="BS39" s="16">
        <v>0</v>
      </c>
      <c r="BT39" s="16">
        <v>0</v>
      </c>
      <c r="BU39" s="16">
        <v>0</v>
      </c>
      <c r="BV39" s="16">
        <v>0</v>
      </c>
      <c r="BW39" s="16">
        <v>2684</v>
      </c>
      <c r="BX39" s="16">
        <v>0</v>
      </c>
      <c r="BY39" s="16">
        <f t="shared" si="32"/>
        <v>32094</v>
      </c>
      <c r="BZ39" s="16">
        <f t="shared" si="33"/>
        <v>32094</v>
      </c>
      <c r="CA39" s="16">
        <f t="shared" si="12"/>
        <v>32094</v>
      </c>
      <c r="CB39" s="16">
        <v>0</v>
      </c>
      <c r="CC39" s="16">
        <v>32094</v>
      </c>
      <c r="CD39" s="16">
        <f t="shared" si="13"/>
        <v>0</v>
      </c>
      <c r="CE39" s="16">
        <v>0</v>
      </c>
      <c r="CF39" s="16">
        <v>0</v>
      </c>
      <c r="CG39" s="16">
        <v>0</v>
      </c>
      <c r="CH39" s="16">
        <v>0</v>
      </c>
      <c r="CI39" s="16">
        <v>0</v>
      </c>
      <c r="CJ39" s="16">
        <v>0</v>
      </c>
      <c r="CK39" s="16">
        <f t="shared" si="14"/>
        <v>0</v>
      </c>
      <c r="CL39" s="16">
        <v>0</v>
      </c>
      <c r="CM39" s="16">
        <v>0</v>
      </c>
      <c r="CN39" s="16">
        <v>0</v>
      </c>
      <c r="CO39" s="16">
        <v>0</v>
      </c>
      <c r="CP39" s="16">
        <v>0</v>
      </c>
      <c r="CQ39" s="16">
        <v>0</v>
      </c>
      <c r="CR39" s="16">
        <v>0</v>
      </c>
      <c r="CS39" s="16">
        <v>0</v>
      </c>
      <c r="CT39" s="16">
        <f t="shared" si="15"/>
        <v>0</v>
      </c>
      <c r="CU39" s="16">
        <f t="shared" si="16"/>
        <v>0</v>
      </c>
      <c r="CV39" s="16">
        <v>0</v>
      </c>
      <c r="CW39" s="17">
        <v>0</v>
      </c>
      <c r="CX39" s="40"/>
      <c r="CY39" s="40"/>
    </row>
    <row r="40" spans="1:103" ht="31.5" x14ac:dyDescent="0.25">
      <c r="A40" s="13" t="s">
        <v>3</v>
      </c>
      <c r="B40" s="14" t="s">
        <v>47</v>
      </c>
      <c r="C40" s="14" t="s">
        <v>1</v>
      </c>
      <c r="D40" s="30" t="s">
        <v>48</v>
      </c>
      <c r="E40" s="15">
        <f>SUM(E41)</f>
        <v>29408143</v>
      </c>
      <c r="F40" s="16">
        <f t="shared" ref="F40:BS40" si="34">SUM(F41)</f>
        <v>28995586</v>
      </c>
      <c r="G40" s="16">
        <f t="shared" si="34"/>
        <v>26893186</v>
      </c>
      <c r="H40" s="16">
        <f t="shared" si="34"/>
        <v>20627829</v>
      </c>
      <c r="I40" s="16">
        <f t="shared" si="34"/>
        <v>1873770</v>
      </c>
      <c r="J40" s="16">
        <f t="shared" si="34"/>
        <v>1756385</v>
      </c>
      <c r="K40" s="16">
        <f t="shared" si="34"/>
        <v>0</v>
      </c>
      <c r="L40" s="16">
        <f t="shared" si="34"/>
        <v>1207905</v>
      </c>
      <c r="M40" s="16">
        <f t="shared" si="34"/>
        <v>0</v>
      </c>
      <c r="N40" s="16">
        <f t="shared" si="34"/>
        <v>0</v>
      </c>
      <c r="O40" s="16">
        <f t="shared" si="34"/>
        <v>408447</v>
      </c>
      <c r="P40" s="16">
        <f t="shared" si="34"/>
        <v>140033</v>
      </c>
      <c r="Q40" s="16">
        <f t="shared" si="34"/>
        <v>109111</v>
      </c>
      <c r="R40" s="16">
        <f t="shared" si="34"/>
        <v>0</v>
      </c>
      <c r="S40" s="16">
        <f t="shared" si="34"/>
        <v>109111</v>
      </c>
      <c r="T40" s="16">
        <f t="shared" si="34"/>
        <v>0</v>
      </c>
      <c r="U40" s="16">
        <f t="shared" si="34"/>
        <v>652056</v>
      </c>
      <c r="V40" s="16">
        <f t="shared" si="34"/>
        <v>152164</v>
      </c>
      <c r="W40" s="16">
        <f t="shared" si="34"/>
        <v>31312</v>
      </c>
      <c r="X40" s="16">
        <f t="shared" si="34"/>
        <v>44014</v>
      </c>
      <c r="Y40" s="16">
        <f t="shared" si="34"/>
        <v>55992</v>
      </c>
      <c r="Z40" s="16">
        <f t="shared" si="34"/>
        <v>8125</v>
      </c>
      <c r="AA40" s="16">
        <f t="shared" si="34"/>
        <v>8380</v>
      </c>
      <c r="AB40" s="16">
        <f t="shared" si="34"/>
        <v>0</v>
      </c>
      <c r="AC40" s="16">
        <f t="shared" si="34"/>
        <v>0</v>
      </c>
      <c r="AD40" s="16">
        <f t="shared" si="34"/>
        <v>4341</v>
      </c>
      <c r="AE40" s="16">
        <f t="shared" si="34"/>
        <v>1721871</v>
      </c>
      <c r="AF40" s="16">
        <f t="shared" si="34"/>
        <v>0</v>
      </c>
      <c r="AG40" s="16">
        <f t="shared" si="34"/>
        <v>98435</v>
      </c>
      <c r="AH40" s="16">
        <f t="shared" si="34"/>
        <v>37587</v>
      </c>
      <c r="AI40" s="16">
        <f t="shared" si="34"/>
        <v>0</v>
      </c>
      <c r="AJ40" s="16">
        <f t="shared" si="34"/>
        <v>22276</v>
      </c>
      <c r="AK40" s="16">
        <f t="shared" si="34"/>
        <v>0</v>
      </c>
      <c r="AL40" s="16">
        <f t="shared" si="34"/>
        <v>206278</v>
      </c>
      <c r="AM40" s="16">
        <f t="shared" si="34"/>
        <v>37436</v>
      </c>
      <c r="AN40" s="16">
        <f t="shared" si="34"/>
        <v>0</v>
      </c>
      <c r="AO40" s="16">
        <f t="shared" si="34"/>
        <v>0</v>
      </c>
      <c r="AP40" s="16">
        <f t="shared" si="34"/>
        <v>0</v>
      </c>
      <c r="AQ40" s="16">
        <f t="shared" si="34"/>
        <v>0</v>
      </c>
      <c r="AR40" s="16">
        <f t="shared" si="34"/>
        <v>54445</v>
      </c>
      <c r="AS40" s="16">
        <f t="shared" si="34"/>
        <v>0</v>
      </c>
      <c r="AT40" s="16">
        <f t="shared" si="34"/>
        <v>0</v>
      </c>
      <c r="AU40" s="16">
        <f t="shared" si="34"/>
        <v>0</v>
      </c>
      <c r="AV40" s="16">
        <f t="shared" si="34"/>
        <v>0</v>
      </c>
      <c r="AW40" s="16">
        <f t="shared" si="34"/>
        <v>1257940</v>
      </c>
      <c r="AX40" s="16">
        <f t="shared" si="34"/>
        <v>0</v>
      </c>
      <c r="AY40" s="16">
        <f t="shared" si="34"/>
        <v>0</v>
      </c>
      <c r="AZ40" s="16">
        <f t="shared" si="34"/>
        <v>7474</v>
      </c>
      <c r="BA40" s="16">
        <f t="shared" si="34"/>
        <v>2102400</v>
      </c>
      <c r="BB40" s="16">
        <f t="shared" si="34"/>
        <v>0</v>
      </c>
      <c r="BC40" s="16">
        <f t="shared" si="34"/>
        <v>0</v>
      </c>
      <c r="BD40" s="16">
        <f t="shared" si="34"/>
        <v>0</v>
      </c>
      <c r="BE40" s="16">
        <f t="shared" si="34"/>
        <v>0</v>
      </c>
      <c r="BF40" s="16">
        <f t="shared" si="34"/>
        <v>0</v>
      </c>
      <c r="BG40" s="16">
        <f t="shared" si="34"/>
        <v>0</v>
      </c>
      <c r="BH40" s="16">
        <f t="shared" si="34"/>
        <v>0</v>
      </c>
      <c r="BI40" s="16">
        <f t="shared" si="34"/>
        <v>0</v>
      </c>
      <c r="BJ40" s="16">
        <f t="shared" si="34"/>
        <v>0</v>
      </c>
      <c r="BK40" s="16">
        <f t="shared" si="34"/>
        <v>0</v>
      </c>
      <c r="BL40" s="16">
        <f t="shared" si="34"/>
        <v>0</v>
      </c>
      <c r="BM40" s="16">
        <f t="shared" si="34"/>
        <v>2102400</v>
      </c>
      <c r="BN40" s="16">
        <f t="shared" si="34"/>
        <v>0</v>
      </c>
      <c r="BO40" s="16">
        <f t="shared" si="34"/>
        <v>0</v>
      </c>
      <c r="BP40" s="16">
        <f t="shared" si="34"/>
        <v>0</v>
      </c>
      <c r="BQ40" s="16">
        <f t="shared" si="34"/>
        <v>0</v>
      </c>
      <c r="BR40" s="16">
        <f t="shared" si="34"/>
        <v>0</v>
      </c>
      <c r="BS40" s="16">
        <f t="shared" si="34"/>
        <v>0</v>
      </c>
      <c r="BT40" s="16">
        <f t="shared" ref="BT40:CW40" si="35">SUM(BT41)</f>
        <v>0</v>
      </c>
      <c r="BU40" s="16">
        <f t="shared" si="35"/>
        <v>0</v>
      </c>
      <c r="BV40" s="16">
        <f t="shared" si="35"/>
        <v>0</v>
      </c>
      <c r="BW40" s="16">
        <f t="shared" si="35"/>
        <v>2102400</v>
      </c>
      <c r="BX40" s="16">
        <f t="shared" si="35"/>
        <v>0</v>
      </c>
      <c r="BY40" s="16">
        <f t="shared" si="35"/>
        <v>412557</v>
      </c>
      <c r="BZ40" s="16">
        <f t="shared" si="35"/>
        <v>412557</v>
      </c>
      <c r="CA40" s="16">
        <f t="shared" si="35"/>
        <v>412557</v>
      </c>
      <c r="CB40" s="16">
        <f t="shared" si="35"/>
        <v>0</v>
      </c>
      <c r="CC40" s="16">
        <f t="shared" si="35"/>
        <v>412557</v>
      </c>
      <c r="CD40" s="16">
        <f t="shared" si="35"/>
        <v>0</v>
      </c>
      <c r="CE40" s="16">
        <f t="shared" si="35"/>
        <v>0</v>
      </c>
      <c r="CF40" s="16">
        <f t="shared" si="35"/>
        <v>0</v>
      </c>
      <c r="CG40" s="16">
        <f t="shared" si="35"/>
        <v>0</v>
      </c>
      <c r="CH40" s="16">
        <f t="shared" si="35"/>
        <v>0</v>
      </c>
      <c r="CI40" s="16">
        <f t="shared" si="35"/>
        <v>0</v>
      </c>
      <c r="CJ40" s="16">
        <f t="shared" si="35"/>
        <v>0</v>
      </c>
      <c r="CK40" s="16">
        <f t="shared" si="35"/>
        <v>0</v>
      </c>
      <c r="CL40" s="16">
        <f t="shared" si="35"/>
        <v>0</v>
      </c>
      <c r="CM40" s="16">
        <f t="shared" si="35"/>
        <v>0</v>
      </c>
      <c r="CN40" s="16">
        <f t="shared" si="35"/>
        <v>0</v>
      </c>
      <c r="CO40" s="16">
        <f t="shared" si="35"/>
        <v>0</v>
      </c>
      <c r="CP40" s="16">
        <f t="shared" si="35"/>
        <v>0</v>
      </c>
      <c r="CQ40" s="16">
        <f t="shared" si="35"/>
        <v>0</v>
      </c>
      <c r="CR40" s="16">
        <f t="shared" si="35"/>
        <v>0</v>
      </c>
      <c r="CS40" s="16">
        <f t="shared" si="35"/>
        <v>0</v>
      </c>
      <c r="CT40" s="16">
        <f t="shared" si="35"/>
        <v>0</v>
      </c>
      <c r="CU40" s="16">
        <f t="shared" si="35"/>
        <v>0</v>
      </c>
      <c r="CV40" s="16">
        <f t="shared" si="35"/>
        <v>0</v>
      </c>
      <c r="CW40" s="17">
        <f t="shared" si="35"/>
        <v>0</v>
      </c>
      <c r="CX40" s="40"/>
      <c r="CY40" s="40"/>
    </row>
    <row r="41" spans="1:103" ht="15.75" x14ac:dyDescent="0.25">
      <c r="A41" s="13" t="s">
        <v>1</v>
      </c>
      <c r="B41" s="14" t="s">
        <v>1</v>
      </c>
      <c r="C41" s="14" t="s">
        <v>43</v>
      </c>
      <c r="D41" s="30" t="s">
        <v>49</v>
      </c>
      <c r="E41" s="15">
        <f>SUM(F41+BY41+CT41)</f>
        <v>29408143</v>
      </c>
      <c r="F41" s="16">
        <f>SUM(G41+BA41)</f>
        <v>28995586</v>
      </c>
      <c r="G41" s="16">
        <f>SUM(H41+I41+J41+Q41+T41+U41+V41+AE41)</f>
        <v>26893186</v>
      </c>
      <c r="H41" s="16">
        <v>20627829</v>
      </c>
      <c r="I41" s="16">
        <v>1873770</v>
      </c>
      <c r="J41" s="16">
        <f t="shared" si="7"/>
        <v>1756385</v>
      </c>
      <c r="K41" s="16">
        <v>0</v>
      </c>
      <c r="L41" s="16">
        <v>1207905</v>
      </c>
      <c r="M41" s="16">
        <v>0</v>
      </c>
      <c r="N41" s="16">
        <v>0</v>
      </c>
      <c r="O41" s="16">
        <v>408447</v>
      </c>
      <c r="P41" s="16">
        <v>140033</v>
      </c>
      <c r="Q41" s="16">
        <f t="shared" si="8"/>
        <v>109111</v>
      </c>
      <c r="R41" s="16">
        <v>0</v>
      </c>
      <c r="S41" s="16">
        <v>109111</v>
      </c>
      <c r="T41" s="16">
        <v>0</v>
      </c>
      <c r="U41" s="16">
        <v>652056</v>
      </c>
      <c r="V41" s="16">
        <f>SUM(W41:AD41)</f>
        <v>152164</v>
      </c>
      <c r="W41" s="16">
        <v>31312</v>
      </c>
      <c r="X41" s="16">
        <v>44014</v>
      </c>
      <c r="Y41" s="16">
        <v>55992</v>
      </c>
      <c r="Z41" s="16">
        <v>8125</v>
      </c>
      <c r="AA41" s="16">
        <v>8380</v>
      </c>
      <c r="AB41" s="16">
        <v>0</v>
      </c>
      <c r="AC41" s="16">
        <v>0</v>
      </c>
      <c r="AD41" s="16">
        <v>4341</v>
      </c>
      <c r="AE41" s="16">
        <f>SUM(AF41:AZ41)</f>
        <v>1721871</v>
      </c>
      <c r="AF41" s="16">
        <v>0</v>
      </c>
      <c r="AG41" s="16">
        <v>98435</v>
      </c>
      <c r="AH41" s="16">
        <v>37587</v>
      </c>
      <c r="AI41" s="16">
        <v>0</v>
      </c>
      <c r="AJ41" s="16">
        <v>22276</v>
      </c>
      <c r="AK41" s="16">
        <v>0</v>
      </c>
      <c r="AL41" s="16">
        <v>206278</v>
      </c>
      <c r="AM41" s="16">
        <f>19436+18000</f>
        <v>37436</v>
      </c>
      <c r="AN41" s="16">
        <v>0</v>
      </c>
      <c r="AO41" s="16">
        <v>0</v>
      </c>
      <c r="AP41" s="16">
        <v>0</v>
      </c>
      <c r="AQ41" s="16">
        <v>0</v>
      </c>
      <c r="AR41" s="16">
        <v>54445</v>
      </c>
      <c r="AS41" s="16">
        <v>0</v>
      </c>
      <c r="AT41" s="16">
        <v>0</v>
      </c>
      <c r="AU41" s="16">
        <v>0</v>
      </c>
      <c r="AV41" s="16">
        <v>0</v>
      </c>
      <c r="AW41" s="16">
        <v>1257940</v>
      </c>
      <c r="AX41" s="16">
        <v>0</v>
      </c>
      <c r="AY41" s="16">
        <v>0</v>
      </c>
      <c r="AZ41" s="16">
        <v>7474</v>
      </c>
      <c r="BA41" s="16">
        <f>SUM(BB41+BF41+BI41+BK41+BM41)</f>
        <v>2102400</v>
      </c>
      <c r="BB41" s="16">
        <f>SUM(BC41:BE41)</f>
        <v>0</v>
      </c>
      <c r="BC41" s="16">
        <v>0</v>
      </c>
      <c r="BD41" s="16">
        <v>0</v>
      </c>
      <c r="BE41" s="16">
        <v>0</v>
      </c>
      <c r="BF41" s="16">
        <f t="shared" si="9"/>
        <v>0</v>
      </c>
      <c r="BG41" s="16">
        <v>0</v>
      </c>
      <c r="BH41" s="16">
        <v>0</v>
      </c>
      <c r="BI41" s="16">
        <v>0</v>
      </c>
      <c r="BJ41" s="16">
        <v>0</v>
      </c>
      <c r="BK41" s="16">
        <f t="shared" si="10"/>
        <v>0</v>
      </c>
      <c r="BL41" s="16">
        <v>0</v>
      </c>
      <c r="BM41" s="16">
        <f t="shared" si="11"/>
        <v>2102400</v>
      </c>
      <c r="BN41" s="16">
        <v>0</v>
      </c>
      <c r="BO41" s="16">
        <v>0</v>
      </c>
      <c r="BP41" s="16">
        <v>0</v>
      </c>
      <c r="BQ41" s="16">
        <v>0</v>
      </c>
      <c r="BR41" s="16">
        <v>0</v>
      </c>
      <c r="BS41" s="16">
        <v>0</v>
      </c>
      <c r="BT41" s="16">
        <v>0</v>
      </c>
      <c r="BU41" s="16">
        <v>0</v>
      </c>
      <c r="BV41" s="16">
        <v>0</v>
      </c>
      <c r="BW41" s="16">
        <v>2102400</v>
      </c>
      <c r="BX41" s="16">
        <v>0</v>
      </c>
      <c r="BY41" s="16">
        <f>SUM(BZ41+CS41)</f>
        <v>412557</v>
      </c>
      <c r="BZ41" s="16">
        <f>SUM(CA41+CD41+CK41)</f>
        <v>412557</v>
      </c>
      <c r="CA41" s="16">
        <f t="shared" si="12"/>
        <v>412557</v>
      </c>
      <c r="CB41" s="16">
        <v>0</v>
      </c>
      <c r="CC41" s="16">
        <v>412557</v>
      </c>
      <c r="CD41" s="16">
        <f t="shared" si="13"/>
        <v>0</v>
      </c>
      <c r="CE41" s="16">
        <v>0</v>
      </c>
      <c r="CF41" s="16">
        <v>0</v>
      </c>
      <c r="CG41" s="16">
        <v>0</v>
      </c>
      <c r="CH41" s="16">
        <v>0</v>
      </c>
      <c r="CI41" s="16">
        <v>0</v>
      </c>
      <c r="CJ41" s="16">
        <v>0</v>
      </c>
      <c r="CK41" s="16">
        <f t="shared" si="14"/>
        <v>0</v>
      </c>
      <c r="CL41" s="16">
        <v>0</v>
      </c>
      <c r="CM41" s="16">
        <v>0</v>
      </c>
      <c r="CN41" s="16">
        <v>0</v>
      </c>
      <c r="CO41" s="16">
        <v>0</v>
      </c>
      <c r="CP41" s="16">
        <v>0</v>
      </c>
      <c r="CQ41" s="16">
        <v>0</v>
      </c>
      <c r="CR41" s="16">
        <v>0</v>
      </c>
      <c r="CS41" s="16">
        <v>0</v>
      </c>
      <c r="CT41" s="16">
        <f t="shared" si="15"/>
        <v>0</v>
      </c>
      <c r="CU41" s="16">
        <f t="shared" si="16"/>
        <v>0</v>
      </c>
      <c r="CV41" s="16">
        <v>0</v>
      </c>
      <c r="CW41" s="17">
        <v>0</v>
      </c>
      <c r="CX41" s="40"/>
      <c r="CY41" s="40"/>
    </row>
    <row r="42" spans="1:103" ht="31.5" x14ac:dyDescent="0.25">
      <c r="A42" s="13" t="s">
        <v>3</v>
      </c>
      <c r="B42" s="14" t="s">
        <v>50</v>
      </c>
      <c r="C42" s="14" t="s">
        <v>1</v>
      </c>
      <c r="D42" s="30" t="s">
        <v>51</v>
      </c>
      <c r="E42" s="15">
        <f t="shared" ref="E42:AJ42" si="36">SUM(E43:E47)</f>
        <v>18398638</v>
      </c>
      <c r="F42" s="16">
        <f t="shared" si="36"/>
        <v>18011770</v>
      </c>
      <c r="G42" s="16">
        <f t="shared" si="36"/>
        <v>18009086</v>
      </c>
      <c r="H42" s="16">
        <f t="shared" si="36"/>
        <v>11634628</v>
      </c>
      <c r="I42" s="16">
        <f t="shared" si="36"/>
        <v>2806403</v>
      </c>
      <c r="J42" s="16">
        <f t="shared" si="36"/>
        <v>790890</v>
      </c>
      <c r="K42" s="16">
        <f t="shared" si="36"/>
        <v>0</v>
      </c>
      <c r="L42" s="16">
        <f t="shared" si="36"/>
        <v>90519</v>
      </c>
      <c r="M42" s="16">
        <f t="shared" si="36"/>
        <v>0</v>
      </c>
      <c r="N42" s="16">
        <f t="shared" si="36"/>
        <v>0</v>
      </c>
      <c r="O42" s="16">
        <f t="shared" si="36"/>
        <v>329485</v>
      </c>
      <c r="P42" s="16">
        <f t="shared" si="36"/>
        <v>370886</v>
      </c>
      <c r="Q42" s="16">
        <f t="shared" si="36"/>
        <v>484745</v>
      </c>
      <c r="R42" s="16">
        <f t="shared" si="36"/>
        <v>934</v>
      </c>
      <c r="S42" s="16">
        <f t="shared" si="36"/>
        <v>483811</v>
      </c>
      <c r="T42" s="16">
        <f t="shared" si="36"/>
        <v>0</v>
      </c>
      <c r="U42" s="16">
        <f t="shared" si="36"/>
        <v>465182</v>
      </c>
      <c r="V42" s="16">
        <f t="shared" si="36"/>
        <v>779024</v>
      </c>
      <c r="W42" s="16">
        <f t="shared" si="36"/>
        <v>88417</v>
      </c>
      <c r="X42" s="16">
        <f t="shared" si="36"/>
        <v>42545</v>
      </c>
      <c r="Y42" s="16">
        <f t="shared" si="36"/>
        <v>48143</v>
      </c>
      <c r="Z42" s="16">
        <f t="shared" si="36"/>
        <v>5709</v>
      </c>
      <c r="AA42" s="16">
        <f t="shared" si="36"/>
        <v>5272</v>
      </c>
      <c r="AB42" s="16">
        <f t="shared" si="36"/>
        <v>584816</v>
      </c>
      <c r="AC42" s="16">
        <f t="shared" si="36"/>
        <v>0</v>
      </c>
      <c r="AD42" s="16">
        <f t="shared" ref="AD42" si="37">SUM(AD43:AD47)</f>
        <v>4122</v>
      </c>
      <c r="AE42" s="16">
        <f t="shared" si="36"/>
        <v>1048214</v>
      </c>
      <c r="AF42" s="16">
        <f t="shared" si="36"/>
        <v>0</v>
      </c>
      <c r="AG42" s="16">
        <f t="shared" si="36"/>
        <v>93180</v>
      </c>
      <c r="AH42" s="16">
        <f t="shared" si="36"/>
        <v>165142</v>
      </c>
      <c r="AI42" s="16">
        <f t="shared" si="36"/>
        <v>0</v>
      </c>
      <c r="AJ42" s="16">
        <f t="shared" si="36"/>
        <v>22661</v>
      </c>
      <c r="AK42" s="16">
        <f t="shared" ref="AK42:BP42" si="38">SUM(AK43:AK47)</f>
        <v>0</v>
      </c>
      <c r="AL42" s="16">
        <f t="shared" si="38"/>
        <v>110973</v>
      </c>
      <c r="AM42" s="16">
        <f t="shared" si="38"/>
        <v>251553</v>
      </c>
      <c r="AN42" s="16">
        <f t="shared" si="38"/>
        <v>7566</v>
      </c>
      <c r="AO42" s="16">
        <f t="shared" si="38"/>
        <v>0</v>
      </c>
      <c r="AP42" s="16">
        <f t="shared" si="38"/>
        <v>0</v>
      </c>
      <c r="AQ42" s="16">
        <f t="shared" si="38"/>
        <v>0</v>
      </c>
      <c r="AR42" s="16">
        <f t="shared" si="38"/>
        <v>18164</v>
      </c>
      <c r="AS42" s="16">
        <f t="shared" si="38"/>
        <v>7728</v>
      </c>
      <c r="AT42" s="16">
        <f t="shared" si="38"/>
        <v>0</v>
      </c>
      <c r="AU42" s="16">
        <f t="shared" si="38"/>
        <v>0</v>
      </c>
      <c r="AV42" s="16">
        <f t="shared" si="38"/>
        <v>0</v>
      </c>
      <c r="AW42" s="16">
        <f t="shared" si="38"/>
        <v>0</v>
      </c>
      <c r="AX42" s="16">
        <f t="shared" si="38"/>
        <v>0</v>
      </c>
      <c r="AY42" s="16">
        <f t="shared" si="38"/>
        <v>40000</v>
      </c>
      <c r="AZ42" s="16">
        <f t="shared" si="38"/>
        <v>331247</v>
      </c>
      <c r="BA42" s="16">
        <f t="shared" si="38"/>
        <v>2684</v>
      </c>
      <c r="BB42" s="16">
        <f t="shared" si="38"/>
        <v>0</v>
      </c>
      <c r="BC42" s="16">
        <f t="shared" si="38"/>
        <v>0</v>
      </c>
      <c r="BD42" s="16">
        <f t="shared" si="38"/>
        <v>0</v>
      </c>
      <c r="BE42" s="16">
        <f t="shared" si="38"/>
        <v>0</v>
      </c>
      <c r="BF42" s="16">
        <f t="shared" si="38"/>
        <v>0</v>
      </c>
      <c r="BG42" s="16">
        <f t="shared" si="38"/>
        <v>0</v>
      </c>
      <c r="BH42" s="16">
        <f t="shared" si="38"/>
        <v>0</v>
      </c>
      <c r="BI42" s="16">
        <f t="shared" si="38"/>
        <v>0</v>
      </c>
      <c r="BJ42" s="16">
        <f t="shared" si="38"/>
        <v>0</v>
      </c>
      <c r="BK42" s="16">
        <f t="shared" si="38"/>
        <v>0</v>
      </c>
      <c r="BL42" s="16">
        <f t="shared" si="38"/>
        <v>0</v>
      </c>
      <c r="BM42" s="16">
        <f t="shared" si="38"/>
        <v>2684</v>
      </c>
      <c r="BN42" s="16">
        <f t="shared" si="38"/>
        <v>0</v>
      </c>
      <c r="BO42" s="16">
        <f t="shared" si="38"/>
        <v>0</v>
      </c>
      <c r="BP42" s="16">
        <f t="shared" si="38"/>
        <v>0</v>
      </c>
      <c r="BQ42" s="16">
        <f t="shared" ref="BQ42:CW42" si="39">SUM(BQ43:BQ47)</f>
        <v>0</v>
      </c>
      <c r="BR42" s="16">
        <f t="shared" si="39"/>
        <v>0</v>
      </c>
      <c r="BS42" s="16">
        <f t="shared" si="39"/>
        <v>0</v>
      </c>
      <c r="BT42" s="16">
        <f t="shared" si="39"/>
        <v>0</v>
      </c>
      <c r="BU42" s="16">
        <f t="shared" si="39"/>
        <v>0</v>
      </c>
      <c r="BV42" s="16">
        <f t="shared" si="39"/>
        <v>0</v>
      </c>
      <c r="BW42" s="16">
        <f t="shared" si="39"/>
        <v>2684</v>
      </c>
      <c r="BX42" s="16">
        <f t="shared" si="39"/>
        <v>0</v>
      </c>
      <c r="BY42" s="16">
        <f t="shared" si="39"/>
        <v>386868</v>
      </c>
      <c r="BZ42" s="16">
        <f t="shared" si="39"/>
        <v>386868</v>
      </c>
      <c r="CA42" s="16">
        <f t="shared" si="39"/>
        <v>386868</v>
      </c>
      <c r="CB42" s="16">
        <f t="shared" si="39"/>
        <v>0</v>
      </c>
      <c r="CC42" s="16">
        <f t="shared" si="39"/>
        <v>386868</v>
      </c>
      <c r="CD42" s="16">
        <f t="shared" si="39"/>
        <v>0</v>
      </c>
      <c r="CE42" s="16">
        <f t="shared" si="39"/>
        <v>0</v>
      </c>
      <c r="CF42" s="16">
        <f t="shared" si="39"/>
        <v>0</v>
      </c>
      <c r="CG42" s="16">
        <f t="shared" si="39"/>
        <v>0</v>
      </c>
      <c r="CH42" s="16">
        <f t="shared" si="39"/>
        <v>0</v>
      </c>
      <c r="CI42" s="16">
        <f t="shared" si="39"/>
        <v>0</v>
      </c>
      <c r="CJ42" s="16">
        <f t="shared" ref="CJ42" si="40">SUM(CJ43:CJ47)</f>
        <v>0</v>
      </c>
      <c r="CK42" s="16">
        <f t="shared" si="39"/>
        <v>0</v>
      </c>
      <c r="CL42" s="16">
        <f t="shared" si="39"/>
        <v>0</v>
      </c>
      <c r="CM42" s="16">
        <f t="shared" si="39"/>
        <v>0</v>
      </c>
      <c r="CN42" s="16">
        <f t="shared" si="39"/>
        <v>0</v>
      </c>
      <c r="CO42" s="16">
        <f t="shared" si="39"/>
        <v>0</v>
      </c>
      <c r="CP42" s="16">
        <f t="shared" si="39"/>
        <v>0</v>
      </c>
      <c r="CQ42" s="16">
        <f t="shared" si="39"/>
        <v>0</v>
      </c>
      <c r="CR42" s="16">
        <f t="shared" si="39"/>
        <v>0</v>
      </c>
      <c r="CS42" s="16">
        <f t="shared" si="39"/>
        <v>0</v>
      </c>
      <c r="CT42" s="16">
        <f t="shared" si="39"/>
        <v>0</v>
      </c>
      <c r="CU42" s="16">
        <f t="shared" si="39"/>
        <v>0</v>
      </c>
      <c r="CV42" s="16">
        <f t="shared" si="39"/>
        <v>0</v>
      </c>
      <c r="CW42" s="17">
        <f t="shared" si="39"/>
        <v>0</v>
      </c>
      <c r="CX42" s="40"/>
      <c r="CY42" s="40"/>
    </row>
    <row r="43" spans="1:103" ht="15.75" x14ac:dyDescent="0.25">
      <c r="A43" s="13" t="s">
        <v>1</v>
      </c>
      <c r="B43" s="14" t="s">
        <v>1</v>
      </c>
      <c r="C43" s="14" t="s">
        <v>17</v>
      </c>
      <c r="D43" s="30" t="s">
        <v>495</v>
      </c>
      <c r="E43" s="15">
        <f>SUM(F43+BY43+CT43)</f>
        <v>1704703</v>
      </c>
      <c r="F43" s="16">
        <f>SUM(G43+BA43)</f>
        <v>1570401</v>
      </c>
      <c r="G43" s="16">
        <f>SUM(H43+I43+J43+Q43+T43+U43+V43+AE43)</f>
        <v>1570401</v>
      </c>
      <c r="H43" s="16">
        <v>743964</v>
      </c>
      <c r="I43" s="16">
        <v>175748</v>
      </c>
      <c r="J43" s="16">
        <f t="shared" si="7"/>
        <v>98120</v>
      </c>
      <c r="K43" s="16">
        <v>0</v>
      </c>
      <c r="L43" s="16">
        <v>0</v>
      </c>
      <c r="M43" s="16">
        <v>0</v>
      </c>
      <c r="N43" s="16">
        <v>0</v>
      </c>
      <c r="O43" s="16">
        <v>25511</v>
      </c>
      <c r="P43" s="16">
        <f>33163+39446</f>
        <v>72609</v>
      </c>
      <c r="Q43" s="16">
        <f t="shared" si="8"/>
        <v>37548</v>
      </c>
      <c r="R43" s="16">
        <v>0</v>
      </c>
      <c r="S43" s="16">
        <f>150192-112644</f>
        <v>37548</v>
      </c>
      <c r="T43" s="16">
        <v>0</v>
      </c>
      <c r="U43" s="16">
        <v>104374</v>
      </c>
      <c r="V43" s="16">
        <f>SUM(W43:AD43)</f>
        <v>190000</v>
      </c>
      <c r="W43" s="16">
        <v>0</v>
      </c>
      <c r="X43" s="16">
        <v>0</v>
      </c>
      <c r="Y43" s="16">
        <v>10000</v>
      </c>
      <c r="Z43" s="16">
        <v>0</v>
      </c>
      <c r="AA43" s="16">
        <v>0</v>
      </c>
      <c r="AB43" s="16">
        <v>180000</v>
      </c>
      <c r="AC43" s="16">
        <v>0</v>
      </c>
      <c r="AD43" s="16">
        <v>0</v>
      </c>
      <c r="AE43" s="16">
        <f>SUM(AF43:AZ43)</f>
        <v>220647</v>
      </c>
      <c r="AF43" s="16">
        <v>0</v>
      </c>
      <c r="AG43" s="16">
        <v>0</v>
      </c>
      <c r="AH43" s="16">
        <v>0</v>
      </c>
      <c r="AI43" s="16">
        <v>0</v>
      </c>
      <c r="AJ43" s="16">
        <v>1591</v>
      </c>
      <c r="AK43" s="16">
        <v>0</v>
      </c>
      <c r="AL43" s="16">
        <v>0</v>
      </c>
      <c r="AM43" s="16">
        <v>100000</v>
      </c>
      <c r="AN43" s="16">
        <v>0</v>
      </c>
      <c r="AO43" s="16">
        <v>0</v>
      </c>
      <c r="AP43" s="16">
        <v>0</v>
      </c>
      <c r="AQ43" s="16">
        <v>0</v>
      </c>
      <c r="AR43" s="16">
        <v>0</v>
      </c>
      <c r="AS43" s="16">
        <v>0</v>
      </c>
      <c r="AT43" s="16">
        <v>0</v>
      </c>
      <c r="AU43" s="16">
        <v>0</v>
      </c>
      <c r="AV43" s="16">
        <v>0</v>
      </c>
      <c r="AW43" s="16">
        <v>0</v>
      </c>
      <c r="AX43" s="16">
        <v>0</v>
      </c>
      <c r="AY43" s="16">
        <f>0+40000</f>
        <v>40000</v>
      </c>
      <c r="AZ43" s="16">
        <f>68756+10300</f>
        <v>79056</v>
      </c>
      <c r="BA43" s="16">
        <f>SUM(BB43+BF43+BI43+BK43+BM43)</f>
        <v>0</v>
      </c>
      <c r="BB43" s="16">
        <f>SUM(BC43:BE43)</f>
        <v>0</v>
      </c>
      <c r="BC43" s="16">
        <v>0</v>
      </c>
      <c r="BD43" s="16">
        <v>0</v>
      </c>
      <c r="BE43" s="16">
        <v>0</v>
      </c>
      <c r="BF43" s="16">
        <f t="shared" si="9"/>
        <v>0</v>
      </c>
      <c r="BG43" s="16">
        <v>0</v>
      </c>
      <c r="BH43" s="16">
        <v>0</v>
      </c>
      <c r="BI43" s="16">
        <v>0</v>
      </c>
      <c r="BJ43" s="16">
        <v>0</v>
      </c>
      <c r="BK43" s="16">
        <f t="shared" si="10"/>
        <v>0</v>
      </c>
      <c r="BL43" s="16">
        <v>0</v>
      </c>
      <c r="BM43" s="16">
        <f t="shared" si="11"/>
        <v>0</v>
      </c>
      <c r="BN43" s="16">
        <v>0</v>
      </c>
      <c r="BO43" s="16">
        <v>0</v>
      </c>
      <c r="BP43" s="16">
        <v>0</v>
      </c>
      <c r="BQ43" s="16">
        <v>0</v>
      </c>
      <c r="BR43" s="16">
        <v>0</v>
      </c>
      <c r="BS43" s="16">
        <v>0</v>
      </c>
      <c r="BT43" s="16">
        <v>0</v>
      </c>
      <c r="BU43" s="16">
        <v>0</v>
      </c>
      <c r="BV43" s="16">
        <v>0</v>
      </c>
      <c r="BW43" s="16">
        <v>0</v>
      </c>
      <c r="BX43" s="16">
        <v>0</v>
      </c>
      <c r="BY43" s="16">
        <f>SUM(BZ43+CS43)</f>
        <v>134302</v>
      </c>
      <c r="BZ43" s="16">
        <f>SUM(CA43+CD43+CK43)</f>
        <v>134302</v>
      </c>
      <c r="CA43" s="16">
        <f t="shared" si="12"/>
        <v>134302</v>
      </c>
      <c r="CB43" s="16">
        <v>0</v>
      </c>
      <c r="CC43" s="16">
        <f>111404+22898</f>
        <v>134302</v>
      </c>
      <c r="CD43" s="16">
        <f t="shared" si="13"/>
        <v>0</v>
      </c>
      <c r="CE43" s="16">
        <v>0</v>
      </c>
      <c r="CF43" s="16">
        <v>0</v>
      </c>
      <c r="CG43" s="16">
        <v>0</v>
      </c>
      <c r="CH43" s="16">
        <v>0</v>
      </c>
      <c r="CI43" s="16">
        <v>0</v>
      </c>
      <c r="CJ43" s="16">
        <v>0</v>
      </c>
      <c r="CK43" s="16">
        <f t="shared" si="14"/>
        <v>0</v>
      </c>
      <c r="CL43" s="16">
        <v>0</v>
      </c>
      <c r="CM43" s="16">
        <v>0</v>
      </c>
      <c r="CN43" s="16">
        <v>0</v>
      </c>
      <c r="CO43" s="16">
        <v>0</v>
      </c>
      <c r="CP43" s="16">
        <v>0</v>
      </c>
      <c r="CQ43" s="16">
        <v>0</v>
      </c>
      <c r="CR43" s="16">
        <v>0</v>
      </c>
      <c r="CS43" s="16">
        <v>0</v>
      </c>
      <c r="CT43" s="16">
        <f t="shared" si="15"/>
        <v>0</v>
      </c>
      <c r="CU43" s="16">
        <f t="shared" si="16"/>
        <v>0</v>
      </c>
      <c r="CV43" s="16">
        <v>0</v>
      </c>
      <c r="CW43" s="17">
        <v>0</v>
      </c>
      <c r="CX43" s="40"/>
      <c r="CY43" s="40"/>
    </row>
    <row r="44" spans="1:103" ht="31.5" x14ac:dyDescent="0.25">
      <c r="A44" s="13" t="s">
        <v>1</v>
      </c>
      <c r="B44" s="14" t="s">
        <v>1</v>
      </c>
      <c r="C44" s="14" t="s">
        <v>17</v>
      </c>
      <c r="D44" s="30" t="s">
        <v>494</v>
      </c>
      <c r="E44" s="15">
        <f>SUM(F44+BY44+CT44)</f>
        <v>2763702</v>
      </c>
      <c r="F44" s="16">
        <f>SUM(G44+BA44)</f>
        <v>2718098</v>
      </c>
      <c r="G44" s="16">
        <f>SUM(H44+I44+J44+Q44+T44+U44+V44+AE44)</f>
        <v>2718098</v>
      </c>
      <c r="H44" s="16">
        <f>1180211+71000</f>
        <v>1251211</v>
      </c>
      <c r="I44" s="16">
        <f>295053+17750</f>
        <v>312803</v>
      </c>
      <c r="J44" s="16">
        <f>SUM(K44:P44)</f>
        <v>155461</v>
      </c>
      <c r="K44" s="16">
        <v>0</v>
      </c>
      <c r="L44" s="16">
        <v>0</v>
      </c>
      <c r="M44" s="16">
        <v>0</v>
      </c>
      <c r="N44" s="16">
        <v>0</v>
      </c>
      <c r="O44" s="16">
        <f>64825+25000</f>
        <v>89825</v>
      </c>
      <c r="P44" s="16">
        <v>65636</v>
      </c>
      <c r="Q44" s="16">
        <f>SUM(R44:S44)</f>
        <v>431244</v>
      </c>
      <c r="R44" s="16">
        <v>0</v>
      </c>
      <c r="S44" s="16">
        <v>431244</v>
      </c>
      <c r="T44" s="16">
        <v>0</v>
      </c>
      <c r="U44" s="16">
        <v>15511</v>
      </c>
      <c r="V44" s="16">
        <f>SUM(W44:AD44)</f>
        <v>330132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330132</v>
      </c>
      <c r="AC44" s="16">
        <v>0</v>
      </c>
      <c r="AD44" s="16">
        <v>0</v>
      </c>
      <c r="AE44" s="16">
        <f>SUM(AF44:AZ44)</f>
        <v>221736</v>
      </c>
      <c r="AF44" s="16">
        <v>0</v>
      </c>
      <c r="AG44" s="16">
        <v>2310</v>
      </c>
      <c r="AH44" s="16">
        <v>1549</v>
      </c>
      <c r="AI44" s="16">
        <v>0</v>
      </c>
      <c r="AJ44" s="16">
        <v>1591</v>
      </c>
      <c r="AK44" s="16">
        <v>0</v>
      </c>
      <c r="AL44" s="16">
        <v>11802</v>
      </c>
      <c r="AM44" s="16">
        <v>120000</v>
      </c>
      <c r="AN44" s="16">
        <v>0</v>
      </c>
      <c r="AO44" s="16">
        <v>0</v>
      </c>
      <c r="AP44" s="16">
        <v>0</v>
      </c>
      <c r="AQ44" s="16">
        <v>0</v>
      </c>
      <c r="AR44" s="16">
        <v>0</v>
      </c>
      <c r="AS44" s="16">
        <v>7728</v>
      </c>
      <c r="AT44" s="16">
        <v>0</v>
      </c>
      <c r="AU44" s="16">
        <v>0</v>
      </c>
      <c r="AV44" s="16">
        <v>0</v>
      </c>
      <c r="AW44" s="16">
        <v>0</v>
      </c>
      <c r="AX44" s="16">
        <v>0</v>
      </c>
      <c r="AY44" s="16">
        <v>0</v>
      </c>
      <c r="AZ44" s="16">
        <f>68756+8000</f>
        <v>76756</v>
      </c>
      <c r="BA44" s="16">
        <f>SUM(BB44+BF44+BI44+BK44+BM44)</f>
        <v>0</v>
      </c>
      <c r="BB44" s="16">
        <f>SUM(BC44:BE44)</f>
        <v>0</v>
      </c>
      <c r="BC44" s="16">
        <v>0</v>
      </c>
      <c r="BD44" s="16">
        <v>0</v>
      </c>
      <c r="BE44" s="16">
        <v>0</v>
      </c>
      <c r="BF44" s="16">
        <f>SUM(BG44:BH44)</f>
        <v>0</v>
      </c>
      <c r="BG44" s="16">
        <v>0</v>
      </c>
      <c r="BH44" s="16">
        <v>0</v>
      </c>
      <c r="BI44" s="16">
        <v>0</v>
      </c>
      <c r="BJ44" s="16">
        <v>0</v>
      </c>
      <c r="BK44" s="16">
        <f>SUM(BL44)</f>
        <v>0</v>
      </c>
      <c r="BL44" s="16">
        <v>0</v>
      </c>
      <c r="BM44" s="16">
        <f>SUM(BN44:BX44)</f>
        <v>0</v>
      </c>
      <c r="BN44" s="16">
        <v>0</v>
      </c>
      <c r="BO44" s="16">
        <v>0</v>
      </c>
      <c r="BP44" s="16">
        <v>0</v>
      </c>
      <c r="BQ44" s="16">
        <v>0</v>
      </c>
      <c r="BR44" s="16">
        <v>0</v>
      </c>
      <c r="BS44" s="16">
        <v>0</v>
      </c>
      <c r="BT44" s="16">
        <v>0</v>
      </c>
      <c r="BU44" s="16">
        <v>0</v>
      </c>
      <c r="BV44" s="16">
        <v>0</v>
      </c>
      <c r="BW44" s="16">
        <v>0</v>
      </c>
      <c r="BX44" s="16">
        <v>0</v>
      </c>
      <c r="BY44" s="16">
        <f>SUM(BZ44+CS44)</f>
        <v>45604</v>
      </c>
      <c r="BZ44" s="16">
        <f>SUM(CA44+CD44+CK44)</f>
        <v>45604</v>
      </c>
      <c r="CA44" s="16">
        <f>SUM(CB44:CC44)</f>
        <v>45604</v>
      </c>
      <c r="CB44" s="16">
        <v>0</v>
      </c>
      <c r="CC44" s="16">
        <f>23604+22000</f>
        <v>45604</v>
      </c>
      <c r="CD44" s="16">
        <f>SUM(CE44:CI44)</f>
        <v>0</v>
      </c>
      <c r="CE44" s="16">
        <v>0</v>
      </c>
      <c r="CF44" s="16">
        <v>0</v>
      </c>
      <c r="CG44" s="16">
        <v>0</v>
      </c>
      <c r="CH44" s="16">
        <v>0</v>
      </c>
      <c r="CI44" s="16">
        <v>0</v>
      </c>
      <c r="CJ44" s="16">
        <v>0</v>
      </c>
      <c r="CK44" s="16">
        <f>SUM(CL44:CP44)</f>
        <v>0</v>
      </c>
      <c r="CL44" s="16">
        <v>0</v>
      </c>
      <c r="CM44" s="16">
        <v>0</v>
      </c>
      <c r="CN44" s="16">
        <v>0</v>
      </c>
      <c r="CO44" s="16">
        <v>0</v>
      </c>
      <c r="CP44" s="16">
        <v>0</v>
      </c>
      <c r="CQ44" s="16">
        <v>0</v>
      </c>
      <c r="CR44" s="16">
        <v>0</v>
      </c>
      <c r="CS44" s="16">
        <v>0</v>
      </c>
      <c r="CT44" s="16">
        <f>SUM(CU44)</f>
        <v>0</v>
      </c>
      <c r="CU44" s="16">
        <f>SUM(CV44:CW44)</f>
        <v>0</v>
      </c>
      <c r="CV44" s="16">
        <v>0</v>
      </c>
      <c r="CW44" s="17">
        <v>0</v>
      </c>
      <c r="CX44" s="40"/>
      <c r="CY44" s="40"/>
    </row>
    <row r="45" spans="1:103" ht="15.75" x14ac:dyDescent="0.25">
      <c r="A45" s="13" t="s">
        <v>1</v>
      </c>
      <c r="B45" s="14" t="s">
        <v>1</v>
      </c>
      <c r="C45" s="14" t="s">
        <v>17</v>
      </c>
      <c r="D45" s="30" t="s">
        <v>496</v>
      </c>
      <c r="E45" s="15">
        <f>SUM(F45+BY45+CT45)</f>
        <v>217401</v>
      </c>
      <c r="F45" s="16">
        <f>SUM(G45+BA45)</f>
        <v>207498</v>
      </c>
      <c r="G45" s="16">
        <f>SUM(H45+I45+J45+Q45+T45+U45+V45+AE45)</f>
        <v>207498</v>
      </c>
      <c r="H45" s="16">
        <f>71660+71660</f>
        <v>143320</v>
      </c>
      <c r="I45" s="16">
        <f>17033+17033</f>
        <v>34066</v>
      </c>
      <c r="J45" s="16">
        <f t="shared" si="7"/>
        <v>5755</v>
      </c>
      <c r="K45" s="16">
        <v>0</v>
      </c>
      <c r="L45" s="16">
        <v>0</v>
      </c>
      <c r="M45" s="16">
        <v>0</v>
      </c>
      <c r="N45" s="16">
        <v>0</v>
      </c>
      <c r="O45" s="16">
        <v>2551</v>
      </c>
      <c r="P45" s="16">
        <v>3204</v>
      </c>
      <c r="Q45" s="16">
        <f t="shared" si="8"/>
        <v>15019</v>
      </c>
      <c r="R45" s="16">
        <v>0</v>
      </c>
      <c r="S45" s="16">
        <v>15019</v>
      </c>
      <c r="T45" s="16">
        <v>0</v>
      </c>
      <c r="U45" s="16">
        <v>1205</v>
      </c>
      <c r="V45" s="16">
        <f>SUM(W45:AD45)</f>
        <v>0</v>
      </c>
      <c r="W45" s="16">
        <v>0</v>
      </c>
      <c r="X45" s="16">
        <v>0</v>
      </c>
      <c r="Y45" s="16">
        <v>0</v>
      </c>
      <c r="Z45" s="16">
        <v>0</v>
      </c>
      <c r="AA45" s="16">
        <v>0</v>
      </c>
      <c r="AB45" s="16">
        <v>0</v>
      </c>
      <c r="AC45" s="16">
        <v>0</v>
      </c>
      <c r="AD45" s="16">
        <v>0</v>
      </c>
      <c r="AE45" s="16">
        <f>SUM(AF45:AZ45)</f>
        <v>8133</v>
      </c>
      <c r="AF45" s="16">
        <v>0</v>
      </c>
      <c r="AG45" s="16">
        <v>457</v>
      </c>
      <c r="AH45" s="16">
        <v>0</v>
      </c>
      <c r="AI45" s="16">
        <v>0</v>
      </c>
      <c r="AJ45" s="16">
        <v>159</v>
      </c>
      <c r="AK45" s="16">
        <v>0</v>
      </c>
      <c r="AL45" s="16">
        <v>641</v>
      </c>
      <c r="AM45" s="16">
        <v>0</v>
      </c>
      <c r="AN45" s="16">
        <v>0</v>
      </c>
      <c r="AO45" s="16">
        <v>0</v>
      </c>
      <c r="AP45" s="16">
        <v>0</v>
      </c>
      <c r="AQ45" s="16">
        <v>0</v>
      </c>
      <c r="AR45" s="16">
        <v>0</v>
      </c>
      <c r="AS45" s="16">
        <v>0</v>
      </c>
      <c r="AT45" s="16">
        <v>0</v>
      </c>
      <c r="AU45" s="16">
        <v>0</v>
      </c>
      <c r="AV45" s="16">
        <v>0</v>
      </c>
      <c r="AW45" s="16">
        <v>0</v>
      </c>
      <c r="AX45" s="16">
        <v>0</v>
      </c>
      <c r="AY45" s="16">
        <v>0</v>
      </c>
      <c r="AZ45" s="16">
        <v>6876</v>
      </c>
      <c r="BA45" s="16">
        <f>SUM(BB45+BF45+BI45+BK45+BM45)</f>
        <v>0</v>
      </c>
      <c r="BB45" s="16">
        <f>SUM(BC45:BE45)</f>
        <v>0</v>
      </c>
      <c r="BC45" s="16">
        <v>0</v>
      </c>
      <c r="BD45" s="16">
        <v>0</v>
      </c>
      <c r="BE45" s="16">
        <v>0</v>
      </c>
      <c r="BF45" s="16">
        <f t="shared" si="9"/>
        <v>0</v>
      </c>
      <c r="BG45" s="16">
        <v>0</v>
      </c>
      <c r="BH45" s="16">
        <v>0</v>
      </c>
      <c r="BI45" s="16">
        <v>0</v>
      </c>
      <c r="BJ45" s="16">
        <v>0</v>
      </c>
      <c r="BK45" s="16">
        <f t="shared" si="10"/>
        <v>0</v>
      </c>
      <c r="BL45" s="16">
        <v>0</v>
      </c>
      <c r="BM45" s="16">
        <f t="shared" si="11"/>
        <v>0</v>
      </c>
      <c r="BN45" s="16">
        <v>0</v>
      </c>
      <c r="BO45" s="16">
        <v>0</v>
      </c>
      <c r="BP45" s="16">
        <v>0</v>
      </c>
      <c r="BQ45" s="16">
        <v>0</v>
      </c>
      <c r="BR45" s="16">
        <v>0</v>
      </c>
      <c r="BS45" s="16">
        <v>0</v>
      </c>
      <c r="BT45" s="16">
        <v>0</v>
      </c>
      <c r="BU45" s="16">
        <v>0</v>
      </c>
      <c r="BV45" s="16">
        <v>0</v>
      </c>
      <c r="BW45" s="16">
        <v>0</v>
      </c>
      <c r="BX45" s="16">
        <v>0</v>
      </c>
      <c r="BY45" s="16">
        <f>SUM(BZ45+CS45)</f>
        <v>9903</v>
      </c>
      <c r="BZ45" s="16">
        <f>SUM(CA45+CD45+CK45)</f>
        <v>9903</v>
      </c>
      <c r="CA45" s="16">
        <f t="shared" si="12"/>
        <v>9903</v>
      </c>
      <c r="CB45" s="16">
        <v>0</v>
      </c>
      <c r="CC45" s="16">
        <v>9903</v>
      </c>
      <c r="CD45" s="16">
        <f t="shared" si="13"/>
        <v>0</v>
      </c>
      <c r="CE45" s="16">
        <v>0</v>
      </c>
      <c r="CF45" s="16">
        <v>0</v>
      </c>
      <c r="CG45" s="16">
        <v>0</v>
      </c>
      <c r="CH45" s="16">
        <v>0</v>
      </c>
      <c r="CI45" s="16">
        <v>0</v>
      </c>
      <c r="CJ45" s="16">
        <v>0</v>
      </c>
      <c r="CK45" s="16">
        <f t="shared" si="14"/>
        <v>0</v>
      </c>
      <c r="CL45" s="16">
        <v>0</v>
      </c>
      <c r="CM45" s="16">
        <v>0</v>
      </c>
      <c r="CN45" s="16">
        <v>0</v>
      </c>
      <c r="CO45" s="16">
        <v>0</v>
      </c>
      <c r="CP45" s="16">
        <v>0</v>
      </c>
      <c r="CQ45" s="16">
        <v>0</v>
      </c>
      <c r="CR45" s="16">
        <v>0</v>
      </c>
      <c r="CS45" s="16">
        <v>0</v>
      </c>
      <c r="CT45" s="16">
        <f t="shared" si="15"/>
        <v>0</v>
      </c>
      <c r="CU45" s="16">
        <f t="shared" si="16"/>
        <v>0</v>
      </c>
      <c r="CV45" s="16">
        <v>0</v>
      </c>
      <c r="CW45" s="17">
        <v>0</v>
      </c>
      <c r="CX45" s="40"/>
      <c r="CY45" s="40"/>
    </row>
    <row r="46" spans="1:103" ht="15.75" x14ac:dyDescent="0.25">
      <c r="A46" s="13" t="s">
        <v>1</v>
      </c>
      <c r="B46" s="14" t="s">
        <v>1</v>
      </c>
      <c r="C46" s="14" t="s">
        <v>25</v>
      </c>
      <c r="D46" s="30" t="s">
        <v>52</v>
      </c>
      <c r="E46" s="15">
        <f>SUM(F46+BY46+CT46)</f>
        <v>8522507</v>
      </c>
      <c r="F46" s="16">
        <f>SUM(G46+BA46)</f>
        <v>8390920</v>
      </c>
      <c r="G46" s="16">
        <f>SUM(H46+I46+J46+Q46+T46+U46+V46+AE46)</f>
        <v>8388236</v>
      </c>
      <c r="H46" s="16">
        <v>5957760</v>
      </c>
      <c r="I46" s="16">
        <v>1423100</v>
      </c>
      <c r="J46" s="16">
        <f t="shared" si="7"/>
        <v>290917</v>
      </c>
      <c r="K46" s="16">
        <v>0</v>
      </c>
      <c r="L46" s="16">
        <v>90519</v>
      </c>
      <c r="M46" s="16">
        <v>0</v>
      </c>
      <c r="N46" s="16">
        <v>0</v>
      </c>
      <c r="O46" s="16">
        <f>33502+25000</f>
        <v>58502</v>
      </c>
      <c r="P46" s="16">
        <f>141673+223</f>
        <v>141896</v>
      </c>
      <c r="Q46" s="16">
        <f t="shared" si="8"/>
        <v>0</v>
      </c>
      <c r="R46" s="16">
        <v>0</v>
      </c>
      <c r="S46" s="16">
        <v>0</v>
      </c>
      <c r="T46" s="16">
        <v>0</v>
      </c>
      <c r="U46" s="16">
        <v>195026</v>
      </c>
      <c r="V46" s="16">
        <f>SUM(W46:AD46)</f>
        <v>188499</v>
      </c>
      <c r="W46" s="16">
        <f>97870-9453</f>
        <v>88417</v>
      </c>
      <c r="X46" s="16">
        <v>18837</v>
      </c>
      <c r="Y46" s="16">
        <v>30949</v>
      </c>
      <c r="Z46" s="16">
        <v>4421</v>
      </c>
      <c r="AA46" s="16">
        <f>6259-2718</f>
        <v>3541</v>
      </c>
      <c r="AB46" s="16">
        <f>39067-544</f>
        <v>38523</v>
      </c>
      <c r="AC46" s="16">
        <v>0</v>
      </c>
      <c r="AD46" s="16">
        <v>3811</v>
      </c>
      <c r="AE46" s="16">
        <f>SUM(AF46:AZ46)</f>
        <v>332934</v>
      </c>
      <c r="AF46" s="16">
        <v>0</v>
      </c>
      <c r="AG46" s="16">
        <f>33037+12549</f>
        <v>45586</v>
      </c>
      <c r="AH46" s="16">
        <f>18114+136388</f>
        <v>154502</v>
      </c>
      <c r="AI46" s="16">
        <v>0</v>
      </c>
      <c r="AJ46" s="16">
        <f>3182+5000</f>
        <v>8182</v>
      </c>
      <c r="AK46" s="16">
        <v>0</v>
      </c>
      <c r="AL46" s="16">
        <v>65794</v>
      </c>
      <c r="AM46" s="16">
        <f>40000-8447</f>
        <v>31553</v>
      </c>
      <c r="AN46" s="16">
        <v>7566</v>
      </c>
      <c r="AO46" s="16">
        <v>0</v>
      </c>
      <c r="AP46" s="16">
        <v>0</v>
      </c>
      <c r="AQ46" s="16">
        <v>0</v>
      </c>
      <c r="AR46" s="16">
        <v>18164</v>
      </c>
      <c r="AS46" s="16">
        <v>0</v>
      </c>
      <c r="AT46" s="16">
        <v>0</v>
      </c>
      <c r="AU46" s="16">
        <v>0</v>
      </c>
      <c r="AV46" s="16">
        <v>0</v>
      </c>
      <c r="AW46" s="16">
        <v>0</v>
      </c>
      <c r="AX46" s="16">
        <v>0</v>
      </c>
      <c r="AY46" s="16">
        <v>0</v>
      </c>
      <c r="AZ46" s="16">
        <v>1587</v>
      </c>
      <c r="BA46" s="16">
        <f>SUM(BB46+BF46+BI46+BJ46+BK46+BM46)</f>
        <v>2684</v>
      </c>
      <c r="BB46" s="16">
        <f>SUM(BC46:BE46)</f>
        <v>0</v>
      </c>
      <c r="BC46" s="16">
        <v>0</v>
      </c>
      <c r="BD46" s="16">
        <v>0</v>
      </c>
      <c r="BE46" s="16">
        <v>0</v>
      </c>
      <c r="BF46" s="16">
        <f t="shared" si="9"/>
        <v>0</v>
      </c>
      <c r="BG46" s="16">
        <v>0</v>
      </c>
      <c r="BH46" s="16">
        <v>0</v>
      </c>
      <c r="BI46" s="16">
        <v>0</v>
      </c>
      <c r="BJ46" s="16">
        <v>0</v>
      </c>
      <c r="BK46" s="16">
        <f t="shared" si="10"/>
        <v>0</v>
      </c>
      <c r="BL46" s="16">
        <v>0</v>
      </c>
      <c r="BM46" s="16">
        <f t="shared" si="11"/>
        <v>2684</v>
      </c>
      <c r="BN46" s="16">
        <v>0</v>
      </c>
      <c r="BO46" s="16">
        <v>0</v>
      </c>
      <c r="BP46" s="16">
        <v>0</v>
      </c>
      <c r="BQ46" s="16">
        <v>0</v>
      </c>
      <c r="BR46" s="16">
        <v>0</v>
      </c>
      <c r="BS46" s="16">
        <v>0</v>
      </c>
      <c r="BT46" s="16">
        <v>0</v>
      </c>
      <c r="BU46" s="16">
        <v>0</v>
      </c>
      <c r="BV46" s="16">
        <v>0</v>
      </c>
      <c r="BW46" s="16">
        <v>2684</v>
      </c>
      <c r="BX46" s="16">
        <v>0</v>
      </c>
      <c r="BY46" s="16">
        <f>SUM(BZ46+CS46)</f>
        <v>131587</v>
      </c>
      <c r="BZ46" s="16">
        <f>SUM(CA46+CD46+CK46)</f>
        <v>131587</v>
      </c>
      <c r="CA46" s="16">
        <f t="shared" si="12"/>
        <v>131587</v>
      </c>
      <c r="CB46" s="16">
        <v>0</v>
      </c>
      <c r="CC46" s="16">
        <v>131587</v>
      </c>
      <c r="CD46" s="16">
        <f t="shared" si="13"/>
        <v>0</v>
      </c>
      <c r="CE46" s="16">
        <v>0</v>
      </c>
      <c r="CF46" s="16">
        <v>0</v>
      </c>
      <c r="CG46" s="16">
        <v>0</v>
      </c>
      <c r="CH46" s="16">
        <v>0</v>
      </c>
      <c r="CI46" s="16">
        <v>0</v>
      </c>
      <c r="CJ46" s="16">
        <v>0</v>
      </c>
      <c r="CK46" s="16">
        <f t="shared" si="14"/>
        <v>0</v>
      </c>
      <c r="CL46" s="16">
        <v>0</v>
      </c>
      <c r="CM46" s="16">
        <v>0</v>
      </c>
      <c r="CN46" s="16">
        <v>0</v>
      </c>
      <c r="CO46" s="16">
        <v>0</v>
      </c>
      <c r="CP46" s="16">
        <v>0</v>
      </c>
      <c r="CQ46" s="16">
        <v>0</v>
      </c>
      <c r="CR46" s="16">
        <v>0</v>
      </c>
      <c r="CS46" s="16">
        <v>0</v>
      </c>
      <c r="CT46" s="16">
        <f t="shared" si="15"/>
        <v>0</v>
      </c>
      <c r="CU46" s="16">
        <f t="shared" si="16"/>
        <v>0</v>
      </c>
      <c r="CV46" s="16">
        <v>0</v>
      </c>
      <c r="CW46" s="17">
        <v>0</v>
      </c>
      <c r="CX46" s="40"/>
      <c r="CY46" s="40"/>
    </row>
    <row r="47" spans="1:103" ht="31.5" x14ac:dyDescent="0.25">
      <c r="A47" s="13" t="s">
        <v>1</v>
      </c>
      <c r="B47" s="14" t="s">
        <v>1</v>
      </c>
      <c r="C47" s="14" t="s">
        <v>29</v>
      </c>
      <c r="D47" s="30" t="s">
        <v>53</v>
      </c>
      <c r="E47" s="15">
        <f>SUM(F47+BY47+CT47)</f>
        <v>5190325</v>
      </c>
      <c r="F47" s="16">
        <f>SUM(G47+BA47)</f>
        <v>5124853</v>
      </c>
      <c r="G47" s="16">
        <f>SUM(H47+I47+J47+Q47+T47+U47+V47+AE47)</f>
        <v>5124853</v>
      </c>
      <c r="H47" s="16">
        <f>3299880+238493</f>
        <v>3538373</v>
      </c>
      <c r="I47" s="16">
        <f>804640+56046</f>
        <v>860686</v>
      </c>
      <c r="J47" s="16">
        <f t="shared" si="7"/>
        <v>240637</v>
      </c>
      <c r="K47" s="16">
        <v>0</v>
      </c>
      <c r="L47" s="16">
        <v>0</v>
      </c>
      <c r="M47" s="16">
        <v>0</v>
      </c>
      <c r="N47" s="16">
        <v>0</v>
      </c>
      <c r="O47" s="16">
        <v>153096</v>
      </c>
      <c r="P47" s="16">
        <v>87541</v>
      </c>
      <c r="Q47" s="16">
        <f t="shared" si="8"/>
        <v>934</v>
      </c>
      <c r="R47" s="16">
        <v>934</v>
      </c>
      <c r="S47" s="16">
        <v>0</v>
      </c>
      <c r="T47" s="16">
        <v>0</v>
      </c>
      <c r="U47" s="16">
        <v>149066</v>
      </c>
      <c r="V47" s="16">
        <f>SUM(W47:AD47)</f>
        <v>70393</v>
      </c>
      <c r="W47" s="16">
        <v>0</v>
      </c>
      <c r="X47" s="16">
        <v>23708</v>
      </c>
      <c r="Y47" s="16">
        <v>7194</v>
      </c>
      <c r="Z47" s="16">
        <v>1288</v>
      </c>
      <c r="AA47" s="16">
        <v>1731</v>
      </c>
      <c r="AB47" s="16">
        <v>36161</v>
      </c>
      <c r="AC47" s="16">
        <v>0</v>
      </c>
      <c r="AD47" s="16">
        <f>0+311</f>
        <v>311</v>
      </c>
      <c r="AE47" s="16">
        <f>SUM(AF47:AZ47)</f>
        <v>264764</v>
      </c>
      <c r="AF47" s="16">
        <v>0</v>
      </c>
      <c r="AG47" s="16">
        <v>44827</v>
      </c>
      <c r="AH47" s="16">
        <v>9091</v>
      </c>
      <c r="AI47" s="16">
        <v>0</v>
      </c>
      <c r="AJ47" s="16">
        <v>11138</v>
      </c>
      <c r="AK47" s="16">
        <v>0</v>
      </c>
      <c r="AL47" s="16">
        <v>32736</v>
      </c>
      <c r="AM47" s="16">
        <v>0</v>
      </c>
      <c r="AN47" s="16">
        <v>0</v>
      </c>
      <c r="AO47" s="16">
        <v>0</v>
      </c>
      <c r="AP47" s="16">
        <v>0</v>
      </c>
      <c r="AQ47" s="16">
        <v>0</v>
      </c>
      <c r="AR47" s="16">
        <v>0</v>
      </c>
      <c r="AS47" s="16">
        <v>0</v>
      </c>
      <c r="AT47" s="16">
        <v>0</v>
      </c>
      <c r="AU47" s="16">
        <v>0</v>
      </c>
      <c r="AV47" s="16">
        <v>0</v>
      </c>
      <c r="AW47" s="16">
        <v>0</v>
      </c>
      <c r="AX47" s="16">
        <v>0</v>
      </c>
      <c r="AY47" s="16">
        <v>0</v>
      </c>
      <c r="AZ47" s="16">
        <v>166972</v>
      </c>
      <c r="BA47" s="16">
        <f>SUM(BB47+BF47+BI47+BJ47+BK47+BM47)</f>
        <v>0</v>
      </c>
      <c r="BB47" s="16">
        <f>SUM(BC47:BE47)</f>
        <v>0</v>
      </c>
      <c r="BC47" s="16">
        <v>0</v>
      </c>
      <c r="BD47" s="16">
        <v>0</v>
      </c>
      <c r="BE47" s="16">
        <v>0</v>
      </c>
      <c r="BF47" s="16">
        <f t="shared" si="9"/>
        <v>0</v>
      </c>
      <c r="BG47" s="16">
        <v>0</v>
      </c>
      <c r="BH47" s="16">
        <v>0</v>
      </c>
      <c r="BI47" s="16">
        <v>0</v>
      </c>
      <c r="BJ47" s="16">
        <v>0</v>
      </c>
      <c r="BK47" s="16">
        <f t="shared" si="10"/>
        <v>0</v>
      </c>
      <c r="BL47" s="16">
        <v>0</v>
      </c>
      <c r="BM47" s="16">
        <f t="shared" si="11"/>
        <v>0</v>
      </c>
      <c r="BN47" s="16">
        <v>0</v>
      </c>
      <c r="BO47" s="16">
        <v>0</v>
      </c>
      <c r="BP47" s="16">
        <v>0</v>
      </c>
      <c r="BQ47" s="16">
        <v>0</v>
      </c>
      <c r="BR47" s="16">
        <v>0</v>
      </c>
      <c r="BS47" s="16">
        <v>0</v>
      </c>
      <c r="BT47" s="16">
        <v>0</v>
      </c>
      <c r="BU47" s="16">
        <v>0</v>
      </c>
      <c r="BV47" s="16">
        <v>0</v>
      </c>
      <c r="BW47" s="16">
        <v>0</v>
      </c>
      <c r="BX47" s="16">
        <v>0</v>
      </c>
      <c r="BY47" s="16">
        <f>SUM(BZ47+CS47)</f>
        <v>65472</v>
      </c>
      <c r="BZ47" s="16">
        <f>SUM(CA47+CD47+CK47)</f>
        <v>65472</v>
      </c>
      <c r="CA47" s="16">
        <f t="shared" si="12"/>
        <v>65472</v>
      </c>
      <c r="CB47" s="16">
        <v>0</v>
      </c>
      <c r="CC47" s="16">
        <v>65472</v>
      </c>
      <c r="CD47" s="16">
        <f t="shared" si="13"/>
        <v>0</v>
      </c>
      <c r="CE47" s="16">
        <v>0</v>
      </c>
      <c r="CF47" s="16">
        <v>0</v>
      </c>
      <c r="CG47" s="16">
        <v>0</v>
      </c>
      <c r="CH47" s="16">
        <v>0</v>
      </c>
      <c r="CI47" s="16">
        <v>0</v>
      </c>
      <c r="CJ47" s="16">
        <v>0</v>
      </c>
      <c r="CK47" s="16">
        <f t="shared" si="14"/>
        <v>0</v>
      </c>
      <c r="CL47" s="16">
        <v>0</v>
      </c>
      <c r="CM47" s="16">
        <v>0</v>
      </c>
      <c r="CN47" s="16">
        <v>0</v>
      </c>
      <c r="CO47" s="16">
        <v>0</v>
      </c>
      <c r="CP47" s="16">
        <v>0</v>
      </c>
      <c r="CQ47" s="16">
        <v>0</v>
      </c>
      <c r="CR47" s="16">
        <v>0</v>
      </c>
      <c r="CS47" s="16">
        <v>0</v>
      </c>
      <c r="CT47" s="16">
        <f t="shared" si="15"/>
        <v>0</v>
      </c>
      <c r="CU47" s="16">
        <f t="shared" si="16"/>
        <v>0</v>
      </c>
      <c r="CV47" s="16">
        <v>0</v>
      </c>
      <c r="CW47" s="17">
        <v>0</v>
      </c>
      <c r="CX47" s="40"/>
      <c r="CY47" s="40"/>
    </row>
    <row r="48" spans="1:103" ht="15.75" x14ac:dyDescent="0.25">
      <c r="A48" s="13" t="s">
        <v>3</v>
      </c>
      <c r="B48" s="14" t="s">
        <v>54</v>
      </c>
      <c r="C48" s="14" t="s">
        <v>1</v>
      </c>
      <c r="D48" s="30" t="s">
        <v>55</v>
      </c>
      <c r="E48" s="15">
        <f>SUM(E49)</f>
        <v>2882955</v>
      </c>
      <c r="F48" s="16">
        <f t="shared" ref="F48:BS48" si="41">SUM(F49)</f>
        <v>2841243</v>
      </c>
      <c r="G48" s="16">
        <f t="shared" si="41"/>
        <v>2841243</v>
      </c>
      <c r="H48" s="16">
        <f t="shared" si="41"/>
        <v>2163119</v>
      </c>
      <c r="I48" s="16">
        <f t="shared" si="41"/>
        <v>519380</v>
      </c>
      <c r="J48" s="16">
        <f t="shared" si="41"/>
        <v>9514</v>
      </c>
      <c r="K48" s="16">
        <f t="shared" si="41"/>
        <v>0</v>
      </c>
      <c r="L48" s="16">
        <f t="shared" si="41"/>
        <v>0</v>
      </c>
      <c r="M48" s="16">
        <f t="shared" si="41"/>
        <v>0</v>
      </c>
      <c r="N48" s="16">
        <f t="shared" si="41"/>
        <v>0</v>
      </c>
      <c r="O48" s="16">
        <f t="shared" si="41"/>
        <v>0</v>
      </c>
      <c r="P48" s="16">
        <f t="shared" si="41"/>
        <v>9514</v>
      </c>
      <c r="Q48" s="16">
        <f t="shared" si="41"/>
        <v>2622</v>
      </c>
      <c r="R48" s="16">
        <f t="shared" si="41"/>
        <v>2622</v>
      </c>
      <c r="S48" s="16">
        <f t="shared" si="41"/>
        <v>0</v>
      </c>
      <c r="T48" s="16">
        <f t="shared" si="41"/>
        <v>0</v>
      </c>
      <c r="U48" s="16">
        <f t="shared" si="41"/>
        <v>92704</v>
      </c>
      <c r="V48" s="16">
        <f t="shared" si="41"/>
        <v>18668</v>
      </c>
      <c r="W48" s="16">
        <f t="shared" si="41"/>
        <v>3189</v>
      </c>
      <c r="X48" s="16">
        <f t="shared" si="41"/>
        <v>5925</v>
      </c>
      <c r="Y48" s="16">
        <f t="shared" si="41"/>
        <v>4381</v>
      </c>
      <c r="Z48" s="16">
        <f t="shared" si="41"/>
        <v>1102</v>
      </c>
      <c r="AA48" s="16">
        <f t="shared" si="41"/>
        <v>4071</v>
      </c>
      <c r="AB48" s="16">
        <f t="shared" si="41"/>
        <v>0</v>
      </c>
      <c r="AC48" s="16">
        <f t="shared" si="41"/>
        <v>0</v>
      </c>
      <c r="AD48" s="16">
        <f t="shared" si="41"/>
        <v>0</v>
      </c>
      <c r="AE48" s="16">
        <f t="shared" si="41"/>
        <v>35236</v>
      </c>
      <c r="AF48" s="16">
        <f t="shared" si="41"/>
        <v>0</v>
      </c>
      <c r="AG48" s="16">
        <f t="shared" si="41"/>
        <v>1242</v>
      </c>
      <c r="AH48" s="16">
        <f t="shared" si="41"/>
        <v>2000</v>
      </c>
      <c r="AI48" s="16">
        <f t="shared" si="41"/>
        <v>0</v>
      </c>
      <c r="AJ48" s="16">
        <f t="shared" si="41"/>
        <v>11138</v>
      </c>
      <c r="AK48" s="16">
        <f t="shared" si="41"/>
        <v>0</v>
      </c>
      <c r="AL48" s="16">
        <f t="shared" si="41"/>
        <v>20856</v>
      </c>
      <c r="AM48" s="16">
        <f t="shared" si="41"/>
        <v>0</v>
      </c>
      <c r="AN48" s="16">
        <f t="shared" si="41"/>
        <v>0</v>
      </c>
      <c r="AO48" s="16">
        <f t="shared" si="41"/>
        <v>0</v>
      </c>
      <c r="AP48" s="16">
        <f t="shared" si="41"/>
        <v>0</v>
      </c>
      <c r="AQ48" s="16">
        <f t="shared" si="41"/>
        <v>0</v>
      </c>
      <c r="AR48" s="16">
        <f t="shared" si="41"/>
        <v>0</v>
      </c>
      <c r="AS48" s="16">
        <f t="shared" si="41"/>
        <v>0</v>
      </c>
      <c r="AT48" s="16">
        <f t="shared" si="41"/>
        <v>0</v>
      </c>
      <c r="AU48" s="16">
        <f t="shared" si="41"/>
        <v>0</v>
      </c>
      <c r="AV48" s="16">
        <f t="shared" si="41"/>
        <v>0</v>
      </c>
      <c r="AW48" s="16">
        <f t="shared" si="41"/>
        <v>0</v>
      </c>
      <c r="AX48" s="16">
        <f t="shared" si="41"/>
        <v>0</v>
      </c>
      <c r="AY48" s="16">
        <f t="shared" si="41"/>
        <v>0</v>
      </c>
      <c r="AZ48" s="16">
        <f t="shared" si="41"/>
        <v>0</v>
      </c>
      <c r="BA48" s="16">
        <f t="shared" si="41"/>
        <v>0</v>
      </c>
      <c r="BB48" s="16">
        <f t="shared" si="41"/>
        <v>0</v>
      </c>
      <c r="BC48" s="16">
        <f t="shared" si="41"/>
        <v>0</v>
      </c>
      <c r="BD48" s="16">
        <f t="shared" si="41"/>
        <v>0</v>
      </c>
      <c r="BE48" s="16">
        <f t="shared" si="41"/>
        <v>0</v>
      </c>
      <c r="BF48" s="16">
        <f t="shared" si="41"/>
        <v>0</v>
      </c>
      <c r="BG48" s="16">
        <f t="shared" si="41"/>
        <v>0</v>
      </c>
      <c r="BH48" s="16">
        <f t="shared" si="41"/>
        <v>0</v>
      </c>
      <c r="BI48" s="16">
        <f t="shared" si="41"/>
        <v>0</v>
      </c>
      <c r="BJ48" s="16">
        <f t="shared" si="41"/>
        <v>0</v>
      </c>
      <c r="BK48" s="16">
        <f t="shared" si="41"/>
        <v>0</v>
      </c>
      <c r="BL48" s="16">
        <f t="shared" si="41"/>
        <v>0</v>
      </c>
      <c r="BM48" s="16">
        <f t="shared" si="41"/>
        <v>0</v>
      </c>
      <c r="BN48" s="16">
        <f t="shared" si="41"/>
        <v>0</v>
      </c>
      <c r="BO48" s="16">
        <f t="shared" si="41"/>
        <v>0</v>
      </c>
      <c r="BP48" s="16">
        <f t="shared" si="41"/>
        <v>0</v>
      </c>
      <c r="BQ48" s="16">
        <f t="shared" si="41"/>
        <v>0</v>
      </c>
      <c r="BR48" s="16">
        <f t="shared" si="41"/>
        <v>0</v>
      </c>
      <c r="BS48" s="16">
        <f t="shared" si="41"/>
        <v>0</v>
      </c>
      <c r="BT48" s="16">
        <f t="shared" ref="BT48:CW48" si="42">SUM(BT49)</f>
        <v>0</v>
      </c>
      <c r="BU48" s="16">
        <f t="shared" si="42"/>
        <v>0</v>
      </c>
      <c r="BV48" s="16">
        <f t="shared" si="42"/>
        <v>0</v>
      </c>
      <c r="BW48" s="16">
        <f t="shared" si="42"/>
        <v>0</v>
      </c>
      <c r="BX48" s="16">
        <f t="shared" si="42"/>
        <v>0</v>
      </c>
      <c r="BY48" s="16">
        <f t="shared" si="42"/>
        <v>41712</v>
      </c>
      <c r="BZ48" s="16">
        <f t="shared" si="42"/>
        <v>41712</v>
      </c>
      <c r="CA48" s="16">
        <f t="shared" si="42"/>
        <v>41712</v>
      </c>
      <c r="CB48" s="16">
        <f t="shared" si="42"/>
        <v>0</v>
      </c>
      <c r="CC48" s="16">
        <f t="shared" si="42"/>
        <v>41712</v>
      </c>
      <c r="CD48" s="16">
        <f t="shared" si="42"/>
        <v>0</v>
      </c>
      <c r="CE48" s="16">
        <f t="shared" si="42"/>
        <v>0</v>
      </c>
      <c r="CF48" s="16">
        <f t="shared" si="42"/>
        <v>0</v>
      </c>
      <c r="CG48" s="16">
        <f t="shared" si="42"/>
        <v>0</v>
      </c>
      <c r="CH48" s="16">
        <f t="shared" si="42"/>
        <v>0</v>
      </c>
      <c r="CI48" s="16">
        <f t="shared" si="42"/>
        <v>0</v>
      </c>
      <c r="CJ48" s="16">
        <f t="shared" si="42"/>
        <v>0</v>
      </c>
      <c r="CK48" s="16">
        <f t="shared" si="42"/>
        <v>0</v>
      </c>
      <c r="CL48" s="16">
        <f t="shared" si="42"/>
        <v>0</v>
      </c>
      <c r="CM48" s="16">
        <f t="shared" si="42"/>
        <v>0</v>
      </c>
      <c r="CN48" s="16">
        <f t="shared" si="42"/>
        <v>0</v>
      </c>
      <c r="CO48" s="16">
        <f t="shared" si="42"/>
        <v>0</v>
      </c>
      <c r="CP48" s="16">
        <f t="shared" si="42"/>
        <v>0</v>
      </c>
      <c r="CQ48" s="16">
        <f t="shared" si="42"/>
        <v>0</v>
      </c>
      <c r="CR48" s="16">
        <f t="shared" si="42"/>
        <v>0</v>
      </c>
      <c r="CS48" s="16">
        <f t="shared" si="42"/>
        <v>0</v>
      </c>
      <c r="CT48" s="16">
        <f t="shared" si="42"/>
        <v>0</v>
      </c>
      <c r="CU48" s="16">
        <f t="shared" si="42"/>
        <v>0</v>
      </c>
      <c r="CV48" s="16">
        <f t="shared" si="42"/>
        <v>0</v>
      </c>
      <c r="CW48" s="17">
        <f t="shared" si="42"/>
        <v>0</v>
      </c>
      <c r="CX48" s="40"/>
      <c r="CY48" s="40"/>
    </row>
    <row r="49" spans="1:103" ht="31.5" x14ac:dyDescent="0.25">
      <c r="A49" s="13" t="s">
        <v>1</v>
      </c>
      <c r="B49" s="14" t="s">
        <v>1</v>
      </c>
      <c r="C49" s="14" t="s">
        <v>45</v>
      </c>
      <c r="D49" s="30" t="s">
        <v>56</v>
      </c>
      <c r="E49" s="15">
        <f>SUM(F49+BY49+CT49)</f>
        <v>2882955</v>
      </c>
      <c r="F49" s="16">
        <f>SUM(G49+BA49)</f>
        <v>2841243</v>
      </c>
      <c r="G49" s="16">
        <f>SUM(H49+I49+J49+Q49+T49+U49+V49+AE49)</f>
        <v>2841243</v>
      </c>
      <c r="H49" s="16">
        <v>2163119</v>
      </c>
      <c r="I49" s="16">
        <v>519380</v>
      </c>
      <c r="J49" s="16">
        <f t="shared" si="7"/>
        <v>9514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9514</v>
      </c>
      <c r="Q49" s="16">
        <f t="shared" si="8"/>
        <v>2622</v>
      </c>
      <c r="R49" s="16">
        <v>2622</v>
      </c>
      <c r="S49" s="16">
        <v>0</v>
      </c>
      <c r="T49" s="16">
        <v>0</v>
      </c>
      <c r="U49" s="16">
        <f>103667-10963</f>
        <v>92704</v>
      </c>
      <c r="V49" s="16">
        <f>SUM(W49:AD49)</f>
        <v>18668</v>
      </c>
      <c r="W49" s="16">
        <v>3189</v>
      </c>
      <c r="X49" s="16">
        <v>5925</v>
      </c>
      <c r="Y49" s="16">
        <v>4381</v>
      </c>
      <c r="Z49" s="16">
        <v>1102</v>
      </c>
      <c r="AA49" s="16">
        <v>4071</v>
      </c>
      <c r="AB49" s="16">
        <v>0</v>
      </c>
      <c r="AC49" s="16">
        <v>0</v>
      </c>
      <c r="AD49" s="16">
        <v>0</v>
      </c>
      <c r="AE49" s="16">
        <f>SUM(AF49:AZ49)</f>
        <v>35236</v>
      </c>
      <c r="AF49" s="16">
        <v>0</v>
      </c>
      <c r="AG49" s="16">
        <v>1242</v>
      </c>
      <c r="AH49" s="16">
        <v>2000</v>
      </c>
      <c r="AI49" s="16">
        <v>0</v>
      </c>
      <c r="AJ49" s="16">
        <v>11138</v>
      </c>
      <c r="AK49" s="16">
        <v>0</v>
      </c>
      <c r="AL49" s="16">
        <v>20856</v>
      </c>
      <c r="AM49" s="16">
        <v>0</v>
      </c>
      <c r="AN49" s="16">
        <v>0</v>
      </c>
      <c r="AO49" s="16">
        <v>0</v>
      </c>
      <c r="AP49" s="16">
        <v>0</v>
      </c>
      <c r="AQ49" s="16">
        <v>0</v>
      </c>
      <c r="AR49" s="16">
        <v>0</v>
      </c>
      <c r="AS49" s="16">
        <v>0</v>
      </c>
      <c r="AT49" s="16">
        <v>0</v>
      </c>
      <c r="AU49" s="16">
        <v>0</v>
      </c>
      <c r="AV49" s="16">
        <v>0</v>
      </c>
      <c r="AW49" s="16">
        <v>0</v>
      </c>
      <c r="AX49" s="16">
        <v>0</v>
      </c>
      <c r="AY49" s="16">
        <v>0</v>
      </c>
      <c r="AZ49" s="16">
        <v>0</v>
      </c>
      <c r="BA49" s="16">
        <f>SUM(BB49+BF49+BI49+BJ49+BK49+BM49)</f>
        <v>0</v>
      </c>
      <c r="BB49" s="16">
        <f>SUM(BC49:BE49)</f>
        <v>0</v>
      </c>
      <c r="BC49" s="16">
        <v>0</v>
      </c>
      <c r="BD49" s="16">
        <v>0</v>
      </c>
      <c r="BE49" s="16">
        <v>0</v>
      </c>
      <c r="BF49" s="16">
        <f t="shared" si="9"/>
        <v>0</v>
      </c>
      <c r="BG49" s="16">
        <v>0</v>
      </c>
      <c r="BH49" s="16">
        <v>0</v>
      </c>
      <c r="BI49" s="16">
        <v>0</v>
      </c>
      <c r="BJ49" s="16">
        <v>0</v>
      </c>
      <c r="BK49" s="16">
        <f t="shared" si="10"/>
        <v>0</v>
      </c>
      <c r="BL49" s="16">
        <v>0</v>
      </c>
      <c r="BM49" s="16">
        <f t="shared" si="11"/>
        <v>0</v>
      </c>
      <c r="BN49" s="16">
        <v>0</v>
      </c>
      <c r="BO49" s="16">
        <v>0</v>
      </c>
      <c r="BP49" s="16">
        <v>0</v>
      </c>
      <c r="BQ49" s="16">
        <v>0</v>
      </c>
      <c r="BR49" s="16">
        <v>0</v>
      </c>
      <c r="BS49" s="16">
        <v>0</v>
      </c>
      <c r="BT49" s="16">
        <v>0</v>
      </c>
      <c r="BU49" s="16">
        <v>0</v>
      </c>
      <c r="BV49" s="16">
        <v>0</v>
      </c>
      <c r="BW49" s="16">
        <v>0</v>
      </c>
      <c r="BX49" s="16">
        <v>0</v>
      </c>
      <c r="BY49" s="16">
        <f>SUM(BZ49+CS49)</f>
        <v>41712</v>
      </c>
      <c r="BZ49" s="16">
        <f>SUM(CA49+CD49+CK49)</f>
        <v>41712</v>
      </c>
      <c r="CA49" s="16">
        <f t="shared" si="12"/>
        <v>41712</v>
      </c>
      <c r="CB49" s="16">
        <v>0</v>
      </c>
      <c r="CC49" s="16">
        <v>41712</v>
      </c>
      <c r="CD49" s="16">
        <f t="shared" si="13"/>
        <v>0</v>
      </c>
      <c r="CE49" s="16">
        <v>0</v>
      </c>
      <c r="CF49" s="16">
        <v>0</v>
      </c>
      <c r="CG49" s="16">
        <v>0</v>
      </c>
      <c r="CH49" s="16">
        <v>0</v>
      </c>
      <c r="CI49" s="16">
        <v>0</v>
      </c>
      <c r="CJ49" s="16">
        <v>0</v>
      </c>
      <c r="CK49" s="16">
        <f t="shared" si="14"/>
        <v>0</v>
      </c>
      <c r="CL49" s="16">
        <v>0</v>
      </c>
      <c r="CM49" s="16">
        <v>0</v>
      </c>
      <c r="CN49" s="16">
        <v>0</v>
      </c>
      <c r="CO49" s="16">
        <v>0</v>
      </c>
      <c r="CP49" s="16">
        <v>0</v>
      </c>
      <c r="CQ49" s="16">
        <v>0</v>
      </c>
      <c r="CR49" s="16">
        <v>0</v>
      </c>
      <c r="CS49" s="16">
        <v>0</v>
      </c>
      <c r="CT49" s="16">
        <f t="shared" si="15"/>
        <v>0</v>
      </c>
      <c r="CU49" s="16">
        <f t="shared" si="16"/>
        <v>0</v>
      </c>
      <c r="CV49" s="16">
        <v>0</v>
      </c>
      <c r="CW49" s="17">
        <v>0</v>
      </c>
      <c r="CX49" s="40"/>
      <c r="CY49" s="40"/>
    </row>
    <row r="50" spans="1:103" ht="15.75" x14ac:dyDescent="0.25">
      <c r="A50" s="13" t="s">
        <v>3</v>
      </c>
      <c r="B50" s="14" t="s">
        <v>57</v>
      </c>
      <c r="C50" s="14" t="s">
        <v>1</v>
      </c>
      <c r="D50" s="30" t="s">
        <v>58</v>
      </c>
      <c r="E50" s="15">
        <f t="shared" ref="E50:AJ50" si="43">SUM(E51)</f>
        <v>9839237</v>
      </c>
      <c r="F50" s="16">
        <f t="shared" si="43"/>
        <v>9021832</v>
      </c>
      <c r="G50" s="16">
        <f t="shared" si="43"/>
        <v>9004196</v>
      </c>
      <c r="H50" s="16">
        <f t="shared" si="43"/>
        <v>5122823</v>
      </c>
      <c r="I50" s="16">
        <f t="shared" si="43"/>
        <v>1315145</v>
      </c>
      <c r="J50" s="16">
        <f t="shared" si="43"/>
        <v>462331</v>
      </c>
      <c r="K50" s="16">
        <f t="shared" si="43"/>
        <v>0</v>
      </c>
      <c r="L50" s="16">
        <f t="shared" si="43"/>
        <v>0</v>
      </c>
      <c r="M50" s="16">
        <f t="shared" si="43"/>
        <v>0</v>
      </c>
      <c r="N50" s="16">
        <f t="shared" si="43"/>
        <v>0</v>
      </c>
      <c r="O50" s="16">
        <f t="shared" si="43"/>
        <v>300000</v>
      </c>
      <c r="P50" s="16">
        <f t="shared" si="43"/>
        <v>162331</v>
      </c>
      <c r="Q50" s="16">
        <f t="shared" si="43"/>
        <v>460994</v>
      </c>
      <c r="R50" s="16">
        <f t="shared" si="43"/>
        <v>0</v>
      </c>
      <c r="S50" s="16">
        <f t="shared" si="43"/>
        <v>460994</v>
      </c>
      <c r="T50" s="16">
        <f t="shared" si="43"/>
        <v>0</v>
      </c>
      <c r="U50" s="16">
        <f t="shared" si="43"/>
        <v>391832</v>
      </c>
      <c r="V50" s="16">
        <f t="shared" si="43"/>
        <v>503179</v>
      </c>
      <c r="W50" s="16">
        <f t="shared" si="43"/>
        <v>320324</v>
      </c>
      <c r="X50" s="16">
        <f t="shared" si="43"/>
        <v>85862</v>
      </c>
      <c r="Y50" s="16">
        <f t="shared" si="43"/>
        <v>69707</v>
      </c>
      <c r="Z50" s="16">
        <f t="shared" si="43"/>
        <v>14243</v>
      </c>
      <c r="AA50" s="16">
        <f t="shared" si="43"/>
        <v>13043</v>
      </c>
      <c r="AB50" s="16">
        <f t="shared" si="43"/>
        <v>0</v>
      </c>
      <c r="AC50" s="16">
        <f t="shared" si="43"/>
        <v>0</v>
      </c>
      <c r="AD50" s="16">
        <f t="shared" si="43"/>
        <v>0</v>
      </c>
      <c r="AE50" s="16">
        <f t="shared" si="43"/>
        <v>747892</v>
      </c>
      <c r="AF50" s="16">
        <f t="shared" si="43"/>
        <v>0</v>
      </c>
      <c r="AG50" s="16">
        <f t="shared" si="43"/>
        <v>27183</v>
      </c>
      <c r="AH50" s="16">
        <f t="shared" si="43"/>
        <v>37672</v>
      </c>
      <c r="AI50" s="16">
        <f t="shared" si="43"/>
        <v>0</v>
      </c>
      <c r="AJ50" s="16">
        <f t="shared" si="43"/>
        <v>1591</v>
      </c>
      <c r="AK50" s="16">
        <f t="shared" ref="AK50:BR50" si="44">SUM(AK51)</f>
        <v>20166</v>
      </c>
      <c r="AL50" s="16">
        <f t="shared" si="44"/>
        <v>46750</v>
      </c>
      <c r="AM50" s="16">
        <f t="shared" si="44"/>
        <v>0</v>
      </c>
      <c r="AN50" s="16">
        <f t="shared" si="44"/>
        <v>277213</v>
      </c>
      <c r="AO50" s="16">
        <f t="shared" si="44"/>
        <v>0</v>
      </c>
      <c r="AP50" s="16">
        <f t="shared" si="44"/>
        <v>0</v>
      </c>
      <c r="AQ50" s="16">
        <f t="shared" si="44"/>
        <v>0</v>
      </c>
      <c r="AR50" s="16">
        <f t="shared" si="44"/>
        <v>0</v>
      </c>
      <c r="AS50" s="16">
        <f t="shared" si="44"/>
        <v>14122</v>
      </c>
      <c r="AT50" s="16">
        <f t="shared" si="44"/>
        <v>0</v>
      </c>
      <c r="AU50" s="16">
        <f t="shared" si="44"/>
        <v>0</v>
      </c>
      <c r="AV50" s="16">
        <f t="shared" si="44"/>
        <v>0</v>
      </c>
      <c r="AW50" s="16">
        <f t="shared" si="44"/>
        <v>0</v>
      </c>
      <c r="AX50" s="16">
        <f t="shared" si="44"/>
        <v>0</v>
      </c>
      <c r="AY50" s="16">
        <f t="shared" si="44"/>
        <v>3660</v>
      </c>
      <c r="AZ50" s="16">
        <f t="shared" si="44"/>
        <v>319535</v>
      </c>
      <c r="BA50" s="16">
        <f t="shared" si="44"/>
        <v>17636</v>
      </c>
      <c r="BB50" s="16">
        <f t="shared" si="44"/>
        <v>0</v>
      </c>
      <c r="BC50" s="16">
        <f t="shared" si="44"/>
        <v>0</v>
      </c>
      <c r="BD50" s="16">
        <f t="shared" si="44"/>
        <v>0</v>
      </c>
      <c r="BE50" s="16">
        <f t="shared" si="44"/>
        <v>0</v>
      </c>
      <c r="BF50" s="16">
        <f t="shared" si="44"/>
        <v>0</v>
      </c>
      <c r="BG50" s="16">
        <f t="shared" si="44"/>
        <v>0</v>
      </c>
      <c r="BH50" s="16">
        <f t="shared" si="44"/>
        <v>0</v>
      </c>
      <c r="BI50" s="16">
        <f t="shared" si="44"/>
        <v>0</v>
      </c>
      <c r="BJ50" s="16">
        <f t="shared" si="44"/>
        <v>0</v>
      </c>
      <c r="BK50" s="16">
        <f t="shared" si="44"/>
        <v>0</v>
      </c>
      <c r="BL50" s="16">
        <f t="shared" si="44"/>
        <v>0</v>
      </c>
      <c r="BM50" s="16">
        <f t="shared" si="44"/>
        <v>17636</v>
      </c>
      <c r="BN50" s="16">
        <f t="shared" si="44"/>
        <v>0</v>
      </c>
      <c r="BO50" s="16">
        <f t="shared" si="44"/>
        <v>0</v>
      </c>
      <c r="BP50" s="16">
        <f t="shared" si="44"/>
        <v>0</v>
      </c>
      <c r="BQ50" s="16">
        <f t="shared" si="44"/>
        <v>0</v>
      </c>
      <c r="BR50" s="16">
        <f t="shared" si="44"/>
        <v>0</v>
      </c>
      <c r="BS50" s="16">
        <f t="shared" ref="BS50:CW50" si="45">SUM(BS51)</f>
        <v>0</v>
      </c>
      <c r="BT50" s="16">
        <f t="shared" si="45"/>
        <v>0</v>
      </c>
      <c r="BU50" s="16">
        <f t="shared" si="45"/>
        <v>0</v>
      </c>
      <c r="BV50" s="16">
        <f t="shared" si="45"/>
        <v>0</v>
      </c>
      <c r="BW50" s="16">
        <f t="shared" si="45"/>
        <v>17636</v>
      </c>
      <c r="BX50" s="16">
        <f t="shared" si="45"/>
        <v>0</v>
      </c>
      <c r="BY50" s="16">
        <f t="shared" si="45"/>
        <v>817405</v>
      </c>
      <c r="BZ50" s="16">
        <f t="shared" si="45"/>
        <v>817405</v>
      </c>
      <c r="CA50" s="16">
        <f t="shared" si="45"/>
        <v>93500</v>
      </c>
      <c r="CB50" s="16">
        <f t="shared" si="45"/>
        <v>0</v>
      </c>
      <c r="CC50" s="16">
        <f t="shared" si="45"/>
        <v>93500</v>
      </c>
      <c r="CD50" s="16">
        <f t="shared" si="45"/>
        <v>0</v>
      </c>
      <c r="CE50" s="16">
        <f t="shared" si="45"/>
        <v>0</v>
      </c>
      <c r="CF50" s="16">
        <f t="shared" si="45"/>
        <v>0</v>
      </c>
      <c r="CG50" s="16">
        <f t="shared" si="45"/>
        <v>0</v>
      </c>
      <c r="CH50" s="16">
        <f t="shared" si="45"/>
        <v>0</v>
      </c>
      <c r="CI50" s="16">
        <f t="shared" si="45"/>
        <v>0</v>
      </c>
      <c r="CJ50" s="16">
        <f t="shared" si="45"/>
        <v>0</v>
      </c>
      <c r="CK50" s="16">
        <f t="shared" si="45"/>
        <v>723905</v>
      </c>
      <c r="CL50" s="16">
        <f t="shared" si="45"/>
        <v>0</v>
      </c>
      <c r="CM50" s="16">
        <f t="shared" si="45"/>
        <v>0</v>
      </c>
      <c r="CN50" s="16">
        <f t="shared" si="45"/>
        <v>0</v>
      </c>
      <c r="CO50" s="16">
        <f t="shared" si="45"/>
        <v>723905</v>
      </c>
      <c r="CP50" s="16">
        <f t="shared" si="45"/>
        <v>0</v>
      </c>
      <c r="CQ50" s="16">
        <f t="shared" si="45"/>
        <v>0</v>
      </c>
      <c r="CR50" s="16">
        <f t="shared" si="45"/>
        <v>0</v>
      </c>
      <c r="CS50" s="16">
        <f t="shared" si="45"/>
        <v>0</v>
      </c>
      <c r="CT50" s="16">
        <f t="shared" si="45"/>
        <v>0</v>
      </c>
      <c r="CU50" s="16">
        <f t="shared" si="45"/>
        <v>0</v>
      </c>
      <c r="CV50" s="16">
        <f t="shared" si="45"/>
        <v>0</v>
      </c>
      <c r="CW50" s="17">
        <f t="shared" si="45"/>
        <v>0</v>
      </c>
      <c r="CX50" s="40"/>
      <c r="CY50" s="40"/>
    </row>
    <row r="51" spans="1:103" ht="15.75" x14ac:dyDescent="0.25">
      <c r="A51" s="13" t="s">
        <v>1</v>
      </c>
      <c r="B51" s="14" t="s">
        <v>1</v>
      </c>
      <c r="C51" s="14" t="s">
        <v>59</v>
      </c>
      <c r="D51" s="30" t="s">
        <v>60</v>
      </c>
      <c r="E51" s="15">
        <f>SUM(F51+BY51+CT51)</f>
        <v>9839237</v>
      </c>
      <c r="F51" s="16">
        <f>SUM(G51+BA51)</f>
        <v>9021832</v>
      </c>
      <c r="G51" s="16">
        <f>SUM(H51+I51+J51+Q51+T51+U51+V51+AE51)</f>
        <v>9004196</v>
      </c>
      <c r="H51" s="16">
        <f>4674986+447837</f>
        <v>5122823</v>
      </c>
      <c r="I51" s="16">
        <f>1168746+146399</f>
        <v>1315145</v>
      </c>
      <c r="J51" s="16">
        <f t="shared" si="7"/>
        <v>462331</v>
      </c>
      <c r="K51" s="16">
        <v>0</v>
      </c>
      <c r="L51" s="16">
        <v>0</v>
      </c>
      <c r="M51" s="16">
        <v>0</v>
      </c>
      <c r="N51" s="16">
        <v>0</v>
      </c>
      <c r="O51" s="16">
        <v>300000</v>
      </c>
      <c r="P51" s="16">
        <v>162331</v>
      </c>
      <c r="Q51" s="16">
        <f t="shared" si="8"/>
        <v>460994</v>
      </c>
      <c r="R51" s="16">
        <v>0</v>
      </c>
      <c r="S51" s="16">
        <v>460994</v>
      </c>
      <c r="T51" s="16">
        <v>0</v>
      </c>
      <c r="U51" s="16">
        <v>391832</v>
      </c>
      <c r="V51" s="16">
        <f>SUM(W51:AD51)</f>
        <v>503179</v>
      </c>
      <c r="W51" s="16">
        <f>25450+294874</f>
        <v>320324</v>
      </c>
      <c r="X51" s="16">
        <v>85862</v>
      </c>
      <c r="Y51" s="16">
        <v>69707</v>
      </c>
      <c r="Z51" s="16">
        <v>14243</v>
      </c>
      <c r="AA51" s="16">
        <v>13043</v>
      </c>
      <c r="AB51" s="16">
        <v>0</v>
      </c>
      <c r="AC51" s="16">
        <v>0</v>
      </c>
      <c r="AD51" s="16">
        <v>0</v>
      </c>
      <c r="AE51" s="16">
        <f>SUM(AF51:AZ51)</f>
        <v>747892</v>
      </c>
      <c r="AF51" s="16">
        <v>0</v>
      </c>
      <c r="AG51" s="16">
        <f>20950+6233</f>
        <v>27183</v>
      </c>
      <c r="AH51" s="16">
        <v>37672</v>
      </c>
      <c r="AI51" s="16">
        <v>0</v>
      </c>
      <c r="AJ51" s="16">
        <v>1591</v>
      </c>
      <c r="AK51" s="16">
        <v>20166</v>
      </c>
      <c r="AL51" s="16">
        <v>46750</v>
      </c>
      <c r="AM51" s="16">
        <v>0</v>
      </c>
      <c r="AN51" s="16">
        <f>237315+39898</f>
        <v>277213</v>
      </c>
      <c r="AO51" s="16">
        <v>0</v>
      </c>
      <c r="AP51" s="16">
        <v>0</v>
      </c>
      <c r="AQ51" s="16">
        <v>0</v>
      </c>
      <c r="AR51" s="16">
        <v>0</v>
      </c>
      <c r="AS51" s="16">
        <f>6840+7282</f>
        <v>14122</v>
      </c>
      <c r="AT51" s="16">
        <v>0</v>
      </c>
      <c r="AU51" s="16">
        <v>0</v>
      </c>
      <c r="AV51" s="16">
        <v>0</v>
      </c>
      <c r="AW51" s="16">
        <v>0</v>
      </c>
      <c r="AX51" s="16">
        <v>0</v>
      </c>
      <c r="AY51" s="16">
        <f>0+3660</f>
        <v>3660</v>
      </c>
      <c r="AZ51" s="16">
        <f>323195-3660</f>
        <v>319535</v>
      </c>
      <c r="BA51" s="16">
        <f>SUM(BB51+BF51+BI51+BJ51+BK51+BM51)</f>
        <v>17636</v>
      </c>
      <c r="BB51" s="16">
        <f>SUM(BC51:BE51)</f>
        <v>0</v>
      </c>
      <c r="BC51" s="16">
        <v>0</v>
      </c>
      <c r="BD51" s="16">
        <v>0</v>
      </c>
      <c r="BE51" s="16">
        <v>0</v>
      </c>
      <c r="BF51" s="16">
        <f t="shared" si="9"/>
        <v>0</v>
      </c>
      <c r="BG51" s="16">
        <v>0</v>
      </c>
      <c r="BH51" s="16">
        <v>0</v>
      </c>
      <c r="BI51" s="16">
        <v>0</v>
      </c>
      <c r="BJ51" s="16">
        <v>0</v>
      </c>
      <c r="BK51" s="16">
        <f t="shared" si="10"/>
        <v>0</v>
      </c>
      <c r="BL51" s="16">
        <v>0</v>
      </c>
      <c r="BM51" s="16">
        <f t="shared" si="11"/>
        <v>17636</v>
      </c>
      <c r="BN51" s="16">
        <v>0</v>
      </c>
      <c r="BO51" s="16">
        <v>0</v>
      </c>
      <c r="BP51" s="16">
        <v>0</v>
      </c>
      <c r="BQ51" s="16">
        <v>0</v>
      </c>
      <c r="BR51" s="16">
        <v>0</v>
      </c>
      <c r="BS51" s="16">
        <v>0</v>
      </c>
      <c r="BT51" s="16">
        <v>0</v>
      </c>
      <c r="BU51" s="16">
        <v>0</v>
      </c>
      <c r="BV51" s="16">
        <v>0</v>
      </c>
      <c r="BW51" s="16">
        <v>17636</v>
      </c>
      <c r="BX51" s="16">
        <v>0</v>
      </c>
      <c r="BY51" s="16">
        <f>SUM(BZ51+CS51)</f>
        <v>817405</v>
      </c>
      <c r="BZ51" s="16">
        <f>SUM(CA51+CD51+CK51)</f>
        <v>817405</v>
      </c>
      <c r="CA51" s="16">
        <f t="shared" si="12"/>
        <v>93500</v>
      </c>
      <c r="CB51" s="16">
        <v>0</v>
      </c>
      <c r="CC51" s="16">
        <v>93500</v>
      </c>
      <c r="CD51" s="16">
        <f t="shared" si="13"/>
        <v>0</v>
      </c>
      <c r="CE51" s="16">
        <v>0</v>
      </c>
      <c r="CF51" s="16">
        <v>0</v>
      </c>
      <c r="CG51" s="16">
        <v>0</v>
      </c>
      <c r="CH51" s="16">
        <v>0</v>
      </c>
      <c r="CI51" s="16">
        <v>0</v>
      </c>
      <c r="CJ51" s="16">
        <v>0</v>
      </c>
      <c r="CK51" s="16">
        <f t="shared" si="14"/>
        <v>723905</v>
      </c>
      <c r="CL51" s="16">
        <v>0</v>
      </c>
      <c r="CM51" s="16">
        <v>0</v>
      </c>
      <c r="CN51" s="16">
        <v>0</v>
      </c>
      <c r="CO51" s="16">
        <f>1072192-348287</f>
        <v>723905</v>
      </c>
      <c r="CP51" s="16">
        <v>0</v>
      </c>
      <c r="CQ51" s="16">
        <v>0</v>
      </c>
      <c r="CR51" s="16">
        <v>0</v>
      </c>
      <c r="CS51" s="16">
        <v>0</v>
      </c>
      <c r="CT51" s="16">
        <f t="shared" si="15"/>
        <v>0</v>
      </c>
      <c r="CU51" s="16">
        <f t="shared" si="16"/>
        <v>0</v>
      </c>
      <c r="CV51" s="16">
        <v>0</v>
      </c>
      <c r="CW51" s="17">
        <v>0</v>
      </c>
      <c r="CX51" s="40"/>
      <c r="CY51" s="40"/>
    </row>
    <row r="52" spans="1:103" ht="15.75" x14ac:dyDescent="0.25">
      <c r="A52" s="18" t="s">
        <v>61</v>
      </c>
      <c r="B52" s="19" t="s">
        <v>1</v>
      </c>
      <c r="C52" s="19" t="s">
        <v>1</v>
      </c>
      <c r="D52" s="31" t="s">
        <v>62</v>
      </c>
      <c r="E52" s="20">
        <f>SUM(E53+E55+E57+E59+E61)</f>
        <v>48458327</v>
      </c>
      <c r="F52" s="21">
        <f t="shared" ref="F52:BS52" si="46">SUM(F53+F55+F57+F59+F61)</f>
        <v>47708571</v>
      </c>
      <c r="G52" s="21">
        <f t="shared" si="46"/>
        <v>47387046</v>
      </c>
      <c r="H52" s="21">
        <f t="shared" si="46"/>
        <v>38489403</v>
      </c>
      <c r="I52" s="21">
        <f t="shared" si="46"/>
        <v>4034868</v>
      </c>
      <c r="J52" s="21">
        <f t="shared" si="46"/>
        <v>1284457</v>
      </c>
      <c r="K52" s="21">
        <f t="shared" si="46"/>
        <v>0</v>
      </c>
      <c r="L52" s="21">
        <f t="shared" si="46"/>
        <v>89691</v>
      </c>
      <c r="M52" s="21">
        <f t="shared" si="46"/>
        <v>0</v>
      </c>
      <c r="N52" s="21">
        <f t="shared" si="46"/>
        <v>0</v>
      </c>
      <c r="O52" s="21">
        <f t="shared" si="46"/>
        <v>892200</v>
      </c>
      <c r="P52" s="21">
        <f t="shared" si="46"/>
        <v>302566</v>
      </c>
      <c r="Q52" s="21">
        <f t="shared" si="46"/>
        <v>239</v>
      </c>
      <c r="R52" s="21">
        <f t="shared" si="46"/>
        <v>239</v>
      </c>
      <c r="S52" s="21">
        <f t="shared" si="46"/>
        <v>0</v>
      </c>
      <c r="T52" s="21">
        <f t="shared" si="46"/>
        <v>0</v>
      </c>
      <c r="U52" s="21">
        <f t="shared" si="46"/>
        <v>888852</v>
      </c>
      <c r="V52" s="21">
        <f t="shared" si="46"/>
        <v>332009</v>
      </c>
      <c r="W52" s="21">
        <f t="shared" si="46"/>
        <v>134737</v>
      </c>
      <c r="X52" s="21">
        <f t="shared" si="46"/>
        <v>62753</v>
      </c>
      <c r="Y52" s="21">
        <f t="shared" si="46"/>
        <v>89011</v>
      </c>
      <c r="Z52" s="21">
        <f t="shared" si="46"/>
        <v>15716</v>
      </c>
      <c r="AA52" s="21">
        <f t="shared" si="46"/>
        <v>13481</v>
      </c>
      <c r="AB52" s="21">
        <f t="shared" si="46"/>
        <v>0</v>
      </c>
      <c r="AC52" s="21">
        <f t="shared" si="46"/>
        <v>0</v>
      </c>
      <c r="AD52" s="21">
        <f t="shared" ref="AD52" si="47">SUM(AD53+AD55+AD57+AD59+AD61)</f>
        <v>16311</v>
      </c>
      <c r="AE52" s="21">
        <f t="shared" si="46"/>
        <v>2357218</v>
      </c>
      <c r="AF52" s="21">
        <f t="shared" si="46"/>
        <v>0</v>
      </c>
      <c r="AG52" s="21">
        <f t="shared" si="46"/>
        <v>15926</v>
      </c>
      <c r="AH52" s="21">
        <f t="shared" si="46"/>
        <v>107655</v>
      </c>
      <c r="AI52" s="21">
        <f t="shared" si="46"/>
        <v>0</v>
      </c>
      <c r="AJ52" s="21">
        <f t="shared" si="46"/>
        <v>81811</v>
      </c>
      <c r="AK52" s="21">
        <f t="shared" si="46"/>
        <v>28400</v>
      </c>
      <c r="AL52" s="21">
        <f t="shared" si="46"/>
        <v>193029</v>
      </c>
      <c r="AM52" s="21">
        <f t="shared" si="46"/>
        <v>265897</v>
      </c>
      <c r="AN52" s="21">
        <f t="shared" si="46"/>
        <v>166064</v>
      </c>
      <c r="AO52" s="21">
        <f t="shared" si="46"/>
        <v>38024</v>
      </c>
      <c r="AP52" s="21">
        <f>SUM(AP53+AP55+AP57+AP59+AP61)</f>
        <v>0</v>
      </c>
      <c r="AQ52" s="21">
        <f t="shared" si="46"/>
        <v>0</v>
      </c>
      <c r="AR52" s="21">
        <f t="shared" si="46"/>
        <v>793872</v>
      </c>
      <c r="AS52" s="21">
        <f t="shared" si="46"/>
        <v>5000</v>
      </c>
      <c r="AT52" s="21">
        <f t="shared" si="46"/>
        <v>524239</v>
      </c>
      <c r="AU52" s="21">
        <f t="shared" si="46"/>
        <v>0</v>
      </c>
      <c r="AV52" s="21">
        <f t="shared" si="46"/>
        <v>0</v>
      </c>
      <c r="AW52" s="21">
        <f t="shared" si="46"/>
        <v>0</v>
      </c>
      <c r="AX52" s="21">
        <f t="shared" si="46"/>
        <v>0</v>
      </c>
      <c r="AY52" s="21">
        <f t="shared" si="46"/>
        <v>0</v>
      </c>
      <c r="AZ52" s="21">
        <f t="shared" si="46"/>
        <v>137301</v>
      </c>
      <c r="BA52" s="21">
        <f t="shared" si="46"/>
        <v>321525</v>
      </c>
      <c r="BB52" s="21">
        <f t="shared" si="46"/>
        <v>0</v>
      </c>
      <c r="BC52" s="21">
        <f t="shared" si="46"/>
        <v>0</v>
      </c>
      <c r="BD52" s="21">
        <f t="shared" si="46"/>
        <v>0</v>
      </c>
      <c r="BE52" s="21">
        <f t="shared" si="46"/>
        <v>0</v>
      </c>
      <c r="BF52" s="21">
        <f t="shared" si="46"/>
        <v>0</v>
      </c>
      <c r="BG52" s="21">
        <f t="shared" si="46"/>
        <v>0</v>
      </c>
      <c r="BH52" s="21">
        <f t="shared" si="46"/>
        <v>0</v>
      </c>
      <c r="BI52" s="21">
        <f t="shared" si="46"/>
        <v>0</v>
      </c>
      <c r="BJ52" s="21">
        <f t="shared" si="46"/>
        <v>0</v>
      </c>
      <c r="BK52" s="21">
        <f t="shared" si="46"/>
        <v>0</v>
      </c>
      <c r="BL52" s="21">
        <f t="shared" si="46"/>
        <v>0</v>
      </c>
      <c r="BM52" s="21">
        <f t="shared" si="46"/>
        <v>321525</v>
      </c>
      <c r="BN52" s="21">
        <f t="shared" si="46"/>
        <v>0</v>
      </c>
      <c r="BO52" s="21">
        <f t="shared" si="46"/>
        <v>0</v>
      </c>
      <c r="BP52" s="21">
        <f t="shared" si="46"/>
        <v>0</v>
      </c>
      <c r="BQ52" s="21">
        <f t="shared" si="46"/>
        <v>0</v>
      </c>
      <c r="BR52" s="21">
        <f t="shared" si="46"/>
        <v>0</v>
      </c>
      <c r="BS52" s="21">
        <f t="shared" si="46"/>
        <v>0</v>
      </c>
      <c r="BT52" s="21">
        <f t="shared" ref="BT52:CW52" si="48">SUM(BT53+BT55+BT57+BT59+BT61)</f>
        <v>0</v>
      </c>
      <c r="BU52" s="21">
        <f t="shared" si="48"/>
        <v>0</v>
      </c>
      <c r="BV52" s="21">
        <f t="shared" si="48"/>
        <v>0</v>
      </c>
      <c r="BW52" s="21">
        <f t="shared" si="48"/>
        <v>39491</v>
      </c>
      <c r="BX52" s="21">
        <f t="shared" si="48"/>
        <v>282034</v>
      </c>
      <c r="BY52" s="21">
        <f t="shared" si="48"/>
        <v>749756</v>
      </c>
      <c r="BZ52" s="21">
        <f t="shared" si="48"/>
        <v>749756</v>
      </c>
      <c r="CA52" s="21">
        <f t="shared" si="48"/>
        <v>749756</v>
      </c>
      <c r="CB52" s="21">
        <f t="shared" si="48"/>
        <v>0</v>
      </c>
      <c r="CC52" s="21">
        <f t="shared" si="48"/>
        <v>749756</v>
      </c>
      <c r="CD52" s="21">
        <f t="shared" si="48"/>
        <v>0</v>
      </c>
      <c r="CE52" s="21">
        <f t="shared" si="48"/>
        <v>0</v>
      </c>
      <c r="CF52" s="21">
        <f>SUM(CF53+CF55+CF57+CF59+CF61)</f>
        <v>0</v>
      </c>
      <c r="CG52" s="21">
        <f t="shared" si="48"/>
        <v>0</v>
      </c>
      <c r="CH52" s="21">
        <f t="shared" si="48"/>
        <v>0</v>
      </c>
      <c r="CI52" s="21">
        <f t="shared" si="48"/>
        <v>0</v>
      </c>
      <c r="CJ52" s="21">
        <f t="shared" ref="CJ52" si="49">SUM(CJ53+CJ55+CJ57+CJ59+CJ61)</f>
        <v>0</v>
      </c>
      <c r="CK52" s="21">
        <f t="shared" si="48"/>
        <v>0</v>
      </c>
      <c r="CL52" s="21">
        <f t="shared" si="48"/>
        <v>0</v>
      </c>
      <c r="CM52" s="21">
        <f>SUM(CM53+CM55+CM57+CM59+CM61)</f>
        <v>0</v>
      </c>
      <c r="CN52" s="21">
        <f t="shared" si="48"/>
        <v>0</v>
      </c>
      <c r="CO52" s="21">
        <f t="shared" si="48"/>
        <v>0</v>
      </c>
      <c r="CP52" s="21">
        <f t="shared" si="48"/>
        <v>0</v>
      </c>
      <c r="CQ52" s="21">
        <f t="shared" si="48"/>
        <v>0</v>
      </c>
      <c r="CR52" s="21">
        <f t="shared" si="48"/>
        <v>0</v>
      </c>
      <c r="CS52" s="21">
        <f t="shared" si="48"/>
        <v>0</v>
      </c>
      <c r="CT52" s="21">
        <f t="shared" si="48"/>
        <v>0</v>
      </c>
      <c r="CU52" s="21">
        <f t="shared" si="48"/>
        <v>0</v>
      </c>
      <c r="CV52" s="21">
        <f t="shared" si="48"/>
        <v>0</v>
      </c>
      <c r="CW52" s="22">
        <f t="shared" si="48"/>
        <v>0</v>
      </c>
      <c r="CX52" s="40"/>
      <c r="CY52" s="40"/>
    </row>
    <row r="53" spans="1:103" ht="15.75" x14ac:dyDescent="0.25">
      <c r="A53" s="13" t="s">
        <v>7</v>
      </c>
      <c r="B53" s="14" t="s">
        <v>3</v>
      </c>
      <c r="C53" s="14" t="s">
        <v>1</v>
      </c>
      <c r="D53" s="30" t="s">
        <v>63</v>
      </c>
      <c r="E53" s="15">
        <f t="shared" ref="E53:AJ53" si="50">SUM(E54)</f>
        <v>4213597</v>
      </c>
      <c r="F53" s="16">
        <f t="shared" si="50"/>
        <v>4160781</v>
      </c>
      <c r="G53" s="16">
        <f t="shared" si="50"/>
        <v>4148895</v>
      </c>
      <c r="H53" s="16">
        <f t="shared" si="50"/>
        <v>3200453</v>
      </c>
      <c r="I53" s="16">
        <f t="shared" si="50"/>
        <v>426706</v>
      </c>
      <c r="J53" s="16">
        <f t="shared" si="50"/>
        <v>123843</v>
      </c>
      <c r="K53" s="16">
        <f t="shared" si="50"/>
        <v>0</v>
      </c>
      <c r="L53" s="16">
        <f t="shared" si="50"/>
        <v>4936</v>
      </c>
      <c r="M53" s="16">
        <f t="shared" si="50"/>
        <v>0</v>
      </c>
      <c r="N53" s="16">
        <f t="shared" si="50"/>
        <v>0</v>
      </c>
      <c r="O53" s="16">
        <f t="shared" si="50"/>
        <v>98576</v>
      </c>
      <c r="P53" s="16">
        <f t="shared" si="50"/>
        <v>20331</v>
      </c>
      <c r="Q53" s="16">
        <f t="shared" si="50"/>
        <v>0</v>
      </c>
      <c r="R53" s="16">
        <f t="shared" si="50"/>
        <v>0</v>
      </c>
      <c r="S53" s="16">
        <f t="shared" si="50"/>
        <v>0</v>
      </c>
      <c r="T53" s="16">
        <f t="shared" si="50"/>
        <v>0</v>
      </c>
      <c r="U53" s="16">
        <f t="shared" si="50"/>
        <v>108614</v>
      </c>
      <c r="V53" s="16">
        <f t="shared" si="50"/>
        <v>29940</v>
      </c>
      <c r="W53" s="16">
        <f t="shared" si="50"/>
        <v>1072</v>
      </c>
      <c r="X53" s="16">
        <f t="shared" si="50"/>
        <v>0</v>
      </c>
      <c r="Y53" s="16">
        <f t="shared" si="50"/>
        <v>21515</v>
      </c>
      <c r="Z53" s="16">
        <f t="shared" si="50"/>
        <v>2431</v>
      </c>
      <c r="AA53" s="16">
        <f t="shared" si="50"/>
        <v>1003</v>
      </c>
      <c r="AB53" s="16">
        <f t="shared" si="50"/>
        <v>0</v>
      </c>
      <c r="AC53" s="16">
        <f t="shared" si="50"/>
        <v>0</v>
      </c>
      <c r="AD53" s="16">
        <f t="shared" si="50"/>
        <v>3919</v>
      </c>
      <c r="AE53" s="16">
        <f t="shared" si="50"/>
        <v>259339</v>
      </c>
      <c r="AF53" s="16">
        <f t="shared" si="50"/>
        <v>0</v>
      </c>
      <c r="AG53" s="16">
        <f t="shared" si="50"/>
        <v>2653</v>
      </c>
      <c r="AH53" s="16">
        <f t="shared" si="50"/>
        <v>10248</v>
      </c>
      <c r="AI53" s="16">
        <f t="shared" si="50"/>
        <v>0</v>
      </c>
      <c r="AJ53" s="16">
        <f t="shared" si="50"/>
        <v>24591</v>
      </c>
      <c r="AK53" s="16">
        <f t="shared" ref="AK53:BR53" si="51">SUM(AK54)</f>
        <v>0</v>
      </c>
      <c r="AL53" s="16">
        <f t="shared" si="51"/>
        <v>26408</v>
      </c>
      <c r="AM53" s="16">
        <f t="shared" si="51"/>
        <v>48762</v>
      </c>
      <c r="AN53" s="16">
        <f t="shared" si="51"/>
        <v>69646</v>
      </c>
      <c r="AO53" s="16">
        <f t="shared" si="51"/>
        <v>0</v>
      </c>
      <c r="AP53" s="16">
        <f t="shared" si="51"/>
        <v>0</v>
      </c>
      <c r="AQ53" s="16">
        <f t="shared" si="51"/>
        <v>0</v>
      </c>
      <c r="AR53" s="16">
        <f t="shared" si="51"/>
        <v>76834</v>
      </c>
      <c r="AS53" s="16">
        <f t="shared" si="51"/>
        <v>0</v>
      </c>
      <c r="AT53" s="16">
        <f t="shared" si="51"/>
        <v>0</v>
      </c>
      <c r="AU53" s="16">
        <f t="shared" si="51"/>
        <v>0</v>
      </c>
      <c r="AV53" s="16">
        <f t="shared" si="51"/>
        <v>0</v>
      </c>
      <c r="AW53" s="16">
        <f t="shared" si="51"/>
        <v>0</v>
      </c>
      <c r="AX53" s="16">
        <f t="shared" si="51"/>
        <v>0</v>
      </c>
      <c r="AY53" s="16">
        <f t="shared" si="51"/>
        <v>0</v>
      </c>
      <c r="AZ53" s="16">
        <f t="shared" si="51"/>
        <v>197</v>
      </c>
      <c r="BA53" s="16">
        <f t="shared" si="51"/>
        <v>11886</v>
      </c>
      <c r="BB53" s="16">
        <f t="shared" si="51"/>
        <v>0</v>
      </c>
      <c r="BC53" s="16">
        <f t="shared" si="51"/>
        <v>0</v>
      </c>
      <c r="BD53" s="16">
        <f t="shared" si="51"/>
        <v>0</v>
      </c>
      <c r="BE53" s="16">
        <f t="shared" si="51"/>
        <v>0</v>
      </c>
      <c r="BF53" s="16">
        <f t="shared" si="51"/>
        <v>0</v>
      </c>
      <c r="BG53" s="16">
        <f t="shared" si="51"/>
        <v>0</v>
      </c>
      <c r="BH53" s="16">
        <f t="shared" si="51"/>
        <v>0</v>
      </c>
      <c r="BI53" s="16">
        <f t="shared" si="51"/>
        <v>0</v>
      </c>
      <c r="BJ53" s="16">
        <f t="shared" si="51"/>
        <v>0</v>
      </c>
      <c r="BK53" s="16">
        <f t="shared" si="51"/>
        <v>0</v>
      </c>
      <c r="BL53" s="16">
        <f t="shared" si="51"/>
        <v>0</v>
      </c>
      <c r="BM53" s="16">
        <f t="shared" si="51"/>
        <v>11886</v>
      </c>
      <c r="BN53" s="16">
        <f t="shared" si="51"/>
        <v>0</v>
      </c>
      <c r="BO53" s="16">
        <f t="shared" si="51"/>
        <v>0</v>
      </c>
      <c r="BP53" s="16">
        <f t="shared" si="51"/>
        <v>0</v>
      </c>
      <c r="BQ53" s="16">
        <f t="shared" si="51"/>
        <v>0</v>
      </c>
      <c r="BR53" s="16">
        <f t="shared" si="51"/>
        <v>0</v>
      </c>
      <c r="BS53" s="16">
        <f t="shared" ref="BS53:CW53" si="52">SUM(BS54)</f>
        <v>0</v>
      </c>
      <c r="BT53" s="16">
        <f t="shared" si="52"/>
        <v>0</v>
      </c>
      <c r="BU53" s="16">
        <f t="shared" si="52"/>
        <v>0</v>
      </c>
      <c r="BV53" s="16">
        <f t="shared" si="52"/>
        <v>0</v>
      </c>
      <c r="BW53" s="16">
        <f t="shared" si="52"/>
        <v>11886</v>
      </c>
      <c r="BX53" s="16">
        <f t="shared" si="52"/>
        <v>0</v>
      </c>
      <c r="BY53" s="16">
        <f t="shared" si="52"/>
        <v>52816</v>
      </c>
      <c r="BZ53" s="16">
        <f t="shared" si="52"/>
        <v>52816</v>
      </c>
      <c r="CA53" s="16">
        <f t="shared" si="52"/>
        <v>52816</v>
      </c>
      <c r="CB53" s="16">
        <f t="shared" si="52"/>
        <v>0</v>
      </c>
      <c r="CC53" s="16">
        <f t="shared" si="52"/>
        <v>52816</v>
      </c>
      <c r="CD53" s="16">
        <f t="shared" si="52"/>
        <v>0</v>
      </c>
      <c r="CE53" s="16">
        <f t="shared" si="52"/>
        <v>0</v>
      </c>
      <c r="CF53" s="16">
        <f t="shared" si="52"/>
        <v>0</v>
      </c>
      <c r="CG53" s="16">
        <f t="shared" si="52"/>
        <v>0</v>
      </c>
      <c r="CH53" s="16">
        <f t="shared" si="52"/>
        <v>0</v>
      </c>
      <c r="CI53" s="16">
        <f t="shared" si="52"/>
        <v>0</v>
      </c>
      <c r="CJ53" s="16">
        <f t="shared" si="52"/>
        <v>0</v>
      </c>
      <c r="CK53" s="16">
        <f t="shared" si="52"/>
        <v>0</v>
      </c>
      <c r="CL53" s="16">
        <f t="shared" si="52"/>
        <v>0</v>
      </c>
      <c r="CM53" s="16">
        <f t="shared" si="52"/>
        <v>0</v>
      </c>
      <c r="CN53" s="16">
        <f t="shared" si="52"/>
        <v>0</v>
      </c>
      <c r="CO53" s="16">
        <f t="shared" si="52"/>
        <v>0</v>
      </c>
      <c r="CP53" s="16">
        <f t="shared" si="52"/>
        <v>0</v>
      </c>
      <c r="CQ53" s="16">
        <f t="shared" si="52"/>
        <v>0</v>
      </c>
      <c r="CR53" s="16">
        <f t="shared" si="52"/>
        <v>0</v>
      </c>
      <c r="CS53" s="16">
        <f t="shared" si="52"/>
        <v>0</v>
      </c>
      <c r="CT53" s="16">
        <f t="shared" si="52"/>
        <v>0</v>
      </c>
      <c r="CU53" s="16">
        <f t="shared" si="52"/>
        <v>0</v>
      </c>
      <c r="CV53" s="16">
        <f t="shared" si="52"/>
        <v>0</v>
      </c>
      <c r="CW53" s="17">
        <f t="shared" si="52"/>
        <v>0</v>
      </c>
      <c r="CX53" s="40"/>
      <c r="CY53" s="40"/>
    </row>
    <row r="54" spans="1:103" ht="15.75" x14ac:dyDescent="0.25">
      <c r="A54" s="13" t="s">
        <v>1</v>
      </c>
      <c r="B54" s="14" t="s">
        <v>1</v>
      </c>
      <c r="C54" s="14" t="s">
        <v>64</v>
      </c>
      <c r="D54" s="30" t="s">
        <v>65</v>
      </c>
      <c r="E54" s="15">
        <f>SUM(F54+BY54+CT54)</f>
        <v>4213597</v>
      </c>
      <c r="F54" s="16">
        <f>SUM(G54+BA54)</f>
        <v>4160781</v>
      </c>
      <c r="G54" s="16">
        <f>SUM(H54+I54+J54+Q54+T54+U54+V54+AE54)</f>
        <v>4148895</v>
      </c>
      <c r="H54" s="16">
        <v>3200453</v>
      </c>
      <c r="I54" s="16">
        <v>426706</v>
      </c>
      <c r="J54" s="16">
        <f t="shared" si="7"/>
        <v>123843</v>
      </c>
      <c r="K54" s="16">
        <v>0</v>
      </c>
      <c r="L54" s="16">
        <v>4936</v>
      </c>
      <c r="M54" s="16">
        <v>0</v>
      </c>
      <c r="N54" s="16">
        <v>0</v>
      </c>
      <c r="O54" s="16">
        <v>98576</v>
      </c>
      <c r="P54" s="16">
        <v>20331</v>
      </c>
      <c r="Q54" s="16">
        <f t="shared" si="8"/>
        <v>0</v>
      </c>
      <c r="R54" s="16">
        <v>0</v>
      </c>
      <c r="S54" s="16">
        <v>0</v>
      </c>
      <c r="T54" s="16">
        <v>0</v>
      </c>
      <c r="U54" s="16">
        <v>108614</v>
      </c>
      <c r="V54" s="16">
        <f>SUM(W54:AD54)</f>
        <v>29940</v>
      </c>
      <c r="W54" s="16">
        <v>1072</v>
      </c>
      <c r="X54" s="16">
        <v>0</v>
      </c>
      <c r="Y54" s="16">
        <v>21515</v>
      </c>
      <c r="Z54" s="16">
        <v>2431</v>
      </c>
      <c r="AA54" s="16">
        <v>1003</v>
      </c>
      <c r="AB54" s="16">
        <v>0</v>
      </c>
      <c r="AC54" s="16">
        <v>0</v>
      </c>
      <c r="AD54" s="16">
        <v>3919</v>
      </c>
      <c r="AE54" s="16">
        <f>SUM(AF54:AZ54)</f>
        <v>259339</v>
      </c>
      <c r="AF54" s="16">
        <v>0</v>
      </c>
      <c r="AG54" s="16">
        <v>2653</v>
      </c>
      <c r="AH54" s="16">
        <v>10248</v>
      </c>
      <c r="AI54" s="16">
        <v>0</v>
      </c>
      <c r="AJ54" s="16">
        <v>24591</v>
      </c>
      <c r="AK54" s="16">
        <v>0</v>
      </c>
      <c r="AL54" s="16">
        <v>26408</v>
      </c>
      <c r="AM54" s="16">
        <v>48762</v>
      </c>
      <c r="AN54" s="16">
        <v>69646</v>
      </c>
      <c r="AO54" s="16">
        <v>0</v>
      </c>
      <c r="AP54" s="16">
        <v>0</v>
      </c>
      <c r="AQ54" s="16">
        <v>0</v>
      </c>
      <c r="AR54" s="16">
        <v>76834</v>
      </c>
      <c r="AS54" s="16">
        <v>0</v>
      </c>
      <c r="AT54" s="16">
        <v>0</v>
      </c>
      <c r="AU54" s="16">
        <v>0</v>
      </c>
      <c r="AV54" s="16">
        <v>0</v>
      </c>
      <c r="AW54" s="16">
        <v>0</v>
      </c>
      <c r="AX54" s="16">
        <v>0</v>
      </c>
      <c r="AY54" s="16">
        <v>0</v>
      </c>
      <c r="AZ54" s="16">
        <v>197</v>
      </c>
      <c r="BA54" s="16">
        <f>SUM(BB54+BF54+BI54+BJ54+BK54+BM54)</f>
        <v>11886</v>
      </c>
      <c r="BB54" s="16">
        <f>SUM(BC54:BE54)</f>
        <v>0</v>
      </c>
      <c r="BC54" s="16">
        <v>0</v>
      </c>
      <c r="BD54" s="16">
        <v>0</v>
      </c>
      <c r="BE54" s="16">
        <v>0</v>
      </c>
      <c r="BF54" s="16">
        <f t="shared" si="9"/>
        <v>0</v>
      </c>
      <c r="BG54" s="16">
        <v>0</v>
      </c>
      <c r="BH54" s="16">
        <v>0</v>
      </c>
      <c r="BI54" s="16">
        <v>0</v>
      </c>
      <c r="BJ54" s="16">
        <v>0</v>
      </c>
      <c r="BK54" s="16">
        <f t="shared" si="10"/>
        <v>0</v>
      </c>
      <c r="BL54" s="16">
        <v>0</v>
      </c>
      <c r="BM54" s="16">
        <f t="shared" si="11"/>
        <v>11886</v>
      </c>
      <c r="BN54" s="16">
        <v>0</v>
      </c>
      <c r="BO54" s="16">
        <v>0</v>
      </c>
      <c r="BP54" s="16">
        <v>0</v>
      </c>
      <c r="BQ54" s="16">
        <v>0</v>
      </c>
      <c r="BR54" s="16">
        <v>0</v>
      </c>
      <c r="BS54" s="16">
        <v>0</v>
      </c>
      <c r="BT54" s="16">
        <v>0</v>
      </c>
      <c r="BU54" s="16">
        <v>0</v>
      </c>
      <c r="BV54" s="16">
        <v>0</v>
      </c>
      <c r="BW54" s="16">
        <v>11886</v>
      </c>
      <c r="BX54" s="16">
        <v>0</v>
      </c>
      <c r="BY54" s="16">
        <f>SUM(BZ54+CS54)</f>
        <v>52816</v>
      </c>
      <c r="BZ54" s="16">
        <f>SUM(CA54+CD54+CK54)</f>
        <v>52816</v>
      </c>
      <c r="CA54" s="16">
        <f t="shared" si="12"/>
        <v>52816</v>
      </c>
      <c r="CB54" s="16">
        <v>0</v>
      </c>
      <c r="CC54" s="16">
        <v>52816</v>
      </c>
      <c r="CD54" s="16">
        <f t="shared" si="13"/>
        <v>0</v>
      </c>
      <c r="CE54" s="16">
        <v>0</v>
      </c>
      <c r="CF54" s="16">
        <v>0</v>
      </c>
      <c r="CG54" s="16">
        <v>0</v>
      </c>
      <c r="CH54" s="16">
        <v>0</v>
      </c>
      <c r="CI54" s="16">
        <v>0</v>
      </c>
      <c r="CJ54" s="16">
        <v>0</v>
      </c>
      <c r="CK54" s="16">
        <f t="shared" si="14"/>
        <v>0</v>
      </c>
      <c r="CL54" s="16">
        <v>0</v>
      </c>
      <c r="CM54" s="16">
        <v>0</v>
      </c>
      <c r="CN54" s="16">
        <v>0</v>
      </c>
      <c r="CO54" s="16">
        <v>0</v>
      </c>
      <c r="CP54" s="16">
        <v>0</v>
      </c>
      <c r="CQ54" s="16">
        <v>0</v>
      </c>
      <c r="CR54" s="16">
        <v>0</v>
      </c>
      <c r="CS54" s="16">
        <v>0</v>
      </c>
      <c r="CT54" s="16">
        <f t="shared" si="15"/>
        <v>0</v>
      </c>
      <c r="CU54" s="16">
        <f t="shared" si="16"/>
        <v>0</v>
      </c>
      <c r="CV54" s="16">
        <v>0</v>
      </c>
      <c r="CW54" s="17">
        <v>0</v>
      </c>
      <c r="CX54" s="40"/>
      <c r="CY54" s="40"/>
    </row>
    <row r="55" spans="1:103" ht="15.75" x14ac:dyDescent="0.25">
      <c r="A55" s="13" t="s">
        <v>7</v>
      </c>
      <c r="B55" s="14" t="s">
        <v>7</v>
      </c>
      <c r="C55" s="14" t="s">
        <v>1</v>
      </c>
      <c r="D55" s="30" t="s">
        <v>66</v>
      </c>
      <c r="E55" s="15">
        <f t="shared" ref="E55:AJ55" si="53">SUM(E56)</f>
        <v>12712512</v>
      </c>
      <c r="F55" s="16">
        <f t="shared" si="53"/>
        <v>12509778</v>
      </c>
      <c r="G55" s="16">
        <f t="shared" si="53"/>
        <v>12509778</v>
      </c>
      <c r="H55" s="16">
        <f t="shared" si="53"/>
        <v>10924654</v>
      </c>
      <c r="I55" s="16">
        <f t="shared" si="53"/>
        <v>971029</v>
      </c>
      <c r="J55" s="16">
        <f t="shared" si="53"/>
        <v>259176</v>
      </c>
      <c r="K55" s="16">
        <f t="shared" si="53"/>
        <v>0</v>
      </c>
      <c r="L55" s="16">
        <f t="shared" si="53"/>
        <v>18496</v>
      </c>
      <c r="M55" s="16">
        <f t="shared" si="53"/>
        <v>0</v>
      </c>
      <c r="N55" s="16">
        <f t="shared" si="53"/>
        <v>0</v>
      </c>
      <c r="O55" s="16">
        <f t="shared" si="53"/>
        <v>198334</v>
      </c>
      <c r="P55" s="16">
        <f t="shared" si="53"/>
        <v>42346</v>
      </c>
      <c r="Q55" s="16">
        <f t="shared" si="53"/>
        <v>239</v>
      </c>
      <c r="R55" s="16">
        <f t="shared" si="53"/>
        <v>239</v>
      </c>
      <c r="S55" s="16">
        <f t="shared" si="53"/>
        <v>0</v>
      </c>
      <c r="T55" s="16">
        <f t="shared" si="53"/>
        <v>0</v>
      </c>
      <c r="U55" s="16">
        <f t="shared" si="53"/>
        <v>79736</v>
      </c>
      <c r="V55" s="16">
        <f t="shared" si="53"/>
        <v>54929</v>
      </c>
      <c r="W55" s="16">
        <f t="shared" si="53"/>
        <v>17096</v>
      </c>
      <c r="X55" s="16">
        <f t="shared" si="53"/>
        <v>21196</v>
      </c>
      <c r="Y55" s="16">
        <f t="shared" si="53"/>
        <v>10948</v>
      </c>
      <c r="Z55" s="16">
        <f t="shared" si="53"/>
        <v>2679</v>
      </c>
      <c r="AA55" s="16">
        <f t="shared" si="53"/>
        <v>3010</v>
      </c>
      <c r="AB55" s="16">
        <f t="shared" si="53"/>
        <v>0</v>
      </c>
      <c r="AC55" s="16">
        <f t="shared" si="53"/>
        <v>0</v>
      </c>
      <c r="AD55" s="16">
        <f t="shared" si="53"/>
        <v>0</v>
      </c>
      <c r="AE55" s="16">
        <f t="shared" si="53"/>
        <v>220015</v>
      </c>
      <c r="AF55" s="16">
        <f t="shared" si="53"/>
        <v>0</v>
      </c>
      <c r="AG55" s="16">
        <f t="shared" si="53"/>
        <v>2090</v>
      </c>
      <c r="AH55" s="16">
        <f t="shared" si="53"/>
        <v>9132</v>
      </c>
      <c r="AI55" s="16">
        <f t="shared" si="53"/>
        <v>0</v>
      </c>
      <c r="AJ55" s="16">
        <f t="shared" si="53"/>
        <v>1591</v>
      </c>
      <c r="AK55" s="16">
        <f t="shared" ref="AK55:BR55" si="54">SUM(AK56)</f>
        <v>0</v>
      </c>
      <c r="AL55" s="16">
        <f t="shared" si="54"/>
        <v>101367</v>
      </c>
      <c r="AM55" s="16">
        <f t="shared" si="54"/>
        <v>13265</v>
      </c>
      <c r="AN55" s="16">
        <f t="shared" si="54"/>
        <v>57424</v>
      </c>
      <c r="AO55" s="16">
        <f t="shared" si="54"/>
        <v>0</v>
      </c>
      <c r="AP55" s="16">
        <f t="shared" si="54"/>
        <v>0</v>
      </c>
      <c r="AQ55" s="16">
        <f t="shared" si="54"/>
        <v>0</v>
      </c>
      <c r="AR55" s="16">
        <f t="shared" si="54"/>
        <v>30024</v>
      </c>
      <c r="AS55" s="16">
        <f t="shared" si="54"/>
        <v>5000</v>
      </c>
      <c r="AT55" s="16">
        <f t="shared" si="54"/>
        <v>0</v>
      </c>
      <c r="AU55" s="16">
        <f t="shared" si="54"/>
        <v>0</v>
      </c>
      <c r="AV55" s="16">
        <f t="shared" si="54"/>
        <v>0</v>
      </c>
      <c r="AW55" s="16">
        <f t="shared" si="54"/>
        <v>0</v>
      </c>
      <c r="AX55" s="16">
        <f t="shared" si="54"/>
        <v>0</v>
      </c>
      <c r="AY55" s="16">
        <f t="shared" si="54"/>
        <v>0</v>
      </c>
      <c r="AZ55" s="16">
        <f t="shared" si="54"/>
        <v>122</v>
      </c>
      <c r="BA55" s="16">
        <f t="shared" si="54"/>
        <v>0</v>
      </c>
      <c r="BB55" s="16">
        <f t="shared" si="54"/>
        <v>0</v>
      </c>
      <c r="BC55" s="16">
        <f t="shared" si="54"/>
        <v>0</v>
      </c>
      <c r="BD55" s="16">
        <f t="shared" si="54"/>
        <v>0</v>
      </c>
      <c r="BE55" s="16">
        <f t="shared" si="54"/>
        <v>0</v>
      </c>
      <c r="BF55" s="16">
        <f t="shared" si="54"/>
        <v>0</v>
      </c>
      <c r="BG55" s="16">
        <f t="shared" si="54"/>
        <v>0</v>
      </c>
      <c r="BH55" s="16">
        <f t="shared" si="54"/>
        <v>0</v>
      </c>
      <c r="BI55" s="16">
        <f t="shared" si="54"/>
        <v>0</v>
      </c>
      <c r="BJ55" s="16">
        <f t="shared" si="54"/>
        <v>0</v>
      </c>
      <c r="BK55" s="16">
        <f t="shared" si="54"/>
        <v>0</v>
      </c>
      <c r="BL55" s="16">
        <f t="shared" si="54"/>
        <v>0</v>
      </c>
      <c r="BM55" s="16">
        <f t="shared" si="54"/>
        <v>0</v>
      </c>
      <c r="BN55" s="16">
        <f t="shared" si="54"/>
        <v>0</v>
      </c>
      <c r="BO55" s="16">
        <f t="shared" si="54"/>
        <v>0</v>
      </c>
      <c r="BP55" s="16">
        <f t="shared" si="54"/>
        <v>0</v>
      </c>
      <c r="BQ55" s="16">
        <f t="shared" si="54"/>
        <v>0</v>
      </c>
      <c r="BR55" s="16">
        <f t="shared" si="54"/>
        <v>0</v>
      </c>
      <c r="BS55" s="16">
        <f t="shared" ref="BS55:CW55" si="55">SUM(BS56)</f>
        <v>0</v>
      </c>
      <c r="BT55" s="16">
        <f t="shared" si="55"/>
        <v>0</v>
      </c>
      <c r="BU55" s="16">
        <f t="shared" si="55"/>
        <v>0</v>
      </c>
      <c r="BV55" s="16">
        <f t="shared" si="55"/>
        <v>0</v>
      </c>
      <c r="BW55" s="16">
        <f t="shared" si="55"/>
        <v>0</v>
      </c>
      <c r="BX55" s="16">
        <f t="shared" si="55"/>
        <v>0</v>
      </c>
      <c r="BY55" s="16">
        <f t="shared" si="55"/>
        <v>202734</v>
      </c>
      <c r="BZ55" s="16">
        <f t="shared" si="55"/>
        <v>202734</v>
      </c>
      <c r="CA55" s="16">
        <f t="shared" si="55"/>
        <v>202734</v>
      </c>
      <c r="CB55" s="16">
        <f t="shared" si="55"/>
        <v>0</v>
      </c>
      <c r="CC55" s="16">
        <f t="shared" si="55"/>
        <v>202734</v>
      </c>
      <c r="CD55" s="16">
        <f t="shared" si="55"/>
        <v>0</v>
      </c>
      <c r="CE55" s="16">
        <f t="shared" si="55"/>
        <v>0</v>
      </c>
      <c r="CF55" s="16">
        <f t="shared" si="55"/>
        <v>0</v>
      </c>
      <c r="CG55" s="16">
        <f t="shared" si="55"/>
        <v>0</v>
      </c>
      <c r="CH55" s="16">
        <f t="shared" si="55"/>
        <v>0</v>
      </c>
      <c r="CI55" s="16">
        <f t="shared" si="55"/>
        <v>0</v>
      </c>
      <c r="CJ55" s="16">
        <f t="shared" si="55"/>
        <v>0</v>
      </c>
      <c r="CK55" s="16">
        <f t="shared" si="55"/>
        <v>0</v>
      </c>
      <c r="CL55" s="16">
        <f t="shared" si="55"/>
        <v>0</v>
      </c>
      <c r="CM55" s="16">
        <f t="shared" si="55"/>
        <v>0</v>
      </c>
      <c r="CN55" s="16">
        <f t="shared" si="55"/>
        <v>0</v>
      </c>
      <c r="CO55" s="16">
        <f t="shared" si="55"/>
        <v>0</v>
      </c>
      <c r="CP55" s="16">
        <f t="shared" si="55"/>
        <v>0</v>
      </c>
      <c r="CQ55" s="16">
        <f t="shared" si="55"/>
        <v>0</v>
      </c>
      <c r="CR55" s="16">
        <f t="shared" si="55"/>
        <v>0</v>
      </c>
      <c r="CS55" s="16">
        <f t="shared" si="55"/>
        <v>0</v>
      </c>
      <c r="CT55" s="16">
        <f t="shared" si="55"/>
        <v>0</v>
      </c>
      <c r="CU55" s="16">
        <f t="shared" si="55"/>
        <v>0</v>
      </c>
      <c r="CV55" s="16">
        <f t="shared" si="55"/>
        <v>0</v>
      </c>
      <c r="CW55" s="17">
        <f t="shared" si="55"/>
        <v>0</v>
      </c>
      <c r="CX55" s="40"/>
      <c r="CY55" s="40"/>
    </row>
    <row r="56" spans="1:103" ht="15.75" x14ac:dyDescent="0.25">
      <c r="A56" s="13" t="s">
        <v>1</v>
      </c>
      <c r="B56" s="14" t="s">
        <v>1</v>
      </c>
      <c r="C56" s="14" t="s">
        <v>67</v>
      </c>
      <c r="D56" s="30" t="s">
        <v>68</v>
      </c>
      <c r="E56" s="15">
        <f>SUM(F56+BY56+CT56)</f>
        <v>12712512</v>
      </c>
      <c r="F56" s="16">
        <f>SUM(G56+BA56)</f>
        <v>12509778</v>
      </c>
      <c r="G56" s="16">
        <f>SUM(H56+I56+J56+Q56+T56+U56+V56+AE56)</f>
        <v>12509778</v>
      </c>
      <c r="H56" s="16">
        <v>10924654</v>
      </c>
      <c r="I56" s="16">
        <v>971029</v>
      </c>
      <c r="J56" s="16">
        <f t="shared" si="7"/>
        <v>259176</v>
      </c>
      <c r="K56" s="16">
        <v>0</v>
      </c>
      <c r="L56" s="16">
        <v>18496</v>
      </c>
      <c r="M56" s="16">
        <v>0</v>
      </c>
      <c r="N56" s="16">
        <v>0</v>
      </c>
      <c r="O56" s="16">
        <v>198334</v>
      </c>
      <c r="P56" s="16">
        <v>42346</v>
      </c>
      <c r="Q56" s="16">
        <f t="shared" si="8"/>
        <v>239</v>
      </c>
      <c r="R56" s="16">
        <v>239</v>
      </c>
      <c r="S56" s="16">
        <v>0</v>
      </c>
      <c r="T56" s="16">
        <v>0</v>
      </c>
      <c r="U56" s="16">
        <v>79736</v>
      </c>
      <c r="V56" s="16">
        <f>SUM(W56:AD56)</f>
        <v>54929</v>
      </c>
      <c r="W56" s="16">
        <v>17096</v>
      </c>
      <c r="X56" s="16">
        <v>21196</v>
      </c>
      <c r="Y56" s="16">
        <v>10948</v>
      </c>
      <c r="Z56" s="16">
        <v>2679</v>
      </c>
      <c r="AA56" s="16">
        <v>3010</v>
      </c>
      <c r="AB56" s="16">
        <v>0</v>
      </c>
      <c r="AC56" s="16">
        <v>0</v>
      </c>
      <c r="AD56" s="16">
        <v>0</v>
      </c>
      <c r="AE56" s="16">
        <f>SUM(AF56:AZ56)</f>
        <v>220015</v>
      </c>
      <c r="AF56" s="16">
        <v>0</v>
      </c>
      <c r="AG56" s="16">
        <v>2090</v>
      </c>
      <c r="AH56" s="16">
        <v>9132</v>
      </c>
      <c r="AI56" s="16">
        <v>0</v>
      </c>
      <c r="AJ56" s="16">
        <v>1591</v>
      </c>
      <c r="AK56" s="16">
        <v>0</v>
      </c>
      <c r="AL56" s="16">
        <v>101367</v>
      </c>
      <c r="AM56" s="16">
        <v>13265</v>
      </c>
      <c r="AN56" s="16">
        <v>57424</v>
      </c>
      <c r="AO56" s="16">
        <v>0</v>
      </c>
      <c r="AP56" s="16">
        <v>0</v>
      </c>
      <c r="AQ56" s="16">
        <v>0</v>
      </c>
      <c r="AR56" s="16">
        <v>30024</v>
      </c>
      <c r="AS56" s="16">
        <v>5000</v>
      </c>
      <c r="AT56" s="16">
        <v>0</v>
      </c>
      <c r="AU56" s="16">
        <v>0</v>
      </c>
      <c r="AV56" s="16">
        <v>0</v>
      </c>
      <c r="AW56" s="16">
        <v>0</v>
      </c>
      <c r="AX56" s="16">
        <v>0</v>
      </c>
      <c r="AY56" s="16">
        <v>0</v>
      </c>
      <c r="AZ56" s="16">
        <v>122</v>
      </c>
      <c r="BA56" s="16">
        <f>SUM(BB56+BF56+BI56+BJ56+BK56+BM56)</f>
        <v>0</v>
      </c>
      <c r="BB56" s="16">
        <f>SUM(BC56:BE56)</f>
        <v>0</v>
      </c>
      <c r="BC56" s="16">
        <v>0</v>
      </c>
      <c r="BD56" s="16">
        <v>0</v>
      </c>
      <c r="BE56" s="16">
        <v>0</v>
      </c>
      <c r="BF56" s="16">
        <f t="shared" si="9"/>
        <v>0</v>
      </c>
      <c r="BG56" s="16">
        <v>0</v>
      </c>
      <c r="BH56" s="16">
        <v>0</v>
      </c>
      <c r="BI56" s="16">
        <v>0</v>
      </c>
      <c r="BJ56" s="16">
        <v>0</v>
      </c>
      <c r="BK56" s="16">
        <f t="shared" si="10"/>
        <v>0</v>
      </c>
      <c r="BL56" s="16">
        <v>0</v>
      </c>
      <c r="BM56" s="16">
        <f t="shared" si="11"/>
        <v>0</v>
      </c>
      <c r="BN56" s="16">
        <v>0</v>
      </c>
      <c r="BO56" s="16">
        <v>0</v>
      </c>
      <c r="BP56" s="16">
        <v>0</v>
      </c>
      <c r="BQ56" s="16">
        <v>0</v>
      </c>
      <c r="BR56" s="16">
        <v>0</v>
      </c>
      <c r="BS56" s="16">
        <v>0</v>
      </c>
      <c r="BT56" s="16">
        <v>0</v>
      </c>
      <c r="BU56" s="16">
        <v>0</v>
      </c>
      <c r="BV56" s="16">
        <v>0</v>
      </c>
      <c r="BW56" s="16">
        <v>0</v>
      </c>
      <c r="BX56" s="16">
        <v>0</v>
      </c>
      <c r="BY56" s="16">
        <f>SUM(BZ56+CS56)</f>
        <v>202734</v>
      </c>
      <c r="BZ56" s="16">
        <f>SUM(CA56+CD56+CK56)</f>
        <v>202734</v>
      </c>
      <c r="CA56" s="16">
        <f t="shared" si="12"/>
        <v>202734</v>
      </c>
      <c r="CB56" s="16">
        <v>0</v>
      </c>
      <c r="CC56" s="16">
        <v>202734</v>
      </c>
      <c r="CD56" s="16">
        <f t="shared" si="13"/>
        <v>0</v>
      </c>
      <c r="CE56" s="16">
        <v>0</v>
      </c>
      <c r="CF56" s="16">
        <v>0</v>
      </c>
      <c r="CG56" s="16">
        <v>0</v>
      </c>
      <c r="CH56" s="16">
        <v>0</v>
      </c>
      <c r="CI56" s="16">
        <v>0</v>
      </c>
      <c r="CJ56" s="16">
        <v>0</v>
      </c>
      <c r="CK56" s="16">
        <f t="shared" si="14"/>
        <v>0</v>
      </c>
      <c r="CL56" s="16">
        <v>0</v>
      </c>
      <c r="CM56" s="16">
        <v>0</v>
      </c>
      <c r="CN56" s="16">
        <v>0</v>
      </c>
      <c r="CO56" s="16">
        <v>0</v>
      </c>
      <c r="CP56" s="16">
        <v>0</v>
      </c>
      <c r="CQ56" s="16">
        <v>0</v>
      </c>
      <c r="CR56" s="16">
        <v>0</v>
      </c>
      <c r="CS56" s="16">
        <v>0</v>
      </c>
      <c r="CT56" s="16">
        <f t="shared" si="15"/>
        <v>0</v>
      </c>
      <c r="CU56" s="16">
        <f t="shared" si="16"/>
        <v>0</v>
      </c>
      <c r="CV56" s="16">
        <v>0</v>
      </c>
      <c r="CW56" s="17">
        <v>0</v>
      </c>
      <c r="CX56" s="40"/>
      <c r="CY56" s="40"/>
    </row>
    <row r="57" spans="1:103" ht="15.75" x14ac:dyDescent="0.25">
      <c r="A57" s="13" t="s">
        <v>7</v>
      </c>
      <c r="B57" s="14" t="s">
        <v>15</v>
      </c>
      <c r="C57" s="14" t="s">
        <v>1</v>
      </c>
      <c r="D57" s="30" t="s">
        <v>69</v>
      </c>
      <c r="E57" s="15">
        <f t="shared" ref="E57:AJ57" si="56">SUM(E58)</f>
        <v>24617242</v>
      </c>
      <c r="F57" s="16">
        <f t="shared" si="56"/>
        <v>24211498</v>
      </c>
      <c r="G57" s="16">
        <f t="shared" si="56"/>
        <v>23929464</v>
      </c>
      <c r="H57" s="16">
        <f t="shared" si="56"/>
        <v>19359994</v>
      </c>
      <c r="I57" s="16">
        <f t="shared" si="56"/>
        <v>2268855</v>
      </c>
      <c r="J57" s="16">
        <f t="shared" si="56"/>
        <v>435575</v>
      </c>
      <c r="K57" s="16">
        <f t="shared" si="56"/>
        <v>0</v>
      </c>
      <c r="L57" s="16">
        <f t="shared" si="56"/>
        <v>51315</v>
      </c>
      <c r="M57" s="16">
        <f t="shared" si="56"/>
        <v>0</v>
      </c>
      <c r="N57" s="16">
        <f t="shared" si="56"/>
        <v>0</v>
      </c>
      <c r="O57" s="16">
        <f t="shared" si="56"/>
        <v>186553</v>
      </c>
      <c r="P57" s="16">
        <f t="shared" si="56"/>
        <v>197707</v>
      </c>
      <c r="Q57" s="16">
        <f t="shared" si="56"/>
        <v>0</v>
      </c>
      <c r="R57" s="16">
        <f t="shared" si="56"/>
        <v>0</v>
      </c>
      <c r="S57" s="16">
        <f t="shared" si="56"/>
        <v>0</v>
      </c>
      <c r="T57" s="16">
        <f t="shared" si="56"/>
        <v>0</v>
      </c>
      <c r="U57" s="16">
        <f t="shared" si="56"/>
        <v>541576</v>
      </c>
      <c r="V57" s="16">
        <f t="shared" si="56"/>
        <v>217327</v>
      </c>
      <c r="W57" s="16">
        <f t="shared" si="56"/>
        <v>103196</v>
      </c>
      <c r="X57" s="16">
        <f t="shared" si="56"/>
        <v>41557</v>
      </c>
      <c r="Y57" s="16">
        <f t="shared" si="56"/>
        <v>43609</v>
      </c>
      <c r="Z57" s="16">
        <f t="shared" si="56"/>
        <v>9404</v>
      </c>
      <c r="AA57" s="16">
        <f t="shared" si="56"/>
        <v>9468</v>
      </c>
      <c r="AB57" s="16">
        <f t="shared" si="56"/>
        <v>0</v>
      </c>
      <c r="AC57" s="16">
        <f t="shared" si="56"/>
        <v>0</v>
      </c>
      <c r="AD57" s="16">
        <f t="shared" si="56"/>
        <v>10093</v>
      </c>
      <c r="AE57" s="16">
        <f t="shared" si="56"/>
        <v>1106137</v>
      </c>
      <c r="AF57" s="16">
        <f t="shared" si="56"/>
        <v>0</v>
      </c>
      <c r="AG57" s="16">
        <f t="shared" si="56"/>
        <v>11033</v>
      </c>
      <c r="AH57" s="16">
        <f t="shared" si="56"/>
        <v>79767</v>
      </c>
      <c r="AI57" s="16">
        <f t="shared" si="56"/>
        <v>0</v>
      </c>
      <c r="AJ57" s="16">
        <f t="shared" si="56"/>
        <v>44469</v>
      </c>
      <c r="AK57" s="16">
        <f t="shared" ref="AK57:BR57" si="57">SUM(AK58)</f>
        <v>28400</v>
      </c>
      <c r="AL57" s="16">
        <f t="shared" si="57"/>
        <v>21023</v>
      </c>
      <c r="AM57" s="16">
        <f t="shared" si="57"/>
        <v>203870</v>
      </c>
      <c r="AN57" s="16">
        <f t="shared" si="57"/>
        <v>5238</v>
      </c>
      <c r="AO57" s="16">
        <f t="shared" si="57"/>
        <v>38024</v>
      </c>
      <c r="AP57" s="16">
        <f t="shared" si="57"/>
        <v>0</v>
      </c>
      <c r="AQ57" s="16">
        <f t="shared" si="57"/>
        <v>0</v>
      </c>
      <c r="AR57" s="16">
        <f t="shared" si="57"/>
        <v>615066</v>
      </c>
      <c r="AS57" s="16">
        <f t="shared" si="57"/>
        <v>0</v>
      </c>
      <c r="AT57" s="16">
        <f t="shared" si="57"/>
        <v>0</v>
      </c>
      <c r="AU57" s="16">
        <f t="shared" si="57"/>
        <v>0</v>
      </c>
      <c r="AV57" s="16">
        <f t="shared" si="57"/>
        <v>0</v>
      </c>
      <c r="AW57" s="16">
        <f t="shared" si="57"/>
        <v>0</v>
      </c>
      <c r="AX57" s="16">
        <f t="shared" si="57"/>
        <v>0</v>
      </c>
      <c r="AY57" s="16">
        <f t="shared" si="57"/>
        <v>0</v>
      </c>
      <c r="AZ57" s="16">
        <f t="shared" si="57"/>
        <v>59247</v>
      </c>
      <c r="BA57" s="16">
        <f t="shared" si="57"/>
        <v>282034</v>
      </c>
      <c r="BB57" s="16">
        <f t="shared" si="57"/>
        <v>0</v>
      </c>
      <c r="BC57" s="16">
        <f t="shared" si="57"/>
        <v>0</v>
      </c>
      <c r="BD57" s="16">
        <f t="shared" si="57"/>
        <v>0</v>
      </c>
      <c r="BE57" s="16">
        <f t="shared" si="57"/>
        <v>0</v>
      </c>
      <c r="BF57" s="16">
        <f t="shared" si="57"/>
        <v>0</v>
      </c>
      <c r="BG57" s="16">
        <f t="shared" si="57"/>
        <v>0</v>
      </c>
      <c r="BH57" s="16">
        <f t="shared" si="57"/>
        <v>0</v>
      </c>
      <c r="BI57" s="16">
        <f t="shared" si="57"/>
        <v>0</v>
      </c>
      <c r="BJ57" s="16">
        <f t="shared" si="57"/>
        <v>0</v>
      </c>
      <c r="BK57" s="16">
        <f t="shared" si="57"/>
        <v>0</v>
      </c>
      <c r="BL57" s="16">
        <f t="shared" si="57"/>
        <v>0</v>
      </c>
      <c r="BM57" s="16">
        <f t="shared" si="57"/>
        <v>282034</v>
      </c>
      <c r="BN57" s="16">
        <f t="shared" si="57"/>
        <v>0</v>
      </c>
      <c r="BO57" s="16">
        <f t="shared" si="57"/>
        <v>0</v>
      </c>
      <c r="BP57" s="16">
        <f t="shared" si="57"/>
        <v>0</v>
      </c>
      <c r="BQ57" s="16">
        <f t="shared" si="57"/>
        <v>0</v>
      </c>
      <c r="BR57" s="16">
        <f t="shared" si="57"/>
        <v>0</v>
      </c>
      <c r="BS57" s="16">
        <f t="shared" ref="BS57:CW57" si="58">SUM(BS58)</f>
        <v>0</v>
      </c>
      <c r="BT57" s="16">
        <f t="shared" si="58"/>
        <v>0</v>
      </c>
      <c r="BU57" s="16">
        <f t="shared" si="58"/>
        <v>0</v>
      </c>
      <c r="BV57" s="16">
        <f t="shared" si="58"/>
        <v>0</v>
      </c>
      <c r="BW57" s="16">
        <f t="shared" si="58"/>
        <v>0</v>
      </c>
      <c r="BX57" s="16">
        <f t="shared" si="58"/>
        <v>282034</v>
      </c>
      <c r="BY57" s="16">
        <f t="shared" si="58"/>
        <v>405744</v>
      </c>
      <c r="BZ57" s="16">
        <f t="shared" si="58"/>
        <v>405744</v>
      </c>
      <c r="CA57" s="16">
        <f t="shared" si="58"/>
        <v>405744</v>
      </c>
      <c r="CB57" s="16">
        <f t="shared" si="58"/>
        <v>0</v>
      </c>
      <c r="CC57" s="16">
        <f t="shared" si="58"/>
        <v>405744</v>
      </c>
      <c r="CD57" s="16">
        <f t="shared" si="58"/>
        <v>0</v>
      </c>
      <c r="CE57" s="16">
        <f t="shared" si="58"/>
        <v>0</v>
      </c>
      <c r="CF57" s="16">
        <f t="shared" si="58"/>
        <v>0</v>
      </c>
      <c r="CG57" s="16">
        <f t="shared" si="58"/>
        <v>0</v>
      </c>
      <c r="CH57" s="16">
        <f t="shared" si="58"/>
        <v>0</v>
      </c>
      <c r="CI57" s="16">
        <f t="shared" si="58"/>
        <v>0</v>
      </c>
      <c r="CJ57" s="16">
        <f t="shared" si="58"/>
        <v>0</v>
      </c>
      <c r="CK57" s="16">
        <f t="shared" si="58"/>
        <v>0</v>
      </c>
      <c r="CL57" s="16">
        <f t="shared" si="58"/>
        <v>0</v>
      </c>
      <c r="CM57" s="16">
        <f t="shared" si="58"/>
        <v>0</v>
      </c>
      <c r="CN57" s="16">
        <f t="shared" si="58"/>
        <v>0</v>
      </c>
      <c r="CO57" s="16">
        <f t="shared" si="58"/>
        <v>0</v>
      </c>
      <c r="CP57" s="16">
        <f t="shared" si="58"/>
        <v>0</v>
      </c>
      <c r="CQ57" s="16">
        <f t="shared" si="58"/>
        <v>0</v>
      </c>
      <c r="CR57" s="16">
        <f t="shared" si="58"/>
        <v>0</v>
      </c>
      <c r="CS57" s="16">
        <f t="shared" si="58"/>
        <v>0</v>
      </c>
      <c r="CT57" s="16">
        <f t="shared" si="58"/>
        <v>0</v>
      </c>
      <c r="CU57" s="16">
        <f t="shared" si="58"/>
        <v>0</v>
      </c>
      <c r="CV57" s="16">
        <f t="shared" si="58"/>
        <v>0</v>
      </c>
      <c r="CW57" s="17">
        <f t="shared" si="58"/>
        <v>0</v>
      </c>
      <c r="CX57" s="40"/>
      <c r="CY57" s="40"/>
    </row>
    <row r="58" spans="1:103" ht="31.5" x14ac:dyDescent="0.25">
      <c r="A58" s="13" t="s">
        <v>1</v>
      </c>
      <c r="B58" s="14" t="s">
        <v>1</v>
      </c>
      <c r="C58" s="14" t="s">
        <v>70</v>
      </c>
      <c r="D58" s="30" t="s">
        <v>71</v>
      </c>
      <c r="E58" s="15">
        <f>SUM(F58+BY58+CT58)</f>
        <v>24617242</v>
      </c>
      <c r="F58" s="16">
        <f>SUM(G58+BA58)</f>
        <v>24211498</v>
      </c>
      <c r="G58" s="16">
        <f>SUM(H58+I58+J58+Q58+T58+U58+V58+AE58)</f>
        <v>23929464</v>
      </c>
      <c r="H58" s="16">
        <v>19359994</v>
      </c>
      <c r="I58" s="16">
        <v>2268855</v>
      </c>
      <c r="J58" s="16">
        <f t="shared" si="7"/>
        <v>435575</v>
      </c>
      <c r="K58" s="16">
        <v>0</v>
      </c>
      <c r="L58" s="16">
        <v>51315</v>
      </c>
      <c r="M58" s="16">
        <v>0</v>
      </c>
      <c r="N58" s="16">
        <v>0</v>
      </c>
      <c r="O58" s="16">
        <v>186553</v>
      </c>
      <c r="P58" s="16">
        <v>197707</v>
      </c>
      <c r="Q58" s="16">
        <f t="shared" si="8"/>
        <v>0</v>
      </c>
      <c r="R58" s="16">
        <v>0</v>
      </c>
      <c r="S58" s="16">
        <v>0</v>
      </c>
      <c r="T58" s="16">
        <v>0</v>
      </c>
      <c r="U58" s="16">
        <v>541576</v>
      </c>
      <c r="V58" s="16">
        <f>SUM(W58:AD58)</f>
        <v>217327</v>
      </c>
      <c r="W58" s="16">
        <v>103196</v>
      </c>
      <c r="X58" s="16">
        <v>41557</v>
      </c>
      <c r="Y58" s="16">
        <v>43609</v>
      </c>
      <c r="Z58" s="16">
        <v>9404</v>
      </c>
      <c r="AA58" s="16">
        <v>9468</v>
      </c>
      <c r="AB58" s="16">
        <v>0</v>
      </c>
      <c r="AC58" s="16">
        <v>0</v>
      </c>
      <c r="AD58" s="16">
        <v>10093</v>
      </c>
      <c r="AE58" s="16">
        <f>SUM(AF58:AZ58)</f>
        <v>1106137</v>
      </c>
      <c r="AF58" s="16">
        <v>0</v>
      </c>
      <c r="AG58" s="16">
        <v>11033</v>
      </c>
      <c r="AH58" s="16">
        <v>79767</v>
      </c>
      <c r="AI58" s="16">
        <v>0</v>
      </c>
      <c r="AJ58" s="16">
        <v>44469</v>
      </c>
      <c r="AK58" s="16">
        <v>28400</v>
      </c>
      <c r="AL58" s="16">
        <v>21023</v>
      </c>
      <c r="AM58" s="16">
        <v>203870</v>
      </c>
      <c r="AN58" s="16">
        <v>5238</v>
      </c>
      <c r="AO58" s="16">
        <v>38024</v>
      </c>
      <c r="AP58" s="16"/>
      <c r="AQ58" s="16">
        <v>0</v>
      </c>
      <c r="AR58" s="16">
        <v>615066</v>
      </c>
      <c r="AS58" s="16">
        <v>0</v>
      </c>
      <c r="AT58" s="16">
        <v>0</v>
      </c>
      <c r="AU58" s="16">
        <v>0</v>
      </c>
      <c r="AV58" s="16">
        <v>0</v>
      </c>
      <c r="AW58" s="16">
        <v>0</v>
      </c>
      <c r="AX58" s="16">
        <v>0</v>
      </c>
      <c r="AY58" s="16"/>
      <c r="AZ58" s="16">
        <v>59247</v>
      </c>
      <c r="BA58" s="16">
        <f>SUM(BB58+BF58+BI58+BJ58+BK58+BM58)</f>
        <v>282034</v>
      </c>
      <c r="BB58" s="16">
        <f>SUM(BC58:BE58)</f>
        <v>0</v>
      </c>
      <c r="BC58" s="16">
        <v>0</v>
      </c>
      <c r="BD58" s="16">
        <v>0</v>
      </c>
      <c r="BE58" s="16">
        <v>0</v>
      </c>
      <c r="BF58" s="16">
        <f t="shared" si="9"/>
        <v>0</v>
      </c>
      <c r="BG58" s="16">
        <v>0</v>
      </c>
      <c r="BH58" s="16">
        <v>0</v>
      </c>
      <c r="BI58" s="16">
        <v>0</v>
      </c>
      <c r="BJ58" s="16">
        <v>0</v>
      </c>
      <c r="BK58" s="16">
        <f t="shared" si="10"/>
        <v>0</v>
      </c>
      <c r="BL58" s="16">
        <v>0</v>
      </c>
      <c r="BM58" s="16">
        <f t="shared" si="11"/>
        <v>282034</v>
      </c>
      <c r="BN58" s="16">
        <v>0</v>
      </c>
      <c r="BO58" s="16">
        <v>0</v>
      </c>
      <c r="BP58" s="16">
        <v>0</v>
      </c>
      <c r="BQ58" s="16">
        <v>0</v>
      </c>
      <c r="BR58" s="16">
        <v>0</v>
      </c>
      <c r="BS58" s="16">
        <v>0</v>
      </c>
      <c r="BT58" s="16">
        <v>0</v>
      </c>
      <c r="BU58" s="16">
        <v>0</v>
      </c>
      <c r="BV58" s="16">
        <v>0</v>
      </c>
      <c r="BW58" s="16">
        <v>0</v>
      </c>
      <c r="BX58" s="16">
        <v>282034</v>
      </c>
      <c r="BY58" s="16">
        <f>SUM(BZ58+CS58)</f>
        <v>405744</v>
      </c>
      <c r="BZ58" s="16">
        <f>SUM(CA58+CD58+CK58)</f>
        <v>405744</v>
      </c>
      <c r="CA58" s="16">
        <f t="shared" si="12"/>
        <v>405744</v>
      </c>
      <c r="CB58" s="16">
        <v>0</v>
      </c>
      <c r="CC58" s="16">
        <v>405744</v>
      </c>
      <c r="CD58" s="16">
        <f t="shared" si="13"/>
        <v>0</v>
      </c>
      <c r="CE58" s="16">
        <v>0</v>
      </c>
      <c r="CF58" s="16">
        <v>0</v>
      </c>
      <c r="CG58" s="16">
        <v>0</v>
      </c>
      <c r="CH58" s="16">
        <v>0</v>
      </c>
      <c r="CI58" s="16">
        <v>0</v>
      </c>
      <c r="CJ58" s="16">
        <v>0</v>
      </c>
      <c r="CK58" s="16">
        <f t="shared" si="14"/>
        <v>0</v>
      </c>
      <c r="CL58" s="16">
        <v>0</v>
      </c>
      <c r="CM58" s="16">
        <v>0</v>
      </c>
      <c r="CN58" s="16">
        <v>0</v>
      </c>
      <c r="CO58" s="16">
        <v>0</v>
      </c>
      <c r="CP58" s="16">
        <v>0</v>
      </c>
      <c r="CQ58" s="16"/>
      <c r="CR58" s="16"/>
      <c r="CS58" s="16">
        <v>0</v>
      </c>
      <c r="CT58" s="16">
        <f t="shared" si="15"/>
        <v>0</v>
      </c>
      <c r="CU58" s="16">
        <f t="shared" si="16"/>
        <v>0</v>
      </c>
      <c r="CV58" s="16">
        <v>0</v>
      </c>
      <c r="CW58" s="17">
        <v>0</v>
      </c>
      <c r="CX58" s="40"/>
      <c r="CY58" s="40"/>
    </row>
    <row r="59" spans="1:103" ht="15.75" x14ac:dyDescent="0.25">
      <c r="A59" s="13" t="s">
        <v>7</v>
      </c>
      <c r="B59" s="14" t="s">
        <v>47</v>
      </c>
      <c r="C59" s="14" t="s">
        <v>1</v>
      </c>
      <c r="D59" s="30" t="s">
        <v>72</v>
      </c>
      <c r="E59" s="15">
        <f t="shared" ref="E59:AJ59" si="59">SUM(E60)</f>
        <v>6390737</v>
      </c>
      <c r="F59" s="16">
        <f t="shared" si="59"/>
        <v>6302275</v>
      </c>
      <c r="G59" s="16">
        <f t="shared" si="59"/>
        <v>6274670</v>
      </c>
      <c r="H59" s="16">
        <f t="shared" si="59"/>
        <v>5004302</v>
      </c>
      <c r="I59" s="16">
        <f t="shared" si="59"/>
        <v>368278</v>
      </c>
      <c r="J59" s="16">
        <f t="shared" si="59"/>
        <v>465863</v>
      </c>
      <c r="K59" s="16">
        <f t="shared" si="59"/>
        <v>0</v>
      </c>
      <c r="L59" s="16">
        <f t="shared" si="59"/>
        <v>14944</v>
      </c>
      <c r="M59" s="16">
        <f t="shared" si="59"/>
        <v>0</v>
      </c>
      <c r="N59" s="16">
        <f t="shared" si="59"/>
        <v>0</v>
      </c>
      <c r="O59" s="16">
        <f t="shared" si="59"/>
        <v>408737</v>
      </c>
      <c r="P59" s="16">
        <f t="shared" si="59"/>
        <v>42182</v>
      </c>
      <c r="Q59" s="16">
        <f t="shared" si="59"/>
        <v>0</v>
      </c>
      <c r="R59" s="16">
        <f t="shared" si="59"/>
        <v>0</v>
      </c>
      <c r="S59" s="16">
        <f t="shared" si="59"/>
        <v>0</v>
      </c>
      <c r="T59" s="16">
        <f t="shared" si="59"/>
        <v>0</v>
      </c>
      <c r="U59" s="16">
        <f t="shared" si="59"/>
        <v>158926</v>
      </c>
      <c r="V59" s="16">
        <f t="shared" si="59"/>
        <v>29813</v>
      </c>
      <c r="W59" s="16">
        <f t="shared" si="59"/>
        <v>13373</v>
      </c>
      <c r="X59" s="16">
        <f t="shared" si="59"/>
        <v>0</v>
      </c>
      <c r="Y59" s="16">
        <f t="shared" si="59"/>
        <v>12939</v>
      </c>
      <c r="Z59" s="16">
        <f t="shared" si="59"/>
        <v>1202</v>
      </c>
      <c r="AA59" s="16">
        <f t="shared" si="59"/>
        <v>0</v>
      </c>
      <c r="AB59" s="16">
        <f t="shared" si="59"/>
        <v>0</v>
      </c>
      <c r="AC59" s="16">
        <f t="shared" si="59"/>
        <v>0</v>
      </c>
      <c r="AD59" s="16">
        <f t="shared" si="59"/>
        <v>2299</v>
      </c>
      <c r="AE59" s="16">
        <f t="shared" si="59"/>
        <v>247488</v>
      </c>
      <c r="AF59" s="16">
        <f t="shared" si="59"/>
        <v>0</v>
      </c>
      <c r="AG59" s="16">
        <f t="shared" si="59"/>
        <v>150</v>
      </c>
      <c r="AH59" s="16">
        <f t="shared" si="59"/>
        <v>8508</v>
      </c>
      <c r="AI59" s="16">
        <f t="shared" si="59"/>
        <v>0</v>
      </c>
      <c r="AJ59" s="16">
        <f t="shared" si="59"/>
        <v>11160</v>
      </c>
      <c r="AK59" s="16">
        <f t="shared" ref="AK59:BR59" si="60">SUM(AK60)</f>
        <v>0</v>
      </c>
      <c r="AL59" s="16">
        <f t="shared" si="60"/>
        <v>44231</v>
      </c>
      <c r="AM59" s="16">
        <f t="shared" si="60"/>
        <v>0</v>
      </c>
      <c r="AN59" s="16">
        <f t="shared" si="60"/>
        <v>33756</v>
      </c>
      <c r="AO59" s="16">
        <f t="shared" si="60"/>
        <v>0</v>
      </c>
      <c r="AP59" s="16">
        <f t="shared" si="60"/>
        <v>0</v>
      </c>
      <c r="AQ59" s="16">
        <f t="shared" si="60"/>
        <v>0</v>
      </c>
      <c r="AR59" s="16">
        <f t="shared" si="60"/>
        <v>71948</v>
      </c>
      <c r="AS59" s="16">
        <f t="shared" si="60"/>
        <v>0</v>
      </c>
      <c r="AT59" s="16">
        <f t="shared" si="60"/>
        <v>0</v>
      </c>
      <c r="AU59" s="16">
        <f t="shared" si="60"/>
        <v>0</v>
      </c>
      <c r="AV59" s="16">
        <f t="shared" si="60"/>
        <v>0</v>
      </c>
      <c r="AW59" s="16">
        <f t="shared" si="60"/>
        <v>0</v>
      </c>
      <c r="AX59" s="16">
        <f t="shared" si="60"/>
        <v>0</v>
      </c>
      <c r="AY59" s="16">
        <f t="shared" si="60"/>
        <v>0</v>
      </c>
      <c r="AZ59" s="16">
        <f t="shared" si="60"/>
        <v>77735</v>
      </c>
      <c r="BA59" s="16">
        <f t="shared" si="60"/>
        <v>27605</v>
      </c>
      <c r="BB59" s="16">
        <f t="shared" si="60"/>
        <v>0</v>
      </c>
      <c r="BC59" s="16">
        <f t="shared" si="60"/>
        <v>0</v>
      </c>
      <c r="BD59" s="16">
        <f t="shared" si="60"/>
        <v>0</v>
      </c>
      <c r="BE59" s="16">
        <f t="shared" si="60"/>
        <v>0</v>
      </c>
      <c r="BF59" s="16">
        <f t="shared" si="60"/>
        <v>0</v>
      </c>
      <c r="BG59" s="16">
        <f t="shared" si="60"/>
        <v>0</v>
      </c>
      <c r="BH59" s="16">
        <f t="shared" si="60"/>
        <v>0</v>
      </c>
      <c r="BI59" s="16">
        <f t="shared" si="60"/>
        <v>0</v>
      </c>
      <c r="BJ59" s="16">
        <f t="shared" si="60"/>
        <v>0</v>
      </c>
      <c r="BK59" s="16">
        <f t="shared" si="60"/>
        <v>0</v>
      </c>
      <c r="BL59" s="16">
        <f t="shared" si="60"/>
        <v>0</v>
      </c>
      <c r="BM59" s="16">
        <f t="shared" si="60"/>
        <v>27605</v>
      </c>
      <c r="BN59" s="16">
        <f t="shared" si="60"/>
        <v>0</v>
      </c>
      <c r="BO59" s="16">
        <f t="shared" si="60"/>
        <v>0</v>
      </c>
      <c r="BP59" s="16">
        <f t="shared" si="60"/>
        <v>0</v>
      </c>
      <c r="BQ59" s="16">
        <f t="shared" si="60"/>
        <v>0</v>
      </c>
      <c r="BR59" s="16">
        <f t="shared" si="60"/>
        <v>0</v>
      </c>
      <c r="BS59" s="16">
        <f t="shared" ref="BS59:CW59" si="61">SUM(BS60)</f>
        <v>0</v>
      </c>
      <c r="BT59" s="16">
        <f t="shared" si="61"/>
        <v>0</v>
      </c>
      <c r="BU59" s="16">
        <f t="shared" si="61"/>
        <v>0</v>
      </c>
      <c r="BV59" s="16">
        <f t="shared" si="61"/>
        <v>0</v>
      </c>
      <c r="BW59" s="16">
        <f t="shared" si="61"/>
        <v>27605</v>
      </c>
      <c r="BX59" s="16">
        <f t="shared" si="61"/>
        <v>0</v>
      </c>
      <c r="BY59" s="16">
        <f t="shared" si="61"/>
        <v>88462</v>
      </c>
      <c r="BZ59" s="16">
        <f t="shared" si="61"/>
        <v>88462</v>
      </c>
      <c r="CA59" s="16">
        <f t="shared" si="61"/>
        <v>88462</v>
      </c>
      <c r="CB59" s="16">
        <f t="shared" si="61"/>
        <v>0</v>
      </c>
      <c r="CC59" s="16">
        <f t="shared" si="61"/>
        <v>88462</v>
      </c>
      <c r="CD59" s="16">
        <f t="shared" si="61"/>
        <v>0</v>
      </c>
      <c r="CE59" s="16">
        <f t="shared" si="61"/>
        <v>0</v>
      </c>
      <c r="CF59" s="16">
        <f t="shared" si="61"/>
        <v>0</v>
      </c>
      <c r="CG59" s="16">
        <f t="shared" si="61"/>
        <v>0</v>
      </c>
      <c r="CH59" s="16">
        <f t="shared" si="61"/>
        <v>0</v>
      </c>
      <c r="CI59" s="16">
        <f t="shared" si="61"/>
        <v>0</v>
      </c>
      <c r="CJ59" s="16">
        <f t="shared" si="61"/>
        <v>0</v>
      </c>
      <c r="CK59" s="16">
        <f t="shared" si="61"/>
        <v>0</v>
      </c>
      <c r="CL59" s="16">
        <f t="shared" si="61"/>
        <v>0</v>
      </c>
      <c r="CM59" s="16">
        <f t="shared" si="61"/>
        <v>0</v>
      </c>
      <c r="CN59" s="16">
        <f t="shared" si="61"/>
        <v>0</v>
      </c>
      <c r="CO59" s="16">
        <f t="shared" si="61"/>
        <v>0</v>
      </c>
      <c r="CP59" s="16">
        <f t="shared" si="61"/>
        <v>0</v>
      </c>
      <c r="CQ59" s="16">
        <f t="shared" si="61"/>
        <v>0</v>
      </c>
      <c r="CR59" s="16">
        <f t="shared" si="61"/>
        <v>0</v>
      </c>
      <c r="CS59" s="16">
        <f t="shared" si="61"/>
        <v>0</v>
      </c>
      <c r="CT59" s="16">
        <f t="shared" si="61"/>
        <v>0</v>
      </c>
      <c r="CU59" s="16">
        <f t="shared" si="61"/>
        <v>0</v>
      </c>
      <c r="CV59" s="16">
        <f t="shared" si="61"/>
        <v>0</v>
      </c>
      <c r="CW59" s="17">
        <f t="shared" si="61"/>
        <v>0</v>
      </c>
      <c r="CX59" s="40"/>
      <c r="CY59" s="40"/>
    </row>
    <row r="60" spans="1:103" ht="15.75" x14ac:dyDescent="0.25">
      <c r="A60" s="13" t="s">
        <v>1</v>
      </c>
      <c r="B60" s="14" t="s">
        <v>1</v>
      </c>
      <c r="C60" s="14" t="s">
        <v>73</v>
      </c>
      <c r="D60" s="30" t="s">
        <v>74</v>
      </c>
      <c r="E60" s="15">
        <f>SUM(F60+BY60+CT60)</f>
        <v>6390737</v>
      </c>
      <c r="F60" s="16">
        <f>SUM(G60+BA60)</f>
        <v>6302275</v>
      </c>
      <c r="G60" s="16">
        <f>SUM(H60+I60+J60+Q60+T60+U60+V60+AE60)</f>
        <v>6274670</v>
      </c>
      <c r="H60" s="16">
        <v>5004302</v>
      </c>
      <c r="I60" s="16">
        <v>368278</v>
      </c>
      <c r="J60" s="16">
        <f t="shared" si="7"/>
        <v>465863</v>
      </c>
      <c r="K60" s="16">
        <v>0</v>
      </c>
      <c r="L60" s="16">
        <v>14944</v>
      </c>
      <c r="M60" s="16">
        <v>0</v>
      </c>
      <c r="N60" s="16">
        <v>0</v>
      </c>
      <c r="O60" s="16">
        <v>408737</v>
      </c>
      <c r="P60" s="16">
        <v>42182</v>
      </c>
      <c r="Q60" s="16">
        <f t="shared" si="8"/>
        <v>0</v>
      </c>
      <c r="R60" s="16">
        <v>0</v>
      </c>
      <c r="S60" s="16">
        <v>0</v>
      </c>
      <c r="T60" s="16">
        <v>0</v>
      </c>
      <c r="U60" s="16">
        <v>158926</v>
      </c>
      <c r="V60" s="16">
        <f>SUM(W60:AD60)</f>
        <v>29813</v>
      </c>
      <c r="W60" s="16">
        <v>13373</v>
      </c>
      <c r="X60" s="16">
        <v>0</v>
      </c>
      <c r="Y60" s="16">
        <f>8776+180+3983</f>
        <v>12939</v>
      </c>
      <c r="Z60" s="16">
        <v>1202</v>
      </c>
      <c r="AA60" s="16">
        <v>0</v>
      </c>
      <c r="AB60" s="16">
        <v>0</v>
      </c>
      <c r="AC60" s="16">
        <v>0</v>
      </c>
      <c r="AD60" s="16">
        <v>2299</v>
      </c>
      <c r="AE60" s="16">
        <f>SUM(AF60:AZ60)</f>
        <v>247488</v>
      </c>
      <c r="AF60" s="16">
        <v>0</v>
      </c>
      <c r="AG60" s="16">
        <v>150</v>
      </c>
      <c r="AH60" s="16">
        <v>8508</v>
      </c>
      <c r="AI60" s="16">
        <v>0</v>
      </c>
      <c r="AJ60" s="16">
        <v>11160</v>
      </c>
      <c r="AK60" s="16">
        <v>0</v>
      </c>
      <c r="AL60" s="16">
        <v>44231</v>
      </c>
      <c r="AM60" s="16">
        <v>0</v>
      </c>
      <c r="AN60" s="16">
        <v>33756</v>
      </c>
      <c r="AO60" s="16">
        <v>0</v>
      </c>
      <c r="AP60" s="16">
        <v>0</v>
      </c>
      <c r="AQ60" s="16">
        <v>0</v>
      </c>
      <c r="AR60" s="16">
        <v>71948</v>
      </c>
      <c r="AS60" s="16">
        <v>0</v>
      </c>
      <c r="AT60" s="16">
        <v>0</v>
      </c>
      <c r="AU60" s="16">
        <v>0</v>
      </c>
      <c r="AV60" s="16">
        <v>0</v>
      </c>
      <c r="AW60" s="16">
        <v>0</v>
      </c>
      <c r="AX60" s="16">
        <v>0</v>
      </c>
      <c r="AY60" s="16">
        <v>0</v>
      </c>
      <c r="AZ60" s="16">
        <v>77735</v>
      </c>
      <c r="BA60" s="16">
        <f>SUM(BB60+BF60+BI60+BJ60+BK60+BM60)</f>
        <v>27605</v>
      </c>
      <c r="BB60" s="16">
        <f>SUM(BC60:BE60)</f>
        <v>0</v>
      </c>
      <c r="BC60" s="16">
        <v>0</v>
      </c>
      <c r="BD60" s="16">
        <v>0</v>
      </c>
      <c r="BE60" s="16">
        <v>0</v>
      </c>
      <c r="BF60" s="16">
        <f t="shared" si="9"/>
        <v>0</v>
      </c>
      <c r="BG60" s="16">
        <v>0</v>
      </c>
      <c r="BH60" s="16">
        <v>0</v>
      </c>
      <c r="BI60" s="16">
        <v>0</v>
      </c>
      <c r="BJ60" s="16">
        <v>0</v>
      </c>
      <c r="BK60" s="16">
        <f t="shared" si="10"/>
        <v>0</v>
      </c>
      <c r="BL60" s="16">
        <v>0</v>
      </c>
      <c r="BM60" s="16">
        <f t="shared" si="11"/>
        <v>27605</v>
      </c>
      <c r="BN60" s="16">
        <v>0</v>
      </c>
      <c r="BO60" s="16">
        <v>0</v>
      </c>
      <c r="BP60" s="16">
        <v>0</v>
      </c>
      <c r="BQ60" s="16">
        <v>0</v>
      </c>
      <c r="BR60" s="16">
        <v>0</v>
      </c>
      <c r="BS60" s="16">
        <v>0</v>
      </c>
      <c r="BT60" s="16">
        <v>0</v>
      </c>
      <c r="BU60" s="16">
        <v>0</v>
      </c>
      <c r="BV60" s="16">
        <v>0</v>
      </c>
      <c r="BW60" s="16">
        <v>27605</v>
      </c>
      <c r="BX60" s="16">
        <v>0</v>
      </c>
      <c r="BY60" s="16">
        <f>SUM(BZ60+CS60)</f>
        <v>88462</v>
      </c>
      <c r="BZ60" s="16">
        <f>SUM(CA60+CD60+CK60)</f>
        <v>88462</v>
      </c>
      <c r="CA60" s="16">
        <f t="shared" si="12"/>
        <v>88462</v>
      </c>
      <c r="CB60" s="16">
        <v>0</v>
      </c>
      <c r="CC60" s="16">
        <v>88462</v>
      </c>
      <c r="CD60" s="16">
        <f t="shared" si="13"/>
        <v>0</v>
      </c>
      <c r="CE60" s="16">
        <v>0</v>
      </c>
      <c r="CF60" s="16">
        <v>0</v>
      </c>
      <c r="CG60" s="16">
        <v>0</v>
      </c>
      <c r="CH60" s="16">
        <v>0</v>
      </c>
      <c r="CI60" s="16">
        <v>0</v>
      </c>
      <c r="CJ60" s="16">
        <v>0</v>
      </c>
      <c r="CK60" s="16">
        <f t="shared" si="14"/>
        <v>0</v>
      </c>
      <c r="CL60" s="16">
        <v>0</v>
      </c>
      <c r="CM60" s="16">
        <v>0</v>
      </c>
      <c r="CN60" s="16">
        <v>0</v>
      </c>
      <c r="CO60" s="16">
        <v>0</v>
      </c>
      <c r="CP60" s="16">
        <v>0</v>
      </c>
      <c r="CQ60" s="16">
        <v>0</v>
      </c>
      <c r="CR60" s="16">
        <v>0</v>
      </c>
      <c r="CS60" s="16">
        <v>0</v>
      </c>
      <c r="CT60" s="16">
        <f t="shared" si="15"/>
        <v>0</v>
      </c>
      <c r="CU60" s="16">
        <f t="shared" si="16"/>
        <v>0</v>
      </c>
      <c r="CV60" s="16">
        <v>0</v>
      </c>
      <c r="CW60" s="17">
        <v>0</v>
      </c>
      <c r="CX60" s="40"/>
      <c r="CY60" s="40"/>
    </row>
    <row r="61" spans="1:103" ht="15.75" x14ac:dyDescent="0.25">
      <c r="A61" s="13" t="s">
        <v>7</v>
      </c>
      <c r="B61" s="14" t="s">
        <v>57</v>
      </c>
      <c r="C61" s="14" t="s">
        <v>1</v>
      </c>
      <c r="D61" s="30" t="s">
        <v>75</v>
      </c>
      <c r="E61" s="15">
        <f t="shared" ref="E61:AJ61" si="62">SUM(E62)</f>
        <v>524239</v>
      </c>
      <c r="F61" s="16">
        <f t="shared" si="62"/>
        <v>524239</v>
      </c>
      <c r="G61" s="16">
        <f t="shared" si="62"/>
        <v>524239</v>
      </c>
      <c r="H61" s="16">
        <f t="shared" si="62"/>
        <v>0</v>
      </c>
      <c r="I61" s="16">
        <f t="shared" si="62"/>
        <v>0</v>
      </c>
      <c r="J61" s="16">
        <f t="shared" si="62"/>
        <v>0</v>
      </c>
      <c r="K61" s="16">
        <f t="shared" si="62"/>
        <v>0</v>
      </c>
      <c r="L61" s="16">
        <f t="shared" si="62"/>
        <v>0</v>
      </c>
      <c r="M61" s="16">
        <f t="shared" si="62"/>
        <v>0</v>
      </c>
      <c r="N61" s="16">
        <f t="shared" si="62"/>
        <v>0</v>
      </c>
      <c r="O61" s="16">
        <f t="shared" si="62"/>
        <v>0</v>
      </c>
      <c r="P61" s="16">
        <f t="shared" si="62"/>
        <v>0</v>
      </c>
      <c r="Q61" s="16">
        <f t="shared" si="62"/>
        <v>0</v>
      </c>
      <c r="R61" s="16">
        <f t="shared" si="62"/>
        <v>0</v>
      </c>
      <c r="S61" s="16">
        <f t="shared" si="62"/>
        <v>0</v>
      </c>
      <c r="T61" s="16">
        <f t="shared" si="62"/>
        <v>0</v>
      </c>
      <c r="U61" s="16">
        <f t="shared" si="62"/>
        <v>0</v>
      </c>
      <c r="V61" s="16">
        <f t="shared" si="62"/>
        <v>0</v>
      </c>
      <c r="W61" s="16">
        <f t="shared" si="62"/>
        <v>0</v>
      </c>
      <c r="X61" s="16">
        <f t="shared" si="62"/>
        <v>0</v>
      </c>
      <c r="Y61" s="16">
        <f t="shared" si="62"/>
        <v>0</v>
      </c>
      <c r="Z61" s="16">
        <f t="shared" si="62"/>
        <v>0</v>
      </c>
      <c r="AA61" s="16">
        <f t="shared" si="62"/>
        <v>0</v>
      </c>
      <c r="AB61" s="16">
        <f t="shared" si="62"/>
        <v>0</v>
      </c>
      <c r="AC61" s="16">
        <f t="shared" si="62"/>
        <v>0</v>
      </c>
      <c r="AD61" s="16">
        <f t="shared" si="62"/>
        <v>0</v>
      </c>
      <c r="AE61" s="16">
        <f t="shared" si="62"/>
        <v>524239</v>
      </c>
      <c r="AF61" s="16">
        <f t="shared" si="62"/>
        <v>0</v>
      </c>
      <c r="AG61" s="16">
        <f t="shared" si="62"/>
        <v>0</v>
      </c>
      <c r="AH61" s="16">
        <f t="shared" si="62"/>
        <v>0</v>
      </c>
      <c r="AI61" s="16">
        <f t="shared" si="62"/>
        <v>0</v>
      </c>
      <c r="AJ61" s="16">
        <f t="shared" si="62"/>
        <v>0</v>
      </c>
      <c r="AK61" s="16">
        <f t="shared" ref="AK61:BR61" si="63">SUM(AK62)</f>
        <v>0</v>
      </c>
      <c r="AL61" s="16">
        <f t="shared" si="63"/>
        <v>0</v>
      </c>
      <c r="AM61" s="16">
        <f t="shared" si="63"/>
        <v>0</v>
      </c>
      <c r="AN61" s="16">
        <f t="shared" si="63"/>
        <v>0</v>
      </c>
      <c r="AO61" s="16">
        <f t="shared" si="63"/>
        <v>0</v>
      </c>
      <c r="AP61" s="16">
        <f t="shared" si="63"/>
        <v>0</v>
      </c>
      <c r="AQ61" s="16">
        <f t="shared" si="63"/>
        <v>0</v>
      </c>
      <c r="AR61" s="16">
        <f t="shared" si="63"/>
        <v>0</v>
      </c>
      <c r="AS61" s="16">
        <f t="shared" si="63"/>
        <v>0</v>
      </c>
      <c r="AT61" s="16">
        <f t="shared" si="63"/>
        <v>524239</v>
      </c>
      <c r="AU61" s="16">
        <f t="shared" si="63"/>
        <v>0</v>
      </c>
      <c r="AV61" s="16">
        <f t="shared" si="63"/>
        <v>0</v>
      </c>
      <c r="AW61" s="16">
        <f t="shared" si="63"/>
        <v>0</v>
      </c>
      <c r="AX61" s="16">
        <f t="shared" si="63"/>
        <v>0</v>
      </c>
      <c r="AY61" s="16">
        <f t="shared" si="63"/>
        <v>0</v>
      </c>
      <c r="AZ61" s="16">
        <f t="shared" si="63"/>
        <v>0</v>
      </c>
      <c r="BA61" s="16">
        <f t="shared" si="63"/>
        <v>0</v>
      </c>
      <c r="BB61" s="16">
        <f t="shared" si="63"/>
        <v>0</v>
      </c>
      <c r="BC61" s="16">
        <f t="shared" si="63"/>
        <v>0</v>
      </c>
      <c r="BD61" s="16">
        <f t="shared" si="63"/>
        <v>0</v>
      </c>
      <c r="BE61" s="16">
        <f t="shared" si="63"/>
        <v>0</v>
      </c>
      <c r="BF61" s="16">
        <f t="shared" si="63"/>
        <v>0</v>
      </c>
      <c r="BG61" s="16">
        <f t="shared" si="63"/>
        <v>0</v>
      </c>
      <c r="BH61" s="16">
        <f t="shared" si="63"/>
        <v>0</v>
      </c>
      <c r="BI61" s="16">
        <f t="shared" si="63"/>
        <v>0</v>
      </c>
      <c r="BJ61" s="16">
        <f t="shared" si="63"/>
        <v>0</v>
      </c>
      <c r="BK61" s="16">
        <f t="shared" si="63"/>
        <v>0</v>
      </c>
      <c r="BL61" s="16">
        <f t="shared" si="63"/>
        <v>0</v>
      </c>
      <c r="BM61" s="16">
        <f t="shared" si="63"/>
        <v>0</v>
      </c>
      <c r="BN61" s="16">
        <f t="shared" si="63"/>
        <v>0</v>
      </c>
      <c r="BO61" s="16">
        <f t="shared" si="63"/>
        <v>0</v>
      </c>
      <c r="BP61" s="16">
        <f t="shared" si="63"/>
        <v>0</v>
      </c>
      <c r="BQ61" s="16">
        <f t="shared" si="63"/>
        <v>0</v>
      </c>
      <c r="BR61" s="16">
        <f t="shared" si="63"/>
        <v>0</v>
      </c>
      <c r="BS61" s="16">
        <f t="shared" ref="BS61:CW61" si="64">SUM(BS62)</f>
        <v>0</v>
      </c>
      <c r="BT61" s="16">
        <f t="shared" si="64"/>
        <v>0</v>
      </c>
      <c r="BU61" s="16">
        <f t="shared" si="64"/>
        <v>0</v>
      </c>
      <c r="BV61" s="16">
        <f t="shared" si="64"/>
        <v>0</v>
      </c>
      <c r="BW61" s="16">
        <f t="shared" si="64"/>
        <v>0</v>
      </c>
      <c r="BX61" s="16">
        <f t="shared" si="64"/>
        <v>0</v>
      </c>
      <c r="BY61" s="16">
        <f t="shared" si="64"/>
        <v>0</v>
      </c>
      <c r="BZ61" s="16">
        <f t="shared" si="64"/>
        <v>0</v>
      </c>
      <c r="CA61" s="16">
        <f t="shared" si="64"/>
        <v>0</v>
      </c>
      <c r="CB61" s="16">
        <f t="shared" si="64"/>
        <v>0</v>
      </c>
      <c r="CC61" s="16">
        <f t="shared" si="64"/>
        <v>0</v>
      </c>
      <c r="CD61" s="16">
        <f t="shared" si="64"/>
        <v>0</v>
      </c>
      <c r="CE61" s="16">
        <f t="shared" si="64"/>
        <v>0</v>
      </c>
      <c r="CF61" s="16">
        <f t="shared" si="64"/>
        <v>0</v>
      </c>
      <c r="CG61" s="16">
        <f t="shared" si="64"/>
        <v>0</v>
      </c>
      <c r="CH61" s="16">
        <f t="shared" si="64"/>
        <v>0</v>
      </c>
      <c r="CI61" s="16">
        <f t="shared" si="64"/>
        <v>0</v>
      </c>
      <c r="CJ61" s="16">
        <f t="shared" si="64"/>
        <v>0</v>
      </c>
      <c r="CK61" s="16">
        <f t="shared" si="64"/>
        <v>0</v>
      </c>
      <c r="CL61" s="16">
        <f t="shared" si="64"/>
        <v>0</v>
      </c>
      <c r="CM61" s="16">
        <f t="shared" si="64"/>
        <v>0</v>
      </c>
      <c r="CN61" s="16">
        <f t="shared" si="64"/>
        <v>0</v>
      </c>
      <c r="CO61" s="16">
        <f t="shared" si="64"/>
        <v>0</v>
      </c>
      <c r="CP61" s="16">
        <f t="shared" si="64"/>
        <v>0</v>
      </c>
      <c r="CQ61" s="16">
        <f t="shared" si="64"/>
        <v>0</v>
      </c>
      <c r="CR61" s="16">
        <f t="shared" si="64"/>
        <v>0</v>
      </c>
      <c r="CS61" s="16">
        <f t="shared" si="64"/>
        <v>0</v>
      </c>
      <c r="CT61" s="16">
        <f t="shared" si="64"/>
        <v>0</v>
      </c>
      <c r="CU61" s="16">
        <f t="shared" si="64"/>
        <v>0</v>
      </c>
      <c r="CV61" s="16">
        <f t="shared" si="64"/>
        <v>0</v>
      </c>
      <c r="CW61" s="17">
        <f t="shared" si="64"/>
        <v>0</v>
      </c>
      <c r="CX61" s="40"/>
      <c r="CY61" s="40"/>
    </row>
    <row r="62" spans="1:103" ht="15.75" x14ac:dyDescent="0.25">
      <c r="A62" s="13" t="s">
        <v>1</v>
      </c>
      <c r="B62" s="14" t="s">
        <v>1</v>
      </c>
      <c r="C62" s="14" t="s">
        <v>70</v>
      </c>
      <c r="D62" s="30" t="s">
        <v>76</v>
      </c>
      <c r="E62" s="15">
        <f>SUM(F62+BY62+CT62)</f>
        <v>524239</v>
      </c>
      <c r="F62" s="16">
        <f>SUM(G62+BA62)</f>
        <v>524239</v>
      </c>
      <c r="G62" s="16">
        <f>SUM(H62+I62+J62+Q62+T62+U62+V62+AE62)</f>
        <v>524239</v>
      </c>
      <c r="H62" s="16">
        <v>0</v>
      </c>
      <c r="I62" s="16">
        <v>0</v>
      </c>
      <c r="J62" s="16">
        <f t="shared" si="7"/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f t="shared" si="8"/>
        <v>0</v>
      </c>
      <c r="R62" s="16">
        <v>0</v>
      </c>
      <c r="S62" s="16">
        <v>0</v>
      </c>
      <c r="T62" s="16">
        <v>0</v>
      </c>
      <c r="U62" s="16">
        <v>0</v>
      </c>
      <c r="V62" s="16">
        <f>SUM(W62:AD62)</f>
        <v>0</v>
      </c>
      <c r="W62" s="16">
        <v>0</v>
      </c>
      <c r="X62" s="16">
        <v>0</v>
      </c>
      <c r="Y62" s="16">
        <v>0</v>
      </c>
      <c r="Z62" s="16">
        <v>0</v>
      </c>
      <c r="AA62" s="16">
        <v>0</v>
      </c>
      <c r="AB62" s="16">
        <v>0</v>
      </c>
      <c r="AC62" s="16">
        <v>0</v>
      </c>
      <c r="AD62" s="16">
        <v>0</v>
      </c>
      <c r="AE62" s="16">
        <f>SUM(AF62:AZ62)</f>
        <v>524239</v>
      </c>
      <c r="AF62" s="16">
        <v>0</v>
      </c>
      <c r="AG62" s="16">
        <v>0</v>
      </c>
      <c r="AH62" s="16">
        <v>0</v>
      </c>
      <c r="AI62" s="16">
        <v>0</v>
      </c>
      <c r="AJ62" s="16">
        <v>0</v>
      </c>
      <c r="AK62" s="16">
        <v>0</v>
      </c>
      <c r="AL62" s="16">
        <v>0</v>
      </c>
      <c r="AM62" s="16">
        <v>0</v>
      </c>
      <c r="AN62" s="16">
        <v>0</v>
      </c>
      <c r="AO62" s="16">
        <v>0</v>
      </c>
      <c r="AP62" s="16">
        <v>0</v>
      </c>
      <c r="AQ62" s="16">
        <v>0</v>
      </c>
      <c r="AR62" s="16">
        <v>0</v>
      </c>
      <c r="AS62" s="16">
        <v>0</v>
      </c>
      <c r="AT62" s="16">
        <v>524239</v>
      </c>
      <c r="AU62" s="16">
        <v>0</v>
      </c>
      <c r="AV62" s="16">
        <v>0</v>
      </c>
      <c r="AW62" s="16">
        <v>0</v>
      </c>
      <c r="AX62" s="16">
        <v>0</v>
      </c>
      <c r="AY62" s="16">
        <v>0</v>
      </c>
      <c r="AZ62" s="16">
        <v>0</v>
      </c>
      <c r="BA62" s="16">
        <f>SUM(BB62+BF62+BI62+BJ62+BK62+BM62)</f>
        <v>0</v>
      </c>
      <c r="BB62" s="16">
        <f>SUM(BC62:BE62)</f>
        <v>0</v>
      </c>
      <c r="BC62" s="16">
        <v>0</v>
      </c>
      <c r="BD62" s="16">
        <v>0</v>
      </c>
      <c r="BE62" s="16">
        <v>0</v>
      </c>
      <c r="BF62" s="16">
        <f t="shared" si="9"/>
        <v>0</v>
      </c>
      <c r="BG62" s="16">
        <v>0</v>
      </c>
      <c r="BH62" s="16">
        <v>0</v>
      </c>
      <c r="BI62" s="16">
        <v>0</v>
      </c>
      <c r="BJ62" s="16">
        <v>0</v>
      </c>
      <c r="BK62" s="16">
        <f t="shared" si="10"/>
        <v>0</v>
      </c>
      <c r="BL62" s="16">
        <v>0</v>
      </c>
      <c r="BM62" s="16">
        <f t="shared" si="11"/>
        <v>0</v>
      </c>
      <c r="BN62" s="16">
        <v>0</v>
      </c>
      <c r="BO62" s="16">
        <v>0</v>
      </c>
      <c r="BP62" s="16">
        <v>0</v>
      </c>
      <c r="BQ62" s="16">
        <v>0</v>
      </c>
      <c r="BR62" s="16">
        <v>0</v>
      </c>
      <c r="BS62" s="16">
        <v>0</v>
      </c>
      <c r="BT62" s="16">
        <v>0</v>
      </c>
      <c r="BU62" s="16">
        <v>0</v>
      </c>
      <c r="BV62" s="16">
        <v>0</v>
      </c>
      <c r="BW62" s="16">
        <v>0</v>
      </c>
      <c r="BX62" s="16">
        <v>0</v>
      </c>
      <c r="BY62" s="16">
        <f>SUM(BZ62+CS62)</f>
        <v>0</v>
      </c>
      <c r="BZ62" s="16">
        <f>SUM(CA62+CD62+CK62)</f>
        <v>0</v>
      </c>
      <c r="CA62" s="16">
        <f t="shared" si="12"/>
        <v>0</v>
      </c>
      <c r="CB62" s="16">
        <v>0</v>
      </c>
      <c r="CC62" s="16">
        <v>0</v>
      </c>
      <c r="CD62" s="16">
        <f t="shared" si="13"/>
        <v>0</v>
      </c>
      <c r="CE62" s="16">
        <v>0</v>
      </c>
      <c r="CF62" s="16">
        <v>0</v>
      </c>
      <c r="CG62" s="16">
        <v>0</v>
      </c>
      <c r="CH62" s="16">
        <v>0</v>
      </c>
      <c r="CI62" s="16">
        <v>0</v>
      </c>
      <c r="CJ62" s="16">
        <v>0</v>
      </c>
      <c r="CK62" s="16">
        <f t="shared" si="14"/>
        <v>0</v>
      </c>
      <c r="CL62" s="16">
        <v>0</v>
      </c>
      <c r="CM62" s="16">
        <v>0</v>
      </c>
      <c r="CN62" s="16">
        <v>0</v>
      </c>
      <c r="CO62" s="16">
        <v>0</v>
      </c>
      <c r="CP62" s="16">
        <v>0</v>
      </c>
      <c r="CQ62" s="16">
        <v>0</v>
      </c>
      <c r="CR62" s="16">
        <v>0</v>
      </c>
      <c r="CS62" s="16">
        <v>0</v>
      </c>
      <c r="CT62" s="16">
        <f t="shared" si="15"/>
        <v>0</v>
      </c>
      <c r="CU62" s="16">
        <f t="shared" si="16"/>
        <v>0</v>
      </c>
      <c r="CV62" s="16">
        <v>0</v>
      </c>
      <c r="CW62" s="17">
        <v>0</v>
      </c>
      <c r="CX62" s="40"/>
      <c r="CY62" s="40"/>
    </row>
    <row r="63" spans="1:103" ht="15.75" x14ac:dyDescent="0.25">
      <c r="A63" s="18" t="s">
        <v>77</v>
      </c>
      <c r="B63" s="19" t="s">
        <v>1</v>
      </c>
      <c r="C63" s="19" t="s">
        <v>1</v>
      </c>
      <c r="D63" s="31" t="s">
        <v>78</v>
      </c>
      <c r="E63" s="20">
        <f>SUM(E64+E66)</f>
        <v>5683420</v>
      </c>
      <c r="F63" s="21">
        <f t="shared" ref="F63:BS63" si="65">SUM(F64+F66)</f>
        <v>5643698</v>
      </c>
      <c r="G63" s="21">
        <f t="shared" si="65"/>
        <v>5643698</v>
      </c>
      <c r="H63" s="21">
        <f t="shared" si="65"/>
        <v>1947456</v>
      </c>
      <c r="I63" s="21">
        <f t="shared" si="65"/>
        <v>486864</v>
      </c>
      <c r="J63" s="21">
        <f t="shared" si="65"/>
        <v>69066</v>
      </c>
      <c r="K63" s="21">
        <f t="shared" si="65"/>
        <v>0</v>
      </c>
      <c r="L63" s="21">
        <f t="shared" si="65"/>
        <v>0</v>
      </c>
      <c r="M63" s="21">
        <f t="shared" si="65"/>
        <v>0</v>
      </c>
      <c r="N63" s="21">
        <f t="shared" si="65"/>
        <v>0</v>
      </c>
      <c r="O63" s="21">
        <f t="shared" si="65"/>
        <v>39576</v>
      </c>
      <c r="P63" s="21">
        <f t="shared" si="65"/>
        <v>29490</v>
      </c>
      <c r="Q63" s="21">
        <f t="shared" si="65"/>
        <v>610538</v>
      </c>
      <c r="R63" s="21">
        <f t="shared" si="65"/>
        <v>0</v>
      </c>
      <c r="S63" s="21">
        <f t="shared" si="65"/>
        <v>610538</v>
      </c>
      <c r="T63" s="21">
        <f t="shared" si="65"/>
        <v>0</v>
      </c>
      <c r="U63" s="21">
        <f t="shared" si="65"/>
        <v>71271</v>
      </c>
      <c r="V63" s="21">
        <f t="shared" si="65"/>
        <v>888553</v>
      </c>
      <c r="W63" s="21">
        <f t="shared" si="65"/>
        <v>18887</v>
      </c>
      <c r="X63" s="21">
        <f t="shared" si="65"/>
        <v>0</v>
      </c>
      <c r="Y63" s="21">
        <f t="shared" si="65"/>
        <v>0</v>
      </c>
      <c r="Z63" s="21">
        <f t="shared" si="65"/>
        <v>0</v>
      </c>
      <c r="AA63" s="21">
        <f t="shared" si="65"/>
        <v>0</v>
      </c>
      <c r="AB63" s="21">
        <f t="shared" si="65"/>
        <v>869666</v>
      </c>
      <c r="AC63" s="21">
        <f t="shared" si="65"/>
        <v>0</v>
      </c>
      <c r="AD63" s="21">
        <f t="shared" ref="AD63" si="66">SUM(AD64+AD66)</f>
        <v>0</v>
      </c>
      <c r="AE63" s="21">
        <f t="shared" si="65"/>
        <v>1569950</v>
      </c>
      <c r="AF63" s="21">
        <f t="shared" si="65"/>
        <v>289800</v>
      </c>
      <c r="AG63" s="21">
        <f t="shared" si="65"/>
        <v>0</v>
      </c>
      <c r="AH63" s="21">
        <f t="shared" si="65"/>
        <v>547</v>
      </c>
      <c r="AI63" s="21">
        <f t="shared" si="65"/>
        <v>0</v>
      </c>
      <c r="AJ63" s="21">
        <f t="shared" si="65"/>
        <v>6364</v>
      </c>
      <c r="AK63" s="21">
        <f t="shared" si="65"/>
        <v>0</v>
      </c>
      <c r="AL63" s="21">
        <f t="shared" si="65"/>
        <v>19861</v>
      </c>
      <c r="AM63" s="21">
        <f t="shared" si="65"/>
        <v>0</v>
      </c>
      <c r="AN63" s="21">
        <f t="shared" si="65"/>
        <v>475883</v>
      </c>
      <c r="AO63" s="21">
        <f t="shared" si="65"/>
        <v>0</v>
      </c>
      <c r="AP63" s="21">
        <f>SUM(AP64+AP66)</f>
        <v>0</v>
      </c>
      <c r="AQ63" s="21">
        <f t="shared" si="65"/>
        <v>0</v>
      </c>
      <c r="AR63" s="21">
        <f t="shared" si="65"/>
        <v>0</v>
      </c>
      <c r="AS63" s="21">
        <f t="shared" si="65"/>
        <v>0</v>
      </c>
      <c r="AT63" s="21">
        <f t="shared" si="65"/>
        <v>0</v>
      </c>
      <c r="AU63" s="21">
        <f t="shared" si="65"/>
        <v>0</v>
      </c>
      <c r="AV63" s="21">
        <f t="shared" si="65"/>
        <v>0</v>
      </c>
      <c r="AW63" s="21">
        <f t="shared" si="65"/>
        <v>0</v>
      </c>
      <c r="AX63" s="21">
        <f t="shared" si="65"/>
        <v>0</v>
      </c>
      <c r="AY63" s="21">
        <f t="shared" si="65"/>
        <v>0</v>
      </c>
      <c r="AZ63" s="21">
        <f t="shared" si="65"/>
        <v>777495</v>
      </c>
      <c r="BA63" s="21">
        <f t="shared" si="65"/>
        <v>0</v>
      </c>
      <c r="BB63" s="21">
        <f t="shared" si="65"/>
        <v>0</v>
      </c>
      <c r="BC63" s="21">
        <f t="shared" si="65"/>
        <v>0</v>
      </c>
      <c r="BD63" s="21">
        <f t="shared" si="65"/>
        <v>0</v>
      </c>
      <c r="BE63" s="21">
        <f t="shared" si="65"/>
        <v>0</v>
      </c>
      <c r="BF63" s="21">
        <f t="shared" si="65"/>
        <v>0</v>
      </c>
      <c r="BG63" s="21">
        <f t="shared" si="65"/>
        <v>0</v>
      </c>
      <c r="BH63" s="21">
        <f t="shared" si="65"/>
        <v>0</v>
      </c>
      <c r="BI63" s="21">
        <f t="shared" si="65"/>
        <v>0</v>
      </c>
      <c r="BJ63" s="21">
        <f t="shared" si="65"/>
        <v>0</v>
      </c>
      <c r="BK63" s="21">
        <f t="shared" si="65"/>
        <v>0</v>
      </c>
      <c r="BL63" s="21">
        <f t="shared" si="65"/>
        <v>0</v>
      </c>
      <c r="BM63" s="21">
        <f t="shared" si="65"/>
        <v>0</v>
      </c>
      <c r="BN63" s="21">
        <f t="shared" si="65"/>
        <v>0</v>
      </c>
      <c r="BO63" s="21">
        <f t="shared" si="65"/>
        <v>0</v>
      </c>
      <c r="BP63" s="21">
        <f t="shared" si="65"/>
        <v>0</v>
      </c>
      <c r="BQ63" s="21">
        <f t="shared" si="65"/>
        <v>0</v>
      </c>
      <c r="BR63" s="21">
        <f t="shared" si="65"/>
        <v>0</v>
      </c>
      <c r="BS63" s="21">
        <f t="shared" si="65"/>
        <v>0</v>
      </c>
      <c r="BT63" s="21">
        <f t="shared" ref="BT63:CW63" si="67">SUM(BT64+BT66)</f>
        <v>0</v>
      </c>
      <c r="BU63" s="21">
        <f t="shared" si="67"/>
        <v>0</v>
      </c>
      <c r="BV63" s="21">
        <f t="shared" si="67"/>
        <v>0</v>
      </c>
      <c r="BW63" s="21">
        <f t="shared" si="67"/>
        <v>0</v>
      </c>
      <c r="BX63" s="21">
        <f t="shared" si="67"/>
        <v>0</v>
      </c>
      <c r="BY63" s="21">
        <f t="shared" si="67"/>
        <v>39722</v>
      </c>
      <c r="BZ63" s="21">
        <f t="shared" si="67"/>
        <v>39722</v>
      </c>
      <c r="CA63" s="21">
        <f t="shared" si="67"/>
        <v>39722</v>
      </c>
      <c r="CB63" s="21">
        <f t="shared" si="67"/>
        <v>0</v>
      </c>
      <c r="CC63" s="21">
        <f t="shared" si="67"/>
        <v>39722</v>
      </c>
      <c r="CD63" s="21">
        <f t="shared" si="67"/>
        <v>0</v>
      </c>
      <c r="CE63" s="21">
        <f t="shared" si="67"/>
        <v>0</v>
      </c>
      <c r="CF63" s="21">
        <f>SUM(CF64+CF66)</f>
        <v>0</v>
      </c>
      <c r="CG63" s="21">
        <f t="shared" si="67"/>
        <v>0</v>
      </c>
      <c r="CH63" s="21">
        <f t="shared" si="67"/>
        <v>0</v>
      </c>
      <c r="CI63" s="21">
        <f t="shared" si="67"/>
        <v>0</v>
      </c>
      <c r="CJ63" s="21">
        <f t="shared" ref="CJ63" si="68">SUM(CJ64+CJ66)</f>
        <v>0</v>
      </c>
      <c r="CK63" s="21">
        <f t="shared" si="67"/>
        <v>0</v>
      </c>
      <c r="CL63" s="21">
        <f t="shared" si="67"/>
        <v>0</v>
      </c>
      <c r="CM63" s="21">
        <f>SUM(CM64+CM66)</f>
        <v>0</v>
      </c>
      <c r="CN63" s="21">
        <f t="shared" si="67"/>
        <v>0</v>
      </c>
      <c r="CO63" s="21">
        <f t="shared" si="67"/>
        <v>0</v>
      </c>
      <c r="CP63" s="21">
        <f t="shared" si="67"/>
        <v>0</v>
      </c>
      <c r="CQ63" s="21">
        <f t="shared" si="67"/>
        <v>0</v>
      </c>
      <c r="CR63" s="21">
        <f t="shared" si="67"/>
        <v>0</v>
      </c>
      <c r="CS63" s="21">
        <f t="shared" si="67"/>
        <v>0</v>
      </c>
      <c r="CT63" s="21">
        <f t="shared" si="67"/>
        <v>0</v>
      </c>
      <c r="CU63" s="21">
        <f t="shared" si="67"/>
        <v>0</v>
      </c>
      <c r="CV63" s="21">
        <f t="shared" si="67"/>
        <v>0</v>
      </c>
      <c r="CW63" s="22">
        <f t="shared" si="67"/>
        <v>0</v>
      </c>
      <c r="CX63" s="40"/>
      <c r="CY63" s="40"/>
    </row>
    <row r="64" spans="1:103" ht="15.75" x14ac:dyDescent="0.25">
      <c r="A64" s="13" t="s">
        <v>15</v>
      </c>
      <c r="B64" s="14" t="s">
        <v>3</v>
      </c>
      <c r="C64" s="14" t="s">
        <v>1</v>
      </c>
      <c r="D64" s="30" t="s">
        <v>79</v>
      </c>
      <c r="E64" s="15">
        <f t="shared" ref="E64:AJ64" si="69">SUM(E65)</f>
        <v>4933420</v>
      </c>
      <c r="F64" s="16">
        <f t="shared" si="69"/>
        <v>4893698</v>
      </c>
      <c r="G64" s="16">
        <f t="shared" si="69"/>
        <v>4893698</v>
      </c>
      <c r="H64" s="16">
        <f t="shared" si="69"/>
        <v>1947456</v>
      </c>
      <c r="I64" s="16">
        <f t="shared" si="69"/>
        <v>486864</v>
      </c>
      <c r="J64" s="16">
        <f t="shared" si="69"/>
        <v>69066</v>
      </c>
      <c r="K64" s="16">
        <f t="shared" si="69"/>
        <v>0</v>
      </c>
      <c r="L64" s="16">
        <f t="shared" si="69"/>
        <v>0</v>
      </c>
      <c r="M64" s="16">
        <f t="shared" si="69"/>
        <v>0</v>
      </c>
      <c r="N64" s="16">
        <f t="shared" si="69"/>
        <v>0</v>
      </c>
      <c r="O64" s="16">
        <f t="shared" si="69"/>
        <v>39576</v>
      </c>
      <c r="P64" s="16">
        <f t="shared" si="69"/>
        <v>29490</v>
      </c>
      <c r="Q64" s="16">
        <f t="shared" si="69"/>
        <v>610538</v>
      </c>
      <c r="R64" s="16">
        <f t="shared" si="69"/>
        <v>0</v>
      </c>
      <c r="S64" s="16">
        <f t="shared" si="69"/>
        <v>610538</v>
      </c>
      <c r="T64" s="16">
        <f t="shared" si="69"/>
        <v>0</v>
      </c>
      <c r="U64" s="16">
        <f t="shared" si="69"/>
        <v>71271</v>
      </c>
      <c r="V64" s="16">
        <f t="shared" si="69"/>
        <v>888553</v>
      </c>
      <c r="W64" s="16">
        <f t="shared" si="69"/>
        <v>18887</v>
      </c>
      <c r="X64" s="16">
        <f t="shared" si="69"/>
        <v>0</v>
      </c>
      <c r="Y64" s="16">
        <f t="shared" si="69"/>
        <v>0</v>
      </c>
      <c r="Z64" s="16">
        <f t="shared" si="69"/>
        <v>0</v>
      </c>
      <c r="AA64" s="16">
        <f t="shared" si="69"/>
        <v>0</v>
      </c>
      <c r="AB64" s="16">
        <f t="shared" si="69"/>
        <v>869666</v>
      </c>
      <c r="AC64" s="16">
        <f t="shared" si="69"/>
        <v>0</v>
      </c>
      <c r="AD64" s="16">
        <f t="shared" si="69"/>
        <v>0</v>
      </c>
      <c r="AE64" s="16">
        <f t="shared" si="69"/>
        <v>819950</v>
      </c>
      <c r="AF64" s="16">
        <f t="shared" si="69"/>
        <v>289800</v>
      </c>
      <c r="AG64" s="16">
        <f t="shared" si="69"/>
        <v>0</v>
      </c>
      <c r="AH64" s="16">
        <f t="shared" si="69"/>
        <v>547</v>
      </c>
      <c r="AI64" s="16">
        <f t="shared" si="69"/>
        <v>0</v>
      </c>
      <c r="AJ64" s="16">
        <f t="shared" si="69"/>
        <v>6364</v>
      </c>
      <c r="AK64" s="16">
        <f t="shared" ref="AK64:BR64" si="70">SUM(AK65)</f>
        <v>0</v>
      </c>
      <c r="AL64" s="16">
        <f t="shared" si="70"/>
        <v>19861</v>
      </c>
      <c r="AM64" s="16">
        <f t="shared" si="70"/>
        <v>0</v>
      </c>
      <c r="AN64" s="16">
        <f t="shared" si="70"/>
        <v>475883</v>
      </c>
      <c r="AO64" s="16">
        <f t="shared" si="70"/>
        <v>0</v>
      </c>
      <c r="AP64" s="16">
        <f t="shared" si="70"/>
        <v>0</v>
      </c>
      <c r="AQ64" s="16">
        <f t="shared" si="70"/>
        <v>0</v>
      </c>
      <c r="AR64" s="16">
        <f t="shared" si="70"/>
        <v>0</v>
      </c>
      <c r="AS64" s="16">
        <f t="shared" si="70"/>
        <v>0</v>
      </c>
      <c r="AT64" s="16">
        <f t="shared" si="70"/>
        <v>0</v>
      </c>
      <c r="AU64" s="16">
        <f t="shared" si="70"/>
        <v>0</v>
      </c>
      <c r="AV64" s="16">
        <f t="shared" si="70"/>
        <v>0</v>
      </c>
      <c r="AW64" s="16">
        <f t="shared" si="70"/>
        <v>0</v>
      </c>
      <c r="AX64" s="16">
        <f t="shared" si="70"/>
        <v>0</v>
      </c>
      <c r="AY64" s="16">
        <f t="shared" si="70"/>
        <v>0</v>
      </c>
      <c r="AZ64" s="16">
        <f t="shared" si="70"/>
        <v>27495</v>
      </c>
      <c r="BA64" s="16">
        <f t="shared" si="70"/>
        <v>0</v>
      </c>
      <c r="BB64" s="16">
        <f t="shared" si="70"/>
        <v>0</v>
      </c>
      <c r="BC64" s="16">
        <f t="shared" si="70"/>
        <v>0</v>
      </c>
      <c r="BD64" s="16">
        <f t="shared" si="70"/>
        <v>0</v>
      </c>
      <c r="BE64" s="16">
        <f t="shared" si="70"/>
        <v>0</v>
      </c>
      <c r="BF64" s="16">
        <f t="shared" si="70"/>
        <v>0</v>
      </c>
      <c r="BG64" s="16">
        <f t="shared" si="70"/>
        <v>0</v>
      </c>
      <c r="BH64" s="16">
        <f t="shared" si="70"/>
        <v>0</v>
      </c>
      <c r="BI64" s="16">
        <f t="shared" si="70"/>
        <v>0</v>
      </c>
      <c r="BJ64" s="16">
        <f t="shared" si="70"/>
        <v>0</v>
      </c>
      <c r="BK64" s="16">
        <f t="shared" si="70"/>
        <v>0</v>
      </c>
      <c r="BL64" s="16">
        <f t="shared" si="70"/>
        <v>0</v>
      </c>
      <c r="BM64" s="16">
        <f t="shared" si="70"/>
        <v>0</v>
      </c>
      <c r="BN64" s="16">
        <f t="shared" si="70"/>
        <v>0</v>
      </c>
      <c r="BO64" s="16">
        <f t="shared" si="70"/>
        <v>0</v>
      </c>
      <c r="BP64" s="16">
        <f t="shared" si="70"/>
        <v>0</v>
      </c>
      <c r="BQ64" s="16">
        <f t="shared" si="70"/>
        <v>0</v>
      </c>
      <c r="BR64" s="16">
        <f t="shared" si="70"/>
        <v>0</v>
      </c>
      <c r="BS64" s="16">
        <f t="shared" ref="BS64:CW64" si="71">SUM(BS65)</f>
        <v>0</v>
      </c>
      <c r="BT64" s="16">
        <f t="shared" si="71"/>
        <v>0</v>
      </c>
      <c r="BU64" s="16">
        <f t="shared" si="71"/>
        <v>0</v>
      </c>
      <c r="BV64" s="16">
        <f t="shared" si="71"/>
        <v>0</v>
      </c>
      <c r="BW64" s="16">
        <f t="shared" si="71"/>
        <v>0</v>
      </c>
      <c r="BX64" s="16">
        <f t="shared" si="71"/>
        <v>0</v>
      </c>
      <c r="BY64" s="16">
        <f t="shared" si="71"/>
        <v>39722</v>
      </c>
      <c r="BZ64" s="16">
        <f t="shared" si="71"/>
        <v>39722</v>
      </c>
      <c r="CA64" s="16">
        <f t="shared" si="71"/>
        <v>39722</v>
      </c>
      <c r="CB64" s="16">
        <f t="shared" si="71"/>
        <v>0</v>
      </c>
      <c r="CC64" s="16">
        <f t="shared" si="71"/>
        <v>39722</v>
      </c>
      <c r="CD64" s="16">
        <f t="shared" si="71"/>
        <v>0</v>
      </c>
      <c r="CE64" s="16">
        <f t="shared" si="71"/>
        <v>0</v>
      </c>
      <c r="CF64" s="16">
        <f t="shared" si="71"/>
        <v>0</v>
      </c>
      <c r="CG64" s="16">
        <f t="shared" si="71"/>
        <v>0</v>
      </c>
      <c r="CH64" s="16">
        <f t="shared" si="71"/>
        <v>0</v>
      </c>
      <c r="CI64" s="16">
        <f t="shared" si="71"/>
        <v>0</v>
      </c>
      <c r="CJ64" s="16">
        <f t="shared" si="71"/>
        <v>0</v>
      </c>
      <c r="CK64" s="16">
        <f t="shared" si="71"/>
        <v>0</v>
      </c>
      <c r="CL64" s="16">
        <f t="shared" si="71"/>
        <v>0</v>
      </c>
      <c r="CM64" s="16">
        <f t="shared" si="71"/>
        <v>0</v>
      </c>
      <c r="CN64" s="16">
        <f t="shared" si="71"/>
        <v>0</v>
      </c>
      <c r="CO64" s="16">
        <f t="shared" si="71"/>
        <v>0</v>
      </c>
      <c r="CP64" s="16">
        <f t="shared" si="71"/>
        <v>0</v>
      </c>
      <c r="CQ64" s="16">
        <f t="shared" si="71"/>
        <v>0</v>
      </c>
      <c r="CR64" s="16">
        <f t="shared" si="71"/>
        <v>0</v>
      </c>
      <c r="CS64" s="16">
        <f t="shared" si="71"/>
        <v>0</v>
      </c>
      <c r="CT64" s="16">
        <f t="shared" si="71"/>
        <v>0</v>
      </c>
      <c r="CU64" s="16">
        <f t="shared" si="71"/>
        <v>0</v>
      </c>
      <c r="CV64" s="16">
        <f t="shared" si="71"/>
        <v>0</v>
      </c>
      <c r="CW64" s="17">
        <f t="shared" si="71"/>
        <v>0</v>
      </c>
      <c r="CX64" s="40"/>
      <c r="CY64" s="40"/>
    </row>
    <row r="65" spans="1:103" ht="31.5" x14ac:dyDescent="0.25">
      <c r="A65" s="13" t="s">
        <v>1</v>
      </c>
      <c r="B65" s="14" t="s">
        <v>1</v>
      </c>
      <c r="C65" s="14" t="s">
        <v>27</v>
      </c>
      <c r="D65" s="30" t="s">
        <v>80</v>
      </c>
      <c r="E65" s="15">
        <f>SUM(F65+BY65+CT65)</f>
        <v>4933420</v>
      </c>
      <c r="F65" s="16">
        <f>SUM(G65+BA65)</f>
        <v>4893698</v>
      </c>
      <c r="G65" s="16">
        <f>SUM(H65+I65+J65+Q65+T65+U65+V65+AE65)</f>
        <v>4893698</v>
      </c>
      <c r="H65" s="16">
        <v>1947456</v>
      </c>
      <c r="I65" s="16">
        <v>486864</v>
      </c>
      <c r="J65" s="16">
        <f t="shared" si="7"/>
        <v>69066</v>
      </c>
      <c r="K65" s="16">
        <v>0</v>
      </c>
      <c r="L65" s="16">
        <v>0</v>
      </c>
      <c r="M65" s="16">
        <v>0</v>
      </c>
      <c r="N65" s="16">
        <v>0</v>
      </c>
      <c r="O65" s="16">
        <v>39576</v>
      </c>
      <c r="P65" s="16">
        <v>29490</v>
      </c>
      <c r="Q65" s="16">
        <f t="shared" si="8"/>
        <v>610538</v>
      </c>
      <c r="R65" s="16">
        <v>0</v>
      </c>
      <c r="S65" s="16">
        <v>610538</v>
      </c>
      <c r="T65" s="16">
        <v>0</v>
      </c>
      <c r="U65" s="16">
        <v>71271</v>
      </c>
      <c r="V65" s="16">
        <f>SUM(W65:AD65)</f>
        <v>888553</v>
      </c>
      <c r="W65" s="16">
        <v>18887</v>
      </c>
      <c r="X65" s="16">
        <v>0</v>
      </c>
      <c r="Y65" s="16">
        <v>0</v>
      </c>
      <c r="Z65" s="16">
        <v>0</v>
      </c>
      <c r="AA65" s="16">
        <v>0</v>
      </c>
      <c r="AB65" s="16">
        <v>869666</v>
      </c>
      <c r="AC65" s="16">
        <v>0</v>
      </c>
      <c r="AD65" s="16">
        <v>0</v>
      </c>
      <c r="AE65" s="16">
        <f>SUM(AF65:AZ65)</f>
        <v>819950</v>
      </c>
      <c r="AF65" s="16">
        <v>289800</v>
      </c>
      <c r="AG65" s="16">
        <v>0</v>
      </c>
      <c r="AH65" s="16">
        <v>547</v>
      </c>
      <c r="AI65" s="16">
        <v>0</v>
      </c>
      <c r="AJ65" s="16">
        <v>6364</v>
      </c>
      <c r="AK65" s="16">
        <v>0</v>
      </c>
      <c r="AL65" s="16">
        <v>19861</v>
      </c>
      <c r="AM65" s="16">
        <v>0</v>
      </c>
      <c r="AN65" s="16">
        <v>475883</v>
      </c>
      <c r="AO65" s="16">
        <v>0</v>
      </c>
      <c r="AP65" s="16">
        <v>0</v>
      </c>
      <c r="AQ65" s="16">
        <v>0</v>
      </c>
      <c r="AR65" s="16">
        <v>0</v>
      </c>
      <c r="AS65" s="16">
        <v>0</v>
      </c>
      <c r="AT65" s="16">
        <v>0</v>
      </c>
      <c r="AU65" s="16">
        <v>0</v>
      </c>
      <c r="AV65" s="16">
        <v>0</v>
      </c>
      <c r="AW65" s="16">
        <v>0</v>
      </c>
      <c r="AX65" s="16">
        <v>0</v>
      </c>
      <c r="AY65" s="16">
        <v>0</v>
      </c>
      <c r="AZ65" s="16">
        <v>27495</v>
      </c>
      <c r="BA65" s="16">
        <f>SUM(BB65+BF65+BI65+BJ65+BK65+BM65)</f>
        <v>0</v>
      </c>
      <c r="BB65" s="16">
        <f>SUM(BC65:BE65)</f>
        <v>0</v>
      </c>
      <c r="BC65" s="16">
        <v>0</v>
      </c>
      <c r="BD65" s="16">
        <v>0</v>
      </c>
      <c r="BE65" s="16">
        <v>0</v>
      </c>
      <c r="BF65" s="16">
        <f t="shared" si="9"/>
        <v>0</v>
      </c>
      <c r="BG65" s="16">
        <v>0</v>
      </c>
      <c r="BH65" s="16">
        <v>0</v>
      </c>
      <c r="BI65" s="16">
        <v>0</v>
      </c>
      <c r="BJ65" s="16">
        <v>0</v>
      </c>
      <c r="BK65" s="16">
        <f t="shared" si="10"/>
        <v>0</v>
      </c>
      <c r="BL65" s="16">
        <v>0</v>
      </c>
      <c r="BM65" s="16">
        <f t="shared" si="11"/>
        <v>0</v>
      </c>
      <c r="BN65" s="16">
        <v>0</v>
      </c>
      <c r="BO65" s="16">
        <v>0</v>
      </c>
      <c r="BP65" s="16">
        <v>0</v>
      </c>
      <c r="BQ65" s="16">
        <v>0</v>
      </c>
      <c r="BR65" s="16">
        <v>0</v>
      </c>
      <c r="BS65" s="16">
        <v>0</v>
      </c>
      <c r="BT65" s="16">
        <v>0</v>
      </c>
      <c r="BU65" s="16">
        <v>0</v>
      </c>
      <c r="BV65" s="16">
        <v>0</v>
      </c>
      <c r="BW65" s="16">
        <v>0</v>
      </c>
      <c r="BX65" s="16">
        <v>0</v>
      </c>
      <c r="BY65" s="16">
        <f>SUM(BZ65+CS65)</f>
        <v>39722</v>
      </c>
      <c r="BZ65" s="16">
        <f>SUM(CA65+CD65+CK65)</f>
        <v>39722</v>
      </c>
      <c r="CA65" s="16">
        <f t="shared" si="12"/>
        <v>39722</v>
      </c>
      <c r="CB65" s="16">
        <v>0</v>
      </c>
      <c r="CC65" s="16">
        <v>39722</v>
      </c>
      <c r="CD65" s="16">
        <f t="shared" si="13"/>
        <v>0</v>
      </c>
      <c r="CE65" s="16">
        <v>0</v>
      </c>
      <c r="CF65" s="16">
        <v>0</v>
      </c>
      <c r="CG65" s="16">
        <v>0</v>
      </c>
      <c r="CH65" s="16">
        <v>0</v>
      </c>
      <c r="CI65" s="16">
        <v>0</v>
      </c>
      <c r="CJ65" s="16">
        <v>0</v>
      </c>
      <c r="CK65" s="16">
        <f t="shared" si="14"/>
        <v>0</v>
      </c>
      <c r="CL65" s="16">
        <v>0</v>
      </c>
      <c r="CM65" s="16">
        <v>0</v>
      </c>
      <c r="CN65" s="16">
        <v>0</v>
      </c>
      <c r="CO65" s="16">
        <v>0</v>
      </c>
      <c r="CP65" s="16">
        <v>0</v>
      </c>
      <c r="CQ65" s="16">
        <v>0</v>
      </c>
      <c r="CR65" s="16">
        <v>0</v>
      </c>
      <c r="CS65" s="16">
        <v>0</v>
      </c>
      <c r="CT65" s="16">
        <f t="shared" si="15"/>
        <v>0</v>
      </c>
      <c r="CU65" s="16">
        <f t="shared" si="16"/>
        <v>0</v>
      </c>
      <c r="CV65" s="16">
        <v>0</v>
      </c>
      <c r="CW65" s="17">
        <v>0</v>
      </c>
      <c r="CX65" s="40"/>
      <c r="CY65" s="40"/>
    </row>
    <row r="66" spans="1:103" ht="15.75" x14ac:dyDescent="0.25">
      <c r="A66" s="13" t="s">
        <v>15</v>
      </c>
      <c r="B66" s="14" t="s">
        <v>15</v>
      </c>
      <c r="C66" s="14" t="s">
        <v>1</v>
      </c>
      <c r="D66" s="30" t="s">
        <v>81</v>
      </c>
      <c r="E66" s="15">
        <f t="shared" ref="E66:AJ66" si="72">SUM(E67)</f>
        <v>750000</v>
      </c>
      <c r="F66" s="16">
        <f t="shared" si="72"/>
        <v>750000</v>
      </c>
      <c r="G66" s="16">
        <f t="shared" si="72"/>
        <v>750000</v>
      </c>
      <c r="H66" s="16">
        <f t="shared" si="72"/>
        <v>0</v>
      </c>
      <c r="I66" s="16">
        <f t="shared" si="72"/>
        <v>0</v>
      </c>
      <c r="J66" s="16">
        <f t="shared" si="72"/>
        <v>0</v>
      </c>
      <c r="K66" s="16">
        <f t="shared" si="72"/>
        <v>0</v>
      </c>
      <c r="L66" s="16">
        <f t="shared" si="72"/>
        <v>0</v>
      </c>
      <c r="M66" s="16">
        <f t="shared" si="72"/>
        <v>0</v>
      </c>
      <c r="N66" s="16">
        <f t="shared" si="72"/>
        <v>0</v>
      </c>
      <c r="O66" s="16">
        <f t="shared" si="72"/>
        <v>0</v>
      </c>
      <c r="P66" s="16">
        <f t="shared" si="72"/>
        <v>0</v>
      </c>
      <c r="Q66" s="16">
        <f t="shared" si="72"/>
        <v>0</v>
      </c>
      <c r="R66" s="16">
        <f t="shared" si="72"/>
        <v>0</v>
      </c>
      <c r="S66" s="16">
        <f t="shared" si="72"/>
        <v>0</v>
      </c>
      <c r="T66" s="16">
        <f t="shared" si="72"/>
        <v>0</v>
      </c>
      <c r="U66" s="16">
        <f t="shared" si="72"/>
        <v>0</v>
      </c>
      <c r="V66" s="16">
        <f t="shared" si="72"/>
        <v>0</v>
      </c>
      <c r="W66" s="16">
        <f t="shared" si="72"/>
        <v>0</v>
      </c>
      <c r="X66" s="16">
        <f t="shared" si="72"/>
        <v>0</v>
      </c>
      <c r="Y66" s="16">
        <f t="shared" si="72"/>
        <v>0</v>
      </c>
      <c r="Z66" s="16">
        <f t="shared" si="72"/>
        <v>0</v>
      </c>
      <c r="AA66" s="16">
        <f t="shared" si="72"/>
        <v>0</v>
      </c>
      <c r="AB66" s="16">
        <f t="shared" si="72"/>
        <v>0</v>
      </c>
      <c r="AC66" s="16">
        <f t="shared" si="72"/>
        <v>0</v>
      </c>
      <c r="AD66" s="16">
        <f t="shared" si="72"/>
        <v>0</v>
      </c>
      <c r="AE66" s="16">
        <f t="shared" si="72"/>
        <v>750000</v>
      </c>
      <c r="AF66" s="16">
        <f t="shared" si="72"/>
        <v>0</v>
      </c>
      <c r="AG66" s="16">
        <f t="shared" si="72"/>
        <v>0</v>
      </c>
      <c r="AH66" s="16">
        <f t="shared" si="72"/>
        <v>0</v>
      </c>
      <c r="AI66" s="16">
        <f t="shared" si="72"/>
        <v>0</v>
      </c>
      <c r="AJ66" s="16">
        <f t="shared" si="72"/>
        <v>0</v>
      </c>
      <c r="AK66" s="16">
        <f t="shared" ref="AK66:BR66" si="73">SUM(AK67)</f>
        <v>0</v>
      </c>
      <c r="AL66" s="16">
        <f t="shared" si="73"/>
        <v>0</v>
      </c>
      <c r="AM66" s="16">
        <f t="shared" si="73"/>
        <v>0</v>
      </c>
      <c r="AN66" s="16">
        <f t="shared" si="73"/>
        <v>0</v>
      </c>
      <c r="AO66" s="16">
        <f t="shared" si="73"/>
        <v>0</v>
      </c>
      <c r="AP66" s="16">
        <f t="shared" si="73"/>
        <v>0</v>
      </c>
      <c r="AQ66" s="16">
        <f t="shared" si="73"/>
        <v>0</v>
      </c>
      <c r="AR66" s="16">
        <f t="shared" si="73"/>
        <v>0</v>
      </c>
      <c r="AS66" s="16">
        <f t="shared" si="73"/>
        <v>0</v>
      </c>
      <c r="AT66" s="16">
        <f t="shared" si="73"/>
        <v>0</v>
      </c>
      <c r="AU66" s="16">
        <f t="shared" si="73"/>
        <v>0</v>
      </c>
      <c r="AV66" s="16">
        <f t="shared" si="73"/>
        <v>0</v>
      </c>
      <c r="AW66" s="16">
        <f t="shared" si="73"/>
        <v>0</v>
      </c>
      <c r="AX66" s="16">
        <f t="shared" si="73"/>
        <v>0</v>
      </c>
      <c r="AY66" s="16">
        <f t="shared" si="73"/>
        <v>0</v>
      </c>
      <c r="AZ66" s="16">
        <f t="shared" si="73"/>
        <v>750000</v>
      </c>
      <c r="BA66" s="16">
        <f t="shared" si="73"/>
        <v>0</v>
      </c>
      <c r="BB66" s="16">
        <f t="shared" si="73"/>
        <v>0</v>
      </c>
      <c r="BC66" s="16">
        <f t="shared" si="73"/>
        <v>0</v>
      </c>
      <c r="BD66" s="16">
        <f t="shared" si="73"/>
        <v>0</v>
      </c>
      <c r="BE66" s="16">
        <f t="shared" si="73"/>
        <v>0</v>
      </c>
      <c r="BF66" s="16">
        <f t="shared" si="73"/>
        <v>0</v>
      </c>
      <c r="BG66" s="16">
        <f t="shared" si="73"/>
        <v>0</v>
      </c>
      <c r="BH66" s="16">
        <f t="shared" si="73"/>
        <v>0</v>
      </c>
      <c r="BI66" s="16">
        <f t="shared" si="73"/>
        <v>0</v>
      </c>
      <c r="BJ66" s="16">
        <f t="shared" si="73"/>
        <v>0</v>
      </c>
      <c r="BK66" s="16">
        <f t="shared" si="73"/>
        <v>0</v>
      </c>
      <c r="BL66" s="16">
        <f t="shared" si="73"/>
        <v>0</v>
      </c>
      <c r="BM66" s="16">
        <f t="shared" si="73"/>
        <v>0</v>
      </c>
      <c r="BN66" s="16">
        <f t="shared" si="73"/>
        <v>0</v>
      </c>
      <c r="BO66" s="16">
        <f t="shared" si="73"/>
        <v>0</v>
      </c>
      <c r="BP66" s="16">
        <f t="shared" si="73"/>
        <v>0</v>
      </c>
      <c r="BQ66" s="16">
        <f t="shared" si="73"/>
        <v>0</v>
      </c>
      <c r="BR66" s="16">
        <f t="shared" si="73"/>
        <v>0</v>
      </c>
      <c r="BS66" s="16">
        <f t="shared" ref="BS66:CW66" si="74">SUM(BS67)</f>
        <v>0</v>
      </c>
      <c r="BT66" s="16">
        <f t="shared" si="74"/>
        <v>0</v>
      </c>
      <c r="BU66" s="16">
        <f t="shared" si="74"/>
        <v>0</v>
      </c>
      <c r="BV66" s="16">
        <f t="shared" si="74"/>
        <v>0</v>
      </c>
      <c r="BW66" s="16">
        <f t="shared" si="74"/>
        <v>0</v>
      </c>
      <c r="BX66" s="16">
        <f t="shared" si="74"/>
        <v>0</v>
      </c>
      <c r="BY66" s="16">
        <f t="shared" si="74"/>
        <v>0</v>
      </c>
      <c r="BZ66" s="16">
        <f t="shared" si="74"/>
        <v>0</v>
      </c>
      <c r="CA66" s="16">
        <f t="shared" si="74"/>
        <v>0</v>
      </c>
      <c r="CB66" s="16">
        <f t="shared" si="74"/>
        <v>0</v>
      </c>
      <c r="CC66" s="16">
        <f t="shared" si="74"/>
        <v>0</v>
      </c>
      <c r="CD66" s="16">
        <f t="shared" si="74"/>
        <v>0</v>
      </c>
      <c r="CE66" s="16">
        <f t="shared" si="74"/>
        <v>0</v>
      </c>
      <c r="CF66" s="16">
        <f t="shared" si="74"/>
        <v>0</v>
      </c>
      <c r="CG66" s="16">
        <f t="shared" si="74"/>
        <v>0</v>
      </c>
      <c r="CH66" s="16">
        <f t="shared" si="74"/>
        <v>0</v>
      </c>
      <c r="CI66" s="16">
        <f t="shared" si="74"/>
        <v>0</v>
      </c>
      <c r="CJ66" s="16">
        <f t="shared" si="74"/>
        <v>0</v>
      </c>
      <c r="CK66" s="16">
        <f t="shared" si="74"/>
        <v>0</v>
      </c>
      <c r="CL66" s="16">
        <f t="shared" si="74"/>
        <v>0</v>
      </c>
      <c r="CM66" s="16">
        <f t="shared" si="74"/>
        <v>0</v>
      </c>
      <c r="CN66" s="16">
        <f t="shared" si="74"/>
        <v>0</v>
      </c>
      <c r="CO66" s="16">
        <f t="shared" si="74"/>
        <v>0</v>
      </c>
      <c r="CP66" s="16">
        <f t="shared" si="74"/>
        <v>0</v>
      </c>
      <c r="CQ66" s="16">
        <f t="shared" si="74"/>
        <v>0</v>
      </c>
      <c r="CR66" s="16">
        <f t="shared" si="74"/>
        <v>0</v>
      </c>
      <c r="CS66" s="16">
        <f t="shared" si="74"/>
        <v>0</v>
      </c>
      <c r="CT66" s="16">
        <f t="shared" si="74"/>
        <v>0</v>
      </c>
      <c r="CU66" s="16">
        <f t="shared" si="74"/>
        <v>0</v>
      </c>
      <c r="CV66" s="16">
        <f t="shared" si="74"/>
        <v>0</v>
      </c>
      <c r="CW66" s="17">
        <f t="shared" si="74"/>
        <v>0</v>
      </c>
      <c r="CX66" s="40"/>
      <c r="CY66" s="40"/>
    </row>
    <row r="67" spans="1:103" ht="15.75" x14ac:dyDescent="0.25">
      <c r="A67" s="13" t="s">
        <v>1</v>
      </c>
      <c r="B67" s="14" t="s">
        <v>1</v>
      </c>
      <c r="C67" s="14" t="s">
        <v>17</v>
      </c>
      <c r="D67" s="30" t="s">
        <v>497</v>
      </c>
      <c r="E67" s="15">
        <f>SUM(F67+BY67+CT67)</f>
        <v>750000</v>
      </c>
      <c r="F67" s="16">
        <f>SUM(G67+BA67)</f>
        <v>750000</v>
      </c>
      <c r="G67" s="16">
        <f>SUM(H67+I67+J67+Q67+T67+U67+V67+AE67)</f>
        <v>750000</v>
      </c>
      <c r="H67" s="16">
        <v>0</v>
      </c>
      <c r="I67" s="16">
        <v>0</v>
      </c>
      <c r="J67" s="16">
        <f t="shared" si="7"/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f t="shared" si="8"/>
        <v>0</v>
      </c>
      <c r="R67" s="16">
        <v>0</v>
      </c>
      <c r="S67" s="16">
        <v>0</v>
      </c>
      <c r="T67" s="16">
        <v>0</v>
      </c>
      <c r="U67" s="16">
        <v>0</v>
      </c>
      <c r="V67" s="16">
        <f>SUM(W67:AD67)</f>
        <v>0</v>
      </c>
      <c r="W67" s="16">
        <v>0</v>
      </c>
      <c r="X67" s="16">
        <v>0</v>
      </c>
      <c r="Y67" s="16">
        <v>0</v>
      </c>
      <c r="Z67" s="16">
        <v>0</v>
      </c>
      <c r="AA67" s="16">
        <v>0</v>
      </c>
      <c r="AB67" s="16">
        <v>0</v>
      </c>
      <c r="AC67" s="16">
        <v>0</v>
      </c>
      <c r="AD67" s="16">
        <v>0</v>
      </c>
      <c r="AE67" s="16">
        <f>SUM(AF67:AZ67)</f>
        <v>750000</v>
      </c>
      <c r="AF67" s="16">
        <v>0</v>
      </c>
      <c r="AG67" s="16">
        <v>0</v>
      </c>
      <c r="AH67" s="16">
        <v>0</v>
      </c>
      <c r="AI67" s="16">
        <v>0</v>
      </c>
      <c r="AJ67" s="16">
        <v>0</v>
      </c>
      <c r="AK67" s="16">
        <v>0</v>
      </c>
      <c r="AL67" s="16">
        <v>0</v>
      </c>
      <c r="AM67" s="16">
        <v>0</v>
      </c>
      <c r="AN67" s="16">
        <v>0</v>
      </c>
      <c r="AO67" s="16">
        <v>0</v>
      </c>
      <c r="AP67" s="16">
        <v>0</v>
      </c>
      <c r="AQ67" s="16">
        <v>0</v>
      </c>
      <c r="AR67" s="16">
        <v>0</v>
      </c>
      <c r="AS67" s="16">
        <v>0</v>
      </c>
      <c r="AT67" s="16">
        <v>0</v>
      </c>
      <c r="AU67" s="16">
        <v>0</v>
      </c>
      <c r="AV67" s="16">
        <v>0</v>
      </c>
      <c r="AW67" s="16">
        <v>0</v>
      </c>
      <c r="AX67" s="16">
        <v>0</v>
      </c>
      <c r="AY67" s="16">
        <v>0</v>
      </c>
      <c r="AZ67" s="16">
        <f>1531800-781800</f>
        <v>750000</v>
      </c>
      <c r="BA67" s="16">
        <f>SUM(BB67+BF67+BI67+BJ67+BK67+BM67)</f>
        <v>0</v>
      </c>
      <c r="BB67" s="16">
        <f>SUM(BC67:BE67)</f>
        <v>0</v>
      </c>
      <c r="BC67" s="16">
        <v>0</v>
      </c>
      <c r="BD67" s="16">
        <v>0</v>
      </c>
      <c r="BE67" s="16">
        <v>0</v>
      </c>
      <c r="BF67" s="16">
        <f t="shared" si="9"/>
        <v>0</v>
      </c>
      <c r="BG67" s="16">
        <v>0</v>
      </c>
      <c r="BH67" s="16">
        <v>0</v>
      </c>
      <c r="BI67" s="16">
        <v>0</v>
      </c>
      <c r="BJ67" s="16">
        <v>0</v>
      </c>
      <c r="BK67" s="16">
        <f t="shared" si="10"/>
        <v>0</v>
      </c>
      <c r="BL67" s="16">
        <v>0</v>
      </c>
      <c r="BM67" s="16">
        <f t="shared" si="11"/>
        <v>0</v>
      </c>
      <c r="BN67" s="16">
        <v>0</v>
      </c>
      <c r="BO67" s="16">
        <v>0</v>
      </c>
      <c r="BP67" s="16">
        <v>0</v>
      </c>
      <c r="BQ67" s="16">
        <v>0</v>
      </c>
      <c r="BR67" s="16">
        <v>0</v>
      </c>
      <c r="BS67" s="16">
        <v>0</v>
      </c>
      <c r="BT67" s="16">
        <v>0</v>
      </c>
      <c r="BU67" s="16">
        <v>0</v>
      </c>
      <c r="BV67" s="16">
        <v>0</v>
      </c>
      <c r="BW67" s="16">
        <v>0</v>
      </c>
      <c r="BX67" s="16">
        <v>0</v>
      </c>
      <c r="BY67" s="16">
        <f>SUM(BZ67+CS67)</f>
        <v>0</v>
      </c>
      <c r="BZ67" s="16">
        <f>SUM(CA67+CD67+CK67)</f>
        <v>0</v>
      </c>
      <c r="CA67" s="16">
        <f t="shared" si="12"/>
        <v>0</v>
      </c>
      <c r="CB67" s="16">
        <v>0</v>
      </c>
      <c r="CC67" s="16">
        <v>0</v>
      </c>
      <c r="CD67" s="16">
        <f t="shared" si="13"/>
        <v>0</v>
      </c>
      <c r="CE67" s="16">
        <v>0</v>
      </c>
      <c r="CF67" s="16">
        <v>0</v>
      </c>
      <c r="CG67" s="16">
        <v>0</v>
      </c>
      <c r="CH67" s="16">
        <v>0</v>
      </c>
      <c r="CI67" s="16">
        <v>0</v>
      </c>
      <c r="CJ67" s="16">
        <v>0</v>
      </c>
      <c r="CK67" s="16">
        <f t="shared" si="14"/>
        <v>0</v>
      </c>
      <c r="CL67" s="16">
        <v>0</v>
      </c>
      <c r="CM67" s="16">
        <v>0</v>
      </c>
      <c r="CN67" s="16">
        <v>0</v>
      </c>
      <c r="CO67" s="16">
        <v>0</v>
      </c>
      <c r="CP67" s="16">
        <v>0</v>
      </c>
      <c r="CQ67" s="16">
        <v>0</v>
      </c>
      <c r="CR67" s="16">
        <v>0</v>
      </c>
      <c r="CS67" s="16">
        <v>0</v>
      </c>
      <c r="CT67" s="16">
        <f t="shared" si="15"/>
        <v>0</v>
      </c>
      <c r="CU67" s="16">
        <f t="shared" si="16"/>
        <v>0</v>
      </c>
      <c r="CV67" s="16">
        <v>0</v>
      </c>
      <c r="CW67" s="17">
        <v>0</v>
      </c>
      <c r="CX67" s="40"/>
      <c r="CY67" s="40"/>
    </row>
    <row r="68" spans="1:103" ht="15.75" x14ac:dyDescent="0.25">
      <c r="A68" s="18" t="s">
        <v>82</v>
      </c>
      <c r="B68" s="19" t="s">
        <v>1</v>
      </c>
      <c r="C68" s="19" t="s">
        <v>1</v>
      </c>
      <c r="D68" s="31" t="s">
        <v>83</v>
      </c>
      <c r="E68" s="20">
        <f t="shared" ref="E68:AJ68" si="75">SUM(E69+E71)</f>
        <v>224785359</v>
      </c>
      <c r="F68" s="21">
        <f t="shared" si="75"/>
        <v>216612850</v>
      </c>
      <c r="G68" s="21">
        <f t="shared" si="75"/>
        <v>215920372</v>
      </c>
      <c r="H68" s="21">
        <f t="shared" si="75"/>
        <v>119872027</v>
      </c>
      <c r="I68" s="21">
        <f t="shared" si="75"/>
        <v>4508636</v>
      </c>
      <c r="J68" s="21">
        <f t="shared" si="75"/>
        <v>72855883</v>
      </c>
      <c r="K68" s="21">
        <f t="shared" si="75"/>
        <v>100000</v>
      </c>
      <c r="L68" s="21">
        <f t="shared" si="75"/>
        <v>27228038</v>
      </c>
      <c r="M68" s="21">
        <f t="shared" si="75"/>
        <v>23107272</v>
      </c>
      <c r="N68" s="21">
        <f t="shared" si="75"/>
        <v>2966931</v>
      </c>
      <c r="O68" s="21">
        <f t="shared" si="75"/>
        <v>18000000</v>
      </c>
      <c r="P68" s="21">
        <f t="shared" si="75"/>
        <v>1453642</v>
      </c>
      <c r="Q68" s="21">
        <f t="shared" si="75"/>
        <v>134892</v>
      </c>
      <c r="R68" s="21">
        <f t="shared" si="75"/>
        <v>59181</v>
      </c>
      <c r="S68" s="21">
        <f t="shared" si="75"/>
        <v>75711</v>
      </c>
      <c r="T68" s="21">
        <f t="shared" si="75"/>
        <v>0</v>
      </c>
      <c r="U68" s="21">
        <f t="shared" si="75"/>
        <v>485731</v>
      </c>
      <c r="V68" s="21">
        <f t="shared" si="75"/>
        <v>3488619</v>
      </c>
      <c r="W68" s="21">
        <f t="shared" si="75"/>
        <v>918259</v>
      </c>
      <c r="X68" s="21">
        <f t="shared" si="75"/>
        <v>634628</v>
      </c>
      <c r="Y68" s="21">
        <f t="shared" si="75"/>
        <v>1324831</v>
      </c>
      <c r="Z68" s="21">
        <f t="shared" si="75"/>
        <v>394535</v>
      </c>
      <c r="AA68" s="21">
        <f t="shared" si="75"/>
        <v>92125</v>
      </c>
      <c r="AB68" s="21">
        <f t="shared" si="75"/>
        <v>0</v>
      </c>
      <c r="AC68" s="21">
        <f t="shared" si="75"/>
        <v>0</v>
      </c>
      <c r="AD68" s="21">
        <f t="shared" ref="AD68" si="76">SUM(AD69+AD71)</f>
        <v>124241</v>
      </c>
      <c r="AE68" s="21">
        <f t="shared" si="75"/>
        <v>14574584</v>
      </c>
      <c r="AF68" s="21">
        <f t="shared" si="75"/>
        <v>0</v>
      </c>
      <c r="AG68" s="21">
        <f t="shared" si="75"/>
        <v>87884</v>
      </c>
      <c r="AH68" s="21">
        <f t="shared" si="75"/>
        <v>590368</v>
      </c>
      <c r="AI68" s="21">
        <f t="shared" si="75"/>
        <v>19812</v>
      </c>
      <c r="AJ68" s="21">
        <f t="shared" si="75"/>
        <v>41956</v>
      </c>
      <c r="AK68" s="21">
        <f t="shared" ref="AK68:BR68" si="77">SUM(AK69+AK71)</f>
        <v>0</v>
      </c>
      <c r="AL68" s="21">
        <f t="shared" si="77"/>
        <v>27327</v>
      </c>
      <c r="AM68" s="21">
        <f t="shared" si="77"/>
        <v>29953</v>
      </c>
      <c r="AN68" s="21">
        <f t="shared" si="77"/>
        <v>61692</v>
      </c>
      <c r="AO68" s="21">
        <f t="shared" si="77"/>
        <v>96005</v>
      </c>
      <c r="AP68" s="21">
        <f>SUM(AP69+AP71)</f>
        <v>0</v>
      </c>
      <c r="AQ68" s="21">
        <f t="shared" si="77"/>
        <v>780000</v>
      </c>
      <c r="AR68" s="21">
        <f t="shared" si="77"/>
        <v>43464</v>
      </c>
      <c r="AS68" s="21">
        <f t="shared" si="77"/>
        <v>0</v>
      </c>
      <c r="AT68" s="21">
        <f t="shared" si="77"/>
        <v>0</v>
      </c>
      <c r="AU68" s="21">
        <f t="shared" si="77"/>
        <v>0</v>
      </c>
      <c r="AV68" s="21">
        <f t="shared" si="77"/>
        <v>0</v>
      </c>
      <c r="AW68" s="21">
        <f t="shared" si="77"/>
        <v>8500044</v>
      </c>
      <c r="AX68" s="21">
        <f t="shared" si="77"/>
        <v>0</v>
      </c>
      <c r="AY68" s="21">
        <f t="shared" si="77"/>
        <v>0</v>
      </c>
      <c r="AZ68" s="21">
        <f t="shared" si="77"/>
        <v>4296079</v>
      </c>
      <c r="BA68" s="21">
        <f t="shared" si="77"/>
        <v>692478</v>
      </c>
      <c r="BB68" s="21">
        <f t="shared" si="77"/>
        <v>0</v>
      </c>
      <c r="BC68" s="21">
        <f t="shared" si="77"/>
        <v>0</v>
      </c>
      <c r="BD68" s="21">
        <f t="shared" si="77"/>
        <v>0</v>
      </c>
      <c r="BE68" s="21">
        <f t="shared" si="77"/>
        <v>0</v>
      </c>
      <c r="BF68" s="21">
        <f t="shared" si="77"/>
        <v>0</v>
      </c>
      <c r="BG68" s="21">
        <f t="shared" si="77"/>
        <v>0</v>
      </c>
      <c r="BH68" s="21">
        <f t="shared" si="77"/>
        <v>0</v>
      </c>
      <c r="BI68" s="21">
        <f t="shared" si="77"/>
        <v>0</v>
      </c>
      <c r="BJ68" s="21">
        <f t="shared" si="77"/>
        <v>0</v>
      </c>
      <c r="BK68" s="21">
        <f t="shared" si="77"/>
        <v>285362</v>
      </c>
      <c r="BL68" s="21">
        <f t="shared" si="77"/>
        <v>285362</v>
      </c>
      <c r="BM68" s="21">
        <f t="shared" si="77"/>
        <v>407116</v>
      </c>
      <c r="BN68" s="21">
        <f t="shared" si="77"/>
        <v>0</v>
      </c>
      <c r="BO68" s="21">
        <f t="shared" si="77"/>
        <v>0</v>
      </c>
      <c r="BP68" s="21">
        <f t="shared" si="77"/>
        <v>0</v>
      </c>
      <c r="BQ68" s="21">
        <f t="shared" si="77"/>
        <v>0</v>
      </c>
      <c r="BR68" s="21">
        <f t="shared" si="77"/>
        <v>0</v>
      </c>
      <c r="BS68" s="21">
        <f t="shared" ref="BS68:CW68" si="78">SUM(BS69+BS71)</f>
        <v>0</v>
      </c>
      <c r="BT68" s="21">
        <f t="shared" si="78"/>
        <v>0</v>
      </c>
      <c r="BU68" s="21">
        <f t="shared" si="78"/>
        <v>0</v>
      </c>
      <c r="BV68" s="21">
        <f t="shared" si="78"/>
        <v>0</v>
      </c>
      <c r="BW68" s="21">
        <f t="shared" si="78"/>
        <v>39595</v>
      </c>
      <c r="BX68" s="21">
        <f t="shared" si="78"/>
        <v>367521</v>
      </c>
      <c r="BY68" s="21">
        <f t="shared" si="78"/>
        <v>8172509</v>
      </c>
      <c r="BZ68" s="21">
        <f t="shared" si="78"/>
        <v>8172509</v>
      </c>
      <c r="CA68" s="21">
        <f t="shared" si="78"/>
        <v>8172509</v>
      </c>
      <c r="CB68" s="21">
        <f t="shared" si="78"/>
        <v>0</v>
      </c>
      <c r="CC68" s="21">
        <f t="shared" si="78"/>
        <v>8172509</v>
      </c>
      <c r="CD68" s="21">
        <f t="shared" si="78"/>
        <v>0</v>
      </c>
      <c r="CE68" s="21">
        <f t="shared" si="78"/>
        <v>0</v>
      </c>
      <c r="CF68" s="21">
        <f t="shared" si="78"/>
        <v>0</v>
      </c>
      <c r="CG68" s="21">
        <f t="shared" si="78"/>
        <v>0</v>
      </c>
      <c r="CH68" s="21">
        <f t="shared" si="78"/>
        <v>0</v>
      </c>
      <c r="CI68" s="21">
        <f t="shared" si="78"/>
        <v>0</v>
      </c>
      <c r="CJ68" s="21">
        <f t="shared" ref="CJ68" si="79">SUM(CJ69+CJ71)</f>
        <v>0</v>
      </c>
      <c r="CK68" s="21">
        <f t="shared" si="78"/>
        <v>0</v>
      </c>
      <c r="CL68" s="21">
        <f t="shared" si="78"/>
        <v>0</v>
      </c>
      <c r="CM68" s="21">
        <f t="shared" si="78"/>
        <v>0</v>
      </c>
      <c r="CN68" s="21">
        <f t="shared" si="78"/>
        <v>0</v>
      </c>
      <c r="CO68" s="21">
        <f t="shared" si="78"/>
        <v>0</v>
      </c>
      <c r="CP68" s="21">
        <f t="shared" si="78"/>
        <v>0</v>
      </c>
      <c r="CQ68" s="21">
        <f t="shared" si="78"/>
        <v>0</v>
      </c>
      <c r="CR68" s="21">
        <f t="shared" si="78"/>
        <v>0</v>
      </c>
      <c r="CS68" s="21">
        <f t="shared" si="78"/>
        <v>0</v>
      </c>
      <c r="CT68" s="21">
        <f t="shared" si="78"/>
        <v>0</v>
      </c>
      <c r="CU68" s="21">
        <f t="shared" si="78"/>
        <v>0</v>
      </c>
      <c r="CV68" s="21">
        <f t="shared" si="78"/>
        <v>0</v>
      </c>
      <c r="CW68" s="22">
        <f t="shared" si="78"/>
        <v>0</v>
      </c>
      <c r="CX68" s="40"/>
      <c r="CY68" s="40"/>
    </row>
    <row r="69" spans="1:103" ht="15.75" x14ac:dyDescent="0.25">
      <c r="A69" s="13" t="s">
        <v>47</v>
      </c>
      <c r="B69" s="14" t="s">
        <v>3</v>
      </c>
      <c r="C69" s="14" t="s">
        <v>1</v>
      </c>
      <c r="D69" s="30" t="s">
        <v>84</v>
      </c>
      <c r="E69" s="15">
        <f t="shared" ref="E69:AJ69" si="80">SUM(E70)</f>
        <v>184959764</v>
      </c>
      <c r="F69" s="16">
        <f t="shared" si="80"/>
        <v>177687255</v>
      </c>
      <c r="G69" s="16">
        <f t="shared" si="80"/>
        <v>177057276</v>
      </c>
      <c r="H69" s="16">
        <f t="shared" si="80"/>
        <v>88202757</v>
      </c>
      <c r="I69" s="16">
        <f t="shared" si="80"/>
        <v>4287390</v>
      </c>
      <c r="J69" s="16">
        <f t="shared" si="80"/>
        <v>68437901</v>
      </c>
      <c r="K69" s="16">
        <f t="shared" si="80"/>
        <v>75000</v>
      </c>
      <c r="L69" s="16">
        <f t="shared" si="80"/>
        <v>24624858</v>
      </c>
      <c r="M69" s="16">
        <f t="shared" si="80"/>
        <v>22907272</v>
      </c>
      <c r="N69" s="16">
        <f t="shared" si="80"/>
        <v>2966931</v>
      </c>
      <c r="O69" s="16">
        <f t="shared" si="80"/>
        <v>16500000</v>
      </c>
      <c r="P69" s="16">
        <f t="shared" si="80"/>
        <v>1363840</v>
      </c>
      <c r="Q69" s="16">
        <f t="shared" si="80"/>
        <v>8058</v>
      </c>
      <c r="R69" s="16">
        <f t="shared" si="80"/>
        <v>8058</v>
      </c>
      <c r="S69" s="16">
        <f t="shared" si="80"/>
        <v>0</v>
      </c>
      <c r="T69" s="16">
        <f t="shared" si="80"/>
        <v>0</v>
      </c>
      <c r="U69" s="16">
        <f t="shared" si="80"/>
        <v>442113</v>
      </c>
      <c r="V69" s="16">
        <f t="shared" si="80"/>
        <v>3483303</v>
      </c>
      <c r="W69" s="16">
        <f t="shared" si="80"/>
        <v>912943</v>
      </c>
      <c r="X69" s="16">
        <f t="shared" si="80"/>
        <v>634628</v>
      </c>
      <c r="Y69" s="16">
        <f t="shared" si="80"/>
        <v>1324831</v>
      </c>
      <c r="Z69" s="16">
        <f t="shared" si="80"/>
        <v>394535</v>
      </c>
      <c r="AA69" s="16">
        <f t="shared" si="80"/>
        <v>92125</v>
      </c>
      <c r="AB69" s="16">
        <f t="shared" si="80"/>
        <v>0</v>
      </c>
      <c r="AC69" s="16">
        <f t="shared" si="80"/>
        <v>0</v>
      </c>
      <c r="AD69" s="16">
        <f t="shared" si="80"/>
        <v>124241</v>
      </c>
      <c r="AE69" s="16">
        <f t="shared" si="80"/>
        <v>12195754</v>
      </c>
      <c r="AF69" s="16">
        <f t="shared" si="80"/>
        <v>0</v>
      </c>
      <c r="AG69" s="16">
        <f t="shared" si="80"/>
        <v>87735</v>
      </c>
      <c r="AH69" s="16">
        <f t="shared" si="80"/>
        <v>585469</v>
      </c>
      <c r="AI69" s="16">
        <f t="shared" si="80"/>
        <v>19812</v>
      </c>
      <c r="AJ69" s="16">
        <f t="shared" si="80"/>
        <v>41956</v>
      </c>
      <c r="AK69" s="16">
        <f t="shared" ref="AK69:BR69" si="81">SUM(AK70)</f>
        <v>0</v>
      </c>
      <c r="AL69" s="16">
        <f t="shared" si="81"/>
        <v>27327</v>
      </c>
      <c r="AM69" s="16">
        <f t="shared" si="81"/>
        <v>29953</v>
      </c>
      <c r="AN69" s="16">
        <f t="shared" si="81"/>
        <v>32010</v>
      </c>
      <c r="AO69" s="16">
        <f t="shared" si="81"/>
        <v>96005</v>
      </c>
      <c r="AP69" s="16">
        <f t="shared" si="81"/>
        <v>0</v>
      </c>
      <c r="AQ69" s="16">
        <f t="shared" si="81"/>
        <v>780000</v>
      </c>
      <c r="AR69" s="16">
        <f t="shared" si="81"/>
        <v>43464</v>
      </c>
      <c r="AS69" s="16">
        <f t="shared" si="81"/>
        <v>0</v>
      </c>
      <c r="AT69" s="16">
        <f t="shared" si="81"/>
        <v>0</v>
      </c>
      <c r="AU69" s="16">
        <f t="shared" si="81"/>
        <v>0</v>
      </c>
      <c r="AV69" s="16">
        <f t="shared" si="81"/>
        <v>0</v>
      </c>
      <c r="AW69" s="16">
        <f t="shared" si="81"/>
        <v>6160044</v>
      </c>
      <c r="AX69" s="16">
        <f t="shared" si="81"/>
        <v>0</v>
      </c>
      <c r="AY69" s="16">
        <f t="shared" si="81"/>
        <v>0</v>
      </c>
      <c r="AZ69" s="16">
        <f t="shared" si="81"/>
        <v>4291979</v>
      </c>
      <c r="BA69" s="16">
        <f t="shared" si="81"/>
        <v>629979</v>
      </c>
      <c r="BB69" s="16">
        <f t="shared" si="81"/>
        <v>0</v>
      </c>
      <c r="BC69" s="16">
        <f t="shared" si="81"/>
        <v>0</v>
      </c>
      <c r="BD69" s="16">
        <f t="shared" si="81"/>
        <v>0</v>
      </c>
      <c r="BE69" s="16">
        <f t="shared" si="81"/>
        <v>0</v>
      </c>
      <c r="BF69" s="16">
        <f t="shared" si="81"/>
        <v>0</v>
      </c>
      <c r="BG69" s="16">
        <f t="shared" si="81"/>
        <v>0</v>
      </c>
      <c r="BH69" s="16">
        <f t="shared" si="81"/>
        <v>0</v>
      </c>
      <c r="BI69" s="16">
        <f t="shared" si="81"/>
        <v>0</v>
      </c>
      <c r="BJ69" s="16">
        <f t="shared" si="81"/>
        <v>0</v>
      </c>
      <c r="BK69" s="16">
        <f t="shared" si="81"/>
        <v>285362</v>
      </c>
      <c r="BL69" s="16">
        <f t="shared" si="81"/>
        <v>285362</v>
      </c>
      <c r="BM69" s="16">
        <f t="shared" si="81"/>
        <v>344617</v>
      </c>
      <c r="BN69" s="16">
        <f t="shared" si="81"/>
        <v>0</v>
      </c>
      <c r="BO69" s="16">
        <f t="shared" si="81"/>
        <v>0</v>
      </c>
      <c r="BP69" s="16">
        <f t="shared" si="81"/>
        <v>0</v>
      </c>
      <c r="BQ69" s="16">
        <f t="shared" si="81"/>
        <v>0</v>
      </c>
      <c r="BR69" s="16">
        <f t="shared" si="81"/>
        <v>0</v>
      </c>
      <c r="BS69" s="16">
        <f t="shared" ref="BS69:CW69" si="82">SUM(BS70)</f>
        <v>0</v>
      </c>
      <c r="BT69" s="16">
        <f t="shared" si="82"/>
        <v>0</v>
      </c>
      <c r="BU69" s="16">
        <f t="shared" si="82"/>
        <v>0</v>
      </c>
      <c r="BV69" s="16">
        <f t="shared" si="82"/>
        <v>0</v>
      </c>
      <c r="BW69" s="16">
        <f t="shared" si="82"/>
        <v>39595</v>
      </c>
      <c r="BX69" s="16">
        <f t="shared" si="82"/>
        <v>305022</v>
      </c>
      <c r="BY69" s="16">
        <f t="shared" si="82"/>
        <v>7272509</v>
      </c>
      <c r="BZ69" s="16">
        <f t="shared" si="82"/>
        <v>7272509</v>
      </c>
      <c r="CA69" s="16">
        <f t="shared" si="82"/>
        <v>7272509</v>
      </c>
      <c r="CB69" s="16">
        <f t="shared" si="82"/>
        <v>0</v>
      </c>
      <c r="CC69" s="16">
        <f t="shared" si="82"/>
        <v>7272509</v>
      </c>
      <c r="CD69" s="16">
        <f t="shared" si="82"/>
        <v>0</v>
      </c>
      <c r="CE69" s="16">
        <f t="shared" si="82"/>
        <v>0</v>
      </c>
      <c r="CF69" s="16">
        <f t="shared" si="82"/>
        <v>0</v>
      </c>
      <c r="CG69" s="16">
        <f t="shared" si="82"/>
        <v>0</v>
      </c>
      <c r="CH69" s="16">
        <f t="shared" si="82"/>
        <v>0</v>
      </c>
      <c r="CI69" s="16">
        <f t="shared" si="82"/>
        <v>0</v>
      </c>
      <c r="CJ69" s="16">
        <f t="shared" si="82"/>
        <v>0</v>
      </c>
      <c r="CK69" s="16">
        <f t="shared" si="82"/>
        <v>0</v>
      </c>
      <c r="CL69" s="16">
        <f t="shared" si="82"/>
        <v>0</v>
      </c>
      <c r="CM69" s="16">
        <f t="shared" si="82"/>
        <v>0</v>
      </c>
      <c r="CN69" s="16">
        <f t="shared" si="82"/>
        <v>0</v>
      </c>
      <c r="CO69" s="16">
        <f t="shared" si="82"/>
        <v>0</v>
      </c>
      <c r="CP69" s="16">
        <f t="shared" si="82"/>
        <v>0</v>
      </c>
      <c r="CQ69" s="16">
        <f t="shared" si="82"/>
        <v>0</v>
      </c>
      <c r="CR69" s="16">
        <f t="shared" si="82"/>
        <v>0</v>
      </c>
      <c r="CS69" s="16">
        <f t="shared" si="82"/>
        <v>0</v>
      </c>
      <c r="CT69" s="16">
        <f t="shared" si="82"/>
        <v>0</v>
      </c>
      <c r="CU69" s="16">
        <f t="shared" si="82"/>
        <v>0</v>
      </c>
      <c r="CV69" s="16">
        <f t="shared" si="82"/>
        <v>0</v>
      </c>
      <c r="CW69" s="17">
        <f t="shared" si="82"/>
        <v>0</v>
      </c>
      <c r="CX69" s="40"/>
      <c r="CY69" s="40"/>
    </row>
    <row r="70" spans="1:103" ht="15.75" x14ac:dyDescent="0.25">
      <c r="A70" s="13" t="s">
        <v>1</v>
      </c>
      <c r="B70" s="14" t="s">
        <v>1</v>
      </c>
      <c r="C70" s="14" t="s">
        <v>85</v>
      </c>
      <c r="D70" s="30" t="s">
        <v>86</v>
      </c>
      <c r="E70" s="15">
        <f>SUM(F70+BY70+CT70)</f>
        <v>184959764</v>
      </c>
      <c r="F70" s="16">
        <f>SUM(G70+BA70)</f>
        <v>177687255</v>
      </c>
      <c r="G70" s="16">
        <f>SUM(H70+I70+J70+Q70+T70+U70+V70+AE70)</f>
        <v>177057276</v>
      </c>
      <c r="H70" s="16">
        <f>88127257+75500</f>
        <v>88202757</v>
      </c>
      <c r="I70" s="16">
        <v>4287390</v>
      </c>
      <c r="J70" s="16">
        <f t="shared" si="7"/>
        <v>68437901</v>
      </c>
      <c r="K70" s="16">
        <v>75000</v>
      </c>
      <c r="L70" s="16">
        <f>20597398+4027460</f>
        <v>24624858</v>
      </c>
      <c r="M70" s="16">
        <v>22907272</v>
      </c>
      <c r="N70" s="16">
        <v>2966931</v>
      </c>
      <c r="O70" s="16">
        <v>16500000</v>
      </c>
      <c r="P70" s="16">
        <v>1363840</v>
      </c>
      <c r="Q70" s="16">
        <f t="shared" si="8"/>
        <v>8058</v>
      </c>
      <c r="R70" s="16">
        <v>8058</v>
      </c>
      <c r="S70" s="16">
        <v>0</v>
      </c>
      <c r="T70" s="16">
        <v>0</v>
      </c>
      <c r="U70" s="16">
        <v>442113</v>
      </c>
      <c r="V70" s="16">
        <f>SUM(W70:AD70)</f>
        <v>3483303</v>
      </c>
      <c r="W70" s="16">
        <v>912943</v>
      </c>
      <c r="X70" s="16">
        <v>634628</v>
      </c>
      <c r="Y70" s="16">
        <v>1324831</v>
      </c>
      <c r="Z70" s="16">
        <v>394535</v>
      </c>
      <c r="AA70" s="16">
        <v>92125</v>
      </c>
      <c r="AB70" s="16">
        <v>0</v>
      </c>
      <c r="AC70" s="16">
        <v>0</v>
      </c>
      <c r="AD70" s="16">
        <v>124241</v>
      </c>
      <c r="AE70" s="16">
        <f>SUM(AF70:AZ70)</f>
        <v>12195754</v>
      </c>
      <c r="AF70" s="16">
        <v>0</v>
      </c>
      <c r="AG70" s="16">
        <v>87735</v>
      </c>
      <c r="AH70" s="16">
        <v>585469</v>
      </c>
      <c r="AI70" s="16">
        <v>19812</v>
      </c>
      <c r="AJ70" s="16">
        <v>41956</v>
      </c>
      <c r="AK70" s="16">
        <v>0</v>
      </c>
      <c r="AL70" s="16">
        <v>27327</v>
      </c>
      <c r="AM70" s="16">
        <v>29953</v>
      </c>
      <c r="AN70" s="16">
        <v>32010</v>
      </c>
      <c r="AO70" s="16">
        <v>96005</v>
      </c>
      <c r="AP70" s="16"/>
      <c r="AQ70" s="16">
        <v>780000</v>
      </c>
      <c r="AR70" s="16">
        <v>43464</v>
      </c>
      <c r="AS70" s="16">
        <v>0</v>
      </c>
      <c r="AT70" s="16">
        <v>0</v>
      </c>
      <c r="AU70" s="16">
        <v>0</v>
      </c>
      <c r="AV70" s="16">
        <v>0</v>
      </c>
      <c r="AW70" s="16">
        <v>6160044</v>
      </c>
      <c r="AX70" s="16">
        <v>0</v>
      </c>
      <c r="AY70" s="16"/>
      <c r="AZ70" s="16">
        <v>4291979</v>
      </c>
      <c r="BA70" s="16">
        <f>SUM(BB70+BF70+BI70+BK70+BM70)</f>
        <v>629979</v>
      </c>
      <c r="BB70" s="16">
        <f>SUM(BC70:BE70)</f>
        <v>0</v>
      </c>
      <c r="BC70" s="16">
        <v>0</v>
      </c>
      <c r="BD70" s="16">
        <v>0</v>
      </c>
      <c r="BE70" s="16">
        <v>0</v>
      </c>
      <c r="BF70" s="16">
        <f t="shared" si="9"/>
        <v>0</v>
      </c>
      <c r="BG70" s="16">
        <v>0</v>
      </c>
      <c r="BH70" s="16">
        <v>0</v>
      </c>
      <c r="BI70" s="16">
        <v>0</v>
      </c>
      <c r="BJ70" s="16">
        <v>0</v>
      </c>
      <c r="BK70" s="16">
        <f t="shared" si="10"/>
        <v>285362</v>
      </c>
      <c r="BL70" s="16">
        <v>285362</v>
      </c>
      <c r="BM70" s="16">
        <f t="shared" si="11"/>
        <v>344617</v>
      </c>
      <c r="BN70" s="16">
        <v>0</v>
      </c>
      <c r="BO70" s="16">
        <v>0</v>
      </c>
      <c r="BP70" s="16">
        <v>0</v>
      </c>
      <c r="BQ70" s="16">
        <v>0</v>
      </c>
      <c r="BR70" s="16">
        <v>0</v>
      </c>
      <c r="BS70" s="16">
        <v>0</v>
      </c>
      <c r="BT70" s="16">
        <v>0</v>
      </c>
      <c r="BU70" s="16">
        <v>0</v>
      </c>
      <c r="BV70" s="16">
        <v>0</v>
      </c>
      <c r="BW70" s="16">
        <v>39595</v>
      </c>
      <c r="BX70" s="16">
        <v>305022</v>
      </c>
      <c r="BY70" s="16">
        <f>SUM(BZ70+CS70)</f>
        <v>7272509</v>
      </c>
      <c r="BZ70" s="16">
        <f>SUM(CA70+CD70+CK70)</f>
        <v>7272509</v>
      </c>
      <c r="CA70" s="16">
        <f t="shared" si="12"/>
        <v>7272509</v>
      </c>
      <c r="CB70" s="16">
        <v>0</v>
      </c>
      <c r="CC70" s="16">
        <v>7272509</v>
      </c>
      <c r="CD70" s="16">
        <f t="shared" si="13"/>
        <v>0</v>
      </c>
      <c r="CE70" s="16">
        <v>0</v>
      </c>
      <c r="CF70" s="16">
        <v>0</v>
      </c>
      <c r="CG70" s="16">
        <v>0</v>
      </c>
      <c r="CH70" s="16">
        <v>0</v>
      </c>
      <c r="CI70" s="16">
        <v>0</v>
      </c>
      <c r="CJ70" s="16">
        <v>0</v>
      </c>
      <c r="CK70" s="16">
        <f t="shared" si="14"/>
        <v>0</v>
      </c>
      <c r="CL70" s="16">
        <v>0</v>
      </c>
      <c r="CM70" s="16">
        <v>0</v>
      </c>
      <c r="CN70" s="16">
        <v>0</v>
      </c>
      <c r="CO70" s="16">
        <v>0</v>
      </c>
      <c r="CP70" s="16">
        <v>0</v>
      </c>
      <c r="CQ70" s="16"/>
      <c r="CR70" s="16"/>
      <c r="CS70" s="16">
        <v>0</v>
      </c>
      <c r="CT70" s="16">
        <f t="shared" si="15"/>
        <v>0</v>
      </c>
      <c r="CU70" s="16">
        <f t="shared" si="16"/>
        <v>0</v>
      </c>
      <c r="CV70" s="16">
        <v>0</v>
      </c>
      <c r="CW70" s="17">
        <v>0</v>
      </c>
      <c r="CX70" s="40"/>
      <c r="CY70" s="40"/>
    </row>
    <row r="71" spans="1:103" ht="15.75" x14ac:dyDescent="0.25">
      <c r="A71" s="13" t="s">
        <v>47</v>
      </c>
      <c r="B71" s="14" t="s">
        <v>7</v>
      </c>
      <c r="C71" s="14" t="s">
        <v>1</v>
      </c>
      <c r="D71" s="30" t="s">
        <v>87</v>
      </c>
      <c r="E71" s="15">
        <f t="shared" ref="E71:AJ71" si="83">SUM(E72)</f>
        <v>39825595</v>
      </c>
      <c r="F71" s="16">
        <f t="shared" si="83"/>
        <v>38925595</v>
      </c>
      <c r="G71" s="16">
        <f t="shared" si="83"/>
        <v>38863096</v>
      </c>
      <c r="H71" s="16">
        <f t="shared" si="83"/>
        <v>31669270</v>
      </c>
      <c r="I71" s="16">
        <f t="shared" si="83"/>
        <v>221246</v>
      </c>
      <c r="J71" s="16">
        <f t="shared" si="83"/>
        <v>4417982</v>
      </c>
      <c r="K71" s="16">
        <f t="shared" si="83"/>
        <v>25000</v>
      </c>
      <c r="L71" s="16">
        <f t="shared" si="83"/>
        <v>2603180</v>
      </c>
      <c r="M71" s="16">
        <f t="shared" si="83"/>
        <v>200000</v>
      </c>
      <c r="N71" s="16">
        <f t="shared" si="83"/>
        <v>0</v>
      </c>
      <c r="O71" s="16">
        <f t="shared" si="83"/>
        <v>1500000</v>
      </c>
      <c r="P71" s="16">
        <f t="shared" si="83"/>
        <v>89802</v>
      </c>
      <c r="Q71" s="16">
        <f t="shared" si="83"/>
        <v>126834</v>
      </c>
      <c r="R71" s="16">
        <f t="shared" si="83"/>
        <v>51123</v>
      </c>
      <c r="S71" s="16">
        <f t="shared" si="83"/>
        <v>75711</v>
      </c>
      <c r="T71" s="16">
        <f t="shared" si="83"/>
        <v>0</v>
      </c>
      <c r="U71" s="16">
        <f t="shared" si="83"/>
        <v>43618</v>
      </c>
      <c r="V71" s="16">
        <f t="shared" si="83"/>
        <v>5316</v>
      </c>
      <c r="W71" s="16">
        <f t="shared" si="83"/>
        <v>5316</v>
      </c>
      <c r="X71" s="16">
        <f t="shared" si="83"/>
        <v>0</v>
      </c>
      <c r="Y71" s="16">
        <f t="shared" si="83"/>
        <v>0</v>
      </c>
      <c r="Z71" s="16">
        <f t="shared" si="83"/>
        <v>0</v>
      </c>
      <c r="AA71" s="16">
        <f t="shared" si="83"/>
        <v>0</v>
      </c>
      <c r="AB71" s="16">
        <f t="shared" si="83"/>
        <v>0</v>
      </c>
      <c r="AC71" s="16">
        <f t="shared" si="83"/>
        <v>0</v>
      </c>
      <c r="AD71" s="16">
        <f t="shared" si="83"/>
        <v>0</v>
      </c>
      <c r="AE71" s="16">
        <f t="shared" si="83"/>
        <v>2378830</v>
      </c>
      <c r="AF71" s="16">
        <f t="shared" si="83"/>
        <v>0</v>
      </c>
      <c r="AG71" s="16">
        <f t="shared" si="83"/>
        <v>149</v>
      </c>
      <c r="AH71" s="16">
        <f t="shared" si="83"/>
        <v>4899</v>
      </c>
      <c r="AI71" s="16">
        <f t="shared" si="83"/>
        <v>0</v>
      </c>
      <c r="AJ71" s="16">
        <f t="shared" si="83"/>
        <v>0</v>
      </c>
      <c r="AK71" s="16">
        <f t="shared" ref="AK71:BR71" si="84">SUM(AK72)</f>
        <v>0</v>
      </c>
      <c r="AL71" s="16">
        <f t="shared" si="84"/>
        <v>0</v>
      </c>
      <c r="AM71" s="16">
        <f t="shared" si="84"/>
        <v>0</v>
      </c>
      <c r="AN71" s="16">
        <f t="shared" si="84"/>
        <v>29682</v>
      </c>
      <c r="AO71" s="16">
        <f t="shared" si="84"/>
        <v>0</v>
      </c>
      <c r="AP71" s="16">
        <f t="shared" si="84"/>
        <v>0</v>
      </c>
      <c r="AQ71" s="16">
        <f t="shared" si="84"/>
        <v>0</v>
      </c>
      <c r="AR71" s="16">
        <f t="shared" si="84"/>
        <v>0</v>
      </c>
      <c r="AS71" s="16">
        <f t="shared" si="84"/>
        <v>0</v>
      </c>
      <c r="AT71" s="16">
        <f t="shared" si="84"/>
        <v>0</v>
      </c>
      <c r="AU71" s="16">
        <f t="shared" si="84"/>
        <v>0</v>
      </c>
      <c r="AV71" s="16">
        <f t="shared" si="84"/>
        <v>0</v>
      </c>
      <c r="AW71" s="16">
        <f t="shared" si="84"/>
        <v>2340000</v>
      </c>
      <c r="AX71" s="16">
        <f t="shared" si="84"/>
        <v>0</v>
      </c>
      <c r="AY71" s="16">
        <f t="shared" si="84"/>
        <v>0</v>
      </c>
      <c r="AZ71" s="16">
        <f t="shared" si="84"/>
        <v>4100</v>
      </c>
      <c r="BA71" s="16">
        <f t="shared" si="84"/>
        <v>62499</v>
      </c>
      <c r="BB71" s="16">
        <f t="shared" si="84"/>
        <v>0</v>
      </c>
      <c r="BC71" s="16">
        <f t="shared" si="84"/>
        <v>0</v>
      </c>
      <c r="BD71" s="16">
        <f t="shared" si="84"/>
        <v>0</v>
      </c>
      <c r="BE71" s="16">
        <f t="shared" si="84"/>
        <v>0</v>
      </c>
      <c r="BF71" s="16">
        <f t="shared" si="84"/>
        <v>0</v>
      </c>
      <c r="BG71" s="16">
        <f t="shared" si="84"/>
        <v>0</v>
      </c>
      <c r="BH71" s="16">
        <f t="shared" si="84"/>
        <v>0</v>
      </c>
      <c r="BI71" s="16">
        <f t="shared" si="84"/>
        <v>0</v>
      </c>
      <c r="BJ71" s="16">
        <f t="shared" si="84"/>
        <v>0</v>
      </c>
      <c r="BK71" s="16">
        <f t="shared" si="84"/>
        <v>0</v>
      </c>
      <c r="BL71" s="16">
        <f t="shared" si="84"/>
        <v>0</v>
      </c>
      <c r="BM71" s="16">
        <f t="shared" si="84"/>
        <v>62499</v>
      </c>
      <c r="BN71" s="16">
        <f t="shared" si="84"/>
        <v>0</v>
      </c>
      <c r="BO71" s="16">
        <f t="shared" si="84"/>
        <v>0</v>
      </c>
      <c r="BP71" s="16">
        <f t="shared" si="84"/>
        <v>0</v>
      </c>
      <c r="BQ71" s="16">
        <f t="shared" si="84"/>
        <v>0</v>
      </c>
      <c r="BR71" s="16">
        <f t="shared" si="84"/>
        <v>0</v>
      </c>
      <c r="BS71" s="16">
        <f t="shared" ref="BS71:CW71" si="85">SUM(BS72)</f>
        <v>0</v>
      </c>
      <c r="BT71" s="16">
        <f t="shared" si="85"/>
        <v>0</v>
      </c>
      <c r="BU71" s="16">
        <f t="shared" si="85"/>
        <v>0</v>
      </c>
      <c r="BV71" s="16">
        <f t="shared" si="85"/>
        <v>0</v>
      </c>
      <c r="BW71" s="16">
        <f t="shared" si="85"/>
        <v>0</v>
      </c>
      <c r="BX71" s="16">
        <f t="shared" si="85"/>
        <v>62499</v>
      </c>
      <c r="BY71" s="16">
        <f t="shared" si="85"/>
        <v>900000</v>
      </c>
      <c r="BZ71" s="16">
        <f t="shared" si="85"/>
        <v>900000</v>
      </c>
      <c r="CA71" s="16">
        <f t="shared" si="85"/>
        <v>900000</v>
      </c>
      <c r="CB71" s="16">
        <f t="shared" si="85"/>
        <v>0</v>
      </c>
      <c r="CC71" s="16">
        <f t="shared" si="85"/>
        <v>900000</v>
      </c>
      <c r="CD71" s="16">
        <f t="shared" si="85"/>
        <v>0</v>
      </c>
      <c r="CE71" s="16">
        <f t="shared" si="85"/>
        <v>0</v>
      </c>
      <c r="CF71" s="16">
        <f t="shared" si="85"/>
        <v>0</v>
      </c>
      <c r="CG71" s="16">
        <f t="shared" si="85"/>
        <v>0</v>
      </c>
      <c r="CH71" s="16">
        <f t="shared" si="85"/>
        <v>0</v>
      </c>
      <c r="CI71" s="16">
        <f t="shared" si="85"/>
        <v>0</v>
      </c>
      <c r="CJ71" s="16">
        <f t="shared" si="85"/>
        <v>0</v>
      </c>
      <c r="CK71" s="16">
        <f t="shared" si="85"/>
        <v>0</v>
      </c>
      <c r="CL71" s="16">
        <f t="shared" si="85"/>
        <v>0</v>
      </c>
      <c r="CM71" s="16">
        <f t="shared" si="85"/>
        <v>0</v>
      </c>
      <c r="CN71" s="16">
        <f t="shared" si="85"/>
        <v>0</v>
      </c>
      <c r="CO71" s="16">
        <f t="shared" si="85"/>
        <v>0</v>
      </c>
      <c r="CP71" s="16">
        <f t="shared" si="85"/>
        <v>0</v>
      </c>
      <c r="CQ71" s="16">
        <f t="shared" si="85"/>
        <v>0</v>
      </c>
      <c r="CR71" s="16">
        <f t="shared" si="85"/>
        <v>0</v>
      </c>
      <c r="CS71" s="16">
        <f t="shared" si="85"/>
        <v>0</v>
      </c>
      <c r="CT71" s="16">
        <f t="shared" si="85"/>
        <v>0</v>
      </c>
      <c r="CU71" s="16">
        <f t="shared" si="85"/>
        <v>0</v>
      </c>
      <c r="CV71" s="16">
        <f t="shared" si="85"/>
        <v>0</v>
      </c>
      <c r="CW71" s="17">
        <f t="shared" si="85"/>
        <v>0</v>
      </c>
      <c r="CX71" s="40"/>
      <c r="CY71" s="40"/>
    </row>
    <row r="72" spans="1:103" ht="15.75" x14ac:dyDescent="0.25">
      <c r="A72" s="13" t="s">
        <v>1</v>
      </c>
      <c r="B72" s="14" t="s">
        <v>1</v>
      </c>
      <c r="C72" s="14" t="s">
        <v>85</v>
      </c>
      <c r="D72" s="30" t="s">
        <v>87</v>
      </c>
      <c r="E72" s="15">
        <f>SUM(F72+BY72+CT72)</f>
        <v>39825595</v>
      </c>
      <c r="F72" s="16">
        <f>SUM(G72+BA72)</f>
        <v>38925595</v>
      </c>
      <c r="G72" s="16">
        <f>SUM(H72+I72+J72+Q72+T72+U72+V72+AE72)</f>
        <v>38863096</v>
      </c>
      <c r="H72" s="16">
        <v>31669270</v>
      </c>
      <c r="I72" s="16">
        <v>221246</v>
      </c>
      <c r="J72" s="16">
        <f t="shared" si="7"/>
        <v>4417982</v>
      </c>
      <c r="K72" s="16">
        <v>25000</v>
      </c>
      <c r="L72" s="16">
        <v>2603180</v>
      </c>
      <c r="M72" s="16">
        <v>200000</v>
      </c>
      <c r="N72" s="16">
        <v>0</v>
      </c>
      <c r="O72" s="16">
        <v>1500000</v>
      </c>
      <c r="P72" s="16">
        <v>89802</v>
      </c>
      <c r="Q72" s="16">
        <f t="shared" si="8"/>
        <v>126834</v>
      </c>
      <c r="R72" s="16">
        <v>51123</v>
      </c>
      <c r="S72" s="16">
        <v>75711</v>
      </c>
      <c r="T72" s="16">
        <v>0</v>
      </c>
      <c r="U72" s="16">
        <v>43618</v>
      </c>
      <c r="V72" s="16">
        <f>SUM(W72:AD72)</f>
        <v>5316</v>
      </c>
      <c r="W72" s="16">
        <v>5316</v>
      </c>
      <c r="X72" s="16">
        <v>0</v>
      </c>
      <c r="Y72" s="16">
        <v>0</v>
      </c>
      <c r="Z72" s="16">
        <v>0</v>
      </c>
      <c r="AA72" s="16">
        <v>0</v>
      </c>
      <c r="AB72" s="16">
        <v>0</v>
      </c>
      <c r="AC72" s="16">
        <v>0</v>
      </c>
      <c r="AD72" s="16">
        <v>0</v>
      </c>
      <c r="AE72" s="16">
        <f>SUM(AF72:AZ72)</f>
        <v>2378830</v>
      </c>
      <c r="AF72" s="16">
        <v>0</v>
      </c>
      <c r="AG72" s="16">
        <v>149</v>
      </c>
      <c r="AH72" s="16">
        <v>4899</v>
      </c>
      <c r="AI72" s="16">
        <v>0</v>
      </c>
      <c r="AJ72" s="16">
        <v>0</v>
      </c>
      <c r="AK72" s="16">
        <v>0</v>
      </c>
      <c r="AL72" s="16">
        <v>0</v>
      </c>
      <c r="AM72" s="16">
        <v>0</v>
      </c>
      <c r="AN72" s="16">
        <v>29682</v>
      </c>
      <c r="AO72" s="16">
        <v>0</v>
      </c>
      <c r="AP72" s="16">
        <v>0</v>
      </c>
      <c r="AQ72" s="16">
        <v>0</v>
      </c>
      <c r="AR72" s="16">
        <v>0</v>
      </c>
      <c r="AS72" s="16">
        <v>0</v>
      </c>
      <c r="AT72" s="16">
        <v>0</v>
      </c>
      <c r="AU72" s="16">
        <v>0</v>
      </c>
      <c r="AV72" s="16">
        <v>0</v>
      </c>
      <c r="AW72" s="16">
        <v>2340000</v>
      </c>
      <c r="AX72" s="16">
        <v>0</v>
      </c>
      <c r="AY72" s="16">
        <v>0</v>
      </c>
      <c r="AZ72" s="16">
        <v>4100</v>
      </c>
      <c r="BA72" s="16">
        <f>SUM(BB72+BF72+BI72+BK72+BM72)</f>
        <v>62499</v>
      </c>
      <c r="BB72" s="16">
        <f>SUM(BC72:BE72)</f>
        <v>0</v>
      </c>
      <c r="BC72" s="16">
        <v>0</v>
      </c>
      <c r="BD72" s="16">
        <v>0</v>
      </c>
      <c r="BE72" s="16">
        <v>0</v>
      </c>
      <c r="BF72" s="16">
        <f t="shared" si="9"/>
        <v>0</v>
      </c>
      <c r="BG72" s="16">
        <v>0</v>
      </c>
      <c r="BH72" s="16">
        <v>0</v>
      </c>
      <c r="BI72" s="16">
        <v>0</v>
      </c>
      <c r="BJ72" s="16">
        <v>0</v>
      </c>
      <c r="BK72" s="16">
        <f t="shared" si="10"/>
        <v>0</v>
      </c>
      <c r="BL72" s="16">
        <v>0</v>
      </c>
      <c r="BM72" s="16">
        <f t="shared" si="11"/>
        <v>62499</v>
      </c>
      <c r="BN72" s="16">
        <v>0</v>
      </c>
      <c r="BO72" s="16">
        <v>0</v>
      </c>
      <c r="BP72" s="16">
        <v>0</v>
      </c>
      <c r="BQ72" s="16">
        <v>0</v>
      </c>
      <c r="BR72" s="16">
        <v>0</v>
      </c>
      <c r="BS72" s="16">
        <v>0</v>
      </c>
      <c r="BT72" s="16">
        <v>0</v>
      </c>
      <c r="BU72" s="16">
        <v>0</v>
      </c>
      <c r="BV72" s="16">
        <v>0</v>
      </c>
      <c r="BW72" s="16">
        <v>0</v>
      </c>
      <c r="BX72" s="16">
        <v>62499</v>
      </c>
      <c r="BY72" s="16">
        <f>SUM(BZ72+CS72)</f>
        <v>900000</v>
      </c>
      <c r="BZ72" s="16">
        <f>SUM(CA72+CD72+CK72)</f>
        <v>900000</v>
      </c>
      <c r="CA72" s="16">
        <f t="shared" si="12"/>
        <v>900000</v>
      </c>
      <c r="CB72" s="16">
        <v>0</v>
      </c>
      <c r="CC72" s="16">
        <v>900000</v>
      </c>
      <c r="CD72" s="16">
        <f t="shared" si="13"/>
        <v>0</v>
      </c>
      <c r="CE72" s="16">
        <v>0</v>
      </c>
      <c r="CF72" s="16">
        <v>0</v>
      </c>
      <c r="CG72" s="16">
        <v>0</v>
      </c>
      <c r="CH72" s="16">
        <v>0</v>
      </c>
      <c r="CI72" s="16">
        <v>0</v>
      </c>
      <c r="CJ72" s="16">
        <v>0</v>
      </c>
      <c r="CK72" s="16">
        <f t="shared" si="14"/>
        <v>0</v>
      </c>
      <c r="CL72" s="16">
        <v>0</v>
      </c>
      <c r="CM72" s="16">
        <v>0</v>
      </c>
      <c r="CN72" s="16">
        <v>0</v>
      </c>
      <c r="CO72" s="16">
        <v>0</v>
      </c>
      <c r="CP72" s="16">
        <v>0</v>
      </c>
      <c r="CQ72" s="16">
        <v>0</v>
      </c>
      <c r="CR72" s="16">
        <v>0</v>
      </c>
      <c r="CS72" s="16">
        <v>0</v>
      </c>
      <c r="CT72" s="16">
        <f t="shared" si="15"/>
        <v>0</v>
      </c>
      <c r="CU72" s="16">
        <f t="shared" si="16"/>
        <v>0</v>
      </c>
      <c r="CV72" s="16">
        <v>0</v>
      </c>
      <c r="CW72" s="17">
        <v>0</v>
      </c>
      <c r="CX72" s="40"/>
      <c r="CY72" s="40"/>
    </row>
    <row r="73" spans="1:103" ht="31.5" x14ac:dyDescent="0.25">
      <c r="A73" s="18" t="s">
        <v>88</v>
      </c>
      <c r="B73" s="19" t="s">
        <v>1</v>
      </c>
      <c r="C73" s="19" t="s">
        <v>1</v>
      </c>
      <c r="D73" s="31" t="s">
        <v>89</v>
      </c>
      <c r="E73" s="20">
        <f>SUM(E74+E76+E79+E81+E83+E85+E87)</f>
        <v>561037058</v>
      </c>
      <c r="F73" s="21">
        <f t="shared" ref="F73:BS73" si="86">SUM(F74+F76+F79+F81+F83+F85+F87)</f>
        <v>546263702</v>
      </c>
      <c r="G73" s="21">
        <f t="shared" si="86"/>
        <v>544639834</v>
      </c>
      <c r="H73" s="21">
        <f t="shared" si="86"/>
        <v>386867013</v>
      </c>
      <c r="I73" s="21">
        <f t="shared" si="86"/>
        <v>13822453</v>
      </c>
      <c r="J73" s="21">
        <f t="shared" si="86"/>
        <v>79653878</v>
      </c>
      <c r="K73" s="21">
        <f t="shared" si="86"/>
        <v>881324</v>
      </c>
      <c r="L73" s="21">
        <f t="shared" si="86"/>
        <v>28592902</v>
      </c>
      <c r="M73" s="21">
        <f t="shared" si="86"/>
        <v>23331894</v>
      </c>
      <c r="N73" s="21">
        <f t="shared" si="86"/>
        <v>678883</v>
      </c>
      <c r="O73" s="21">
        <f t="shared" si="86"/>
        <v>21720444</v>
      </c>
      <c r="P73" s="21">
        <f t="shared" si="86"/>
        <v>4448431</v>
      </c>
      <c r="Q73" s="21">
        <f t="shared" si="86"/>
        <v>5202708</v>
      </c>
      <c r="R73" s="21">
        <f t="shared" si="86"/>
        <v>194070</v>
      </c>
      <c r="S73" s="21">
        <f t="shared" si="86"/>
        <v>5008638</v>
      </c>
      <c r="T73" s="21">
        <f t="shared" si="86"/>
        <v>0</v>
      </c>
      <c r="U73" s="21">
        <f t="shared" si="86"/>
        <v>5509232</v>
      </c>
      <c r="V73" s="21">
        <f t="shared" si="86"/>
        <v>7813525</v>
      </c>
      <c r="W73" s="21">
        <f t="shared" si="86"/>
        <v>825105</v>
      </c>
      <c r="X73" s="21">
        <f t="shared" si="86"/>
        <v>1486344</v>
      </c>
      <c r="Y73" s="21">
        <f t="shared" si="86"/>
        <v>3138303</v>
      </c>
      <c r="Z73" s="21">
        <f t="shared" si="86"/>
        <v>1457635</v>
      </c>
      <c r="AA73" s="21">
        <f t="shared" si="86"/>
        <v>601343</v>
      </c>
      <c r="AB73" s="21">
        <f t="shared" si="86"/>
        <v>64643</v>
      </c>
      <c r="AC73" s="21">
        <f t="shared" si="86"/>
        <v>0</v>
      </c>
      <c r="AD73" s="21">
        <f t="shared" ref="AD73" si="87">SUM(AD74+AD76+AD79+AD81+AD83+AD85+AD87)</f>
        <v>240152</v>
      </c>
      <c r="AE73" s="21">
        <f t="shared" si="86"/>
        <v>45771025</v>
      </c>
      <c r="AF73" s="21">
        <f t="shared" si="86"/>
        <v>0</v>
      </c>
      <c r="AG73" s="21">
        <f t="shared" si="86"/>
        <v>408493</v>
      </c>
      <c r="AH73" s="21">
        <f t="shared" si="86"/>
        <v>1404213</v>
      </c>
      <c r="AI73" s="21">
        <f t="shared" si="86"/>
        <v>41338</v>
      </c>
      <c r="AJ73" s="21">
        <f t="shared" si="86"/>
        <v>123165</v>
      </c>
      <c r="AK73" s="21">
        <f t="shared" si="86"/>
        <v>194495</v>
      </c>
      <c r="AL73" s="21">
        <f t="shared" si="86"/>
        <v>2526570</v>
      </c>
      <c r="AM73" s="21">
        <f t="shared" si="86"/>
        <v>2029634</v>
      </c>
      <c r="AN73" s="21">
        <f t="shared" si="86"/>
        <v>150069</v>
      </c>
      <c r="AO73" s="21">
        <f t="shared" si="86"/>
        <v>93268</v>
      </c>
      <c r="AP73" s="21">
        <f>SUM(AP74+AP76+AP79+AP81+AP83+AP85+AP87)</f>
        <v>0</v>
      </c>
      <c r="AQ73" s="21">
        <f t="shared" si="86"/>
        <v>1670482</v>
      </c>
      <c r="AR73" s="21">
        <f t="shared" si="86"/>
        <v>672122</v>
      </c>
      <c r="AS73" s="21">
        <f t="shared" si="86"/>
        <v>42648</v>
      </c>
      <c r="AT73" s="21">
        <f t="shared" si="86"/>
        <v>0</v>
      </c>
      <c r="AU73" s="21">
        <f t="shared" si="86"/>
        <v>0</v>
      </c>
      <c r="AV73" s="21">
        <f t="shared" si="86"/>
        <v>0</v>
      </c>
      <c r="AW73" s="21">
        <f t="shared" si="86"/>
        <v>29193388</v>
      </c>
      <c r="AX73" s="21">
        <f t="shared" si="86"/>
        <v>46800</v>
      </c>
      <c r="AY73" s="21">
        <f t="shared" si="86"/>
        <v>0</v>
      </c>
      <c r="AZ73" s="21">
        <f t="shared" si="86"/>
        <v>7174340</v>
      </c>
      <c r="BA73" s="21">
        <f t="shared" si="86"/>
        <v>1623868</v>
      </c>
      <c r="BB73" s="21">
        <f t="shared" si="86"/>
        <v>0</v>
      </c>
      <c r="BC73" s="21">
        <f t="shared" si="86"/>
        <v>0</v>
      </c>
      <c r="BD73" s="21">
        <f t="shared" si="86"/>
        <v>0</v>
      </c>
      <c r="BE73" s="21">
        <f t="shared" si="86"/>
        <v>0</v>
      </c>
      <c r="BF73" s="21">
        <f t="shared" si="86"/>
        <v>0</v>
      </c>
      <c r="BG73" s="21">
        <f t="shared" si="86"/>
        <v>0</v>
      </c>
      <c r="BH73" s="21">
        <f t="shared" si="86"/>
        <v>0</v>
      </c>
      <c r="BI73" s="21">
        <f t="shared" si="86"/>
        <v>0</v>
      </c>
      <c r="BJ73" s="21">
        <f t="shared" si="86"/>
        <v>0</v>
      </c>
      <c r="BK73" s="21">
        <f t="shared" si="86"/>
        <v>459294</v>
      </c>
      <c r="BL73" s="21">
        <f t="shared" si="86"/>
        <v>459294</v>
      </c>
      <c r="BM73" s="21">
        <f t="shared" si="86"/>
        <v>1164574</v>
      </c>
      <c r="BN73" s="21">
        <f t="shared" si="86"/>
        <v>0</v>
      </c>
      <c r="BO73" s="21">
        <f t="shared" si="86"/>
        <v>0</v>
      </c>
      <c r="BP73" s="21">
        <f t="shared" si="86"/>
        <v>6230</v>
      </c>
      <c r="BQ73" s="21">
        <f t="shared" si="86"/>
        <v>0</v>
      </c>
      <c r="BR73" s="21">
        <f t="shared" si="86"/>
        <v>0</v>
      </c>
      <c r="BS73" s="21">
        <f t="shared" si="86"/>
        <v>0</v>
      </c>
      <c r="BT73" s="21">
        <f t="shared" ref="BT73:CW73" si="88">SUM(BT74+BT76+BT79+BT81+BT83+BT85+BT87)</f>
        <v>0</v>
      </c>
      <c r="BU73" s="21">
        <f t="shared" si="88"/>
        <v>0</v>
      </c>
      <c r="BV73" s="21">
        <f t="shared" si="88"/>
        <v>0</v>
      </c>
      <c r="BW73" s="21">
        <f t="shared" si="88"/>
        <v>406772</v>
      </c>
      <c r="BX73" s="21">
        <f t="shared" si="88"/>
        <v>751572</v>
      </c>
      <c r="BY73" s="21">
        <f t="shared" si="88"/>
        <v>14773356</v>
      </c>
      <c r="BZ73" s="21">
        <f t="shared" si="88"/>
        <v>14773356</v>
      </c>
      <c r="CA73" s="21">
        <f t="shared" si="88"/>
        <v>14473356</v>
      </c>
      <c r="CB73" s="21">
        <f t="shared" si="88"/>
        <v>0</v>
      </c>
      <c r="CC73" s="21">
        <f t="shared" si="88"/>
        <v>14473356</v>
      </c>
      <c r="CD73" s="21">
        <f t="shared" si="88"/>
        <v>0</v>
      </c>
      <c r="CE73" s="21">
        <f t="shared" si="88"/>
        <v>0</v>
      </c>
      <c r="CF73" s="21">
        <f>SUM(CF74+CF76+CF79+CF81+CF83+CF85+CF87)</f>
        <v>0</v>
      </c>
      <c r="CG73" s="21">
        <f t="shared" si="88"/>
        <v>0</v>
      </c>
      <c r="CH73" s="21">
        <f t="shared" si="88"/>
        <v>0</v>
      </c>
      <c r="CI73" s="21">
        <f t="shared" si="88"/>
        <v>0</v>
      </c>
      <c r="CJ73" s="21">
        <f t="shared" ref="CJ73" si="89">SUM(CJ74+CJ76+CJ79+CJ81+CJ83+CJ85+CJ87)</f>
        <v>0</v>
      </c>
      <c r="CK73" s="21">
        <f t="shared" si="88"/>
        <v>300000</v>
      </c>
      <c r="CL73" s="21">
        <f t="shared" si="88"/>
        <v>0</v>
      </c>
      <c r="CM73" s="21">
        <f>SUM(CM74+CM76+CM79+CM81+CM83+CM85+CM87)</f>
        <v>0</v>
      </c>
      <c r="CN73" s="21">
        <f t="shared" si="88"/>
        <v>0</v>
      </c>
      <c r="CO73" s="21">
        <f t="shared" si="88"/>
        <v>300000</v>
      </c>
      <c r="CP73" s="21">
        <f t="shared" si="88"/>
        <v>0</v>
      </c>
      <c r="CQ73" s="21">
        <f t="shared" si="88"/>
        <v>0</v>
      </c>
      <c r="CR73" s="21">
        <f t="shared" si="88"/>
        <v>0</v>
      </c>
      <c r="CS73" s="21">
        <f t="shared" si="88"/>
        <v>0</v>
      </c>
      <c r="CT73" s="21">
        <f t="shared" si="88"/>
        <v>0</v>
      </c>
      <c r="CU73" s="21">
        <f t="shared" si="88"/>
        <v>0</v>
      </c>
      <c r="CV73" s="21">
        <f t="shared" si="88"/>
        <v>0</v>
      </c>
      <c r="CW73" s="22">
        <f t="shared" si="88"/>
        <v>0</v>
      </c>
      <c r="CX73" s="40"/>
      <c r="CY73" s="40"/>
    </row>
    <row r="74" spans="1:103" ht="15.75" x14ac:dyDescent="0.25">
      <c r="A74" s="13" t="s">
        <v>50</v>
      </c>
      <c r="B74" s="14" t="s">
        <v>3</v>
      </c>
      <c r="C74" s="14" t="s">
        <v>1</v>
      </c>
      <c r="D74" s="30" t="s">
        <v>90</v>
      </c>
      <c r="E74" s="15">
        <f t="shared" ref="E74:AJ74" si="90">SUM(E75)</f>
        <v>283247814</v>
      </c>
      <c r="F74" s="16">
        <f t="shared" si="90"/>
        <v>272700312</v>
      </c>
      <c r="G74" s="16">
        <f t="shared" si="90"/>
        <v>272006306</v>
      </c>
      <c r="H74" s="16">
        <f t="shared" si="90"/>
        <v>197071763</v>
      </c>
      <c r="I74" s="16">
        <f t="shared" si="90"/>
        <v>8295856</v>
      </c>
      <c r="J74" s="16">
        <f t="shared" si="90"/>
        <v>31525988</v>
      </c>
      <c r="K74" s="16">
        <f t="shared" si="90"/>
        <v>291647</v>
      </c>
      <c r="L74" s="16">
        <f t="shared" si="90"/>
        <v>14210000</v>
      </c>
      <c r="M74" s="16">
        <f t="shared" si="90"/>
        <v>5521786</v>
      </c>
      <c r="N74" s="16">
        <f t="shared" si="90"/>
        <v>0</v>
      </c>
      <c r="O74" s="16">
        <f t="shared" si="90"/>
        <v>10260000</v>
      </c>
      <c r="P74" s="16">
        <f t="shared" si="90"/>
        <v>1242555</v>
      </c>
      <c r="Q74" s="16">
        <f t="shared" si="90"/>
        <v>195157</v>
      </c>
      <c r="R74" s="16">
        <f t="shared" si="90"/>
        <v>93371</v>
      </c>
      <c r="S74" s="16">
        <f t="shared" si="90"/>
        <v>101786</v>
      </c>
      <c r="T74" s="16">
        <f t="shared" si="90"/>
        <v>0</v>
      </c>
      <c r="U74" s="16">
        <f t="shared" si="90"/>
        <v>3800000</v>
      </c>
      <c r="V74" s="16">
        <f t="shared" si="90"/>
        <v>3015758</v>
      </c>
      <c r="W74" s="16">
        <f t="shared" si="90"/>
        <v>65000</v>
      </c>
      <c r="X74" s="16">
        <f t="shared" si="90"/>
        <v>1096862</v>
      </c>
      <c r="Y74" s="16">
        <f t="shared" si="90"/>
        <v>1055538</v>
      </c>
      <c r="Z74" s="16">
        <f t="shared" si="90"/>
        <v>355236</v>
      </c>
      <c r="AA74" s="16">
        <f t="shared" si="90"/>
        <v>344962</v>
      </c>
      <c r="AB74" s="16">
        <f t="shared" si="90"/>
        <v>47123</v>
      </c>
      <c r="AC74" s="16">
        <f t="shared" si="90"/>
        <v>0</v>
      </c>
      <c r="AD74" s="16">
        <f t="shared" si="90"/>
        <v>51037</v>
      </c>
      <c r="AE74" s="16">
        <f t="shared" si="90"/>
        <v>28101784</v>
      </c>
      <c r="AF74" s="16">
        <f t="shared" si="90"/>
        <v>0</v>
      </c>
      <c r="AG74" s="16">
        <f t="shared" si="90"/>
        <v>98033</v>
      </c>
      <c r="AH74" s="16">
        <f t="shared" si="90"/>
        <v>248009</v>
      </c>
      <c r="AI74" s="16">
        <f t="shared" si="90"/>
        <v>39747</v>
      </c>
      <c r="AJ74" s="16">
        <f t="shared" si="90"/>
        <v>54522</v>
      </c>
      <c r="AK74" s="16">
        <f t="shared" ref="AK74:BR74" si="91">SUM(AK75)</f>
        <v>75333</v>
      </c>
      <c r="AL74" s="16">
        <f t="shared" si="91"/>
        <v>1957376</v>
      </c>
      <c r="AM74" s="16">
        <f t="shared" si="91"/>
        <v>1736351</v>
      </c>
      <c r="AN74" s="16">
        <f t="shared" si="91"/>
        <v>18042</v>
      </c>
      <c r="AO74" s="16">
        <f t="shared" si="91"/>
        <v>11108</v>
      </c>
      <c r="AP74" s="16">
        <f t="shared" si="91"/>
        <v>0</v>
      </c>
      <c r="AQ74" s="16">
        <f t="shared" si="91"/>
        <v>297993</v>
      </c>
      <c r="AR74" s="16">
        <f t="shared" si="91"/>
        <v>107567</v>
      </c>
      <c r="AS74" s="16">
        <f t="shared" si="91"/>
        <v>0</v>
      </c>
      <c r="AT74" s="16">
        <f t="shared" si="91"/>
        <v>0</v>
      </c>
      <c r="AU74" s="16">
        <f t="shared" si="91"/>
        <v>0</v>
      </c>
      <c r="AV74" s="16">
        <f t="shared" si="91"/>
        <v>0</v>
      </c>
      <c r="AW74" s="16">
        <f t="shared" si="91"/>
        <v>17569978</v>
      </c>
      <c r="AX74" s="16">
        <f t="shared" si="91"/>
        <v>0</v>
      </c>
      <c r="AY74" s="16">
        <f t="shared" si="91"/>
        <v>0</v>
      </c>
      <c r="AZ74" s="16">
        <f t="shared" si="91"/>
        <v>5887725</v>
      </c>
      <c r="BA74" s="16">
        <f t="shared" si="91"/>
        <v>694006</v>
      </c>
      <c r="BB74" s="16">
        <f t="shared" si="91"/>
        <v>0</v>
      </c>
      <c r="BC74" s="16">
        <f t="shared" si="91"/>
        <v>0</v>
      </c>
      <c r="BD74" s="16">
        <f t="shared" si="91"/>
        <v>0</v>
      </c>
      <c r="BE74" s="16">
        <f t="shared" si="91"/>
        <v>0</v>
      </c>
      <c r="BF74" s="16">
        <f t="shared" si="91"/>
        <v>0</v>
      </c>
      <c r="BG74" s="16">
        <f t="shared" si="91"/>
        <v>0</v>
      </c>
      <c r="BH74" s="16">
        <f t="shared" si="91"/>
        <v>0</v>
      </c>
      <c r="BI74" s="16">
        <f t="shared" si="91"/>
        <v>0</v>
      </c>
      <c r="BJ74" s="16">
        <f t="shared" si="91"/>
        <v>0</v>
      </c>
      <c r="BK74" s="16">
        <f t="shared" si="91"/>
        <v>304566</v>
      </c>
      <c r="BL74" s="16">
        <f t="shared" si="91"/>
        <v>304566</v>
      </c>
      <c r="BM74" s="16">
        <f t="shared" si="91"/>
        <v>389440</v>
      </c>
      <c r="BN74" s="16">
        <f t="shared" si="91"/>
        <v>0</v>
      </c>
      <c r="BO74" s="16">
        <f t="shared" si="91"/>
        <v>0</v>
      </c>
      <c r="BP74" s="16">
        <f t="shared" si="91"/>
        <v>6230</v>
      </c>
      <c r="BQ74" s="16">
        <f t="shared" si="91"/>
        <v>0</v>
      </c>
      <c r="BR74" s="16">
        <f t="shared" si="91"/>
        <v>0</v>
      </c>
      <c r="BS74" s="16">
        <f t="shared" ref="BS74:CW74" si="92">SUM(BS75)</f>
        <v>0</v>
      </c>
      <c r="BT74" s="16">
        <f t="shared" si="92"/>
        <v>0</v>
      </c>
      <c r="BU74" s="16">
        <f t="shared" si="92"/>
        <v>0</v>
      </c>
      <c r="BV74" s="16">
        <f t="shared" si="92"/>
        <v>0</v>
      </c>
      <c r="BW74" s="16">
        <f t="shared" si="92"/>
        <v>383210</v>
      </c>
      <c r="BX74" s="16">
        <f t="shared" si="92"/>
        <v>0</v>
      </c>
      <c r="BY74" s="16">
        <f t="shared" si="92"/>
        <v>10547502</v>
      </c>
      <c r="BZ74" s="16">
        <f t="shared" si="92"/>
        <v>10547502</v>
      </c>
      <c r="CA74" s="16">
        <f t="shared" si="92"/>
        <v>10547502</v>
      </c>
      <c r="CB74" s="16">
        <f t="shared" si="92"/>
        <v>0</v>
      </c>
      <c r="CC74" s="16">
        <f t="shared" si="92"/>
        <v>10547502</v>
      </c>
      <c r="CD74" s="16">
        <f t="shared" si="92"/>
        <v>0</v>
      </c>
      <c r="CE74" s="16">
        <f t="shared" si="92"/>
        <v>0</v>
      </c>
      <c r="CF74" s="16">
        <f t="shared" si="92"/>
        <v>0</v>
      </c>
      <c r="CG74" s="16">
        <f t="shared" si="92"/>
        <v>0</v>
      </c>
      <c r="CH74" s="16">
        <f t="shared" si="92"/>
        <v>0</v>
      </c>
      <c r="CI74" s="16">
        <f t="shared" si="92"/>
        <v>0</v>
      </c>
      <c r="CJ74" s="16">
        <f t="shared" si="92"/>
        <v>0</v>
      </c>
      <c r="CK74" s="16">
        <f t="shared" si="92"/>
        <v>0</v>
      </c>
      <c r="CL74" s="16">
        <f t="shared" si="92"/>
        <v>0</v>
      </c>
      <c r="CM74" s="16">
        <f t="shared" si="92"/>
        <v>0</v>
      </c>
      <c r="CN74" s="16">
        <f t="shared" si="92"/>
        <v>0</v>
      </c>
      <c r="CO74" s="16">
        <f t="shared" si="92"/>
        <v>0</v>
      </c>
      <c r="CP74" s="16">
        <f t="shared" si="92"/>
        <v>0</v>
      </c>
      <c r="CQ74" s="16">
        <f t="shared" si="92"/>
        <v>0</v>
      </c>
      <c r="CR74" s="16">
        <f t="shared" si="92"/>
        <v>0</v>
      </c>
      <c r="CS74" s="16">
        <f t="shared" si="92"/>
        <v>0</v>
      </c>
      <c r="CT74" s="16">
        <f t="shared" si="92"/>
        <v>0</v>
      </c>
      <c r="CU74" s="16">
        <f t="shared" si="92"/>
        <v>0</v>
      </c>
      <c r="CV74" s="16">
        <f t="shared" si="92"/>
        <v>0</v>
      </c>
      <c r="CW74" s="17">
        <f t="shared" si="92"/>
        <v>0</v>
      </c>
      <c r="CX74" s="40"/>
      <c r="CY74" s="40"/>
    </row>
    <row r="75" spans="1:103" ht="15.75" x14ac:dyDescent="0.25">
      <c r="A75" s="13" t="s">
        <v>1</v>
      </c>
      <c r="B75" s="14" t="s">
        <v>1</v>
      </c>
      <c r="C75" s="14" t="s">
        <v>91</v>
      </c>
      <c r="D75" s="30" t="s">
        <v>92</v>
      </c>
      <c r="E75" s="15">
        <f>SUM(F75+BY75+CT75)</f>
        <v>283247814</v>
      </c>
      <c r="F75" s="16">
        <f>SUM(G75+BA75)</f>
        <v>272700312</v>
      </c>
      <c r="G75" s="16">
        <f>SUM(H75+I75+J75+Q75+T75+U75+V75+AE75)</f>
        <v>272006306</v>
      </c>
      <c r="H75" s="16">
        <f>193513809+3557954</f>
        <v>197071763</v>
      </c>
      <c r="I75" s="16">
        <v>8295856</v>
      </c>
      <c r="J75" s="16">
        <f t="shared" si="7"/>
        <v>31525988</v>
      </c>
      <c r="K75" s="16">
        <v>291647</v>
      </c>
      <c r="L75" s="16">
        <v>14210000</v>
      </c>
      <c r="M75" s="16">
        <v>5521786</v>
      </c>
      <c r="N75" s="16">
        <v>0</v>
      </c>
      <c r="O75" s="16">
        <v>10260000</v>
      </c>
      <c r="P75" s="16">
        <v>1242555</v>
      </c>
      <c r="Q75" s="16">
        <f t="shared" si="8"/>
        <v>195157</v>
      </c>
      <c r="R75" s="16">
        <v>93371</v>
      </c>
      <c r="S75" s="16">
        <v>101786</v>
      </c>
      <c r="T75" s="16">
        <v>0</v>
      </c>
      <c r="U75" s="16">
        <v>3800000</v>
      </c>
      <c r="V75" s="16">
        <f>SUM(W75:AD75)</f>
        <v>3015758</v>
      </c>
      <c r="W75" s="16">
        <v>65000</v>
      </c>
      <c r="X75" s="16">
        <f>1070452+26410</f>
        <v>1096862</v>
      </c>
      <c r="Y75" s="16">
        <f>1049918+5620</f>
        <v>1055538</v>
      </c>
      <c r="Z75" s="16">
        <f>354746+490</f>
        <v>355236</v>
      </c>
      <c r="AA75" s="16">
        <v>344962</v>
      </c>
      <c r="AB75" s="16">
        <v>47123</v>
      </c>
      <c r="AC75" s="16">
        <v>0</v>
      </c>
      <c r="AD75" s="16">
        <f>52446-1409</f>
        <v>51037</v>
      </c>
      <c r="AE75" s="16">
        <f>SUM(AF75:AZ75)</f>
        <v>28101784</v>
      </c>
      <c r="AF75" s="16">
        <v>0</v>
      </c>
      <c r="AG75" s="16">
        <v>98033</v>
      </c>
      <c r="AH75" s="16">
        <v>248009</v>
      </c>
      <c r="AI75" s="16">
        <f>39747</f>
        <v>39747</v>
      </c>
      <c r="AJ75" s="16">
        <f>54522</f>
        <v>54522</v>
      </c>
      <c r="AK75" s="16">
        <f>75333</f>
        <v>75333</v>
      </c>
      <c r="AL75" s="16">
        <v>1957376</v>
      </c>
      <c r="AM75" s="16">
        <v>1736351</v>
      </c>
      <c r="AN75" s="16">
        <v>18042</v>
      </c>
      <c r="AO75" s="16">
        <v>11108</v>
      </c>
      <c r="AP75" s="16"/>
      <c r="AQ75" s="16">
        <v>297993</v>
      </c>
      <c r="AR75" s="16">
        <v>107567</v>
      </c>
      <c r="AS75" s="16">
        <v>0</v>
      </c>
      <c r="AT75" s="16">
        <v>0</v>
      </c>
      <c r="AU75" s="16">
        <v>0</v>
      </c>
      <c r="AV75" s="16">
        <v>0</v>
      </c>
      <c r="AW75" s="16">
        <v>17569978</v>
      </c>
      <c r="AX75" s="16">
        <v>0</v>
      </c>
      <c r="AY75" s="16"/>
      <c r="AZ75" s="16">
        <v>5887725</v>
      </c>
      <c r="BA75" s="16">
        <f>SUM(BB75+BF75+BI75+BK75+BM75)</f>
        <v>694006</v>
      </c>
      <c r="BB75" s="16">
        <f>SUM(BC75:BE75)</f>
        <v>0</v>
      </c>
      <c r="BC75" s="16">
        <v>0</v>
      </c>
      <c r="BD75" s="16">
        <v>0</v>
      </c>
      <c r="BE75" s="16">
        <v>0</v>
      </c>
      <c r="BF75" s="16">
        <f t="shared" si="9"/>
        <v>0</v>
      </c>
      <c r="BG75" s="16">
        <v>0</v>
      </c>
      <c r="BH75" s="16">
        <v>0</v>
      </c>
      <c r="BI75" s="16">
        <v>0</v>
      </c>
      <c r="BJ75" s="16">
        <v>0</v>
      </c>
      <c r="BK75" s="16">
        <f t="shared" si="10"/>
        <v>304566</v>
      </c>
      <c r="BL75" s="16">
        <v>304566</v>
      </c>
      <c r="BM75" s="16">
        <f t="shared" si="11"/>
        <v>389440</v>
      </c>
      <c r="BN75" s="16">
        <v>0</v>
      </c>
      <c r="BO75" s="16">
        <v>0</v>
      </c>
      <c r="BP75" s="16">
        <v>6230</v>
      </c>
      <c r="BQ75" s="16">
        <v>0</v>
      </c>
      <c r="BR75" s="16">
        <v>0</v>
      </c>
      <c r="BS75" s="16">
        <v>0</v>
      </c>
      <c r="BT75" s="16">
        <v>0</v>
      </c>
      <c r="BU75" s="16">
        <v>0</v>
      </c>
      <c r="BV75" s="16">
        <v>0</v>
      </c>
      <c r="BW75" s="16">
        <v>383210</v>
      </c>
      <c r="BX75" s="16">
        <v>0</v>
      </c>
      <c r="BY75" s="16">
        <f>SUM(BZ75+CS75)</f>
        <v>10547502</v>
      </c>
      <c r="BZ75" s="16">
        <f>SUM(CA75+CD75+CK75)</f>
        <v>10547502</v>
      </c>
      <c r="CA75" s="16">
        <f t="shared" si="12"/>
        <v>10547502</v>
      </c>
      <c r="CB75" s="16">
        <v>0</v>
      </c>
      <c r="CC75" s="16">
        <v>10547502</v>
      </c>
      <c r="CD75" s="16">
        <f t="shared" si="13"/>
        <v>0</v>
      </c>
      <c r="CE75" s="16">
        <v>0</v>
      </c>
      <c r="CF75" s="16">
        <v>0</v>
      </c>
      <c r="CG75" s="16">
        <v>0</v>
      </c>
      <c r="CH75" s="16">
        <v>0</v>
      </c>
      <c r="CI75" s="16">
        <v>0</v>
      </c>
      <c r="CJ75" s="16">
        <v>0</v>
      </c>
      <c r="CK75" s="16">
        <f t="shared" si="14"/>
        <v>0</v>
      </c>
      <c r="CL75" s="16">
        <v>0</v>
      </c>
      <c r="CM75" s="16">
        <v>0</v>
      </c>
      <c r="CN75" s="16">
        <v>0</v>
      </c>
      <c r="CO75" s="16">
        <v>0</v>
      </c>
      <c r="CP75" s="16">
        <v>0</v>
      </c>
      <c r="CQ75" s="16"/>
      <c r="CR75" s="16"/>
      <c r="CS75" s="16">
        <v>0</v>
      </c>
      <c r="CT75" s="16">
        <f t="shared" si="15"/>
        <v>0</v>
      </c>
      <c r="CU75" s="16">
        <f t="shared" si="16"/>
        <v>0</v>
      </c>
      <c r="CV75" s="16">
        <v>0</v>
      </c>
      <c r="CW75" s="17">
        <v>0</v>
      </c>
      <c r="CX75" s="40"/>
      <c r="CY75" s="40"/>
    </row>
    <row r="76" spans="1:103" ht="31.5" x14ac:dyDescent="0.25">
      <c r="A76" s="13" t="s">
        <v>50</v>
      </c>
      <c r="B76" s="14" t="s">
        <v>15</v>
      </c>
      <c r="C76" s="14" t="s">
        <v>1</v>
      </c>
      <c r="D76" s="30" t="s">
        <v>498</v>
      </c>
      <c r="E76" s="15">
        <f>SUM(E77:E78)</f>
        <v>93934613</v>
      </c>
      <c r="F76" s="16">
        <f t="shared" ref="F76:BS76" si="93">SUM(F77:F78)</f>
        <v>92758062</v>
      </c>
      <c r="G76" s="16">
        <f t="shared" si="93"/>
        <v>92743062</v>
      </c>
      <c r="H76" s="16">
        <f t="shared" si="93"/>
        <v>53084080</v>
      </c>
      <c r="I76" s="16">
        <f t="shared" si="93"/>
        <v>1815124</v>
      </c>
      <c r="J76" s="16">
        <f t="shared" si="93"/>
        <v>27866694</v>
      </c>
      <c r="K76" s="16">
        <f t="shared" si="93"/>
        <v>396973</v>
      </c>
      <c r="L76" s="16">
        <f t="shared" si="93"/>
        <v>5875008</v>
      </c>
      <c r="M76" s="16">
        <f t="shared" si="93"/>
        <v>16960028</v>
      </c>
      <c r="N76" s="16">
        <f t="shared" si="93"/>
        <v>0</v>
      </c>
      <c r="O76" s="16">
        <f t="shared" si="93"/>
        <v>3281334</v>
      </c>
      <c r="P76" s="16">
        <f t="shared" si="93"/>
        <v>1353351</v>
      </c>
      <c r="Q76" s="16">
        <f t="shared" si="93"/>
        <v>27611</v>
      </c>
      <c r="R76" s="16">
        <f t="shared" si="93"/>
        <v>27611</v>
      </c>
      <c r="S76" s="16">
        <f t="shared" si="93"/>
        <v>0</v>
      </c>
      <c r="T76" s="16">
        <f t="shared" si="93"/>
        <v>0</v>
      </c>
      <c r="U76" s="16">
        <f t="shared" si="93"/>
        <v>490176</v>
      </c>
      <c r="V76" s="16">
        <f t="shared" si="93"/>
        <v>3519832</v>
      </c>
      <c r="W76" s="16">
        <f t="shared" si="93"/>
        <v>550096</v>
      </c>
      <c r="X76" s="16">
        <f t="shared" si="93"/>
        <v>25930</v>
      </c>
      <c r="Y76" s="16">
        <f t="shared" si="93"/>
        <v>1529883</v>
      </c>
      <c r="Z76" s="16">
        <f t="shared" si="93"/>
        <v>1041215</v>
      </c>
      <c r="AA76" s="16">
        <f t="shared" si="93"/>
        <v>206069</v>
      </c>
      <c r="AB76" s="16">
        <f t="shared" si="93"/>
        <v>0</v>
      </c>
      <c r="AC76" s="16">
        <f t="shared" si="93"/>
        <v>0</v>
      </c>
      <c r="AD76" s="16">
        <f t="shared" ref="AD76" si="94">SUM(AD77:AD78)</f>
        <v>166639</v>
      </c>
      <c r="AE76" s="16">
        <f t="shared" si="93"/>
        <v>5939545</v>
      </c>
      <c r="AF76" s="16">
        <f t="shared" si="93"/>
        <v>0</v>
      </c>
      <c r="AG76" s="16">
        <f t="shared" si="93"/>
        <v>0</v>
      </c>
      <c r="AH76" s="16">
        <f t="shared" si="93"/>
        <v>710862</v>
      </c>
      <c r="AI76" s="16">
        <f t="shared" si="93"/>
        <v>0</v>
      </c>
      <c r="AJ76" s="16">
        <f t="shared" si="93"/>
        <v>12492</v>
      </c>
      <c r="AK76" s="16">
        <f t="shared" si="93"/>
        <v>0</v>
      </c>
      <c r="AL76" s="16">
        <f t="shared" si="93"/>
        <v>125632</v>
      </c>
      <c r="AM76" s="16">
        <f t="shared" si="93"/>
        <v>62374</v>
      </c>
      <c r="AN76" s="16">
        <f t="shared" si="93"/>
        <v>13386</v>
      </c>
      <c r="AO76" s="16">
        <f t="shared" si="93"/>
        <v>0</v>
      </c>
      <c r="AP76" s="16">
        <f>SUM(AP77:AP78)</f>
        <v>0</v>
      </c>
      <c r="AQ76" s="16">
        <f t="shared" si="93"/>
        <v>313124</v>
      </c>
      <c r="AR76" s="16">
        <f t="shared" si="93"/>
        <v>0</v>
      </c>
      <c r="AS76" s="16">
        <f t="shared" si="93"/>
        <v>0</v>
      </c>
      <c r="AT76" s="16">
        <f t="shared" si="93"/>
        <v>0</v>
      </c>
      <c r="AU76" s="16">
        <f t="shared" si="93"/>
        <v>0</v>
      </c>
      <c r="AV76" s="16">
        <f t="shared" si="93"/>
        <v>0</v>
      </c>
      <c r="AW76" s="16">
        <f t="shared" si="93"/>
        <v>4350829</v>
      </c>
      <c r="AX76" s="16">
        <f t="shared" si="93"/>
        <v>0</v>
      </c>
      <c r="AY76" s="16">
        <f t="shared" si="93"/>
        <v>0</v>
      </c>
      <c r="AZ76" s="16">
        <f t="shared" si="93"/>
        <v>350846</v>
      </c>
      <c r="BA76" s="16">
        <f t="shared" si="93"/>
        <v>15000</v>
      </c>
      <c r="BB76" s="16">
        <f t="shared" si="93"/>
        <v>0</v>
      </c>
      <c r="BC76" s="16">
        <f t="shared" si="93"/>
        <v>0</v>
      </c>
      <c r="BD76" s="16">
        <f t="shared" si="93"/>
        <v>0</v>
      </c>
      <c r="BE76" s="16">
        <f t="shared" si="93"/>
        <v>0</v>
      </c>
      <c r="BF76" s="16">
        <f t="shared" si="93"/>
        <v>0</v>
      </c>
      <c r="BG76" s="16">
        <f t="shared" si="93"/>
        <v>0</v>
      </c>
      <c r="BH76" s="16">
        <f t="shared" si="93"/>
        <v>0</v>
      </c>
      <c r="BI76" s="16">
        <f t="shared" si="93"/>
        <v>0</v>
      </c>
      <c r="BJ76" s="16">
        <f t="shared" si="93"/>
        <v>0</v>
      </c>
      <c r="BK76" s="16">
        <f t="shared" si="93"/>
        <v>15000</v>
      </c>
      <c r="BL76" s="16">
        <f t="shared" si="93"/>
        <v>15000</v>
      </c>
      <c r="BM76" s="16">
        <f t="shared" si="93"/>
        <v>0</v>
      </c>
      <c r="BN76" s="16">
        <f t="shared" si="93"/>
        <v>0</v>
      </c>
      <c r="BO76" s="16">
        <f t="shared" si="93"/>
        <v>0</v>
      </c>
      <c r="BP76" s="16">
        <f t="shared" si="93"/>
        <v>0</v>
      </c>
      <c r="BQ76" s="16">
        <f t="shared" si="93"/>
        <v>0</v>
      </c>
      <c r="BR76" s="16">
        <f t="shared" si="93"/>
        <v>0</v>
      </c>
      <c r="BS76" s="16">
        <f t="shared" si="93"/>
        <v>0</v>
      </c>
      <c r="BT76" s="16">
        <f t="shared" ref="BT76:CW76" si="95">SUM(BT77:BT78)</f>
        <v>0</v>
      </c>
      <c r="BU76" s="16">
        <f t="shared" si="95"/>
        <v>0</v>
      </c>
      <c r="BV76" s="16">
        <f t="shared" si="95"/>
        <v>0</v>
      </c>
      <c r="BW76" s="16">
        <f t="shared" si="95"/>
        <v>0</v>
      </c>
      <c r="BX76" s="16">
        <f t="shared" si="95"/>
        <v>0</v>
      </c>
      <c r="BY76" s="16">
        <f t="shared" si="95"/>
        <v>1176551</v>
      </c>
      <c r="BZ76" s="16">
        <f t="shared" si="95"/>
        <v>1176551</v>
      </c>
      <c r="CA76" s="16">
        <f t="shared" si="95"/>
        <v>1176551</v>
      </c>
      <c r="CB76" s="16">
        <f t="shared" si="95"/>
        <v>0</v>
      </c>
      <c r="CC76" s="16">
        <f t="shared" si="95"/>
        <v>1176551</v>
      </c>
      <c r="CD76" s="16">
        <f t="shared" si="95"/>
        <v>0</v>
      </c>
      <c r="CE76" s="16">
        <f t="shared" si="95"/>
        <v>0</v>
      </c>
      <c r="CF76" s="16">
        <f>SUM(CF77:CF78)</f>
        <v>0</v>
      </c>
      <c r="CG76" s="16">
        <f t="shared" si="95"/>
        <v>0</v>
      </c>
      <c r="CH76" s="16">
        <f t="shared" si="95"/>
        <v>0</v>
      </c>
      <c r="CI76" s="16">
        <f t="shared" si="95"/>
        <v>0</v>
      </c>
      <c r="CJ76" s="16">
        <f t="shared" ref="CJ76" si="96">SUM(CJ77:CJ78)</f>
        <v>0</v>
      </c>
      <c r="CK76" s="16">
        <f t="shared" si="95"/>
        <v>0</v>
      </c>
      <c r="CL76" s="16">
        <f t="shared" si="95"/>
        <v>0</v>
      </c>
      <c r="CM76" s="16">
        <f>SUM(CM77:CM78)</f>
        <v>0</v>
      </c>
      <c r="CN76" s="16">
        <f t="shared" si="95"/>
        <v>0</v>
      </c>
      <c r="CO76" s="16">
        <f t="shared" si="95"/>
        <v>0</v>
      </c>
      <c r="CP76" s="16">
        <f t="shared" si="95"/>
        <v>0</v>
      </c>
      <c r="CQ76" s="16">
        <f t="shared" si="95"/>
        <v>0</v>
      </c>
      <c r="CR76" s="16">
        <f t="shared" si="95"/>
        <v>0</v>
      </c>
      <c r="CS76" s="16">
        <f t="shared" si="95"/>
        <v>0</v>
      </c>
      <c r="CT76" s="16">
        <f t="shared" si="95"/>
        <v>0</v>
      </c>
      <c r="CU76" s="16">
        <f t="shared" si="95"/>
        <v>0</v>
      </c>
      <c r="CV76" s="16">
        <f t="shared" si="95"/>
        <v>0</v>
      </c>
      <c r="CW76" s="17">
        <f t="shared" si="95"/>
        <v>0</v>
      </c>
      <c r="CX76" s="40"/>
      <c r="CY76" s="40"/>
    </row>
    <row r="77" spans="1:103" ht="15.75" x14ac:dyDescent="0.25">
      <c r="A77" s="13" t="s">
        <v>1</v>
      </c>
      <c r="B77" s="14" t="s">
        <v>1</v>
      </c>
      <c r="C77" s="14" t="s">
        <v>93</v>
      </c>
      <c r="D77" s="30" t="s">
        <v>94</v>
      </c>
      <c r="E77" s="15">
        <f>SUM(F77+BY77+CT77)</f>
        <v>5456088</v>
      </c>
      <c r="F77" s="16">
        <f>SUM(G77+BA77)</f>
        <v>5363637</v>
      </c>
      <c r="G77" s="16">
        <f>SUM(H77+I77+J77+Q77+T77+U77+V77+AE77)</f>
        <v>5363637</v>
      </c>
      <c r="H77" s="16">
        <v>4281945</v>
      </c>
      <c r="I77" s="16">
        <v>107049</v>
      </c>
      <c r="J77" s="16">
        <f t="shared" si="7"/>
        <v>279988</v>
      </c>
      <c r="K77" s="16">
        <v>0</v>
      </c>
      <c r="L77" s="16">
        <v>118309</v>
      </c>
      <c r="M77" s="16">
        <v>0</v>
      </c>
      <c r="N77" s="16">
        <v>0</v>
      </c>
      <c r="O77" s="16">
        <v>159520</v>
      </c>
      <c r="P77" s="16">
        <v>2159</v>
      </c>
      <c r="Q77" s="16">
        <f t="shared" si="8"/>
        <v>11992</v>
      </c>
      <c r="R77" s="16">
        <v>11992</v>
      </c>
      <c r="S77" s="16">
        <v>0</v>
      </c>
      <c r="T77" s="16">
        <v>0</v>
      </c>
      <c r="U77" s="16">
        <v>227163</v>
      </c>
      <c r="V77" s="16">
        <f>SUM(W77:AD77)</f>
        <v>41613</v>
      </c>
      <c r="W77" s="16">
        <v>0</v>
      </c>
      <c r="X77" s="16">
        <v>23182</v>
      </c>
      <c r="Y77" s="16">
        <v>15341</v>
      </c>
      <c r="Z77" s="16">
        <v>1570</v>
      </c>
      <c r="AA77" s="16">
        <v>975</v>
      </c>
      <c r="AB77" s="16">
        <v>0</v>
      </c>
      <c r="AC77" s="16">
        <v>0</v>
      </c>
      <c r="AD77" s="16">
        <v>545</v>
      </c>
      <c r="AE77" s="16">
        <f>SUM(AF77:AZ77)</f>
        <v>413887</v>
      </c>
      <c r="AF77" s="16">
        <v>0</v>
      </c>
      <c r="AG77" s="16">
        <v>0</v>
      </c>
      <c r="AH77" s="16">
        <v>10862</v>
      </c>
      <c r="AI77" s="16">
        <v>0</v>
      </c>
      <c r="AJ77" s="16">
        <v>1591</v>
      </c>
      <c r="AK77" s="16">
        <v>0</v>
      </c>
      <c r="AL77" s="16">
        <v>46225</v>
      </c>
      <c r="AM77" s="16">
        <v>0</v>
      </c>
      <c r="AN77" s="16">
        <v>0</v>
      </c>
      <c r="AO77" s="16">
        <v>0</v>
      </c>
      <c r="AP77" s="16">
        <v>0</v>
      </c>
      <c r="AQ77" s="16">
        <v>0</v>
      </c>
      <c r="AR77" s="16">
        <v>0</v>
      </c>
      <c r="AS77" s="16">
        <v>0</v>
      </c>
      <c r="AT77" s="16">
        <v>0</v>
      </c>
      <c r="AU77" s="16">
        <v>0</v>
      </c>
      <c r="AV77" s="16">
        <v>0</v>
      </c>
      <c r="AW77" s="16">
        <v>350510</v>
      </c>
      <c r="AX77" s="16">
        <v>0</v>
      </c>
      <c r="AY77" s="16">
        <v>0</v>
      </c>
      <c r="AZ77" s="16">
        <v>4699</v>
      </c>
      <c r="BA77" s="16">
        <f>SUM(BB77+BF77+BI77+BK77+BM77)</f>
        <v>0</v>
      </c>
      <c r="BB77" s="16">
        <f>SUM(BC77:BE77)</f>
        <v>0</v>
      </c>
      <c r="BC77" s="16">
        <v>0</v>
      </c>
      <c r="BD77" s="16">
        <v>0</v>
      </c>
      <c r="BE77" s="16">
        <v>0</v>
      </c>
      <c r="BF77" s="16">
        <f t="shared" si="9"/>
        <v>0</v>
      </c>
      <c r="BG77" s="16">
        <v>0</v>
      </c>
      <c r="BH77" s="16">
        <v>0</v>
      </c>
      <c r="BI77" s="16">
        <v>0</v>
      </c>
      <c r="BJ77" s="16">
        <v>0</v>
      </c>
      <c r="BK77" s="16">
        <f t="shared" si="10"/>
        <v>0</v>
      </c>
      <c r="BL77" s="16">
        <v>0</v>
      </c>
      <c r="BM77" s="16">
        <f t="shared" si="11"/>
        <v>0</v>
      </c>
      <c r="BN77" s="16">
        <v>0</v>
      </c>
      <c r="BO77" s="16">
        <v>0</v>
      </c>
      <c r="BP77" s="16">
        <v>0</v>
      </c>
      <c r="BQ77" s="16">
        <v>0</v>
      </c>
      <c r="BR77" s="16">
        <v>0</v>
      </c>
      <c r="BS77" s="16">
        <v>0</v>
      </c>
      <c r="BT77" s="16">
        <v>0</v>
      </c>
      <c r="BU77" s="16">
        <v>0</v>
      </c>
      <c r="BV77" s="16">
        <v>0</v>
      </c>
      <c r="BW77" s="16">
        <v>0</v>
      </c>
      <c r="BX77" s="16">
        <v>0</v>
      </c>
      <c r="BY77" s="16">
        <f>SUM(BZ77+CS77)</f>
        <v>92451</v>
      </c>
      <c r="BZ77" s="16">
        <f>SUM(CA77+CD77+CK77)</f>
        <v>92451</v>
      </c>
      <c r="CA77" s="16">
        <f t="shared" si="12"/>
        <v>92451</v>
      </c>
      <c r="CB77" s="16">
        <v>0</v>
      </c>
      <c r="CC77" s="16">
        <v>92451</v>
      </c>
      <c r="CD77" s="16">
        <f t="shared" si="13"/>
        <v>0</v>
      </c>
      <c r="CE77" s="16">
        <v>0</v>
      </c>
      <c r="CF77" s="16">
        <v>0</v>
      </c>
      <c r="CG77" s="16">
        <v>0</v>
      </c>
      <c r="CH77" s="16">
        <v>0</v>
      </c>
      <c r="CI77" s="16">
        <v>0</v>
      </c>
      <c r="CJ77" s="16">
        <v>0</v>
      </c>
      <c r="CK77" s="16">
        <f t="shared" si="14"/>
        <v>0</v>
      </c>
      <c r="CL77" s="16">
        <v>0</v>
      </c>
      <c r="CM77" s="16">
        <v>0</v>
      </c>
      <c r="CN77" s="16">
        <v>0</v>
      </c>
      <c r="CO77" s="16">
        <v>0</v>
      </c>
      <c r="CP77" s="16">
        <v>0</v>
      </c>
      <c r="CQ77" s="16">
        <v>0</v>
      </c>
      <c r="CR77" s="16">
        <v>0</v>
      </c>
      <c r="CS77" s="16">
        <v>0</v>
      </c>
      <c r="CT77" s="16">
        <f t="shared" si="15"/>
        <v>0</v>
      </c>
      <c r="CU77" s="16">
        <f t="shared" si="16"/>
        <v>0</v>
      </c>
      <c r="CV77" s="16">
        <v>0</v>
      </c>
      <c r="CW77" s="17">
        <v>0</v>
      </c>
      <c r="CX77" s="40"/>
      <c r="CY77" s="40"/>
    </row>
    <row r="78" spans="1:103" ht="15.75" x14ac:dyDescent="0.25">
      <c r="A78" s="13" t="s">
        <v>1</v>
      </c>
      <c r="B78" s="14" t="s">
        <v>1</v>
      </c>
      <c r="C78" s="14" t="s">
        <v>95</v>
      </c>
      <c r="D78" s="30" t="s">
        <v>96</v>
      </c>
      <c r="E78" s="15">
        <f>SUM(F78+BY78+CT78)</f>
        <v>88478525</v>
      </c>
      <c r="F78" s="16">
        <f>SUM(G78+BA78)</f>
        <v>87394425</v>
      </c>
      <c r="G78" s="16">
        <f>SUM(H78+I78+J78+Q78+T78+U78+V78+AE78)</f>
        <v>87379425</v>
      </c>
      <c r="H78" s="16">
        <v>48802135</v>
      </c>
      <c r="I78" s="16">
        <v>1708075</v>
      </c>
      <c r="J78" s="16">
        <f t="shared" si="7"/>
        <v>27586706</v>
      </c>
      <c r="K78" s="16">
        <v>396973</v>
      </c>
      <c r="L78" s="16">
        <v>5756699</v>
      </c>
      <c r="M78" s="16">
        <v>16960028</v>
      </c>
      <c r="N78" s="16">
        <v>0</v>
      </c>
      <c r="O78" s="16">
        <v>3121814</v>
      </c>
      <c r="P78" s="16">
        <v>1351192</v>
      </c>
      <c r="Q78" s="16">
        <f t="shared" si="8"/>
        <v>15619</v>
      </c>
      <c r="R78" s="16">
        <v>15619</v>
      </c>
      <c r="S78" s="16">
        <v>0</v>
      </c>
      <c r="T78" s="16">
        <v>0</v>
      </c>
      <c r="U78" s="16">
        <v>263013</v>
      </c>
      <c r="V78" s="16">
        <f>SUM(W78:AD78)</f>
        <v>3478219</v>
      </c>
      <c r="W78" s="16">
        <v>550096</v>
      </c>
      <c r="X78" s="16">
        <v>2748</v>
      </c>
      <c r="Y78" s="16">
        <v>1514542</v>
      </c>
      <c r="Z78" s="16">
        <v>1039645</v>
      </c>
      <c r="AA78" s="16">
        <v>205094</v>
      </c>
      <c r="AB78" s="16">
        <v>0</v>
      </c>
      <c r="AC78" s="16">
        <v>0</v>
      </c>
      <c r="AD78" s="16">
        <v>166094</v>
      </c>
      <c r="AE78" s="16">
        <f>SUM(AF78:AZ78)</f>
        <v>5525658</v>
      </c>
      <c r="AF78" s="16">
        <v>0</v>
      </c>
      <c r="AG78" s="16">
        <v>0</v>
      </c>
      <c r="AH78" s="16">
        <v>700000</v>
      </c>
      <c r="AI78" s="16">
        <v>0</v>
      </c>
      <c r="AJ78" s="16">
        <v>10901</v>
      </c>
      <c r="AK78" s="16">
        <v>0</v>
      </c>
      <c r="AL78" s="16">
        <v>79407</v>
      </c>
      <c r="AM78" s="16">
        <v>62374</v>
      </c>
      <c r="AN78" s="16">
        <v>13386</v>
      </c>
      <c r="AO78" s="16">
        <v>0</v>
      </c>
      <c r="AP78" s="16">
        <v>0</v>
      </c>
      <c r="AQ78" s="16">
        <v>313124</v>
      </c>
      <c r="AR78" s="16">
        <v>0</v>
      </c>
      <c r="AS78" s="16">
        <v>0</v>
      </c>
      <c r="AT78" s="16">
        <v>0</v>
      </c>
      <c r="AU78" s="16">
        <v>0</v>
      </c>
      <c r="AV78" s="16">
        <v>0</v>
      </c>
      <c r="AW78" s="16">
        <v>4000319</v>
      </c>
      <c r="AX78" s="16">
        <v>0</v>
      </c>
      <c r="AY78" s="16">
        <v>0</v>
      </c>
      <c r="AZ78" s="16">
        <v>346147</v>
      </c>
      <c r="BA78" s="16">
        <f>SUM(BB78+BF78+BI78+BK78+BM78)</f>
        <v>15000</v>
      </c>
      <c r="BB78" s="16">
        <f>SUM(BC78:BE78)</f>
        <v>0</v>
      </c>
      <c r="BC78" s="16">
        <v>0</v>
      </c>
      <c r="BD78" s="16">
        <v>0</v>
      </c>
      <c r="BE78" s="16">
        <v>0</v>
      </c>
      <c r="BF78" s="16">
        <f t="shared" si="9"/>
        <v>0</v>
      </c>
      <c r="BG78" s="16">
        <v>0</v>
      </c>
      <c r="BH78" s="16">
        <v>0</v>
      </c>
      <c r="BI78" s="16">
        <v>0</v>
      </c>
      <c r="BJ78" s="16">
        <v>0</v>
      </c>
      <c r="BK78" s="16">
        <f t="shared" si="10"/>
        <v>15000</v>
      </c>
      <c r="BL78" s="16">
        <v>15000</v>
      </c>
      <c r="BM78" s="16">
        <f t="shared" si="11"/>
        <v>0</v>
      </c>
      <c r="BN78" s="16">
        <v>0</v>
      </c>
      <c r="BO78" s="16">
        <v>0</v>
      </c>
      <c r="BP78" s="16">
        <v>0</v>
      </c>
      <c r="BQ78" s="16">
        <v>0</v>
      </c>
      <c r="BR78" s="16">
        <v>0</v>
      </c>
      <c r="BS78" s="16">
        <v>0</v>
      </c>
      <c r="BT78" s="16">
        <v>0</v>
      </c>
      <c r="BU78" s="16">
        <v>0</v>
      </c>
      <c r="BV78" s="16">
        <v>0</v>
      </c>
      <c r="BW78" s="16">
        <v>0</v>
      </c>
      <c r="BX78" s="16">
        <v>0</v>
      </c>
      <c r="BY78" s="16">
        <f>SUM(BZ78+CS78)</f>
        <v>1084100</v>
      </c>
      <c r="BZ78" s="16">
        <f>SUM(CA78+CD78+CK78)</f>
        <v>1084100</v>
      </c>
      <c r="CA78" s="16">
        <f t="shared" si="12"/>
        <v>1084100</v>
      </c>
      <c r="CB78" s="16">
        <v>0</v>
      </c>
      <c r="CC78" s="16">
        <v>1084100</v>
      </c>
      <c r="CD78" s="16">
        <f t="shared" si="13"/>
        <v>0</v>
      </c>
      <c r="CE78" s="16">
        <v>0</v>
      </c>
      <c r="CF78" s="16">
        <v>0</v>
      </c>
      <c r="CG78" s="16">
        <v>0</v>
      </c>
      <c r="CH78" s="16">
        <v>0</v>
      </c>
      <c r="CI78" s="16">
        <v>0</v>
      </c>
      <c r="CJ78" s="16">
        <v>0</v>
      </c>
      <c r="CK78" s="16">
        <f t="shared" si="14"/>
        <v>0</v>
      </c>
      <c r="CL78" s="16">
        <v>0</v>
      </c>
      <c r="CM78" s="16">
        <v>0</v>
      </c>
      <c r="CN78" s="16">
        <v>0</v>
      </c>
      <c r="CO78" s="16">
        <v>0</v>
      </c>
      <c r="CP78" s="16">
        <v>0</v>
      </c>
      <c r="CQ78" s="16">
        <v>0</v>
      </c>
      <c r="CR78" s="16">
        <v>0</v>
      </c>
      <c r="CS78" s="16">
        <v>0</v>
      </c>
      <c r="CT78" s="16">
        <f t="shared" si="15"/>
        <v>0</v>
      </c>
      <c r="CU78" s="16">
        <f t="shared" si="16"/>
        <v>0</v>
      </c>
      <c r="CV78" s="16">
        <v>0</v>
      </c>
      <c r="CW78" s="17">
        <v>0</v>
      </c>
      <c r="CX78" s="40"/>
      <c r="CY78" s="40"/>
    </row>
    <row r="79" spans="1:103" ht="15.75" x14ac:dyDescent="0.25">
      <c r="A79" s="13" t="s">
        <v>50</v>
      </c>
      <c r="B79" s="14" t="s">
        <v>50</v>
      </c>
      <c r="C79" s="14" t="s">
        <v>1</v>
      </c>
      <c r="D79" s="30" t="s">
        <v>97</v>
      </c>
      <c r="E79" s="15">
        <f t="shared" ref="E79:AJ79" si="97">SUM(E80)</f>
        <v>103702753</v>
      </c>
      <c r="F79" s="16">
        <f t="shared" si="97"/>
        <v>102902695</v>
      </c>
      <c r="G79" s="16">
        <f t="shared" si="97"/>
        <v>102469295</v>
      </c>
      <c r="H79" s="16">
        <f t="shared" si="97"/>
        <v>74259203</v>
      </c>
      <c r="I79" s="16">
        <f t="shared" si="97"/>
        <v>1006318</v>
      </c>
      <c r="J79" s="16">
        <f t="shared" si="97"/>
        <v>12906467</v>
      </c>
      <c r="K79" s="16">
        <f t="shared" si="97"/>
        <v>184304</v>
      </c>
      <c r="L79" s="16">
        <f t="shared" si="97"/>
        <v>6884857</v>
      </c>
      <c r="M79" s="16">
        <f t="shared" si="97"/>
        <v>850080</v>
      </c>
      <c r="N79" s="16">
        <f t="shared" si="97"/>
        <v>678883</v>
      </c>
      <c r="O79" s="16">
        <f t="shared" si="97"/>
        <v>4000000</v>
      </c>
      <c r="P79" s="16">
        <f t="shared" si="97"/>
        <v>308343</v>
      </c>
      <c r="Q79" s="16">
        <f t="shared" si="97"/>
        <v>4668876</v>
      </c>
      <c r="R79" s="16">
        <f t="shared" si="97"/>
        <v>68876</v>
      </c>
      <c r="S79" s="16">
        <f t="shared" si="97"/>
        <v>4600000</v>
      </c>
      <c r="T79" s="16">
        <f t="shared" si="97"/>
        <v>0</v>
      </c>
      <c r="U79" s="16">
        <f t="shared" si="97"/>
        <v>480000</v>
      </c>
      <c r="V79" s="16">
        <f t="shared" si="97"/>
        <v>763533</v>
      </c>
      <c r="W79" s="16">
        <f t="shared" si="97"/>
        <v>55801</v>
      </c>
      <c r="X79" s="16">
        <f t="shared" si="97"/>
        <v>223862</v>
      </c>
      <c r="Y79" s="16">
        <f t="shared" si="97"/>
        <v>408145</v>
      </c>
      <c r="Z79" s="16">
        <f t="shared" si="97"/>
        <v>39246</v>
      </c>
      <c r="AA79" s="16">
        <f t="shared" si="97"/>
        <v>26694</v>
      </c>
      <c r="AB79" s="16">
        <f t="shared" si="97"/>
        <v>0</v>
      </c>
      <c r="AC79" s="16">
        <f t="shared" si="97"/>
        <v>0</v>
      </c>
      <c r="AD79" s="16">
        <f t="shared" si="97"/>
        <v>9785</v>
      </c>
      <c r="AE79" s="16">
        <f t="shared" si="97"/>
        <v>8384898</v>
      </c>
      <c r="AF79" s="16">
        <f t="shared" si="97"/>
        <v>0</v>
      </c>
      <c r="AG79" s="16">
        <f t="shared" si="97"/>
        <v>87015</v>
      </c>
      <c r="AH79" s="16">
        <f t="shared" si="97"/>
        <v>323635</v>
      </c>
      <c r="AI79" s="16">
        <f t="shared" si="97"/>
        <v>0</v>
      </c>
      <c r="AJ79" s="16">
        <f t="shared" si="97"/>
        <v>39788</v>
      </c>
      <c r="AK79" s="16">
        <f t="shared" ref="AK79:BR79" si="98">SUM(AK80)</f>
        <v>80109</v>
      </c>
      <c r="AL79" s="16">
        <f t="shared" si="98"/>
        <v>15000</v>
      </c>
      <c r="AM79" s="16">
        <f t="shared" si="98"/>
        <v>91399</v>
      </c>
      <c r="AN79" s="16">
        <f t="shared" si="98"/>
        <v>18042</v>
      </c>
      <c r="AO79" s="16">
        <f t="shared" si="98"/>
        <v>0</v>
      </c>
      <c r="AP79" s="16">
        <f t="shared" si="98"/>
        <v>0</v>
      </c>
      <c r="AQ79" s="16">
        <f t="shared" si="98"/>
        <v>1018010</v>
      </c>
      <c r="AR79" s="16">
        <f t="shared" si="98"/>
        <v>0</v>
      </c>
      <c r="AS79" s="16">
        <f t="shared" si="98"/>
        <v>0</v>
      </c>
      <c r="AT79" s="16">
        <f t="shared" si="98"/>
        <v>0</v>
      </c>
      <c r="AU79" s="16">
        <f t="shared" si="98"/>
        <v>0</v>
      </c>
      <c r="AV79" s="16">
        <f t="shared" si="98"/>
        <v>0</v>
      </c>
      <c r="AW79" s="16">
        <f t="shared" si="98"/>
        <v>6300000</v>
      </c>
      <c r="AX79" s="16">
        <f t="shared" si="98"/>
        <v>36800</v>
      </c>
      <c r="AY79" s="16">
        <f t="shared" si="98"/>
        <v>0</v>
      </c>
      <c r="AZ79" s="16">
        <f t="shared" si="98"/>
        <v>375100</v>
      </c>
      <c r="BA79" s="16">
        <f t="shared" si="98"/>
        <v>433400</v>
      </c>
      <c r="BB79" s="16">
        <f t="shared" si="98"/>
        <v>0</v>
      </c>
      <c r="BC79" s="16">
        <f t="shared" si="98"/>
        <v>0</v>
      </c>
      <c r="BD79" s="16">
        <f t="shared" si="98"/>
        <v>0</v>
      </c>
      <c r="BE79" s="16">
        <f t="shared" si="98"/>
        <v>0</v>
      </c>
      <c r="BF79" s="16">
        <f t="shared" si="98"/>
        <v>0</v>
      </c>
      <c r="BG79" s="16">
        <f t="shared" si="98"/>
        <v>0</v>
      </c>
      <c r="BH79" s="16">
        <f t="shared" si="98"/>
        <v>0</v>
      </c>
      <c r="BI79" s="16">
        <f t="shared" si="98"/>
        <v>0</v>
      </c>
      <c r="BJ79" s="16">
        <f t="shared" si="98"/>
        <v>0</v>
      </c>
      <c r="BK79" s="16">
        <f t="shared" si="98"/>
        <v>133400</v>
      </c>
      <c r="BL79" s="16">
        <f t="shared" si="98"/>
        <v>133400</v>
      </c>
      <c r="BM79" s="16">
        <f t="shared" si="98"/>
        <v>300000</v>
      </c>
      <c r="BN79" s="16">
        <f t="shared" si="98"/>
        <v>0</v>
      </c>
      <c r="BO79" s="16">
        <f t="shared" si="98"/>
        <v>0</v>
      </c>
      <c r="BP79" s="16">
        <f t="shared" si="98"/>
        <v>0</v>
      </c>
      <c r="BQ79" s="16">
        <f t="shared" si="98"/>
        <v>0</v>
      </c>
      <c r="BR79" s="16">
        <f t="shared" si="98"/>
        <v>0</v>
      </c>
      <c r="BS79" s="16">
        <f t="shared" ref="BS79:CW79" si="99">SUM(BS80)</f>
        <v>0</v>
      </c>
      <c r="BT79" s="16">
        <f t="shared" si="99"/>
        <v>0</v>
      </c>
      <c r="BU79" s="16">
        <f t="shared" si="99"/>
        <v>0</v>
      </c>
      <c r="BV79" s="16">
        <f t="shared" si="99"/>
        <v>0</v>
      </c>
      <c r="BW79" s="16">
        <f t="shared" si="99"/>
        <v>0</v>
      </c>
      <c r="BX79" s="16">
        <f t="shared" si="99"/>
        <v>300000</v>
      </c>
      <c r="BY79" s="16">
        <f t="shared" si="99"/>
        <v>800058</v>
      </c>
      <c r="BZ79" s="16">
        <f t="shared" si="99"/>
        <v>800058</v>
      </c>
      <c r="CA79" s="16">
        <f t="shared" si="99"/>
        <v>800058</v>
      </c>
      <c r="CB79" s="16">
        <f t="shared" si="99"/>
        <v>0</v>
      </c>
      <c r="CC79" s="16">
        <f t="shared" si="99"/>
        <v>800058</v>
      </c>
      <c r="CD79" s="16">
        <f t="shared" si="99"/>
        <v>0</v>
      </c>
      <c r="CE79" s="16">
        <f t="shared" si="99"/>
        <v>0</v>
      </c>
      <c r="CF79" s="16">
        <f t="shared" si="99"/>
        <v>0</v>
      </c>
      <c r="CG79" s="16">
        <f t="shared" si="99"/>
        <v>0</v>
      </c>
      <c r="CH79" s="16">
        <f t="shared" si="99"/>
        <v>0</v>
      </c>
      <c r="CI79" s="16">
        <f t="shared" si="99"/>
        <v>0</v>
      </c>
      <c r="CJ79" s="16">
        <f t="shared" si="99"/>
        <v>0</v>
      </c>
      <c r="CK79" s="16">
        <f t="shared" si="99"/>
        <v>0</v>
      </c>
      <c r="CL79" s="16">
        <f t="shared" si="99"/>
        <v>0</v>
      </c>
      <c r="CM79" s="16">
        <f t="shared" si="99"/>
        <v>0</v>
      </c>
      <c r="CN79" s="16">
        <f t="shared" si="99"/>
        <v>0</v>
      </c>
      <c r="CO79" s="16">
        <f t="shared" si="99"/>
        <v>0</v>
      </c>
      <c r="CP79" s="16">
        <f t="shared" si="99"/>
        <v>0</v>
      </c>
      <c r="CQ79" s="16">
        <f t="shared" si="99"/>
        <v>0</v>
      </c>
      <c r="CR79" s="16">
        <f t="shared" si="99"/>
        <v>0</v>
      </c>
      <c r="CS79" s="16">
        <f t="shared" si="99"/>
        <v>0</v>
      </c>
      <c r="CT79" s="16">
        <f t="shared" si="99"/>
        <v>0</v>
      </c>
      <c r="CU79" s="16">
        <f t="shared" si="99"/>
        <v>0</v>
      </c>
      <c r="CV79" s="16">
        <f t="shared" si="99"/>
        <v>0</v>
      </c>
      <c r="CW79" s="17">
        <f t="shared" si="99"/>
        <v>0</v>
      </c>
      <c r="CX79" s="40"/>
      <c r="CY79" s="40"/>
    </row>
    <row r="80" spans="1:103" ht="31.5" x14ac:dyDescent="0.25">
      <c r="A80" s="13" t="s">
        <v>1</v>
      </c>
      <c r="B80" s="14" t="s">
        <v>1</v>
      </c>
      <c r="C80" s="14" t="s">
        <v>98</v>
      </c>
      <c r="D80" s="30" t="s">
        <v>99</v>
      </c>
      <c r="E80" s="15">
        <f>SUM(F80+BY80+CT80)</f>
        <v>103702753</v>
      </c>
      <c r="F80" s="16">
        <f>SUM(G80+BA80)</f>
        <v>102902695</v>
      </c>
      <c r="G80" s="16">
        <f>SUM(H80+I80+J80+Q80+T80+U80+V80+AE80)</f>
        <v>102469295</v>
      </c>
      <c r="H80" s="16">
        <f>69357765+4901438</f>
        <v>74259203</v>
      </c>
      <c r="I80" s="16">
        <f>900988+105330</f>
        <v>1006318</v>
      </c>
      <c r="J80" s="16">
        <f t="shared" si="7"/>
        <v>12906467</v>
      </c>
      <c r="K80" s="16">
        <v>184304</v>
      </c>
      <c r="L80" s="16">
        <v>6884857</v>
      </c>
      <c r="M80" s="16">
        <v>850080</v>
      </c>
      <c r="N80" s="16">
        <v>678883</v>
      </c>
      <c r="O80" s="16">
        <v>4000000</v>
      </c>
      <c r="P80" s="16">
        <v>308343</v>
      </c>
      <c r="Q80" s="16">
        <f t="shared" si="8"/>
        <v>4668876</v>
      </c>
      <c r="R80" s="16">
        <v>68876</v>
      </c>
      <c r="S80" s="16">
        <v>4600000</v>
      </c>
      <c r="T80" s="16">
        <v>0</v>
      </c>
      <c r="U80" s="16">
        <v>480000</v>
      </c>
      <c r="V80" s="16">
        <f>SUM(W80:AD80)</f>
        <v>763533</v>
      </c>
      <c r="W80" s="16">
        <v>55801</v>
      </c>
      <c r="X80" s="16">
        <v>223862</v>
      </c>
      <c r="Y80" s="16">
        <v>408145</v>
      </c>
      <c r="Z80" s="16">
        <v>39246</v>
      </c>
      <c r="AA80" s="16">
        <v>26694</v>
      </c>
      <c r="AB80" s="16">
        <v>0</v>
      </c>
      <c r="AC80" s="16">
        <v>0</v>
      </c>
      <c r="AD80" s="16">
        <v>9785</v>
      </c>
      <c r="AE80" s="16">
        <f>SUM(AF80:AZ80)</f>
        <v>8384898</v>
      </c>
      <c r="AF80" s="16">
        <v>0</v>
      </c>
      <c r="AG80" s="16">
        <v>87015</v>
      </c>
      <c r="AH80" s="16">
        <v>323635</v>
      </c>
      <c r="AI80" s="16">
        <v>0</v>
      </c>
      <c r="AJ80" s="16">
        <v>39788</v>
      </c>
      <c r="AK80" s="16">
        <v>80109</v>
      </c>
      <c r="AL80" s="16">
        <v>15000</v>
      </c>
      <c r="AM80" s="16">
        <v>91399</v>
      </c>
      <c r="AN80" s="16">
        <v>18042</v>
      </c>
      <c r="AO80" s="16">
        <v>0</v>
      </c>
      <c r="AP80" s="16">
        <v>0</v>
      </c>
      <c r="AQ80" s="16">
        <v>1018010</v>
      </c>
      <c r="AR80" s="16">
        <v>0</v>
      </c>
      <c r="AS80" s="16">
        <v>0</v>
      </c>
      <c r="AT80" s="16">
        <v>0</v>
      </c>
      <c r="AU80" s="16">
        <v>0</v>
      </c>
      <c r="AV80" s="16">
        <v>0</v>
      </c>
      <c r="AW80" s="16">
        <v>6300000</v>
      </c>
      <c r="AX80" s="16">
        <v>36800</v>
      </c>
      <c r="AY80" s="16">
        <v>0</v>
      </c>
      <c r="AZ80" s="16">
        <v>375100</v>
      </c>
      <c r="BA80" s="16">
        <f>SUM(BB80+BF80+BI80+BK80+BM80)</f>
        <v>433400</v>
      </c>
      <c r="BB80" s="16">
        <f>SUM(BC80:BE80)</f>
        <v>0</v>
      </c>
      <c r="BC80" s="16">
        <v>0</v>
      </c>
      <c r="BD80" s="16">
        <v>0</v>
      </c>
      <c r="BE80" s="16">
        <v>0</v>
      </c>
      <c r="BF80" s="16">
        <f t="shared" si="9"/>
        <v>0</v>
      </c>
      <c r="BG80" s="16">
        <v>0</v>
      </c>
      <c r="BH80" s="16">
        <v>0</v>
      </c>
      <c r="BI80" s="16">
        <v>0</v>
      </c>
      <c r="BJ80" s="16">
        <v>0</v>
      </c>
      <c r="BK80" s="16">
        <f t="shared" si="10"/>
        <v>133400</v>
      </c>
      <c r="BL80" s="16">
        <v>133400</v>
      </c>
      <c r="BM80" s="16">
        <f t="shared" si="11"/>
        <v>300000</v>
      </c>
      <c r="BN80" s="16">
        <v>0</v>
      </c>
      <c r="BO80" s="16">
        <v>0</v>
      </c>
      <c r="BP80" s="16">
        <v>0</v>
      </c>
      <c r="BQ80" s="16">
        <v>0</v>
      </c>
      <c r="BR80" s="16">
        <v>0</v>
      </c>
      <c r="BS80" s="16">
        <v>0</v>
      </c>
      <c r="BT80" s="16">
        <v>0</v>
      </c>
      <c r="BU80" s="16">
        <v>0</v>
      </c>
      <c r="BV80" s="16">
        <v>0</v>
      </c>
      <c r="BW80" s="16">
        <v>0</v>
      </c>
      <c r="BX80" s="16">
        <v>300000</v>
      </c>
      <c r="BY80" s="16">
        <f>SUM(BZ80+CS80)</f>
        <v>800058</v>
      </c>
      <c r="BZ80" s="16">
        <f>SUM(CA80+CD80+CK80)</f>
        <v>800058</v>
      </c>
      <c r="CA80" s="16">
        <f t="shared" si="12"/>
        <v>800058</v>
      </c>
      <c r="CB80" s="16">
        <v>0</v>
      </c>
      <c r="CC80" s="16">
        <f>1714370-914312</f>
        <v>800058</v>
      </c>
      <c r="CD80" s="16">
        <f t="shared" si="13"/>
        <v>0</v>
      </c>
      <c r="CE80" s="16">
        <v>0</v>
      </c>
      <c r="CF80" s="16">
        <v>0</v>
      </c>
      <c r="CG80" s="16">
        <v>0</v>
      </c>
      <c r="CH80" s="16">
        <v>0</v>
      </c>
      <c r="CI80" s="16">
        <v>0</v>
      </c>
      <c r="CJ80" s="16">
        <v>0</v>
      </c>
      <c r="CK80" s="16">
        <f t="shared" si="14"/>
        <v>0</v>
      </c>
      <c r="CL80" s="16">
        <v>0</v>
      </c>
      <c r="CM80" s="16">
        <v>0</v>
      </c>
      <c r="CN80" s="16">
        <v>0</v>
      </c>
      <c r="CO80" s="16">
        <v>0</v>
      </c>
      <c r="CP80" s="16">
        <v>0</v>
      </c>
      <c r="CQ80" s="16">
        <v>0</v>
      </c>
      <c r="CR80" s="16">
        <v>0</v>
      </c>
      <c r="CS80" s="16">
        <v>0</v>
      </c>
      <c r="CT80" s="16">
        <f t="shared" si="15"/>
        <v>0</v>
      </c>
      <c r="CU80" s="16">
        <f t="shared" si="16"/>
        <v>0</v>
      </c>
      <c r="CV80" s="16">
        <v>0</v>
      </c>
      <c r="CW80" s="17">
        <v>0</v>
      </c>
      <c r="CX80" s="40"/>
      <c r="CY80" s="40"/>
    </row>
    <row r="81" spans="1:103" ht="15.75" x14ac:dyDescent="0.25">
      <c r="A81" s="13" t="s">
        <v>50</v>
      </c>
      <c r="B81" s="14" t="s">
        <v>100</v>
      </c>
      <c r="C81" s="14" t="s">
        <v>1</v>
      </c>
      <c r="D81" s="30" t="s">
        <v>101</v>
      </c>
      <c r="E81" s="15">
        <f t="shared" ref="E81:AJ81" si="100">SUM(E82)</f>
        <v>18786276</v>
      </c>
      <c r="F81" s="16">
        <f t="shared" si="100"/>
        <v>18162492</v>
      </c>
      <c r="G81" s="16">
        <f t="shared" si="100"/>
        <v>18155207</v>
      </c>
      <c r="H81" s="16">
        <f t="shared" si="100"/>
        <v>15116357</v>
      </c>
      <c r="I81" s="16">
        <f t="shared" si="100"/>
        <v>545155</v>
      </c>
      <c r="J81" s="16">
        <f t="shared" si="100"/>
        <v>1369722</v>
      </c>
      <c r="K81" s="16">
        <f t="shared" si="100"/>
        <v>0</v>
      </c>
      <c r="L81" s="16">
        <f t="shared" si="100"/>
        <v>660831</v>
      </c>
      <c r="M81" s="16">
        <f t="shared" si="100"/>
        <v>0</v>
      </c>
      <c r="N81" s="16">
        <f t="shared" si="100"/>
        <v>0</v>
      </c>
      <c r="O81" s="16">
        <f t="shared" si="100"/>
        <v>407944</v>
      </c>
      <c r="P81" s="16">
        <f t="shared" si="100"/>
        <v>300947</v>
      </c>
      <c r="Q81" s="16">
        <f t="shared" si="100"/>
        <v>9038</v>
      </c>
      <c r="R81" s="16">
        <f t="shared" si="100"/>
        <v>826</v>
      </c>
      <c r="S81" s="16">
        <f t="shared" si="100"/>
        <v>8212</v>
      </c>
      <c r="T81" s="16">
        <f t="shared" si="100"/>
        <v>0</v>
      </c>
      <c r="U81" s="16">
        <f t="shared" si="100"/>
        <v>253226</v>
      </c>
      <c r="V81" s="16">
        <f t="shared" si="100"/>
        <v>212427</v>
      </c>
      <c r="W81" s="16">
        <f t="shared" si="100"/>
        <v>49509</v>
      </c>
      <c r="X81" s="16">
        <f t="shared" si="100"/>
        <v>87262</v>
      </c>
      <c r="Y81" s="16">
        <f t="shared" si="100"/>
        <v>59214</v>
      </c>
      <c r="Z81" s="16">
        <f t="shared" si="100"/>
        <v>7820</v>
      </c>
      <c r="AA81" s="16">
        <f t="shared" si="100"/>
        <v>8622</v>
      </c>
      <c r="AB81" s="16">
        <f t="shared" si="100"/>
        <v>0</v>
      </c>
      <c r="AC81" s="16">
        <f t="shared" si="100"/>
        <v>0</v>
      </c>
      <c r="AD81" s="16">
        <f t="shared" si="100"/>
        <v>0</v>
      </c>
      <c r="AE81" s="16">
        <f t="shared" si="100"/>
        <v>649282</v>
      </c>
      <c r="AF81" s="16">
        <f t="shared" si="100"/>
        <v>0</v>
      </c>
      <c r="AG81" s="16">
        <f t="shared" si="100"/>
        <v>1976</v>
      </c>
      <c r="AH81" s="16">
        <f t="shared" si="100"/>
        <v>37809</v>
      </c>
      <c r="AI81" s="16">
        <f t="shared" si="100"/>
        <v>1591</v>
      </c>
      <c r="AJ81" s="16">
        <f t="shared" si="100"/>
        <v>0</v>
      </c>
      <c r="AK81" s="16">
        <f t="shared" ref="AK81:BR81" si="101">SUM(AK82)</f>
        <v>0</v>
      </c>
      <c r="AL81" s="16">
        <f t="shared" si="101"/>
        <v>161098</v>
      </c>
      <c r="AM81" s="16">
        <f t="shared" si="101"/>
        <v>0</v>
      </c>
      <c r="AN81" s="16">
        <f t="shared" si="101"/>
        <v>14550</v>
      </c>
      <c r="AO81" s="16">
        <f t="shared" si="101"/>
        <v>2280</v>
      </c>
      <c r="AP81" s="16">
        <f t="shared" si="101"/>
        <v>0</v>
      </c>
      <c r="AQ81" s="16">
        <f t="shared" si="101"/>
        <v>0</v>
      </c>
      <c r="AR81" s="16">
        <f t="shared" si="101"/>
        <v>375000</v>
      </c>
      <c r="AS81" s="16">
        <f t="shared" si="101"/>
        <v>22200</v>
      </c>
      <c r="AT81" s="16">
        <f t="shared" si="101"/>
        <v>0</v>
      </c>
      <c r="AU81" s="16">
        <f t="shared" si="101"/>
        <v>0</v>
      </c>
      <c r="AV81" s="16">
        <f t="shared" si="101"/>
        <v>0</v>
      </c>
      <c r="AW81" s="16">
        <f t="shared" si="101"/>
        <v>17830</v>
      </c>
      <c r="AX81" s="16">
        <f t="shared" si="101"/>
        <v>10000</v>
      </c>
      <c r="AY81" s="16">
        <f t="shared" si="101"/>
        <v>0</v>
      </c>
      <c r="AZ81" s="16">
        <f t="shared" si="101"/>
        <v>4948</v>
      </c>
      <c r="BA81" s="16">
        <f t="shared" si="101"/>
        <v>7285</v>
      </c>
      <c r="BB81" s="16">
        <f t="shared" si="101"/>
        <v>0</v>
      </c>
      <c r="BC81" s="16">
        <f t="shared" si="101"/>
        <v>0</v>
      </c>
      <c r="BD81" s="16">
        <f t="shared" si="101"/>
        <v>0</v>
      </c>
      <c r="BE81" s="16">
        <f t="shared" si="101"/>
        <v>0</v>
      </c>
      <c r="BF81" s="16">
        <f t="shared" si="101"/>
        <v>0</v>
      </c>
      <c r="BG81" s="16">
        <f t="shared" si="101"/>
        <v>0</v>
      </c>
      <c r="BH81" s="16">
        <f t="shared" si="101"/>
        <v>0</v>
      </c>
      <c r="BI81" s="16">
        <f t="shared" si="101"/>
        <v>0</v>
      </c>
      <c r="BJ81" s="16">
        <f t="shared" si="101"/>
        <v>0</v>
      </c>
      <c r="BK81" s="16">
        <f t="shared" si="101"/>
        <v>0</v>
      </c>
      <c r="BL81" s="16">
        <f t="shared" si="101"/>
        <v>0</v>
      </c>
      <c r="BM81" s="16">
        <f t="shared" si="101"/>
        <v>7285</v>
      </c>
      <c r="BN81" s="16">
        <f t="shared" si="101"/>
        <v>0</v>
      </c>
      <c r="BO81" s="16">
        <f t="shared" si="101"/>
        <v>0</v>
      </c>
      <c r="BP81" s="16">
        <f t="shared" si="101"/>
        <v>0</v>
      </c>
      <c r="BQ81" s="16">
        <f t="shared" si="101"/>
        <v>0</v>
      </c>
      <c r="BR81" s="16">
        <f t="shared" si="101"/>
        <v>0</v>
      </c>
      <c r="BS81" s="16">
        <f t="shared" ref="BS81:CW81" si="102">SUM(BS82)</f>
        <v>0</v>
      </c>
      <c r="BT81" s="16">
        <f t="shared" si="102"/>
        <v>0</v>
      </c>
      <c r="BU81" s="16">
        <f t="shared" si="102"/>
        <v>0</v>
      </c>
      <c r="BV81" s="16">
        <f t="shared" si="102"/>
        <v>0</v>
      </c>
      <c r="BW81" s="16">
        <f t="shared" si="102"/>
        <v>7285</v>
      </c>
      <c r="BX81" s="16">
        <f t="shared" si="102"/>
        <v>0</v>
      </c>
      <c r="BY81" s="16">
        <f t="shared" si="102"/>
        <v>623784</v>
      </c>
      <c r="BZ81" s="16">
        <f t="shared" si="102"/>
        <v>623784</v>
      </c>
      <c r="CA81" s="16">
        <f t="shared" si="102"/>
        <v>623784</v>
      </c>
      <c r="CB81" s="16">
        <f t="shared" si="102"/>
        <v>0</v>
      </c>
      <c r="CC81" s="16">
        <f t="shared" si="102"/>
        <v>623784</v>
      </c>
      <c r="CD81" s="16">
        <f t="shared" si="102"/>
        <v>0</v>
      </c>
      <c r="CE81" s="16">
        <f t="shared" si="102"/>
        <v>0</v>
      </c>
      <c r="CF81" s="16">
        <f t="shared" si="102"/>
        <v>0</v>
      </c>
      <c r="CG81" s="16">
        <f t="shared" si="102"/>
        <v>0</v>
      </c>
      <c r="CH81" s="16">
        <f t="shared" si="102"/>
        <v>0</v>
      </c>
      <c r="CI81" s="16">
        <f t="shared" si="102"/>
        <v>0</v>
      </c>
      <c r="CJ81" s="16">
        <f t="shared" si="102"/>
        <v>0</v>
      </c>
      <c r="CK81" s="16">
        <f t="shared" si="102"/>
        <v>0</v>
      </c>
      <c r="CL81" s="16">
        <f t="shared" si="102"/>
        <v>0</v>
      </c>
      <c r="CM81" s="16">
        <f t="shared" si="102"/>
        <v>0</v>
      </c>
      <c r="CN81" s="16">
        <f t="shared" si="102"/>
        <v>0</v>
      </c>
      <c r="CO81" s="16">
        <f t="shared" si="102"/>
        <v>0</v>
      </c>
      <c r="CP81" s="16">
        <f t="shared" si="102"/>
        <v>0</v>
      </c>
      <c r="CQ81" s="16">
        <f t="shared" si="102"/>
        <v>0</v>
      </c>
      <c r="CR81" s="16">
        <f t="shared" si="102"/>
        <v>0</v>
      </c>
      <c r="CS81" s="16">
        <f t="shared" si="102"/>
        <v>0</v>
      </c>
      <c r="CT81" s="16">
        <f t="shared" si="102"/>
        <v>0</v>
      </c>
      <c r="CU81" s="16">
        <f t="shared" si="102"/>
        <v>0</v>
      </c>
      <c r="CV81" s="16">
        <f t="shared" si="102"/>
        <v>0</v>
      </c>
      <c r="CW81" s="17">
        <f t="shared" si="102"/>
        <v>0</v>
      </c>
      <c r="CX81" s="40"/>
      <c r="CY81" s="40"/>
    </row>
    <row r="82" spans="1:103" ht="15.75" x14ac:dyDescent="0.25">
      <c r="A82" s="13" t="s">
        <v>1</v>
      </c>
      <c r="B82" s="14" t="s">
        <v>1</v>
      </c>
      <c r="C82" s="14" t="s">
        <v>102</v>
      </c>
      <c r="D82" s="30" t="s">
        <v>103</v>
      </c>
      <c r="E82" s="15">
        <f>SUM(F82+BY82+CT82)</f>
        <v>18786276</v>
      </c>
      <c r="F82" s="16">
        <f>SUM(G82+BA82)</f>
        <v>18162492</v>
      </c>
      <c r="G82" s="16">
        <f>SUM(H82+I82+J82+Q82+T82+U82+V82+AE82)</f>
        <v>18155207</v>
      </c>
      <c r="H82" s="16">
        <v>15116357</v>
      </c>
      <c r="I82" s="16">
        <v>545155</v>
      </c>
      <c r="J82" s="16">
        <f t="shared" ref="J82:J151" si="103">SUM(K82:P82)</f>
        <v>1369722</v>
      </c>
      <c r="K82" s="16">
        <v>0</v>
      </c>
      <c r="L82" s="16">
        <v>660831</v>
      </c>
      <c r="M82" s="16">
        <v>0</v>
      </c>
      <c r="N82" s="16">
        <v>0</v>
      </c>
      <c r="O82" s="16">
        <f>425774-17830</f>
        <v>407944</v>
      </c>
      <c r="P82" s="16">
        <v>300947</v>
      </c>
      <c r="Q82" s="16">
        <f t="shared" ref="Q82:Q151" si="104">SUM(R82:S82)</f>
        <v>9038</v>
      </c>
      <c r="R82" s="16">
        <v>826</v>
      </c>
      <c r="S82" s="16">
        <v>8212</v>
      </c>
      <c r="T82" s="16">
        <v>0</v>
      </c>
      <c r="U82" s="16">
        <v>253226</v>
      </c>
      <c r="V82" s="16">
        <f>SUM(W82:AD82)</f>
        <v>212427</v>
      </c>
      <c r="W82" s="16">
        <v>49509</v>
      </c>
      <c r="X82" s="16">
        <v>87262</v>
      </c>
      <c r="Y82" s="16">
        <v>59214</v>
      </c>
      <c r="Z82" s="16">
        <v>7820</v>
      </c>
      <c r="AA82" s="16">
        <v>8622</v>
      </c>
      <c r="AB82" s="16">
        <v>0</v>
      </c>
      <c r="AC82" s="16">
        <v>0</v>
      </c>
      <c r="AD82" s="16">
        <v>0</v>
      </c>
      <c r="AE82" s="16">
        <f>SUM(AF82:AZ82)</f>
        <v>649282</v>
      </c>
      <c r="AF82" s="16">
        <v>0</v>
      </c>
      <c r="AG82" s="16">
        <v>1976</v>
      </c>
      <c r="AH82" s="16">
        <v>37809</v>
      </c>
      <c r="AI82" s="16">
        <v>1591</v>
      </c>
      <c r="AJ82" s="16">
        <v>0</v>
      </c>
      <c r="AK82" s="16">
        <v>0</v>
      </c>
      <c r="AL82" s="16">
        <v>161098</v>
      </c>
      <c r="AM82" s="16">
        <v>0</v>
      </c>
      <c r="AN82" s="16">
        <v>14550</v>
      </c>
      <c r="AO82" s="16">
        <v>2280</v>
      </c>
      <c r="AP82" s="16"/>
      <c r="AQ82" s="16">
        <v>0</v>
      </c>
      <c r="AR82" s="16">
        <v>375000</v>
      </c>
      <c r="AS82" s="16">
        <v>22200</v>
      </c>
      <c r="AT82" s="16">
        <v>0</v>
      </c>
      <c r="AU82" s="16">
        <v>0</v>
      </c>
      <c r="AV82" s="16">
        <v>0</v>
      </c>
      <c r="AW82" s="16">
        <f>0+17830</f>
        <v>17830</v>
      </c>
      <c r="AX82" s="16">
        <v>10000</v>
      </c>
      <c r="AY82" s="16"/>
      <c r="AZ82" s="16">
        <v>4948</v>
      </c>
      <c r="BA82" s="16">
        <f>SUM(BB82+BF82+BI82+BK82+BM82)</f>
        <v>7285</v>
      </c>
      <c r="BB82" s="16">
        <f>SUM(BC82:BE82)</f>
        <v>0</v>
      </c>
      <c r="BC82" s="16">
        <v>0</v>
      </c>
      <c r="BD82" s="16">
        <v>0</v>
      </c>
      <c r="BE82" s="16">
        <v>0</v>
      </c>
      <c r="BF82" s="16">
        <f t="shared" ref="BF82:BF151" si="105">SUM(BG82:BH82)</f>
        <v>0</v>
      </c>
      <c r="BG82" s="16">
        <v>0</v>
      </c>
      <c r="BH82" s="16">
        <v>0</v>
      </c>
      <c r="BI82" s="16">
        <v>0</v>
      </c>
      <c r="BJ82" s="16">
        <v>0</v>
      </c>
      <c r="BK82" s="16">
        <f t="shared" ref="BK82:BK151" si="106">SUM(BL82)</f>
        <v>0</v>
      </c>
      <c r="BL82" s="16">
        <v>0</v>
      </c>
      <c r="BM82" s="16">
        <f t="shared" ref="BM82:BM151" si="107">SUM(BN82:BX82)</f>
        <v>7285</v>
      </c>
      <c r="BN82" s="16">
        <v>0</v>
      </c>
      <c r="BO82" s="16">
        <v>0</v>
      </c>
      <c r="BP82" s="16">
        <v>0</v>
      </c>
      <c r="BQ82" s="16">
        <v>0</v>
      </c>
      <c r="BR82" s="16">
        <v>0</v>
      </c>
      <c r="BS82" s="16">
        <v>0</v>
      </c>
      <c r="BT82" s="16">
        <v>0</v>
      </c>
      <c r="BU82" s="16">
        <v>0</v>
      </c>
      <c r="BV82" s="16">
        <v>0</v>
      </c>
      <c r="BW82" s="16">
        <v>7285</v>
      </c>
      <c r="BX82" s="16">
        <v>0</v>
      </c>
      <c r="BY82" s="16">
        <f>SUM(BZ82+CS82)</f>
        <v>623784</v>
      </c>
      <c r="BZ82" s="16">
        <f>SUM(CA82+CD82+CK82)</f>
        <v>623784</v>
      </c>
      <c r="CA82" s="16">
        <f t="shared" ref="CA82:CA151" si="108">SUM(CB82:CC82)</f>
        <v>623784</v>
      </c>
      <c r="CB82" s="16">
        <v>0</v>
      </c>
      <c r="CC82" s="16">
        <v>623784</v>
      </c>
      <c r="CD82" s="16">
        <f t="shared" ref="CD82:CD151" si="109">SUM(CE82:CI82)</f>
        <v>0</v>
      </c>
      <c r="CE82" s="16">
        <v>0</v>
      </c>
      <c r="CF82" s="16">
        <v>0</v>
      </c>
      <c r="CG82" s="16">
        <v>0</v>
      </c>
      <c r="CH82" s="16">
        <v>0</v>
      </c>
      <c r="CI82" s="16">
        <v>0</v>
      </c>
      <c r="CJ82" s="16">
        <v>0</v>
      </c>
      <c r="CK82" s="16">
        <f t="shared" ref="CK82:CK151" si="110">SUM(CL82:CP82)</f>
        <v>0</v>
      </c>
      <c r="CL82" s="16">
        <v>0</v>
      </c>
      <c r="CM82" s="16">
        <v>0</v>
      </c>
      <c r="CN82" s="16">
        <v>0</v>
      </c>
      <c r="CO82" s="16">
        <v>0</v>
      </c>
      <c r="CP82" s="16">
        <v>0</v>
      </c>
      <c r="CQ82" s="16"/>
      <c r="CR82" s="16"/>
      <c r="CS82" s="16">
        <v>0</v>
      </c>
      <c r="CT82" s="16">
        <f t="shared" ref="CT82:CT151" si="111">SUM(CU82)</f>
        <v>0</v>
      </c>
      <c r="CU82" s="16">
        <f t="shared" ref="CU82:CU151" si="112">SUM(CV82:CW82)</f>
        <v>0</v>
      </c>
      <c r="CV82" s="16">
        <v>0</v>
      </c>
      <c r="CW82" s="17">
        <v>0</v>
      </c>
      <c r="CX82" s="40"/>
      <c r="CY82" s="40"/>
    </row>
    <row r="83" spans="1:103" ht="31.5" x14ac:dyDescent="0.25">
      <c r="A83" s="13" t="s">
        <v>50</v>
      </c>
      <c r="B83" s="14" t="s">
        <v>54</v>
      </c>
      <c r="C83" s="14" t="s">
        <v>1</v>
      </c>
      <c r="D83" s="30" t="s">
        <v>104</v>
      </c>
      <c r="E83" s="15">
        <f t="shared" ref="E83:AJ83" si="113">SUM(E84)</f>
        <v>27112458</v>
      </c>
      <c r="F83" s="16">
        <f t="shared" si="113"/>
        <v>26021927</v>
      </c>
      <c r="G83" s="16">
        <f t="shared" si="113"/>
        <v>26012168</v>
      </c>
      <c r="H83" s="16">
        <f t="shared" si="113"/>
        <v>21000000</v>
      </c>
      <c r="I83" s="16">
        <f t="shared" si="113"/>
        <v>1150805</v>
      </c>
      <c r="J83" s="16">
        <f t="shared" si="113"/>
        <v>2411610</v>
      </c>
      <c r="K83" s="16">
        <f t="shared" si="113"/>
        <v>0</v>
      </c>
      <c r="L83" s="16">
        <f t="shared" si="113"/>
        <v>608859</v>
      </c>
      <c r="M83" s="16">
        <f t="shared" si="113"/>
        <v>0</v>
      </c>
      <c r="N83" s="16">
        <f t="shared" si="113"/>
        <v>0</v>
      </c>
      <c r="O83" s="16">
        <f t="shared" si="113"/>
        <v>737485</v>
      </c>
      <c r="P83" s="16">
        <f t="shared" si="113"/>
        <v>1065266</v>
      </c>
      <c r="Q83" s="16">
        <f t="shared" si="113"/>
        <v>1127</v>
      </c>
      <c r="R83" s="16">
        <f t="shared" si="113"/>
        <v>1127</v>
      </c>
      <c r="S83" s="16">
        <f t="shared" si="113"/>
        <v>0</v>
      </c>
      <c r="T83" s="16">
        <f t="shared" si="113"/>
        <v>0</v>
      </c>
      <c r="U83" s="16">
        <f t="shared" si="113"/>
        <v>194708</v>
      </c>
      <c r="V83" s="16">
        <f t="shared" si="113"/>
        <v>116828</v>
      </c>
      <c r="W83" s="16">
        <f t="shared" si="113"/>
        <v>35575</v>
      </c>
      <c r="X83" s="16">
        <f t="shared" si="113"/>
        <v>17420</v>
      </c>
      <c r="Y83" s="16">
        <f t="shared" si="113"/>
        <v>30181</v>
      </c>
      <c r="Z83" s="16">
        <f t="shared" si="113"/>
        <v>4415</v>
      </c>
      <c r="AA83" s="16">
        <f t="shared" si="113"/>
        <v>3782</v>
      </c>
      <c r="AB83" s="16">
        <f t="shared" si="113"/>
        <v>17520</v>
      </c>
      <c r="AC83" s="16">
        <f t="shared" si="113"/>
        <v>0</v>
      </c>
      <c r="AD83" s="16">
        <f t="shared" si="113"/>
        <v>7935</v>
      </c>
      <c r="AE83" s="16">
        <f t="shared" si="113"/>
        <v>1137090</v>
      </c>
      <c r="AF83" s="16">
        <f t="shared" si="113"/>
        <v>0</v>
      </c>
      <c r="AG83" s="16">
        <f t="shared" si="113"/>
        <v>206340</v>
      </c>
      <c r="AH83" s="16">
        <f t="shared" si="113"/>
        <v>48322</v>
      </c>
      <c r="AI83" s="16">
        <f t="shared" si="113"/>
        <v>0</v>
      </c>
      <c r="AJ83" s="16">
        <f t="shared" si="113"/>
        <v>13181</v>
      </c>
      <c r="AK83" s="16">
        <f t="shared" ref="AK83:BR83" si="114">SUM(AK84)</f>
        <v>39053</v>
      </c>
      <c r="AL83" s="16">
        <f t="shared" si="114"/>
        <v>0</v>
      </c>
      <c r="AM83" s="16">
        <f t="shared" si="114"/>
        <v>100000</v>
      </c>
      <c r="AN83" s="16">
        <f t="shared" si="114"/>
        <v>18042</v>
      </c>
      <c r="AO83" s="16">
        <f t="shared" si="114"/>
        <v>24815</v>
      </c>
      <c r="AP83" s="16">
        <f t="shared" si="114"/>
        <v>0</v>
      </c>
      <c r="AQ83" s="16">
        <f t="shared" si="114"/>
        <v>0</v>
      </c>
      <c r="AR83" s="16">
        <f t="shared" si="114"/>
        <v>174188</v>
      </c>
      <c r="AS83" s="16">
        <f t="shared" si="114"/>
        <v>0</v>
      </c>
      <c r="AT83" s="16">
        <f t="shared" si="114"/>
        <v>0</v>
      </c>
      <c r="AU83" s="16">
        <f t="shared" si="114"/>
        <v>0</v>
      </c>
      <c r="AV83" s="16">
        <f t="shared" si="114"/>
        <v>0</v>
      </c>
      <c r="AW83" s="16">
        <f t="shared" si="114"/>
        <v>0</v>
      </c>
      <c r="AX83" s="16">
        <f t="shared" si="114"/>
        <v>0</v>
      </c>
      <c r="AY83" s="16">
        <f t="shared" si="114"/>
        <v>0</v>
      </c>
      <c r="AZ83" s="16">
        <f t="shared" si="114"/>
        <v>513149</v>
      </c>
      <c r="BA83" s="16">
        <f t="shared" si="114"/>
        <v>9759</v>
      </c>
      <c r="BB83" s="16">
        <f t="shared" si="114"/>
        <v>0</v>
      </c>
      <c r="BC83" s="16">
        <f t="shared" si="114"/>
        <v>0</v>
      </c>
      <c r="BD83" s="16">
        <f t="shared" si="114"/>
        <v>0</v>
      </c>
      <c r="BE83" s="16">
        <f t="shared" si="114"/>
        <v>0</v>
      </c>
      <c r="BF83" s="16">
        <f t="shared" si="114"/>
        <v>0</v>
      </c>
      <c r="BG83" s="16">
        <f t="shared" si="114"/>
        <v>0</v>
      </c>
      <c r="BH83" s="16">
        <f t="shared" si="114"/>
        <v>0</v>
      </c>
      <c r="BI83" s="16">
        <f t="shared" si="114"/>
        <v>0</v>
      </c>
      <c r="BJ83" s="16">
        <f t="shared" si="114"/>
        <v>0</v>
      </c>
      <c r="BK83" s="16">
        <f t="shared" si="114"/>
        <v>0</v>
      </c>
      <c r="BL83" s="16">
        <f t="shared" si="114"/>
        <v>0</v>
      </c>
      <c r="BM83" s="16">
        <f t="shared" si="114"/>
        <v>9759</v>
      </c>
      <c r="BN83" s="16">
        <f t="shared" si="114"/>
        <v>0</v>
      </c>
      <c r="BO83" s="16">
        <f t="shared" si="114"/>
        <v>0</v>
      </c>
      <c r="BP83" s="16">
        <f t="shared" si="114"/>
        <v>0</v>
      </c>
      <c r="BQ83" s="16">
        <f t="shared" si="114"/>
        <v>0</v>
      </c>
      <c r="BR83" s="16">
        <f t="shared" si="114"/>
        <v>0</v>
      </c>
      <c r="BS83" s="16">
        <f t="shared" ref="BS83:CW83" si="115">SUM(BS84)</f>
        <v>0</v>
      </c>
      <c r="BT83" s="16">
        <f t="shared" si="115"/>
        <v>0</v>
      </c>
      <c r="BU83" s="16">
        <f t="shared" si="115"/>
        <v>0</v>
      </c>
      <c r="BV83" s="16">
        <f t="shared" si="115"/>
        <v>0</v>
      </c>
      <c r="BW83" s="16">
        <f t="shared" si="115"/>
        <v>9759</v>
      </c>
      <c r="BX83" s="16">
        <f t="shared" si="115"/>
        <v>0</v>
      </c>
      <c r="BY83" s="16">
        <f t="shared" si="115"/>
        <v>1090531</v>
      </c>
      <c r="BZ83" s="16">
        <f t="shared" si="115"/>
        <v>1090531</v>
      </c>
      <c r="CA83" s="16">
        <f t="shared" si="115"/>
        <v>790531</v>
      </c>
      <c r="CB83" s="16">
        <f t="shared" si="115"/>
        <v>0</v>
      </c>
      <c r="CC83" s="16">
        <f t="shared" si="115"/>
        <v>790531</v>
      </c>
      <c r="CD83" s="16">
        <f t="shared" si="115"/>
        <v>0</v>
      </c>
      <c r="CE83" s="16">
        <f t="shared" si="115"/>
        <v>0</v>
      </c>
      <c r="CF83" s="16">
        <f t="shared" si="115"/>
        <v>0</v>
      </c>
      <c r="CG83" s="16">
        <f t="shared" si="115"/>
        <v>0</v>
      </c>
      <c r="CH83" s="16">
        <f t="shared" si="115"/>
        <v>0</v>
      </c>
      <c r="CI83" s="16">
        <f t="shared" si="115"/>
        <v>0</v>
      </c>
      <c r="CJ83" s="16">
        <f t="shared" si="115"/>
        <v>0</v>
      </c>
      <c r="CK83" s="16">
        <f t="shared" si="115"/>
        <v>300000</v>
      </c>
      <c r="CL83" s="16">
        <f t="shared" si="115"/>
        <v>0</v>
      </c>
      <c r="CM83" s="16">
        <f t="shared" si="115"/>
        <v>0</v>
      </c>
      <c r="CN83" s="16">
        <f t="shared" si="115"/>
        <v>0</v>
      </c>
      <c r="CO83" s="16">
        <f t="shared" si="115"/>
        <v>300000</v>
      </c>
      <c r="CP83" s="16">
        <f t="shared" si="115"/>
        <v>0</v>
      </c>
      <c r="CQ83" s="16">
        <f>SUM(CQ84)</f>
        <v>0</v>
      </c>
      <c r="CR83" s="16">
        <f>SUM(CR84)</f>
        <v>0</v>
      </c>
      <c r="CS83" s="16">
        <f t="shared" si="115"/>
        <v>0</v>
      </c>
      <c r="CT83" s="16">
        <f t="shared" si="115"/>
        <v>0</v>
      </c>
      <c r="CU83" s="16">
        <f t="shared" si="115"/>
        <v>0</v>
      </c>
      <c r="CV83" s="16">
        <f t="shared" si="115"/>
        <v>0</v>
      </c>
      <c r="CW83" s="17">
        <f t="shared" si="115"/>
        <v>0</v>
      </c>
      <c r="CX83" s="40"/>
      <c r="CY83" s="40"/>
    </row>
    <row r="84" spans="1:103" ht="15.75" x14ac:dyDescent="0.25">
      <c r="A84" s="13" t="s">
        <v>1</v>
      </c>
      <c r="B84" s="14" t="s">
        <v>1</v>
      </c>
      <c r="C84" s="14" t="s">
        <v>105</v>
      </c>
      <c r="D84" s="30" t="s">
        <v>106</v>
      </c>
      <c r="E84" s="15">
        <f>SUM(F84+BY84+CT84)</f>
        <v>27112458</v>
      </c>
      <c r="F84" s="16">
        <f>SUM(G84+BA84)</f>
        <v>26021927</v>
      </c>
      <c r="G84" s="16">
        <f>SUM(H84+I84+J84+Q84+T84+U84+V84+AE84)</f>
        <v>26012168</v>
      </c>
      <c r="H84" s="16">
        <f>17399118+3600882</f>
        <v>21000000</v>
      </c>
      <c r="I84" s="16">
        <v>1150805</v>
      </c>
      <c r="J84" s="16">
        <f t="shared" si="103"/>
        <v>2411610</v>
      </c>
      <c r="K84" s="16">
        <v>0</v>
      </c>
      <c r="L84" s="16">
        <f>908859-300000</f>
        <v>608859</v>
      </c>
      <c r="M84" s="16">
        <v>0</v>
      </c>
      <c r="N84" s="16">
        <v>0</v>
      </c>
      <c r="O84" s="16">
        <v>737485</v>
      </c>
      <c r="P84" s="16">
        <f>695266+370000</f>
        <v>1065266</v>
      </c>
      <c r="Q84" s="16">
        <f t="shared" si="104"/>
        <v>1127</v>
      </c>
      <c r="R84" s="16">
        <v>1127</v>
      </c>
      <c r="S84" s="16">
        <v>0</v>
      </c>
      <c r="T84" s="16">
        <v>0</v>
      </c>
      <c r="U84" s="16">
        <v>194708</v>
      </c>
      <c r="V84" s="16">
        <f>SUM(W84:AD84)</f>
        <v>116828</v>
      </c>
      <c r="W84" s="16">
        <v>35575</v>
      </c>
      <c r="X84" s="16">
        <v>17420</v>
      </c>
      <c r="Y84" s="16">
        <v>30181</v>
      </c>
      <c r="Z84" s="16">
        <v>4415</v>
      </c>
      <c r="AA84" s="16">
        <v>3782</v>
      </c>
      <c r="AB84" s="16">
        <v>17520</v>
      </c>
      <c r="AC84" s="16">
        <v>0</v>
      </c>
      <c r="AD84" s="16">
        <v>7935</v>
      </c>
      <c r="AE84" s="16">
        <f>SUM(AF84:AZ84)</f>
        <v>1137090</v>
      </c>
      <c r="AF84" s="16">
        <v>0</v>
      </c>
      <c r="AG84" s="16">
        <v>206340</v>
      </c>
      <c r="AH84" s="16">
        <v>48322</v>
      </c>
      <c r="AI84" s="16">
        <v>0</v>
      </c>
      <c r="AJ84" s="16">
        <v>13181</v>
      </c>
      <c r="AK84" s="16">
        <f>0+39053</f>
        <v>39053</v>
      </c>
      <c r="AL84" s="16">
        <f>139053-139053</f>
        <v>0</v>
      </c>
      <c r="AM84" s="16">
        <f>0+100000</f>
        <v>100000</v>
      </c>
      <c r="AN84" s="16">
        <v>18042</v>
      </c>
      <c r="AO84" s="16">
        <v>24815</v>
      </c>
      <c r="AP84" s="16"/>
      <c r="AQ84" s="16">
        <v>0</v>
      </c>
      <c r="AR84" s="16">
        <v>174188</v>
      </c>
      <c r="AS84" s="16">
        <v>0</v>
      </c>
      <c r="AT84" s="16">
        <v>0</v>
      </c>
      <c r="AU84" s="16">
        <v>0</v>
      </c>
      <c r="AV84" s="16">
        <v>0</v>
      </c>
      <c r="AW84" s="16">
        <v>0</v>
      </c>
      <c r="AX84" s="16">
        <v>0</v>
      </c>
      <c r="AY84" s="16"/>
      <c r="AZ84" s="16">
        <f>283149+230000</f>
        <v>513149</v>
      </c>
      <c r="BA84" s="16">
        <f>SUM(BB84+BF84+BI84+BK84+BM84)</f>
        <v>9759</v>
      </c>
      <c r="BB84" s="16">
        <f>SUM(BC84:BE84)</f>
        <v>0</v>
      </c>
      <c r="BC84" s="16">
        <v>0</v>
      </c>
      <c r="BD84" s="16">
        <v>0</v>
      </c>
      <c r="BE84" s="16">
        <v>0</v>
      </c>
      <c r="BF84" s="16">
        <f t="shared" si="105"/>
        <v>0</v>
      </c>
      <c r="BG84" s="16">
        <v>0</v>
      </c>
      <c r="BH84" s="16">
        <v>0</v>
      </c>
      <c r="BI84" s="16">
        <v>0</v>
      </c>
      <c r="BJ84" s="16">
        <v>0</v>
      </c>
      <c r="BK84" s="16">
        <f t="shared" si="106"/>
        <v>0</v>
      </c>
      <c r="BL84" s="16">
        <v>0</v>
      </c>
      <c r="BM84" s="16">
        <f t="shared" si="107"/>
        <v>9759</v>
      </c>
      <c r="BN84" s="16">
        <v>0</v>
      </c>
      <c r="BO84" s="16">
        <v>0</v>
      </c>
      <c r="BP84" s="16">
        <v>0</v>
      </c>
      <c r="BQ84" s="16">
        <v>0</v>
      </c>
      <c r="BR84" s="16">
        <v>0</v>
      </c>
      <c r="BS84" s="16">
        <v>0</v>
      </c>
      <c r="BT84" s="16">
        <v>0</v>
      </c>
      <c r="BU84" s="16">
        <v>0</v>
      </c>
      <c r="BV84" s="16">
        <v>0</v>
      </c>
      <c r="BW84" s="16">
        <v>9759</v>
      </c>
      <c r="BX84" s="16">
        <v>0</v>
      </c>
      <c r="BY84" s="16">
        <f>SUM(BZ84+CS84)</f>
        <v>1090531</v>
      </c>
      <c r="BZ84" s="16">
        <f>SUM(CA84+CD84+CK84)</f>
        <v>1090531</v>
      </c>
      <c r="CA84" s="16">
        <f t="shared" si="108"/>
        <v>790531</v>
      </c>
      <c r="CB84" s="16">
        <v>0</v>
      </c>
      <c r="CC84" s="16">
        <f>1390531-600000</f>
        <v>790531</v>
      </c>
      <c r="CD84" s="16">
        <f t="shared" si="109"/>
        <v>0</v>
      </c>
      <c r="CE84" s="16">
        <v>0</v>
      </c>
      <c r="CF84" s="16">
        <v>0</v>
      </c>
      <c r="CG84" s="16">
        <v>0</v>
      </c>
      <c r="CH84" s="16">
        <v>0</v>
      </c>
      <c r="CI84" s="16">
        <v>0</v>
      </c>
      <c r="CJ84" s="16">
        <v>0</v>
      </c>
      <c r="CK84" s="16">
        <f t="shared" si="110"/>
        <v>300000</v>
      </c>
      <c r="CL84" s="16">
        <v>0</v>
      </c>
      <c r="CM84" s="16">
        <v>0</v>
      </c>
      <c r="CN84" s="16">
        <v>0</v>
      </c>
      <c r="CO84" s="16">
        <f>0+300000</f>
        <v>300000</v>
      </c>
      <c r="CP84" s="16">
        <v>0</v>
      </c>
      <c r="CQ84" s="16"/>
      <c r="CR84" s="16"/>
      <c r="CS84" s="16">
        <v>0</v>
      </c>
      <c r="CT84" s="16">
        <f t="shared" si="111"/>
        <v>0</v>
      </c>
      <c r="CU84" s="16">
        <f t="shared" si="112"/>
        <v>0</v>
      </c>
      <c r="CV84" s="16">
        <v>0</v>
      </c>
      <c r="CW84" s="17">
        <v>0</v>
      </c>
      <c r="CX84" s="40"/>
      <c r="CY84" s="40"/>
    </row>
    <row r="85" spans="1:103" ht="15.75" x14ac:dyDescent="0.25">
      <c r="A85" s="13" t="s">
        <v>50</v>
      </c>
      <c r="B85" s="14" t="s">
        <v>107</v>
      </c>
      <c r="C85" s="14" t="s">
        <v>1</v>
      </c>
      <c r="D85" s="30" t="s">
        <v>108</v>
      </c>
      <c r="E85" s="15">
        <f t="shared" ref="E85:AJ85" si="116">SUM(E86)</f>
        <v>6813807</v>
      </c>
      <c r="F85" s="16">
        <f t="shared" si="116"/>
        <v>6714624</v>
      </c>
      <c r="G85" s="16">
        <f t="shared" si="116"/>
        <v>6708106</v>
      </c>
      <c r="H85" s="16">
        <f t="shared" si="116"/>
        <v>4917301</v>
      </c>
      <c r="I85" s="16">
        <f t="shared" si="116"/>
        <v>991754</v>
      </c>
      <c r="J85" s="16">
        <f t="shared" si="116"/>
        <v>337203</v>
      </c>
      <c r="K85" s="16">
        <f t="shared" si="116"/>
        <v>0</v>
      </c>
      <c r="L85" s="16">
        <f t="shared" si="116"/>
        <v>60905</v>
      </c>
      <c r="M85" s="16">
        <f t="shared" si="116"/>
        <v>0</v>
      </c>
      <c r="N85" s="16">
        <f t="shared" si="116"/>
        <v>0</v>
      </c>
      <c r="O85" s="16">
        <f t="shared" si="116"/>
        <v>209046</v>
      </c>
      <c r="P85" s="16">
        <f t="shared" si="116"/>
        <v>67252</v>
      </c>
      <c r="Q85" s="16">
        <f t="shared" si="116"/>
        <v>2259</v>
      </c>
      <c r="R85" s="16">
        <f t="shared" si="116"/>
        <v>2259</v>
      </c>
      <c r="S85" s="16">
        <f t="shared" si="116"/>
        <v>0</v>
      </c>
      <c r="T85" s="16">
        <f t="shared" si="116"/>
        <v>0</v>
      </c>
      <c r="U85" s="16">
        <f t="shared" si="116"/>
        <v>186901</v>
      </c>
      <c r="V85" s="16">
        <f t="shared" si="116"/>
        <v>69427</v>
      </c>
      <c r="W85" s="16">
        <f t="shared" si="116"/>
        <v>5430</v>
      </c>
      <c r="X85" s="16">
        <f t="shared" si="116"/>
        <v>35008</v>
      </c>
      <c r="Y85" s="16">
        <f t="shared" si="116"/>
        <v>19564</v>
      </c>
      <c r="Z85" s="16">
        <f t="shared" si="116"/>
        <v>2306</v>
      </c>
      <c r="AA85" s="16">
        <f t="shared" si="116"/>
        <v>6699</v>
      </c>
      <c r="AB85" s="16">
        <f t="shared" si="116"/>
        <v>0</v>
      </c>
      <c r="AC85" s="16">
        <f t="shared" si="116"/>
        <v>0</v>
      </c>
      <c r="AD85" s="16">
        <f t="shared" si="116"/>
        <v>420</v>
      </c>
      <c r="AE85" s="16">
        <f t="shared" si="116"/>
        <v>203261</v>
      </c>
      <c r="AF85" s="16">
        <f t="shared" si="116"/>
        <v>0</v>
      </c>
      <c r="AG85" s="16">
        <f t="shared" si="116"/>
        <v>15129</v>
      </c>
      <c r="AH85" s="16">
        <f t="shared" si="116"/>
        <v>15936</v>
      </c>
      <c r="AI85" s="16">
        <f t="shared" si="116"/>
        <v>0</v>
      </c>
      <c r="AJ85" s="16">
        <f t="shared" si="116"/>
        <v>1591</v>
      </c>
      <c r="AK85" s="16">
        <f t="shared" ref="AK85:BR85" si="117">SUM(AK86)</f>
        <v>0</v>
      </c>
      <c r="AL85" s="16">
        <f t="shared" si="117"/>
        <v>49591</v>
      </c>
      <c r="AM85" s="16">
        <f t="shared" si="117"/>
        <v>34955</v>
      </c>
      <c r="AN85" s="16">
        <f t="shared" si="117"/>
        <v>15627</v>
      </c>
      <c r="AO85" s="16">
        <f t="shared" si="117"/>
        <v>55065</v>
      </c>
      <c r="AP85" s="16">
        <f t="shared" si="117"/>
        <v>0</v>
      </c>
      <c r="AQ85" s="16">
        <f t="shared" si="117"/>
        <v>0</v>
      </c>
      <c r="AR85" s="16">
        <f t="shared" si="117"/>
        <v>15367</v>
      </c>
      <c r="AS85" s="16">
        <f t="shared" si="117"/>
        <v>0</v>
      </c>
      <c r="AT85" s="16">
        <f t="shared" si="117"/>
        <v>0</v>
      </c>
      <c r="AU85" s="16">
        <f t="shared" si="117"/>
        <v>0</v>
      </c>
      <c r="AV85" s="16">
        <f t="shared" si="117"/>
        <v>0</v>
      </c>
      <c r="AW85" s="16">
        <f t="shared" si="117"/>
        <v>0</v>
      </c>
      <c r="AX85" s="16">
        <f t="shared" si="117"/>
        <v>0</v>
      </c>
      <c r="AY85" s="16">
        <f t="shared" si="117"/>
        <v>0</v>
      </c>
      <c r="AZ85" s="16">
        <f t="shared" si="117"/>
        <v>0</v>
      </c>
      <c r="BA85" s="16">
        <f t="shared" si="117"/>
        <v>6518</v>
      </c>
      <c r="BB85" s="16">
        <f t="shared" si="117"/>
        <v>0</v>
      </c>
      <c r="BC85" s="16">
        <f t="shared" si="117"/>
        <v>0</v>
      </c>
      <c r="BD85" s="16">
        <f t="shared" si="117"/>
        <v>0</v>
      </c>
      <c r="BE85" s="16">
        <f t="shared" si="117"/>
        <v>0</v>
      </c>
      <c r="BF85" s="16">
        <f t="shared" si="117"/>
        <v>0</v>
      </c>
      <c r="BG85" s="16">
        <f t="shared" si="117"/>
        <v>0</v>
      </c>
      <c r="BH85" s="16">
        <f t="shared" si="117"/>
        <v>0</v>
      </c>
      <c r="BI85" s="16">
        <f t="shared" si="117"/>
        <v>0</v>
      </c>
      <c r="BJ85" s="16">
        <f t="shared" si="117"/>
        <v>0</v>
      </c>
      <c r="BK85" s="16">
        <f t="shared" si="117"/>
        <v>0</v>
      </c>
      <c r="BL85" s="16">
        <f t="shared" si="117"/>
        <v>0</v>
      </c>
      <c r="BM85" s="16">
        <f t="shared" si="117"/>
        <v>6518</v>
      </c>
      <c r="BN85" s="16">
        <f t="shared" si="117"/>
        <v>0</v>
      </c>
      <c r="BO85" s="16">
        <f t="shared" si="117"/>
        <v>0</v>
      </c>
      <c r="BP85" s="16">
        <f t="shared" si="117"/>
        <v>0</v>
      </c>
      <c r="BQ85" s="16">
        <f t="shared" si="117"/>
        <v>0</v>
      </c>
      <c r="BR85" s="16">
        <f t="shared" si="117"/>
        <v>0</v>
      </c>
      <c r="BS85" s="16">
        <f t="shared" ref="BS85:CW85" si="118">SUM(BS86)</f>
        <v>0</v>
      </c>
      <c r="BT85" s="16">
        <f t="shared" si="118"/>
        <v>0</v>
      </c>
      <c r="BU85" s="16">
        <f t="shared" si="118"/>
        <v>0</v>
      </c>
      <c r="BV85" s="16">
        <f t="shared" si="118"/>
        <v>0</v>
      </c>
      <c r="BW85" s="16">
        <f t="shared" si="118"/>
        <v>6518</v>
      </c>
      <c r="BX85" s="16">
        <f t="shared" si="118"/>
        <v>0</v>
      </c>
      <c r="BY85" s="16">
        <f t="shared" si="118"/>
        <v>99183</v>
      </c>
      <c r="BZ85" s="16">
        <f t="shared" si="118"/>
        <v>99183</v>
      </c>
      <c r="CA85" s="16">
        <f t="shared" si="118"/>
        <v>99183</v>
      </c>
      <c r="CB85" s="16">
        <f t="shared" si="118"/>
        <v>0</v>
      </c>
      <c r="CC85" s="16">
        <f t="shared" si="118"/>
        <v>99183</v>
      </c>
      <c r="CD85" s="16">
        <f t="shared" si="118"/>
        <v>0</v>
      </c>
      <c r="CE85" s="16">
        <f t="shared" si="118"/>
        <v>0</v>
      </c>
      <c r="CF85" s="16">
        <f t="shared" si="118"/>
        <v>0</v>
      </c>
      <c r="CG85" s="16">
        <f t="shared" si="118"/>
        <v>0</v>
      </c>
      <c r="CH85" s="16">
        <f t="shared" si="118"/>
        <v>0</v>
      </c>
      <c r="CI85" s="16">
        <f t="shared" si="118"/>
        <v>0</v>
      </c>
      <c r="CJ85" s="16">
        <f t="shared" si="118"/>
        <v>0</v>
      </c>
      <c r="CK85" s="16">
        <f t="shared" si="118"/>
        <v>0</v>
      </c>
      <c r="CL85" s="16">
        <f t="shared" si="118"/>
        <v>0</v>
      </c>
      <c r="CM85" s="16">
        <f t="shared" si="118"/>
        <v>0</v>
      </c>
      <c r="CN85" s="16">
        <f t="shared" si="118"/>
        <v>0</v>
      </c>
      <c r="CO85" s="16">
        <f t="shared" si="118"/>
        <v>0</v>
      </c>
      <c r="CP85" s="16">
        <f t="shared" si="118"/>
        <v>0</v>
      </c>
      <c r="CQ85" s="16">
        <f t="shared" si="118"/>
        <v>0</v>
      </c>
      <c r="CR85" s="16">
        <f t="shared" si="118"/>
        <v>0</v>
      </c>
      <c r="CS85" s="16">
        <f t="shared" si="118"/>
        <v>0</v>
      </c>
      <c r="CT85" s="16">
        <f t="shared" si="118"/>
        <v>0</v>
      </c>
      <c r="CU85" s="16">
        <f t="shared" si="118"/>
        <v>0</v>
      </c>
      <c r="CV85" s="16">
        <f t="shared" si="118"/>
        <v>0</v>
      </c>
      <c r="CW85" s="17">
        <f t="shared" si="118"/>
        <v>0</v>
      </c>
      <c r="CX85" s="40"/>
      <c r="CY85" s="40"/>
    </row>
    <row r="86" spans="1:103" ht="15.75" x14ac:dyDescent="0.25">
      <c r="A86" s="13" t="s">
        <v>1</v>
      </c>
      <c r="B86" s="14" t="s">
        <v>1</v>
      </c>
      <c r="C86" s="14" t="s">
        <v>109</v>
      </c>
      <c r="D86" s="30" t="s">
        <v>110</v>
      </c>
      <c r="E86" s="15">
        <f>SUM(F86+BY86+CT86)</f>
        <v>6813807</v>
      </c>
      <c r="F86" s="16">
        <f>SUM(G86+BA86)</f>
        <v>6714624</v>
      </c>
      <c r="G86" s="16">
        <f>SUM(H86+I86+J86+Q86+T86+U86+V86+AE86)</f>
        <v>6708106</v>
      </c>
      <c r="H86" s="16">
        <v>4917301</v>
      </c>
      <c r="I86" s="16">
        <v>991754</v>
      </c>
      <c r="J86" s="16">
        <f t="shared" si="103"/>
        <v>337203</v>
      </c>
      <c r="K86" s="16">
        <v>0</v>
      </c>
      <c r="L86" s="16">
        <v>60905</v>
      </c>
      <c r="M86" s="16">
        <v>0</v>
      </c>
      <c r="N86" s="16">
        <v>0</v>
      </c>
      <c r="O86" s="16">
        <v>209046</v>
      </c>
      <c r="P86" s="16">
        <v>67252</v>
      </c>
      <c r="Q86" s="16">
        <f t="shared" si="104"/>
        <v>2259</v>
      </c>
      <c r="R86" s="16">
        <v>2259</v>
      </c>
      <c r="S86" s="16">
        <v>0</v>
      </c>
      <c r="T86" s="16">
        <v>0</v>
      </c>
      <c r="U86" s="16">
        <v>186901</v>
      </c>
      <c r="V86" s="16">
        <f>SUM(W86:AD86)</f>
        <v>69427</v>
      </c>
      <c r="W86" s="16">
        <v>5430</v>
      </c>
      <c r="X86" s="16">
        <v>35008</v>
      </c>
      <c r="Y86" s="16">
        <v>19564</v>
      </c>
      <c r="Z86" s="16">
        <v>2306</v>
      </c>
      <c r="AA86" s="16">
        <v>6699</v>
      </c>
      <c r="AB86" s="16">
        <v>0</v>
      </c>
      <c r="AC86" s="16">
        <v>0</v>
      </c>
      <c r="AD86" s="16">
        <v>420</v>
      </c>
      <c r="AE86" s="16">
        <f>SUM(AF86:AZ86)</f>
        <v>203261</v>
      </c>
      <c r="AF86" s="16">
        <v>0</v>
      </c>
      <c r="AG86" s="16">
        <v>15129</v>
      </c>
      <c r="AH86" s="16">
        <v>15936</v>
      </c>
      <c r="AI86" s="16">
        <v>0</v>
      </c>
      <c r="AJ86" s="16">
        <v>1591</v>
      </c>
      <c r="AK86" s="16">
        <v>0</v>
      </c>
      <c r="AL86" s="16">
        <v>49591</v>
      </c>
      <c r="AM86" s="16">
        <v>34955</v>
      </c>
      <c r="AN86" s="16">
        <v>15627</v>
      </c>
      <c r="AO86" s="16">
        <v>55065</v>
      </c>
      <c r="AP86" s="16"/>
      <c r="AQ86" s="16">
        <v>0</v>
      </c>
      <c r="AR86" s="16">
        <v>15367</v>
      </c>
      <c r="AS86" s="16">
        <v>0</v>
      </c>
      <c r="AT86" s="16">
        <v>0</v>
      </c>
      <c r="AU86" s="16">
        <v>0</v>
      </c>
      <c r="AV86" s="16">
        <v>0</v>
      </c>
      <c r="AW86" s="16">
        <v>0</v>
      </c>
      <c r="AX86" s="16">
        <v>0</v>
      </c>
      <c r="AY86" s="16"/>
      <c r="AZ86" s="16">
        <v>0</v>
      </c>
      <c r="BA86" s="16">
        <f>SUM(BB86+BF86+BI86+BK86+BM86)</f>
        <v>6518</v>
      </c>
      <c r="BB86" s="16">
        <f>SUM(BC86:BE86)</f>
        <v>0</v>
      </c>
      <c r="BC86" s="16">
        <v>0</v>
      </c>
      <c r="BD86" s="16">
        <v>0</v>
      </c>
      <c r="BE86" s="16">
        <v>0</v>
      </c>
      <c r="BF86" s="16">
        <f t="shared" si="105"/>
        <v>0</v>
      </c>
      <c r="BG86" s="16">
        <v>0</v>
      </c>
      <c r="BH86" s="16">
        <v>0</v>
      </c>
      <c r="BI86" s="16">
        <v>0</v>
      </c>
      <c r="BJ86" s="16">
        <v>0</v>
      </c>
      <c r="BK86" s="16">
        <f t="shared" si="106"/>
        <v>0</v>
      </c>
      <c r="BL86" s="16">
        <v>0</v>
      </c>
      <c r="BM86" s="16">
        <f t="shared" si="107"/>
        <v>6518</v>
      </c>
      <c r="BN86" s="16">
        <v>0</v>
      </c>
      <c r="BO86" s="16">
        <v>0</v>
      </c>
      <c r="BP86" s="16">
        <v>0</v>
      </c>
      <c r="BQ86" s="16">
        <v>0</v>
      </c>
      <c r="BR86" s="16">
        <v>0</v>
      </c>
      <c r="BS86" s="16">
        <v>0</v>
      </c>
      <c r="BT86" s="16">
        <v>0</v>
      </c>
      <c r="BU86" s="16">
        <v>0</v>
      </c>
      <c r="BV86" s="16">
        <v>0</v>
      </c>
      <c r="BW86" s="16">
        <v>6518</v>
      </c>
      <c r="BX86" s="16">
        <v>0</v>
      </c>
      <c r="BY86" s="16">
        <f>SUM(BZ86+CS86)</f>
        <v>99183</v>
      </c>
      <c r="BZ86" s="16">
        <f>SUM(CA86+CD86+CK86)</f>
        <v>99183</v>
      </c>
      <c r="CA86" s="16">
        <f t="shared" si="108"/>
        <v>99183</v>
      </c>
      <c r="CB86" s="16">
        <v>0</v>
      </c>
      <c r="CC86" s="16">
        <v>99183</v>
      </c>
      <c r="CD86" s="16">
        <f t="shared" si="109"/>
        <v>0</v>
      </c>
      <c r="CE86" s="16">
        <v>0</v>
      </c>
      <c r="CF86" s="16">
        <v>0</v>
      </c>
      <c r="CG86" s="16">
        <v>0</v>
      </c>
      <c r="CH86" s="16">
        <v>0</v>
      </c>
      <c r="CI86" s="16">
        <v>0</v>
      </c>
      <c r="CJ86" s="16">
        <v>0</v>
      </c>
      <c r="CK86" s="16">
        <f t="shared" si="110"/>
        <v>0</v>
      </c>
      <c r="CL86" s="16">
        <v>0</v>
      </c>
      <c r="CM86" s="16">
        <v>0</v>
      </c>
      <c r="CN86" s="16">
        <v>0</v>
      </c>
      <c r="CO86" s="16">
        <v>0</v>
      </c>
      <c r="CP86" s="16">
        <v>0</v>
      </c>
      <c r="CQ86" s="16"/>
      <c r="CR86" s="16"/>
      <c r="CS86" s="16">
        <v>0</v>
      </c>
      <c r="CT86" s="16">
        <f t="shared" si="111"/>
        <v>0</v>
      </c>
      <c r="CU86" s="16">
        <f t="shared" si="112"/>
        <v>0</v>
      </c>
      <c r="CV86" s="16">
        <v>0</v>
      </c>
      <c r="CW86" s="17">
        <v>0</v>
      </c>
      <c r="CX86" s="40"/>
      <c r="CY86" s="40"/>
    </row>
    <row r="87" spans="1:103" ht="15.75" x14ac:dyDescent="0.25">
      <c r="A87" s="13" t="s">
        <v>50</v>
      </c>
      <c r="B87" s="14" t="s">
        <v>111</v>
      </c>
      <c r="C87" s="14" t="s">
        <v>1</v>
      </c>
      <c r="D87" s="30" t="s">
        <v>112</v>
      </c>
      <c r="E87" s="15">
        <f t="shared" ref="E87:AJ87" si="119">SUM(E88)</f>
        <v>27439337</v>
      </c>
      <c r="F87" s="16">
        <f t="shared" si="119"/>
        <v>27003590</v>
      </c>
      <c r="G87" s="16">
        <f t="shared" si="119"/>
        <v>26545690</v>
      </c>
      <c r="H87" s="16">
        <f t="shared" si="119"/>
        <v>21418309</v>
      </c>
      <c r="I87" s="16">
        <f t="shared" si="119"/>
        <v>17441</v>
      </c>
      <c r="J87" s="16">
        <f t="shared" si="119"/>
        <v>3236194</v>
      </c>
      <c r="K87" s="16">
        <f t="shared" si="119"/>
        <v>8400</v>
      </c>
      <c r="L87" s="16">
        <f t="shared" si="119"/>
        <v>292442</v>
      </c>
      <c r="M87" s="16">
        <f t="shared" si="119"/>
        <v>0</v>
      </c>
      <c r="N87" s="16">
        <f t="shared" si="119"/>
        <v>0</v>
      </c>
      <c r="O87" s="16">
        <f t="shared" si="119"/>
        <v>2824635</v>
      </c>
      <c r="P87" s="16">
        <f t="shared" si="119"/>
        <v>110717</v>
      </c>
      <c r="Q87" s="16">
        <f t="shared" si="119"/>
        <v>298640</v>
      </c>
      <c r="R87" s="16">
        <f t="shared" si="119"/>
        <v>0</v>
      </c>
      <c r="S87" s="16">
        <f t="shared" si="119"/>
        <v>298640</v>
      </c>
      <c r="T87" s="16">
        <f t="shared" si="119"/>
        <v>0</v>
      </c>
      <c r="U87" s="16">
        <f t="shared" si="119"/>
        <v>104221</v>
      </c>
      <c r="V87" s="16">
        <f t="shared" si="119"/>
        <v>115720</v>
      </c>
      <c r="W87" s="16">
        <f t="shared" si="119"/>
        <v>63694</v>
      </c>
      <c r="X87" s="16">
        <f t="shared" si="119"/>
        <v>0</v>
      </c>
      <c r="Y87" s="16">
        <f t="shared" si="119"/>
        <v>35778</v>
      </c>
      <c r="Z87" s="16">
        <f t="shared" si="119"/>
        <v>7397</v>
      </c>
      <c r="AA87" s="16">
        <f t="shared" si="119"/>
        <v>4515</v>
      </c>
      <c r="AB87" s="16">
        <f t="shared" si="119"/>
        <v>0</v>
      </c>
      <c r="AC87" s="16">
        <f t="shared" si="119"/>
        <v>0</v>
      </c>
      <c r="AD87" s="16">
        <f t="shared" si="119"/>
        <v>4336</v>
      </c>
      <c r="AE87" s="16">
        <f t="shared" si="119"/>
        <v>1355165</v>
      </c>
      <c r="AF87" s="16">
        <f t="shared" si="119"/>
        <v>0</v>
      </c>
      <c r="AG87" s="16">
        <f t="shared" si="119"/>
        <v>0</v>
      </c>
      <c r="AH87" s="16">
        <f t="shared" si="119"/>
        <v>19640</v>
      </c>
      <c r="AI87" s="16">
        <f t="shared" si="119"/>
        <v>0</v>
      </c>
      <c r="AJ87" s="16">
        <f t="shared" si="119"/>
        <v>1591</v>
      </c>
      <c r="AK87" s="16">
        <f t="shared" ref="AK87:BR87" si="120">SUM(AK88)</f>
        <v>0</v>
      </c>
      <c r="AL87" s="16">
        <f t="shared" si="120"/>
        <v>217873</v>
      </c>
      <c r="AM87" s="16">
        <f t="shared" si="120"/>
        <v>4555</v>
      </c>
      <c r="AN87" s="16">
        <f t="shared" si="120"/>
        <v>52380</v>
      </c>
      <c r="AO87" s="16">
        <f t="shared" si="120"/>
        <v>0</v>
      </c>
      <c r="AP87" s="16">
        <f t="shared" si="120"/>
        <v>0</v>
      </c>
      <c r="AQ87" s="16">
        <f t="shared" si="120"/>
        <v>41355</v>
      </c>
      <c r="AR87" s="16">
        <f t="shared" si="120"/>
        <v>0</v>
      </c>
      <c r="AS87" s="16">
        <f t="shared" si="120"/>
        <v>20448</v>
      </c>
      <c r="AT87" s="16">
        <f t="shared" si="120"/>
        <v>0</v>
      </c>
      <c r="AU87" s="16">
        <f t="shared" si="120"/>
        <v>0</v>
      </c>
      <c r="AV87" s="16">
        <f t="shared" si="120"/>
        <v>0</v>
      </c>
      <c r="AW87" s="16">
        <f t="shared" si="120"/>
        <v>954751</v>
      </c>
      <c r="AX87" s="16">
        <f t="shared" si="120"/>
        <v>0</v>
      </c>
      <c r="AY87" s="16">
        <f t="shared" si="120"/>
        <v>0</v>
      </c>
      <c r="AZ87" s="16">
        <f t="shared" si="120"/>
        <v>42572</v>
      </c>
      <c r="BA87" s="16">
        <f t="shared" si="120"/>
        <v>457900</v>
      </c>
      <c r="BB87" s="16">
        <f t="shared" si="120"/>
        <v>0</v>
      </c>
      <c r="BC87" s="16">
        <f t="shared" si="120"/>
        <v>0</v>
      </c>
      <c r="BD87" s="16">
        <f t="shared" si="120"/>
        <v>0</v>
      </c>
      <c r="BE87" s="16">
        <f t="shared" si="120"/>
        <v>0</v>
      </c>
      <c r="BF87" s="16">
        <f t="shared" si="120"/>
        <v>0</v>
      </c>
      <c r="BG87" s="16">
        <f t="shared" si="120"/>
        <v>0</v>
      </c>
      <c r="BH87" s="16">
        <f t="shared" si="120"/>
        <v>0</v>
      </c>
      <c r="BI87" s="16">
        <f t="shared" si="120"/>
        <v>0</v>
      </c>
      <c r="BJ87" s="16">
        <f t="shared" si="120"/>
        <v>0</v>
      </c>
      <c r="BK87" s="16">
        <f t="shared" si="120"/>
        <v>6328</v>
      </c>
      <c r="BL87" s="16">
        <f t="shared" si="120"/>
        <v>6328</v>
      </c>
      <c r="BM87" s="16">
        <f t="shared" si="120"/>
        <v>451572</v>
      </c>
      <c r="BN87" s="16">
        <f t="shared" si="120"/>
        <v>0</v>
      </c>
      <c r="BO87" s="16">
        <f t="shared" si="120"/>
        <v>0</v>
      </c>
      <c r="BP87" s="16">
        <f t="shared" si="120"/>
        <v>0</v>
      </c>
      <c r="BQ87" s="16">
        <f t="shared" si="120"/>
        <v>0</v>
      </c>
      <c r="BR87" s="16">
        <f t="shared" si="120"/>
        <v>0</v>
      </c>
      <c r="BS87" s="16">
        <f t="shared" ref="BS87:CW87" si="121">SUM(BS88)</f>
        <v>0</v>
      </c>
      <c r="BT87" s="16">
        <f t="shared" si="121"/>
        <v>0</v>
      </c>
      <c r="BU87" s="16">
        <f t="shared" si="121"/>
        <v>0</v>
      </c>
      <c r="BV87" s="16">
        <f t="shared" si="121"/>
        <v>0</v>
      </c>
      <c r="BW87" s="16">
        <f t="shared" si="121"/>
        <v>0</v>
      </c>
      <c r="BX87" s="16">
        <f t="shared" si="121"/>
        <v>451572</v>
      </c>
      <c r="BY87" s="16">
        <f t="shared" si="121"/>
        <v>435747</v>
      </c>
      <c r="BZ87" s="16">
        <f t="shared" si="121"/>
        <v>435747</v>
      </c>
      <c r="CA87" s="16">
        <f t="shared" si="121"/>
        <v>435747</v>
      </c>
      <c r="CB87" s="16">
        <f t="shared" si="121"/>
        <v>0</v>
      </c>
      <c r="CC87" s="16">
        <f t="shared" si="121"/>
        <v>435747</v>
      </c>
      <c r="CD87" s="16">
        <f t="shared" si="121"/>
        <v>0</v>
      </c>
      <c r="CE87" s="16">
        <f t="shared" si="121"/>
        <v>0</v>
      </c>
      <c r="CF87" s="16">
        <f t="shared" si="121"/>
        <v>0</v>
      </c>
      <c r="CG87" s="16">
        <f t="shared" si="121"/>
        <v>0</v>
      </c>
      <c r="CH87" s="16">
        <f t="shared" si="121"/>
        <v>0</v>
      </c>
      <c r="CI87" s="16">
        <f t="shared" si="121"/>
        <v>0</v>
      </c>
      <c r="CJ87" s="16">
        <f t="shared" si="121"/>
        <v>0</v>
      </c>
      <c r="CK87" s="16">
        <f t="shared" si="121"/>
        <v>0</v>
      </c>
      <c r="CL87" s="16">
        <f t="shared" si="121"/>
        <v>0</v>
      </c>
      <c r="CM87" s="16">
        <f t="shared" si="121"/>
        <v>0</v>
      </c>
      <c r="CN87" s="16">
        <f t="shared" si="121"/>
        <v>0</v>
      </c>
      <c r="CO87" s="16">
        <f t="shared" si="121"/>
        <v>0</v>
      </c>
      <c r="CP87" s="16">
        <f t="shared" si="121"/>
        <v>0</v>
      </c>
      <c r="CQ87" s="16">
        <f t="shared" si="121"/>
        <v>0</v>
      </c>
      <c r="CR87" s="16">
        <f t="shared" si="121"/>
        <v>0</v>
      </c>
      <c r="CS87" s="16">
        <f t="shared" si="121"/>
        <v>0</v>
      </c>
      <c r="CT87" s="16">
        <f t="shared" si="121"/>
        <v>0</v>
      </c>
      <c r="CU87" s="16">
        <f t="shared" si="121"/>
        <v>0</v>
      </c>
      <c r="CV87" s="16">
        <f t="shared" si="121"/>
        <v>0</v>
      </c>
      <c r="CW87" s="17">
        <f t="shared" si="121"/>
        <v>0</v>
      </c>
      <c r="CX87" s="40"/>
      <c r="CY87" s="40"/>
    </row>
    <row r="88" spans="1:103" ht="15.75" x14ac:dyDescent="0.25">
      <c r="A88" s="13" t="s">
        <v>1</v>
      </c>
      <c r="B88" s="14" t="s">
        <v>1</v>
      </c>
      <c r="C88" s="14" t="s">
        <v>113</v>
      </c>
      <c r="D88" s="30" t="s">
        <v>114</v>
      </c>
      <c r="E88" s="15">
        <f>SUM(F88+BY88+CT88)</f>
        <v>27439337</v>
      </c>
      <c r="F88" s="16">
        <f>SUM(G88+BA88)</f>
        <v>27003590</v>
      </c>
      <c r="G88" s="16">
        <f>SUM(H88+I88+J88+Q88+T88+U88+V88+AE88)</f>
        <v>26545690</v>
      </c>
      <c r="H88" s="16">
        <v>21418309</v>
      </c>
      <c r="I88" s="16">
        <v>17441</v>
      </c>
      <c r="J88" s="16">
        <f t="shared" si="103"/>
        <v>3236194</v>
      </c>
      <c r="K88" s="16">
        <v>8400</v>
      </c>
      <c r="L88" s="16">
        <v>292442</v>
      </c>
      <c r="M88" s="16">
        <v>0</v>
      </c>
      <c r="N88" s="16">
        <v>0</v>
      </c>
      <c r="O88" s="16">
        <v>2824635</v>
      </c>
      <c r="P88" s="16">
        <v>110717</v>
      </c>
      <c r="Q88" s="16">
        <f t="shared" si="104"/>
        <v>298640</v>
      </c>
      <c r="R88" s="16">
        <v>0</v>
      </c>
      <c r="S88" s="16">
        <v>298640</v>
      </c>
      <c r="T88" s="16">
        <v>0</v>
      </c>
      <c r="U88" s="16">
        <v>104221</v>
      </c>
      <c r="V88" s="16">
        <f>SUM(W88:AD88)</f>
        <v>115720</v>
      </c>
      <c r="W88" s="16">
        <v>63694</v>
      </c>
      <c r="X88" s="16">
        <v>0</v>
      </c>
      <c r="Y88" s="16">
        <v>35778</v>
      </c>
      <c r="Z88" s="16">
        <v>7397</v>
      </c>
      <c r="AA88" s="16">
        <v>4515</v>
      </c>
      <c r="AB88" s="16">
        <v>0</v>
      </c>
      <c r="AC88" s="16">
        <v>0</v>
      </c>
      <c r="AD88" s="16">
        <v>4336</v>
      </c>
      <c r="AE88" s="16">
        <f>SUM(AF88:AZ88)</f>
        <v>1355165</v>
      </c>
      <c r="AF88" s="16">
        <v>0</v>
      </c>
      <c r="AG88" s="16">
        <v>0</v>
      </c>
      <c r="AH88" s="16">
        <v>19640</v>
      </c>
      <c r="AI88" s="16">
        <v>0</v>
      </c>
      <c r="AJ88" s="16">
        <v>1591</v>
      </c>
      <c r="AK88" s="16">
        <v>0</v>
      </c>
      <c r="AL88" s="16">
        <v>217873</v>
      </c>
      <c r="AM88" s="16">
        <v>4555</v>
      </c>
      <c r="AN88" s="16">
        <v>52380</v>
      </c>
      <c r="AO88" s="16">
        <v>0</v>
      </c>
      <c r="AP88" s="16">
        <v>0</v>
      </c>
      <c r="AQ88" s="16">
        <v>41355</v>
      </c>
      <c r="AR88" s="16">
        <v>0</v>
      </c>
      <c r="AS88" s="16">
        <v>20448</v>
      </c>
      <c r="AT88" s="16">
        <v>0</v>
      </c>
      <c r="AU88" s="16">
        <v>0</v>
      </c>
      <c r="AV88" s="16">
        <v>0</v>
      </c>
      <c r="AW88" s="16">
        <v>954751</v>
      </c>
      <c r="AX88" s="16">
        <v>0</v>
      </c>
      <c r="AY88" s="16">
        <v>0</v>
      </c>
      <c r="AZ88" s="16">
        <f>12572+30000</f>
        <v>42572</v>
      </c>
      <c r="BA88" s="16">
        <f>SUM(BB88+BF88+BI88+BK88+BM88)</f>
        <v>457900</v>
      </c>
      <c r="BB88" s="16">
        <f>SUM(BC88:BE88)</f>
        <v>0</v>
      </c>
      <c r="BC88" s="16">
        <v>0</v>
      </c>
      <c r="BD88" s="16">
        <v>0</v>
      </c>
      <c r="BE88" s="16">
        <v>0</v>
      </c>
      <c r="BF88" s="16">
        <f t="shared" si="105"/>
        <v>0</v>
      </c>
      <c r="BG88" s="16">
        <v>0</v>
      </c>
      <c r="BH88" s="16">
        <v>0</v>
      </c>
      <c r="BI88" s="16">
        <v>0</v>
      </c>
      <c r="BJ88" s="16">
        <v>0</v>
      </c>
      <c r="BK88" s="16">
        <f t="shared" si="106"/>
        <v>6328</v>
      </c>
      <c r="BL88" s="16">
        <v>6328</v>
      </c>
      <c r="BM88" s="16">
        <f t="shared" si="107"/>
        <v>451572</v>
      </c>
      <c r="BN88" s="16">
        <v>0</v>
      </c>
      <c r="BO88" s="16">
        <v>0</v>
      </c>
      <c r="BP88" s="16">
        <v>0</v>
      </c>
      <c r="BQ88" s="16">
        <v>0</v>
      </c>
      <c r="BR88" s="16">
        <v>0</v>
      </c>
      <c r="BS88" s="16">
        <v>0</v>
      </c>
      <c r="BT88" s="16">
        <v>0</v>
      </c>
      <c r="BU88" s="16">
        <v>0</v>
      </c>
      <c r="BV88" s="16">
        <v>0</v>
      </c>
      <c r="BW88" s="16">
        <v>0</v>
      </c>
      <c r="BX88" s="16">
        <f>481572-30000</f>
        <v>451572</v>
      </c>
      <c r="BY88" s="16">
        <f>SUM(BZ88+CS88)</f>
        <v>435747</v>
      </c>
      <c r="BZ88" s="16">
        <f>SUM(CA88+CD88+CK88)</f>
        <v>435747</v>
      </c>
      <c r="CA88" s="16">
        <f t="shared" si="108"/>
        <v>435747</v>
      </c>
      <c r="CB88" s="16">
        <v>0</v>
      </c>
      <c r="CC88" s="16">
        <v>435747</v>
      </c>
      <c r="CD88" s="16">
        <f t="shared" si="109"/>
        <v>0</v>
      </c>
      <c r="CE88" s="16">
        <v>0</v>
      </c>
      <c r="CF88" s="16">
        <v>0</v>
      </c>
      <c r="CG88" s="16">
        <v>0</v>
      </c>
      <c r="CH88" s="16">
        <v>0</v>
      </c>
      <c r="CI88" s="16">
        <v>0</v>
      </c>
      <c r="CJ88" s="16">
        <v>0</v>
      </c>
      <c r="CK88" s="16">
        <f t="shared" si="110"/>
        <v>0</v>
      </c>
      <c r="CL88" s="16">
        <v>0</v>
      </c>
      <c r="CM88" s="16">
        <v>0</v>
      </c>
      <c r="CN88" s="16">
        <v>0</v>
      </c>
      <c r="CO88" s="16">
        <v>0</v>
      </c>
      <c r="CP88" s="16">
        <v>0</v>
      </c>
      <c r="CQ88" s="16">
        <v>0</v>
      </c>
      <c r="CR88" s="16">
        <v>0</v>
      </c>
      <c r="CS88" s="16">
        <v>0</v>
      </c>
      <c r="CT88" s="16">
        <f t="shared" si="111"/>
        <v>0</v>
      </c>
      <c r="CU88" s="16">
        <f t="shared" si="112"/>
        <v>0</v>
      </c>
      <c r="CV88" s="16">
        <v>0</v>
      </c>
      <c r="CW88" s="17">
        <v>0</v>
      </c>
      <c r="CX88" s="40"/>
      <c r="CY88" s="40"/>
    </row>
    <row r="89" spans="1:103" ht="31.5" x14ac:dyDescent="0.25">
      <c r="A89" s="18" t="s">
        <v>115</v>
      </c>
      <c r="B89" s="19" t="s">
        <v>1</v>
      </c>
      <c r="C89" s="19" t="s">
        <v>1</v>
      </c>
      <c r="D89" s="31" t="s">
        <v>116</v>
      </c>
      <c r="E89" s="20">
        <f>SUM(E90+E93)</f>
        <v>19838455</v>
      </c>
      <c r="F89" s="21">
        <f t="shared" ref="F89:BS89" si="122">SUM(F90+F93)</f>
        <v>19818976</v>
      </c>
      <c r="G89" s="21">
        <f t="shared" si="122"/>
        <v>19768124</v>
      </c>
      <c r="H89" s="21">
        <f t="shared" si="122"/>
        <v>8693785</v>
      </c>
      <c r="I89" s="21">
        <f t="shared" si="122"/>
        <v>2110918</v>
      </c>
      <c r="J89" s="21">
        <f t="shared" si="122"/>
        <v>268389</v>
      </c>
      <c r="K89" s="21">
        <f t="shared" si="122"/>
        <v>0</v>
      </c>
      <c r="L89" s="21">
        <f t="shared" si="122"/>
        <v>0</v>
      </c>
      <c r="M89" s="21">
        <f t="shared" si="122"/>
        <v>0</v>
      </c>
      <c r="N89" s="21">
        <f t="shared" si="122"/>
        <v>0</v>
      </c>
      <c r="O89" s="21">
        <f t="shared" si="122"/>
        <v>248967</v>
      </c>
      <c r="P89" s="21">
        <f t="shared" si="122"/>
        <v>19422</v>
      </c>
      <c r="Q89" s="21">
        <f t="shared" si="122"/>
        <v>3330</v>
      </c>
      <c r="R89" s="21">
        <f t="shared" si="122"/>
        <v>1594</v>
      </c>
      <c r="S89" s="21">
        <f t="shared" si="122"/>
        <v>1736</v>
      </c>
      <c r="T89" s="21">
        <f t="shared" si="122"/>
        <v>0</v>
      </c>
      <c r="U89" s="21">
        <f t="shared" si="122"/>
        <v>52351</v>
      </c>
      <c r="V89" s="21">
        <f t="shared" si="122"/>
        <v>250372</v>
      </c>
      <c r="W89" s="21">
        <f t="shared" si="122"/>
        <v>0</v>
      </c>
      <c r="X89" s="21">
        <f t="shared" si="122"/>
        <v>146919</v>
      </c>
      <c r="Y89" s="21">
        <f t="shared" si="122"/>
        <v>64230</v>
      </c>
      <c r="Z89" s="21">
        <f t="shared" si="122"/>
        <v>36484</v>
      </c>
      <c r="AA89" s="21">
        <f t="shared" si="122"/>
        <v>2648</v>
      </c>
      <c r="AB89" s="21">
        <f t="shared" si="122"/>
        <v>0</v>
      </c>
      <c r="AC89" s="21">
        <f t="shared" si="122"/>
        <v>0</v>
      </c>
      <c r="AD89" s="21">
        <f t="shared" ref="AD89" si="123">SUM(AD90+AD93)</f>
        <v>91</v>
      </c>
      <c r="AE89" s="21">
        <f t="shared" si="122"/>
        <v>8388979</v>
      </c>
      <c r="AF89" s="21">
        <f t="shared" si="122"/>
        <v>8327935</v>
      </c>
      <c r="AG89" s="21">
        <f t="shared" si="122"/>
        <v>4246</v>
      </c>
      <c r="AH89" s="21">
        <f t="shared" si="122"/>
        <v>0</v>
      </c>
      <c r="AI89" s="21">
        <f t="shared" si="122"/>
        <v>0</v>
      </c>
      <c r="AJ89" s="21">
        <f t="shared" si="122"/>
        <v>2382</v>
      </c>
      <c r="AK89" s="21">
        <f t="shared" si="122"/>
        <v>0</v>
      </c>
      <c r="AL89" s="21">
        <f t="shared" si="122"/>
        <v>3018</v>
      </c>
      <c r="AM89" s="21">
        <f t="shared" si="122"/>
        <v>51398</v>
      </c>
      <c r="AN89" s="21">
        <f t="shared" si="122"/>
        <v>0</v>
      </c>
      <c r="AO89" s="21">
        <f t="shared" si="122"/>
        <v>0</v>
      </c>
      <c r="AP89" s="21">
        <f>SUM(AP90+AP93)</f>
        <v>0</v>
      </c>
      <c r="AQ89" s="21">
        <f t="shared" si="122"/>
        <v>0</v>
      </c>
      <c r="AR89" s="21">
        <f t="shared" si="122"/>
        <v>0</v>
      </c>
      <c r="AS89" s="21">
        <f t="shared" si="122"/>
        <v>0</v>
      </c>
      <c r="AT89" s="21">
        <f t="shared" si="122"/>
        <v>0</v>
      </c>
      <c r="AU89" s="21">
        <f t="shared" si="122"/>
        <v>0</v>
      </c>
      <c r="AV89" s="21">
        <f t="shared" si="122"/>
        <v>0</v>
      </c>
      <c r="AW89" s="21">
        <f t="shared" si="122"/>
        <v>0</v>
      </c>
      <c r="AX89" s="21">
        <f t="shared" si="122"/>
        <v>0</v>
      </c>
      <c r="AY89" s="21">
        <f t="shared" si="122"/>
        <v>0</v>
      </c>
      <c r="AZ89" s="21">
        <f t="shared" si="122"/>
        <v>0</v>
      </c>
      <c r="BA89" s="21">
        <f t="shared" si="122"/>
        <v>50852</v>
      </c>
      <c r="BB89" s="21">
        <f t="shared" si="122"/>
        <v>0</v>
      </c>
      <c r="BC89" s="21">
        <f t="shared" si="122"/>
        <v>0</v>
      </c>
      <c r="BD89" s="21">
        <f t="shared" si="122"/>
        <v>0</v>
      </c>
      <c r="BE89" s="21">
        <f t="shared" si="122"/>
        <v>0</v>
      </c>
      <c r="BF89" s="21">
        <f t="shared" si="122"/>
        <v>0</v>
      </c>
      <c r="BG89" s="21">
        <f t="shared" si="122"/>
        <v>0</v>
      </c>
      <c r="BH89" s="21">
        <f t="shared" si="122"/>
        <v>0</v>
      </c>
      <c r="BI89" s="21">
        <f t="shared" si="122"/>
        <v>0</v>
      </c>
      <c r="BJ89" s="21">
        <f t="shared" si="122"/>
        <v>0</v>
      </c>
      <c r="BK89" s="21">
        <f t="shared" si="122"/>
        <v>0</v>
      </c>
      <c r="BL89" s="21">
        <f t="shared" si="122"/>
        <v>0</v>
      </c>
      <c r="BM89" s="21">
        <f t="shared" si="122"/>
        <v>50852</v>
      </c>
      <c r="BN89" s="21">
        <f t="shared" si="122"/>
        <v>0</v>
      </c>
      <c r="BO89" s="21">
        <f t="shared" si="122"/>
        <v>0</v>
      </c>
      <c r="BP89" s="21">
        <f t="shared" si="122"/>
        <v>50852</v>
      </c>
      <c r="BQ89" s="21">
        <f t="shared" si="122"/>
        <v>0</v>
      </c>
      <c r="BR89" s="21">
        <f t="shared" si="122"/>
        <v>0</v>
      </c>
      <c r="BS89" s="21">
        <f t="shared" si="122"/>
        <v>0</v>
      </c>
      <c r="BT89" s="21">
        <f t="shared" ref="BT89:CW89" si="124">SUM(BT90+BT93)</f>
        <v>0</v>
      </c>
      <c r="BU89" s="21">
        <f t="shared" si="124"/>
        <v>0</v>
      </c>
      <c r="BV89" s="21">
        <f t="shared" si="124"/>
        <v>0</v>
      </c>
      <c r="BW89" s="21">
        <f t="shared" si="124"/>
        <v>0</v>
      </c>
      <c r="BX89" s="21">
        <f t="shared" si="124"/>
        <v>0</v>
      </c>
      <c r="BY89" s="21">
        <f t="shared" si="124"/>
        <v>19479</v>
      </c>
      <c r="BZ89" s="21">
        <f t="shared" si="124"/>
        <v>19479</v>
      </c>
      <c r="CA89" s="21">
        <f t="shared" si="124"/>
        <v>19479</v>
      </c>
      <c r="CB89" s="21">
        <f t="shared" si="124"/>
        <v>0</v>
      </c>
      <c r="CC89" s="21">
        <f t="shared" si="124"/>
        <v>19479</v>
      </c>
      <c r="CD89" s="21">
        <f t="shared" si="124"/>
        <v>0</v>
      </c>
      <c r="CE89" s="21">
        <f t="shared" si="124"/>
        <v>0</v>
      </c>
      <c r="CF89" s="21">
        <f>SUM(CF90+CF93)</f>
        <v>0</v>
      </c>
      <c r="CG89" s="21">
        <f t="shared" si="124"/>
        <v>0</v>
      </c>
      <c r="CH89" s="21">
        <f t="shared" si="124"/>
        <v>0</v>
      </c>
      <c r="CI89" s="21">
        <f t="shared" si="124"/>
        <v>0</v>
      </c>
      <c r="CJ89" s="21">
        <f t="shared" ref="CJ89" si="125">SUM(CJ90+CJ93)</f>
        <v>0</v>
      </c>
      <c r="CK89" s="21">
        <f t="shared" si="124"/>
        <v>0</v>
      </c>
      <c r="CL89" s="21">
        <f t="shared" si="124"/>
        <v>0</v>
      </c>
      <c r="CM89" s="21">
        <f>SUM(CM90+CM93)</f>
        <v>0</v>
      </c>
      <c r="CN89" s="21">
        <f t="shared" si="124"/>
        <v>0</v>
      </c>
      <c r="CO89" s="21">
        <f t="shared" si="124"/>
        <v>0</v>
      </c>
      <c r="CP89" s="21">
        <f t="shared" si="124"/>
        <v>0</v>
      </c>
      <c r="CQ89" s="21">
        <f t="shared" si="124"/>
        <v>0</v>
      </c>
      <c r="CR89" s="21">
        <f t="shared" si="124"/>
        <v>0</v>
      </c>
      <c r="CS89" s="21">
        <f t="shared" si="124"/>
        <v>0</v>
      </c>
      <c r="CT89" s="21">
        <f t="shared" si="124"/>
        <v>0</v>
      </c>
      <c r="CU89" s="21">
        <f t="shared" si="124"/>
        <v>0</v>
      </c>
      <c r="CV89" s="21">
        <f t="shared" si="124"/>
        <v>0</v>
      </c>
      <c r="CW89" s="22">
        <f t="shared" si="124"/>
        <v>0</v>
      </c>
      <c r="CX89" s="40"/>
      <c r="CY89" s="40"/>
    </row>
    <row r="90" spans="1:103" ht="15.75" x14ac:dyDescent="0.25">
      <c r="A90" s="13" t="s">
        <v>117</v>
      </c>
      <c r="B90" s="14" t="s">
        <v>7</v>
      </c>
      <c r="C90" s="14" t="s">
        <v>1</v>
      </c>
      <c r="D90" s="30" t="s">
        <v>118</v>
      </c>
      <c r="E90" s="15">
        <f t="shared" ref="E90:AJ90" si="126">SUM(E91:E92)</f>
        <v>11288561</v>
      </c>
      <c r="F90" s="16">
        <f t="shared" si="126"/>
        <v>11284700</v>
      </c>
      <c r="G90" s="16">
        <f t="shared" si="126"/>
        <v>11233848</v>
      </c>
      <c r="H90" s="16">
        <f t="shared" si="126"/>
        <v>8399291</v>
      </c>
      <c r="I90" s="16">
        <f t="shared" si="126"/>
        <v>2042370</v>
      </c>
      <c r="J90" s="16">
        <f t="shared" si="126"/>
        <v>259275</v>
      </c>
      <c r="K90" s="16">
        <f t="shared" si="126"/>
        <v>0</v>
      </c>
      <c r="L90" s="16">
        <f t="shared" si="126"/>
        <v>0</v>
      </c>
      <c r="M90" s="16">
        <f t="shared" si="126"/>
        <v>0</v>
      </c>
      <c r="N90" s="16">
        <f t="shared" si="126"/>
        <v>0</v>
      </c>
      <c r="O90" s="16">
        <f t="shared" si="126"/>
        <v>248967</v>
      </c>
      <c r="P90" s="16">
        <f t="shared" si="126"/>
        <v>10308</v>
      </c>
      <c r="Q90" s="16">
        <f t="shared" si="126"/>
        <v>1594</v>
      </c>
      <c r="R90" s="16">
        <f t="shared" si="126"/>
        <v>1594</v>
      </c>
      <c r="S90" s="16">
        <f t="shared" si="126"/>
        <v>0</v>
      </c>
      <c r="T90" s="16">
        <f t="shared" si="126"/>
        <v>0</v>
      </c>
      <c r="U90" s="16">
        <f t="shared" si="126"/>
        <v>52351</v>
      </c>
      <c r="V90" s="16">
        <f t="shared" si="126"/>
        <v>250372</v>
      </c>
      <c r="W90" s="16">
        <f t="shared" si="126"/>
        <v>0</v>
      </c>
      <c r="X90" s="16">
        <f t="shared" si="126"/>
        <v>146919</v>
      </c>
      <c r="Y90" s="16">
        <f t="shared" si="126"/>
        <v>64230</v>
      </c>
      <c r="Z90" s="16">
        <f t="shared" si="126"/>
        <v>36484</v>
      </c>
      <c r="AA90" s="16">
        <f t="shared" si="126"/>
        <v>2648</v>
      </c>
      <c r="AB90" s="16">
        <f t="shared" si="126"/>
        <v>0</v>
      </c>
      <c r="AC90" s="16">
        <f t="shared" si="126"/>
        <v>0</v>
      </c>
      <c r="AD90" s="16">
        <f t="shared" ref="AD90" si="127">SUM(AD91:AD92)</f>
        <v>91</v>
      </c>
      <c r="AE90" s="16">
        <f t="shared" si="126"/>
        <v>228595</v>
      </c>
      <c r="AF90" s="16">
        <f t="shared" si="126"/>
        <v>169287</v>
      </c>
      <c r="AG90" s="16">
        <f t="shared" si="126"/>
        <v>4246</v>
      </c>
      <c r="AH90" s="16">
        <f t="shared" si="126"/>
        <v>0</v>
      </c>
      <c r="AI90" s="16">
        <f t="shared" si="126"/>
        <v>0</v>
      </c>
      <c r="AJ90" s="16">
        <f t="shared" si="126"/>
        <v>2382</v>
      </c>
      <c r="AK90" s="16">
        <f t="shared" ref="AK90:BR90" si="128">SUM(AK91:AK92)</f>
        <v>0</v>
      </c>
      <c r="AL90" s="16">
        <f t="shared" si="128"/>
        <v>1282</v>
      </c>
      <c r="AM90" s="16">
        <f t="shared" si="128"/>
        <v>51398</v>
      </c>
      <c r="AN90" s="16">
        <f t="shared" si="128"/>
        <v>0</v>
      </c>
      <c r="AO90" s="16">
        <f t="shared" si="128"/>
        <v>0</v>
      </c>
      <c r="AP90" s="16">
        <f>SUM(AP91:AP92)</f>
        <v>0</v>
      </c>
      <c r="AQ90" s="16">
        <f t="shared" si="128"/>
        <v>0</v>
      </c>
      <c r="AR90" s="16">
        <f t="shared" si="128"/>
        <v>0</v>
      </c>
      <c r="AS90" s="16">
        <f t="shared" si="128"/>
        <v>0</v>
      </c>
      <c r="AT90" s="16">
        <f t="shared" si="128"/>
        <v>0</v>
      </c>
      <c r="AU90" s="16">
        <f t="shared" si="128"/>
        <v>0</v>
      </c>
      <c r="AV90" s="16">
        <f t="shared" si="128"/>
        <v>0</v>
      </c>
      <c r="AW90" s="16">
        <f t="shared" si="128"/>
        <v>0</v>
      </c>
      <c r="AX90" s="16">
        <f t="shared" si="128"/>
        <v>0</v>
      </c>
      <c r="AY90" s="16">
        <f t="shared" si="128"/>
        <v>0</v>
      </c>
      <c r="AZ90" s="16">
        <f t="shared" si="128"/>
        <v>0</v>
      </c>
      <c r="BA90" s="16">
        <f t="shared" si="128"/>
        <v>50852</v>
      </c>
      <c r="BB90" s="16">
        <f t="shared" si="128"/>
        <v>0</v>
      </c>
      <c r="BC90" s="16">
        <f t="shared" si="128"/>
        <v>0</v>
      </c>
      <c r="BD90" s="16">
        <f t="shared" si="128"/>
        <v>0</v>
      </c>
      <c r="BE90" s="16">
        <f t="shared" si="128"/>
        <v>0</v>
      </c>
      <c r="BF90" s="16">
        <f t="shared" si="128"/>
        <v>0</v>
      </c>
      <c r="BG90" s="16">
        <f t="shared" si="128"/>
        <v>0</v>
      </c>
      <c r="BH90" s="16">
        <f t="shared" si="128"/>
        <v>0</v>
      </c>
      <c r="BI90" s="16">
        <f t="shared" si="128"/>
        <v>0</v>
      </c>
      <c r="BJ90" s="16">
        <f t="shared" si="128"/>
        <v>0</v>
      </c>
      <c r="BK90" s="16">
        <f t="shared" si="128"/>
        <v>0</v>
      </c>
      <c r="BL90" s="16">
        <f t="shared" si="128"/>
        <v>0</v>
      </c>
      <c r="BM90" s="16">
        <f t="shared" si="128"/>
        <v>50852</v>
      </c>
      <c r="BN90" s="16">
        <f t="shared" si="128"/>
        <v>0</v>
      </c>
      <c r="BO90" s="16">
        <f t="shared" si="128"/>
        <v>0</v>
      </c>
      <c r="BP90" s="16">
        <f t="shared" si="128"/>
        <v>50852</v>
      </c>
      <c r="BQ90" s="16">
        <f t="shared" si="128"/>
        <v>0</v>
      </c>
      <c r="BR90" s="16">
        <f t="shared" si="128"/>
        <v>0</v>
      </c>
      <c r="BS90" s="16">
        <f t="shared" ref="BS90:CW90" si="129">SUM(BS91:BS92)</f>
        <v>0</v>
      </c>
      <c r="BT90" s="16">
        <f t="shared" si="129"/>
        <v>0</v>
      </c>
      <c r="BU90" s="16">
        <f t="shared" si="129"/>
        <v>0</v>
      </c>
      <c r="BV90" s="16">
        <f t="shared" si="129"/>
        <v>0</v>
      </c>
      <c r="BW90" s="16">
        <f t="shared" si="129"/>
        <v>0</v>
      </c>
      <c r="BX90" s="16">
        <f t="shared" si="129"/>
        <v>0</v>
      </c>
      <c r="BY90" s="16">
        <f t="shared" si="129"/>
        <v>3861</v>
      </c>
      <c r="BZ90" s="16">
        <f t="shared" si="129"/>
        <v>3861</v>
      </c>
      <c r="CA90" s="16">
        <f t="shared" si="129"/>
        <v>3861</v>
      </c>
      <c r="CB90" s="16">
        <f t="shared" si="129"/>
        <v>0</v>
      </c>
      <c r="CC90" s="16">
        <f t="shared" si="129"/>
        <v>3861</v>
      </c>
      <c r="CD90" s="16">
        <f t="shared" si="129"/>
        <v>0</v>
      </c>
      <c r="CE90" s="16">
        <f t="shared" si="129"/>
        <v>0</v>
      </c>
      <c r="CF90" s="16">
        <f t="shared" si="129"/>
        <v>0</v>
      </c>
      <c r="CG90" s="16">
        <f t="shared" si="129"/>
        <v>0</v>
      </c>
      <c r="CH90" s="16">
        <f t="shared" si="129"/>
        <v>0</v>
      </c>
      <c r="CI90" s="16">
        <f t="shared" si="129"/>
        <v>0</v>
      </c>
      <c r="CJ90" s="16">
        <f t="shared" ref="CJ90" si="130">SUM(CJ91:CJ92)</f>
        <v>0</v>
      </c>
      <c r="CK90" s="16">
        <f t="shared" si="129"/>
        <v>0</v>
      </c>
      <c r="CL90" s="16">
        <f t="shared" si="129"/>
        <v>0</v>
      </c>
      <c r="CM90" s="16">
        <f t="shared" si="129"/>
        <v>0</v>
      </c>
      <c r="CN90" s="16">
        <f t="shared" si="129"/>
        <v>0</v>
      </c>
      <c r="CO90" s="16">
        <f t="shared" si="129"/>
        <v>0</v>
      </c>
      <c r="CP90" s="16">
        <f t="shared" si="129"/>
        <v>0</v>
      </c>
      <c r="CQ90" s="16">
        <f t="shared" si="129"/>
        <v>0</v>
      </c>
      <c r="CR90" s="16">
        <f t="shared" si="129"/>
        <v>0</v>
      </c>
      <c r="CS90" s="16">
        <f t="shared" si="129"/>
        <v>0</v>
      </c>
      <c r="CT90" s="16">
        <f t="shared" si="129"/>
        <v>0</v>
      </c>
      <c r="CU90" s="16">
        <f t="shared" si="129"/>
        <v>0</v>
      </c>
      <c r="CV90" s="16">
        <f t="shared" si="129"/>
        <v>0</v>
      </c>
      <c r="CW90" s="17">
        <f t="shared" si="129"/>
        <v>0</v>
      </c>
      <c r="CX90" s="40"/>
      <c r="CY90" s="40"/>
    </row>
    <row r="91" spans="1:103" ht="18" customHeight="1" x14ac:dyDescent="0.25">
      <c r="A91" s="13" t="s">
        <v>1</v>
      </c>
      <c r="B91" s="14" t="s">
        <v>1</v>
      </c>
      <c r="C91" s="14" t="s">
        <v>29</v>
      </c>
      <c r="D91" s="30" t="s">
        <v>119</v>
      </c>
      <c r="E91" s="15">
        <f>SUM(F91+BY91+CT91)</f>
        <v>8875852</v>
      </c>
      <c r="F91" s="16">
        <f>SUM(G91+BA91)</f>
        <v>8875852</v>
      </c>
      <c r="G91" s="16">
        <f>SUM(H91+I91+J91+Q91+T91+U91+V91+AE91)</f>
        <v>8825000</v>
      </c>
      <c r="H91" s="16">
        <f>7436254+204-890600</f>
        <v>6545858</v>
      </c>
      <c r="I91" s="16">
        <f>1712485-105064</f>
        <v>1607421</v>
      </c>
      <c r="J91" s="16">
        <f t="shared" si="103"/>
        <v>180629</v>
      </c>
      <c r="K91" s="16">
        <v>0</v>
      </c>
      <c r="L91" s="16">
        <v>0</v>
      </c>
      <c r="M91" s="16">
        <v>0</v>
      </c>
      <c r="N91" s="16">
        <v>0</v>
      </c>
      <c r="O91" s="16">
        <v>172773</v>
      </c>
      <c r="P91" s="16">
        <v>7856</v>
      </c>
      <c r="Q91" s="16">
        <f t="shared" si="104"/>
        <v>0</v>
      </c>
      <c r="R91" s="16">
        <v>0</v>
      </c>
      <c r="S91" s="16">
        <v>0</v>
      </c>
      <c r="T91" s="16">
        <v>0</v>
      </c>
      <c r="U91" s="16">
        <v>33423</v>
      </c>
      <c r="V91" s="16">
        <f>SUM(W91:AD91)</f>
        <v>246214</v>
      </c>
      <c r="W91" s="16">
        <v>0</v>
      </c>
      <c r="X91" s="16">
        <v>146919</v>
      </c>
      <c r="Y91" s="16">
        <v>60163</v>
      </c>
      <c r="Z91" s="16">
        <v>36484</v>
      </c>
      <c r="AA91" s="16">
        <v>2648</v>
      </c>
      <c r="AB91" s="16">
        <v>0</v>
      </c>
      <c r="AC91" s="16">
        <v>0</v>
      </c>
      <c r="AD91" s="16">
        <v>0</v>
      </c>
      <c r="AE91" s="16">
        <f>SUM(AF91:AZ91)</f>
        <v>211455</v>
      </c>
      <c r="AF91" s="16">
        <v>158775</v>
      </c>
      <c r="AG91" s="16">
        <v>0</v>
      </c>
      <c r="AH91" s="16">
        <v>0</v>
      </c>
      <c r="AI91" s="16">
        <v>0</v>
      </c>
      <c r="AJ91" s="16">
        <v>0</v>
      </c>
      <c r="AK91" s="16">
        <v>0</v>
      </c>
      <c r="AL91" s="16">
        <v>1282</v>
      </c>
      <c r="AM91" s="16">
        <v>51398</v>
      </c>
      <c r="AN91" s="16">
        <v>0</v>
      </c>
      <c r="AO91" s="16">
        <v>0</v>
      </c>
      <c r="AP91" s="16">
        <v>0</v>
      </c>
      <c r="AQ91" s="16">
        <v>0</v>
      </c>
      <c r="AR91" s="16">
        <v>0</v>
      </c>
      <c r="AS91" s="16">
        <v>0</v>
      </c>
      <c r="AT91" s="16">
        <v>0</v>
      </c>
      <c r="AU91" s="16">
        <v>0</v>
      </c>
      <c r="AV91" s="16">
        <v>0</v>
      </c>
      <c r="AW91" s="16">
        <v>0</v>
      </c>
      <c r="AX91" s="16">
        <v>0</v>
      </c>
      <c r="AY91" s="16">
        <v>0</v>
      </c>
      <c r="AZ91" s="16">
        <v>0</v>
      </c>
      <c r="BA91" s="16">
        <f>SUM(BB91+BF91+BI91+BK91+BM91)</f>
        <v>50852</v>
      </c>
      <c r="BB91" s="16">
        <f>SUM(BC91:BE91)</f>
        <v>0</v>
      </c>
      <c r="BC91" s="16">
        <v>0</v>
      </c>
      <c r="BD91" s="16">
        <v>0</v>
      </c>
      <c r="BE91" s="16">
        <v>0</v>
      </c>
      <c r="BF91" s="16">
        <f t="shared" si="105"/>
        <v>0</v>
      </c>
      <c r="BG91" s="16">
        <v>0</v>
      </c>
      <c r="BH91" s="16">
        <v>0</v>
      </c>
      <c r="BI91" s="16">
        <v>0</v>
      </c>
      <c r="BJ91" s="16">
        <v>0</v>
      </c>
      <c r="BK91" s="16">
        <f t="shared" si="106"/>
        <v>0</v>
      </c>
      <c r="BL91" s="16">
        <v>0</v>
      </c>
      <c r="BM91" s="16">
        <f t="shared" si="107"/>
        <v>50852</v>
      </c>
      <c r="BN91" s="16">
        <v>0</v>
      </c>
      <c r="BO91" s="16">
        <v>0</v>
      </c>
      <c r="BP91" s="16">
        <v>50852</v>
      </c>
      <c r="BQ91" s="16">
        <v>0</v>
      </c>
      <c r="BR91" s="16">
        <v>0</v>
      </c>
      <c r="BS91" s="16">
        <v>0</v>
      </c>
      <c r="BT91" s="16">
        <v>0</v>
      </c>
      <c r="BU91" s="16">
        <v>0</v>
      </c>
      <c r="BV91" s="16">
        <v>0</v>
      </c>
      <c r="BW91" s="16">
        <v>0</v>
      </c>
      <c r="BX91" s="16">
        <v>0</v>
      </c>
      <c r="BY91" s="16">
        <f>SUM(BZ91+CS91)</f>
        <v>0</v>
      </c>
      <c r="BZ91" s="16">
        <f>SUM(CA91+CD91+CK91)</f>
        <v>0</v>
      </c>
      <c r="CA91" s="16">
        <f t="shared" si="108"/>
        <v>0</v>
      </c>
      <c r="CB91" s="16">
        <v>0</v>
      </c>
      <c r="CC91" s="16">
        <v>0</v>
      </c>
      <c r="CD91" s="16">
        <f t="shared" si="109"/>
        <v>0</v>
      </c>
      <c r="CE91" s="16">
        <v>0</v>
      </c>
      <c r="CF91" s="16">
        <v>0</v>
      </c>
      <c r="CG91" s="16">
        <v>0</v>
      </c>
      <c r="CH91" s="16">
        <v>0</v>
      </c>
      <c r="CI91" s="16">
        <v>0</v>
      </c>
      <c r="CJ91" s="16">
        <v>0</v>
      </c>
      <c r="CK91" s="16">
        <f t="shared" si="110"/>
        <v>0</v>
      </c>
      <c r="CL91" s="16">
        <v>0</v>
      </c>
      <c r="CM91" s="16">
        <v>0</v>
      </c>
      <c r="CN91" s="16">
        <v>0</v>
      </c>
      <c r="CO91" s="16">
        <v>0</v>
      </c>
      <c r="CP91" s="16">
        <v>0</v>
      </c>
      <c r="CQ91" s="16">
        <v>0</v>
      </c>
      <c r="CR91" s="16">
        <v>0</v>
      </c>
      <c r="CS91" s="16">
        <v>0</v>
      </c>
      <c r="CT91" s="16">
        <f t="shared" si="111"/>
        <v>0</v>
      </c>
      <c r="CU91" s="16">
        <f t="shared" si="112"/>
        <v>0</v>
      </c>
      <c r="CV91" s="16">
        <v>0</v>
      </c>
      <c r="CW91" s="17">
        <v>0</v>
      </c>
      <c r="CX91" s="40"/>
      <c r="CY91" s="40"/>
    </row>
    <row r="92" spans="1:103" ht="31.5" x14ac:dyDescent="0.25">
      <c r="A92" s="13" t="s">
        <v>1</v>
      </c>
      <c r="B92" s="14" t="s">
        <v>1</v>
      </c>
      <c r="C92" s="14" t="s">
        <v>39</v>
      </c>
      <c r="D92" s="30" t="s">
        <v>120</v>
      </c>
      <c r="E92" s="15">
        <f>SUM(F92+BY92+CT92)</f>
        <v>2412709</v>
      </c>
      <c r="F92" s="16">
        <f>SUM(G92+BA92)</f>
        <v>2408848</v>
      </c>
      <c r="G92" s="16">
        <f>SUM(H92+I92+J92+Q92+T92+U92+V92+AE92)</f>
        <v>2408848</v>
      </c>
      <c r="H92" s="16">
        <v>1853433</v>
      </c>
      <c r="I92" s="16">
        <v>434949</v>
      </c>
      <c r="J92" s="16">
        <f t="shared" si="103"/>
        <v>78646</v>
      </c>
      <c r="K92" s="16">
        <v>0</v>
      </c>
      <c r="L92" s="16">
        <v>0</v>
      </c>
      <c r="M92" s="16">
        <v>0</v>
      </c>
      <c r="N92" s="16">
        <v>0</v>
      </c>
      <c r="O92" s="16">
        <v>76194</v>
      </c>
      <c r="P92" s="16">
        <v>2452</v>
      </c>
      <c r="Q92" s="16">
        <f t="shared" si="104"/>
        <v>1594</v>
      </c>
      <c r="R92" s="16">
        <v>1594</v>
      </c>
      <c r="S92" s="16">
        <v>0</v>
      </c>
      <c r="T92" s="16">
        <v>0</v>
      </c>
      <c r="U92" s="16">
        <v>18928</v>
      </c>
      <c r="V92" s="16">
        <f>SUM(W92:AD92)</f>
        <v>4158</v>
      </c>
      <c r="W92" s="16">
        <v>0</v>
      </c>
      <c r="X92" s="16">
        <v>0</v>
      </c>
      <c r="Y92" s="16">
        <v>4067</v>
      </c>
      <c r="Z92" s="16">
        <v>0</v>
      </c>
      <c r="AA92" s="16">
        <v>0</v>
      </c>
      <c r="AB92" s="16">
        <v>0</v>
      </c>
      <c r="AC92" s="16">
        <v>0</v>
      </c>
      <c r="AD92" s="16">
        <v>91</v>
      </c>
      <c r="AE92" s="16">
        <f>SUM(AF92:AZ92)</f>
        <v>17140</v>
      </c>
      <c r="AF92" s="16">
        <v>10512</v>
      </c>
      <c r="AG92" s="16">
        <v>4246</v>
      </c>
      <c r="AH92" s="16">
        <v>0</v>
      </c>
      <c r="AI92" s="16">
        <v>0</v>
      </c>
      <c r="AJ92" s="16">
        <v>2382</v>
      </c>
      <c r="AK92" s="16">
        <v>0</v>
      </c>
      <c r="AL92" s="16">
        <v>0</v>
      </c>
      <c r="AM92" s="16">
        <v>0</v>
      </c>
      <c r="AN92" s="16">
        <v>0</v>
      </c>
      <c r="AO92" s="16">
        <v>0</v>
      </c>
      <c r="AP92" s="16">
        <v>0</v>
      </c>
      <c r="AQ92" s="16">
        <v>0</v>
      </c>
      <c r="AR92" s="16">
        <v>0</v>
      </c>
      <c r="AS92" s="16">
        <v>0</v>
      </c>
      <c r="AT92" s="16">
        <v>0</v>
      </c>
      <c r="AU92" s="16">
        <v>0</v>
      </c>
      <c r="AV92" s="16">
        <v>0</v>
      </c>
      <c r="AW92" s="16">
        <v>0</v>
      </c>
      <c r="AX92" s="16">
        <v>0</v>
      </c>
      <c r="AY92" s="16">
        <v>0</v>
      </c>
      <c r="AZ92" s="16">
        <v>0</v>
      </c>
      <c r="BA92" s="16">
        <f>SUM(BB92+BF92+BI92+BK92+BM92)</f>
        <v>0</v>
      </c>
      <c r="BB92" s="16">
        <f>SUM(BC92:BE92)</f>
        <v>0</v>
      </c>
      <c r="BC92" s="16">
        <v>0</v>
      </c>
      <c r="BD92" s="16">
        <v>0</v>
      </c>
      <c r="BE92" s="16">
        <v>0</v>
      </c>
      <c r="BF92" s="16">
        <f t="shared" si="105"/>
        <v>0</v>
      </c>
      <c r="BG92" s="16">
        <v>0</v>
      </c>
      <c r="BH92" s="16">
        <v>0</v>
      </c>
      <c r="BI92" s="16">
        <v>0</v>
      </c>
      <c r="BJ92" s="16">
        <v>0</v>
      </c>
      <c r="BK92" s="16">
        <f t="shared" si="106"/>
        <v>0</v>
      </c>
      <c r="BL92" s="16">
        <v>0</v>
      </c>
      <c r="BM92" s="16">
        <f t="shared" si="107"/>
        <v>0</v>
      </c>
      <c r="BN92" s="16">
        <v>0</v>
      </c>
      <c r="BO92" s="16">
        <v>0</v>
      </c>
      <c r="BP92" s="16">
        <v>0</v>
      </c>
      <c r="BQ92" s="16">
        <v>0</v>
      </c>
      <c r="BR92" s="16">
        <v>0</v>
      </c>
      <c r="BS92" s="16">
        <v>0</v>
      </c>
      <c r="BT92" s="16">
        <v>0</v>
      </c>
      <c r="BU92" s="16">
        <v>0</v>
      </c>
      <c r="BV92" s="16">
        <v>0</v>
      </c>
      <c r="BW92" s="16">
        <v>0</v>
      </c>
      <c r="BX92" s="16">
        <v>0</v>
      </c>
      <c r="BY92" s="16">
        <f>SUM(BZ92+CS92)</f>
        <v>3861</v>
      </c>
      <c r="BZ92" s="16">
        <f>SUM(CA92+CD92+CK92)</f>
        <v>3861</v>
      </c>
      <c r="CA92" s="16">
        <f t="shared" si="108"/>
        <v>3861</v>
      </c>
      <c r="CB92" s="16">
        <v>0</v>
      </c>
      <c r="CC92" s="16">
        <v>3861</v>
      </c>
      <c r="CD92" s="16">
        <f t="shared" si="109"/>
        <v>0</v>
      </c>
      <c r="CE92" s="16">
        <v>0</v>
      </c>
      <c r="CF92" s="16">
        <v>0</v>
      </c>
      <c r="CG92" s="16">
        <v>0</v>
      </c>
      <c r="CH92" s="16">
        <v>0</v>
      </c>
      <c r="CI92" s="16">
        <v>0</v>
      </c>
      <c r="CJ92" s="16">
        <v>0</v>
      </c>
      <c r="CK92" s="16">
        <f t="shared" si="110"/>
        <v>0</v>
      </c>
      <c r="CL92" s="16">
        <v>0</v>
      </c>
      <c r="CM92" s="16">
        <v>0</v>
      </c>
      <c r="CN92" s="16">
        <v>0</v>
      </c>
      <c r="CO92" s="16">
        <v>0</v>
      </c>
      <c r="CP92" s="16">
        <v>0</v>
      </c>
      <c r="CQ92" s="16">
        <v>0</v>
      </c>
      <c r="CR92" s="16">
        <v>0</v>
      </c>
      <c r="CS92" s="16">
        <v>0</v>
      </c>
      <c r="CT92" s="16">
        <f t="shared" si="111"/>
        <v>0</v>
      </c>
      <c r="CU92" s="16">
        <f t="shared" si="112"/>
        <v>0</v>
      </c>
      <c r="CV92" s="16">
        <v>0</v>
      </c>
      <c r="CW92" s="17">
        <v>0</v>
      </c>
      <c r="CX92" s="40"/>
      <c r="CY92" s="40"/>
    </row>
    <row r="93" spans="1:103" ht="31.5" x14ac:dyDescent="0.25">
      <c r="A93" s="13" t="s">
        <v>117</v>
      </c>
      <c r="B93" s="14" t="s">
        <v>47</v>
      </c>
      <c r="C93" s="14" t="s">
        <v>1</v>
      </c>
      <c r="D93" s="30" t="s">
        <v>121</v>
      </c>
      <c r="E93" s="15">
        <f t="shared" ref="E93:AJ93" si="131">SUM(E94:E104)</f>
        <v>8549894</v>
      </c>
      <c r="F93" s="16">
        <f t="shared" si="131"/>
        <v>8534276</v>
      </c>
      <c r="G93" s="16">
        <f t="shared" si="131"/>
        <v>8534276</v>
      </c>
      <c r="H93" s="16">
        <f t="shared" si="131"/>
        <v>294494</v>
      </c>
      <c r="I93" s="16">
        <f t="shared" si="131"/>
        <v>68548</v>
      </c>
      <c r="J93" s="16">
        <f t="shared" si="131"/>
        <v>9114</v>
      </c>
      <c r="K93" s="16">
        <f t="shared" si="131"/>
        <v>0</v>
      </c>
      <c r="L93" s="16">
        <f t="shared" si="131"/>
        <v>0</v>
      </c>
      <c r="M93" s="16">
        <f t="shared" si="131"/>
        <v>0</v>
      </c>
      <c r="N93" s="16">
        <f t="shared" si="131"/>
        <v>0</v>
      </c>
      <c r="O93" s="16">
        <f t="shared" si="131"/>
        <v>0</v>
      </c>
      <c r="P93" s="16">
        <f t="shared" si="131"/>
        <v>9114</v>
      </c>
      <c r="Q93" s="16">
        <f t="shared" si="131"/>
        <v>1736</v>
      </c>
      <c r="R93" s="16">
        <f t="shared" si="131"/>
        <v>0</v>
      </c>
      <c r="S93" s="16">
        <f t="shared" si="131"/>
        <v>1736</v>
      </c>
      <c r="T93" s="16">
        <f t="shared" si="131"/>
        <v>0</v>
      </c>
      <c r="U93" s="16">
        <f t="shared" si="131"/>
        <v>0</v>
      </c>
      <c r="V93" s="16">
        <f t="shared" si="131"/>
        <v>0</v>
      </c>
      <c r="W93" s="16">
        <f t="shared" si="131"/>
        <v>0</v>
      </c>
      <c r="X93" s="16">
        <f t="shared" si="131"/>
        <v>0</v>
      </c>
      <c r="Y93" s="16">
        <f t="shared" si="131"/>
        <v>0</v>
      </c>
      <c r="Z93" s="16">
        <f t="shared" si="131"/>
        <v>0</v>
      </c>
      <c r="AA93" s="16">
        <f t="shared" si="131"/>
        <v>0</v>
      </c>
      <c r="AB93" s="16">
        <f t="shared" si="131"/>
        <v>0</v>
      </c>
      <c r="AC93" s="16">
        <f t="shared" si="131"/>
        <v>0</v>
      </c>
      <c r="AD93" s="16">
        <f t="shared" ref="AD93" si="132">SUM(AD94:AD104)</f>
        <v>0</v>
      </c>
      <c r="AE93" s="16">
        <f t="shared" si="131"/>
        <v>8160384</v>
      </c>
      <c r="AF93" s="16">
        <f t="shared" si="131"/>
        <v>8158648</v>
      </c>
      <c r="AG93" s="16">
        <f t="shared" si="131"/>
        <v>0</v>
      </c>
      <c r="AH93" s="16">
        <f t="shared" si="131"/>
        <v>0</v>
      </c>
      <c r="AI93" s="16">
        <f t="shared" si="131"/>
        <v>0</v>
      </c>
      <c r="AJ93" s="16">
        <f t="shared" si="131"/>
        <v>0</v>
      </c>
      <c r="AK93" s="16">
        <f t="shared" ref="AK93:BP93" si="133">SUM(AK94:AK104)</f>
        <v>0</v>
      </c>
      <c r="AL93" s="16">
        <f t="shared" si="133"/>
        <v>1736</v>
      </c>
      <c r="AM93" s="16">
        <f t="shared" si="133"/>
        <v>0</v>
      </c>
      <c r="AN93" s="16">
        <f t="shared" si="133"/>
        <v>0</v>
      </c>
      <c r="AO93" s="16">
        <f t="shared" si="133"/>
        <v>0</v>
      </c>
      <c r="AP93" s="16">
        <f t="shared" si="133"/>
        <v>0</v>
      </c>
      <c r="AQ93" s="16">
        <f t="shared" si="133"/>
        <v>0</v>
      </c>
      <c r="AR93" s="16">
        <f t="shared" si="133"/>
        <v>0</v>
      </c>
      <c r="AS93" s="16">
        <f t="shared" si="133"/>
        <v>0</v>
      </c>
      <c r="AT93" s="16">
        <f t="shared" si="133"/>
        <v>0</v>
      </c>
      <c r="AU93" s="16">
        <f t="shared" si="133"/>
        <v>0</v>
      </c>
      <c r="AV93" s="16">
        <f t="shared" si="133"/>
        <v>0</v>
      </c>
      <c r="AW93" s="16">
        <f t="shared" si="133"/>
        <v>0</v>
      </c>
      <c r="AX93" s="16">
        <f t="shared" si="133"/>
        <v>0</v>
      </c>
      <c r="AY93" s="16">
        <f t="shared" si="133"/>
        <v>0</v>
      </c>
      <c r="AZ93" s="16">
        <f t="shared" si="133"/>
        <v>0</v>
      </c>
      <c r="BA93" s="16">
        <f t="shared" si="133"/>
        <v>0</v>
      </c>
      <c r="BB93" s="16">
        <f t="shared" si="133"/>
        <v>0</v>
      </c>
      <c r="BC93" s="16">
        <f t="shared" si="133"/>
        <v>0</v>
      </c>
      <c r="BD93" s="16">
        <f t="shared" si="133"/>
        <v>0</v>
      </c>
      <c r="BE93" s="16">
        <f t="shared" si="133"/>
        <v>0</v>
      </c>
      <c r="BF93" s="16">
        <f t="shared" si="133"/>
        <v>0</v>
      </c>
      <c r="BG93" s="16">
        <f t="shared" si="133"/>
        <v>0</v>
      </c>
      <c r="BH93" s="16">
        <f t="shared" si="133"/>
        <v>0</v>
      </c>
      <c r="BI93" s="16">
        <f t="shared" si="133"/>
        <v>0</v>
      </c>
      <c r="BJ93" s="16">
        <f t="shared" si="133"/>
        <v>0</v>
      </c>
      <c r="BK93" s="16">
        <f t="shared" si="133"/>
        <v>0</v>
      </c>
      <c r="BL93" s="16">
        <f t="shared" si="133"/>
        <v>0</v>
      </c>
      <c r="BM93" s="16">
        <f t="shared" si="133"/>
        <v>0</v>
      </c>
      <c r="BN93" s="16">
        <f t="shared" si="133"/>
        <v>0</v>
      </c>
      <c r="BO93" s="16">
        <f t="shared" si="133"/>
        <v>0</v>
      </c>
      <c r="BP93" s="16">
        <f t="shared" si="133"/>
        <v>0</v>
      </c>
      <c r="BQ93" s="16">
        <f t="shared" ref="BQ93:CV93" si="134">SUM(BQ94:BQ104)</f>
        <v>0</v>
      </c>
      <c r="BR93" s="16">
        <f t="shared" si="134"/>
        <v>0</v>
      </c>
      <c r="BS93" s="16">
        <f t="shared" si="134"/>
        <v>0</v>
      </c>
      <c r="BT93" s="16">
        <f t="shared" si="134"/>
        <v>0</v>
      </c>
      <c r="BU93" s="16">
        <f t="shared" si="134"/>
        <v>0</v>
      </c>
      <c r="BV93" s="16">
        <f t="shared" si="134"/>
        <v>0</v>
      </c>
      <c r="BW93" s="16">
        <f t="shared" si="134"/>
        <v>0</v>
      </c>
      <c r="BX93" s="16">
        <f t="shared" si="134"/>
        <v>0</v>
      </c>
      <c r="BY93" s="16">
        <f t="shared" si="134"/>
        <v>15618</v>
      </c>
      <c r="BZ93" s="16">
        <f t="shared" si="134"/>
        <v>15618</v>
      </c>
      <c r="CA93" s="16">
        <f t="shared" si="134"/>
        <v>15618</v>
      </c>
      <c r="CB93" s="16">
        <f t="shared" si="134"/>
        <v>0</v>
      </c>
      <c r="CC93" s="16">
        <f t="shared" si="134"/>
        <v>15618</v>
      </c>
      <c r="CD93" s="16">
        <f t="shared" si="134"/>
        <v>0</v>
      </c>
      <c r="CE93" s="16">
        <f t="shared" si="134"/>
        <v>0</v>
      </c>
      <c r="CF93" s="16">
        <f t="shared" si="134"/>
        <v>0</v>
      </c>
      <c r="CG93" s="16">
        <f t="shared" si="134"/>
        <v>0</v>
      </c>
      <c r="CH93" s="16">
        <f t="shared" si="134"/>
        <v>0</v>
      </c>
      <c r="CI93" s="16">
        <f t="shared" si="134"/>
        <v>0</v>
      </c>
      <c r="CJ93" s="16">
        <f t="shared" si="134"/>
        <v>0</v>
      </c>
      <c r="CK93" s="16">
        <f t="shared" si="134"/>
        <v>0</v>
      </c>
      <c r="CL93" s="16">
        <f t="shared" si="134"/>
        <v>0</v>
      </c>
      <c r="CM93" s="16">
        <f t="shared" si="134"/>
        <v>0</v>
      </c>
      <c r="CN93" s="16">
        <f t="shared" si="134"/>
        <v>0</v>
      </c>
      <c r="CO93" s="16">
        <f t="shared" si="134"/>
        <v>0</v>
      </c>
      <c r="CP93" s="16">
        <f t="shared" si="134"/>
        <v>0</v>
      </c>
      <c r="CQ93" s="16">
        <f t="shared" si="134"/>
        <v>0</v>
      </c>
      <c r="CR93" s="16">
        <f t="shared" si="134"/>
        <v>0</v>
      </c>
      <c r="CS93" s="16">
        <f t="shared" si="134"/>
        <v>0</v>
      </c>
      <c r="CT93" s="16">
        <f t="shared" si="134"/>
        <v>0</v>
      </c>
      <c r="CU93" s="16">
        <f t="shared" si="134"/>
        <v>0</v>
      </c>
      <c r="CV93" s="16">
        <f t="shared" si="134"/>
        <v>0</v>
      </c>
      <c r="CW93" s="17">
        <f t="shared" ref="CW93" si="135">SUM(CW94:CW104)</f>
        <v>0</v>
      </c>
      <c r="CX93" s="40"/>
      <c r="CY93" s="40"/>
    </row>
    <row r="94" spans="1:103" ht="15.75" x14ac:dyDescent="0.25">
      <c r="A94" s="13" t="s">
        <v>1</v>
      </c>
      <c r="B94" s="14" t="s">
        <v>1</v>
      </c>
      <c r="C94" s="14" t="s">
        <v>17</v>
      </c>
      <c r="D94" s="30" t="s">
        <v>517</v>
      </c>
      <c r="E94" s="15">
        <f t="shared" ref="E94:E104" si="136">SUM(F94+BY94+CT94)</f>
        <v>803480</v>
      </c>
      <c r="F94" s="16">
        <f t="shared" ref="F94:F104" si="137">SUM(G94+BA94)</f>
        <v>803480</v>
      </c>
      <c r="G94" s="16">
        <f t="shared" ref="G94:G104" si="138">SUM(H94+I94+J94+Q94+T94+U94+V94+AE94)</f>
        <v>803480</v>
      </c>
      <c r="H94" s="16">
        <v>0</v>
      </c>
      <c r="I94" s="16">
        <v>0</v>
      </c>
      <c r="J94" s="16">
        <f t="shared" si="103"/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f t="shared" si="104"/>
        <v>0</v>
      </c>
      <c r="R94" s="16">
        <v>0</v>
      </c>
      <c r="S94" s="16">
        <v>0</v>
      </c>
      <c r="T94" s="16">
        <v>0</v>
      </c>
      <c r="U94" s="16">
        <v>0</v>
      </c>
      <c r="V94" s="16">
        <f t="shared" ref="V94:V104" si="139">SUM(W94:AD94)</f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16">
        <v>0</v>
      </c>
      <c r="AE94" s="16">
        <f t="shared" ref="AE94:AE104" si="140">SUM(AF94:AZ94)</f>
        <v>803480</v>
      </c>
      <c r="AF94" s="16">
        <v>803480</v>
      </c>
      <c r="AG94" s="16">
        <v>0</v>
      </c>
      <c r="AH94" s="16">
        <v>0</v>
      </c>
      <c r="AI94" s="16">
        <v>0</v>
      </c>
      <c r="AJ94" s="16">
        <v>0</v>
      </c>
      <c r="AK94" s="16">
        <v>0</v>
      </c>
      <c r="AL94" s="16">
        <v>0</v>
      </c>
      <c r="AM94" s="16">
        <v>0</v>
      </c>
      <c r="AN94" s="16">
        <v>0</v>
      </c>
      <c r="AO94" s="16">
        <v>0</v>
      </c>
      <c r="AP94" s="16">
        <v>0</v>
      </c>
      <c r="AQ94" s="16">
        <v>0</v>
      </c>
      <c r="AR94" s="16">
        <v>0</v>
      </c>
      <c r="AS94" s="16">
        <v>0</v>
      </c>
      <c r="AT94" s="16">
        <v>0</v>
      </c>
      <c r="AU94" s="16">
        <v>0</v>
      </c>
      <c r="AV94" s="16">
        <v>0</v>
      </c>
      <c r="AW94" s="16">
        <v>0</v>
      </c>
      <c r="AX94" s="16">
        <v>0</v>
      </c>
      <c r="AY94" s="16">
        <v>0</v>
      </c>
      <c r="AZ94" s="16">
        <v>0</v>
      </c>
      <c r="BA94" s="16">
        <f t="shared" ref="BA94:BA104" si="141">SUM(BB94+BF94+BI94+BK94+BM94)</f>
        <v>0</v>
      </c>
      <c r="BB94" s="16">
        <f t="shared" ref="BB94:BB104" si="142">SUM(BC94:BE94)</f>
        <v>0</v>
      </c>
      <c r="BC94" s="16">
        <v>0</v>
      </c>
      <c r="BD94" s="16">
        <v>0</v>
      </c>
      <c r="BE94" s="16">
        <v>0</v>
      </c>
      <c r="BF94" s="16">
        <f t="shared" si="105"/>
        <v>0</v>
      </c>
      <c r="BG94" s="16">
        <v>0</v>
      </c>
      <c r="BH94" s="16">
        <v>0</v>
      </c>
      <c r="BI94" s="16">
        <v>0</v>
      </c>
      <c r="BJ94" s="16">
        <v>0</v>
      </c>
      <c r="BK94" s="16">
        <f t="shared" si="106"/>
        <v>0</v>
      </c>
      <c r="BL94" s="16">
        <v>0</v>
      </c>
      <c r="BM94" s="16">
        <f t="shared" si="107"/>
        <v>0</v>
      </c>
      <c r="BN94" s="16">
        <v>0</v>
      </c>
      <c r="BO94" s="16">
        <v>0</v>
      </c>
      <c r="BP94" s="16">
        <v>0</v>
      </c>
      <c r="BQ94" s="16">
        <v>0</v>
      </c>
      <c r="BR94" s="16">
        <v>0</v>
      </c>
      <c r="BS94" s="16">
        <v>0</v>
      </c>
      <c r="BT94" s="16">
        <v>0</v>
      </c>
      <c r="BU94" s="16">
        <v>0</v>
      </c>
      <c r="BV94" s="16">
        <v>0</v>
      </c>
      <c r="BW94" s="16">
        <v>0</v>
      </c>
      <c r="BX94" s="16">
        <v>0</v>
      </c>
      <c r="BY94" s="16">
        <f t="shared" ref="BY94:BY104" si="143">SUM(BZ94+CS94)</f>
        <v>0</v>
      </c>
      <c r="BZ94" s="16">
        <f t="shared" ref="BZ94:BZ104" si="144">SUM(CA94+CD94+CK94)</f>
        <v>0</v>
      </c>
      <c r="CA94" s="16">
        <f t="shared" si="108"/>
        <v>0</v>
      </c>
      <c r="CB94" s="16">
        <v>0</v>
      </c>
      <c r="CC94" s="16">
        <v>0</v>
      </c>
      <c r="CD94" s="16">
        <f t="shared" si="109"/>
        <v>0</v>
      </c>
      <c r="CE94" s="16">
        <v>0</v>
      </c>
      <c r="CF94" s="16">
        <v>0</v>
      </c>
      <c r="CG94" s="16">
        <v>0</v>
      </c>
      <c r="CH94" s="16">
        <v>0</v>
      </c>
      <c r="CI94" s="16">
        <v>0</v>
      </c>
      <c r="CJ94" s="16">
        <v>0</v>
      </c>
      <c r="CK94" s="16">
        <f t="shared" si="110"/>
        <v>0</v>
      </c>
      <c r="CL94" s="16">
        <v>0</v>
      </c>
      <c r="CM94" s="16">
        <v>0</v>
      </c>
      <c r="CN94" s="16">
        <v>0</v>
      </c>
      <c r="CO94" s="16">
        <v>0</v>
      </c>
      <c r="CP94" s="16">
        <v>0</v>
      </c>
      <c r="CQ94" s="16">
        <v>0</v>
      </c>
      <c r="CR94" s="16">
        <v>0</v>
      </c>
      <c r="CS94" s="16">
        <v>0</v>
      </c>
      <c r="CT94" s="16">
        <f t="shared" si="111"/>
        <v>0</v>
      </c>
      <c r="CU94" s="16">
        <f t="shared" si="112"/>
        <v>0</v>
      </c>
      <c r="CV94" s="16">
        <v>0</v>
      </c>
      <c r="CW94" s="17">
        <v>0</v>
      </c>
      <c r="CX94" s="40"/>
      <c r="CY94" s="40"/>
    </row>
    <row r="95" spans="1:103" ht="15.75" x14ac:dyDescent="0.25">
      <c r="A95" s="13" t="s">
        <v>1</v>
      </c>
      <c r="B95" s="14" t="s">
        <v>1</v>
      </c>
      <c r="C95" s="14" t="s">
        <v>21</v>
      </c>
      <c r="D95" s="30" t="s">
        <v>518</v>
      </c>
      <c r="E95" s="15">
        <f t="shared" si="136"/>
        <v>498305</v>
      </c>
      <c r="F95" s="16">
        <f t="shared" si="137"/>
        <v>498305</v>
      </c>
      <c r="G95" s="16">
        <f t="shared" si="138"/>
        <v>498305</v>
      </c>
      <c r="H95" s="16">
        <v>0</v>
      </c>
      <c r="I95" s="16">
        <v>0</v>
      </c>
      <c r="J95" s="16">
        <f>SUM(K95:P95)</f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f>SUM(R95:S95)</f>
        <v>0</v>
      </c>
      <c r="R95" s="16">
        <v>0</v>
      </c>
      <c r="S95" s="16">
        <v>0</v>
      </c>
      <c r="T95" s="16">
        <v>0</v>
      </c>
      <c r="U95" s="16">
        <v>0</v>
      </c>
      <c r="V95" s="16">
        <f t="shared" si="139"/>
        <v>0</v>
      </c>
      <c r="W95" s="16">
        <v>0</v>
      </c>
      <c r="X95" s="16">
        <v>0</v>
      </c>
      <c r="Y95" s="16">
        <v>0</v>
      </c>
      <c r="Z95" s="16">
        <v>0</v>
      </c>
      <c r="AA95" s="16">
        <v>0</v>
      </c>
      <c r="AB95" s="16">
        <v>0</v>
      </c>
      <c r="AC95" s="16">
        <v>0</v>
      </c>
      <c r="AD95" s="16">
        <v>0</v>
      </c>
      <c r="AE95" s="16">
        <f t="shared" si="140"/>
        <v>498305</v>
      </c>
      <c r="AF95" s="16">
        <v>498305</v>
      </c>
      <c r="AG95" s="16">
        <v>0</v>
      </c>
      <c r="AH95" s="16">
        <v>0</v>
      </c>
      <c r="AI95" s="16">
        <v>0</v>
      </c>
      <c r="AJ95" s="16">
        <v>0</v>
      </c>
      <c r="AK95" s="16">
        <v>0</v>
      </c>
      <c r="AL95" s="16">
        <v>0</v>
      </c>
      <c r="AM95" s="16">
        <v>0</v>
      </c>
      <c r="AN95" s="16">
        <v>0</v>
      </c>
      <c r="AO95" s="16">
        <v>0</v>
      </c>
      <c r="AP95" s="16">
        <v>0</v>
      </c>
      <c r="AQ95" s="16">
        <v>0</v>
      </c>
      <c r="AR95" s="16">
        <v>0</v>
      </c>
      <c r="AS95" s="16">
        <v>0</v>
      </c>
      <c r="AT95" s="16">
        <v>0</v>
      </c>
      <c r="AU95" s="16">
        <v>0</v>
      </c>
      <c r="AV95" s="16">
        <v>0</v>
      </c>
      <c r="AW95" s="16">
        <v>0</v>
      </c>
      <c r="AX95" s="16">
        <v>0</v>
      </c>
      <c r="AY95" s="16">
        <v>0</v>
      </c>
      <c r="AZ95" s="16">
        <v>0</v>
      </c>
      <c r="BA95" s="16">
        <f t="shared" si="141"/>
        <v>0</v>
      </c>
      <c r="BB95" s="16">
        <f t="shared" si="142"/>
        <v>0</v>
      </c>
      <c r="BC95" s="16">
        <v>0</v>
      </c>
      <c r="BD95" s="16">
        <v>0</v>
      </c>
      <c r="BE95" s="16">
        <v>0</v>
      </c>
      <c r="BF95" s="16">
        <f>SUM(BG95:BH95)</f>
        <v>0</v>
      </c>
      <c r="BG95" s="16">
        <v>0</v>
      </c>
      <c r="BH95" s="16">
        <v>0</v>
      </c>
      <c r="BI95" s="16">
        <v>0</v>
      </c>
      <c r="BJ95" s="16">
        <v>0</v>
      </c>
      <c r="BK95" s="16">
        <f>SUM(BL95)</f>
        <v>0</v>
      </c>
      <c r="BL95" s="16">
        <v>0</v>
      </c>
      <c r="BM95" s="16">
        <f>SUM(BN95:BX95)</f>
        <v>0</v>
      </c>
      <c r="BN95" s="16">
        <v>0</v>
      </c>
      <c r="BO95" s="16">
        <v>0</v>
      </c>
      <c r="BP95" s="16">
        <v>0</v>
      </c>
      <c r="BQ95" s="16">
        <v>0</v>
      </c>
      <c r="BR95" s="16">
        <v>0</v>
      </c>
      <c r="BS95" s="16">
        <v>0</v>
      </c>
      <c r="BT95" s="16">
        <v>0</v>
      </c>
      <c r="BU95" s="16">
        <v>0</v>
      </c>
      <c r="BV95" s="16">
        <v>0</v>
      </c>
      <c r="BW95" s="16">
        <v>0</v>
      </c>
      <c r="BX95" s="16">
        <v>0</v>
      </c>
      <c r="BY95" s="16">
        <f t="shared" si="143"/>
        <v>0</v>
      </c>
      <c r="BZ95" s="16">
        <f t="shared" si="144"/>
        <v>0</v>
      </c>
      <c r="CA95" s="16">
        <f>SUM(CB95:CC95)</f>
        <v>0</v>
      </c>
      <c r="CB95" s="16">
        <v>0</v>
      </c>
      <c r="CC95" s="16">
        <v>0</v>
      </c>
      <c r="CD95" s="16">
        <f>SUM(CE95:CI95)</f>
        <v>0</v>
      </c>
      <c r="CE95" s="16">
        <v>0</v>
      </c>
      <c r="CF95" s="16">
        <v>0</v>
      </c>
      <c r="CG95" s="16">
        <v>0</v>
      </c>
      <c r="CH95" s="16">
        <v>0</v>
      </c>
      <c r="CI95" s="16">
        <v>0</v>
      </c>
      <c r="CJ95" s="16">
        <v>0</v>
      </c>
      <c r="CK95" s="16">
        <f>SUM(CL95:CP95)</f>
        <v>0</v>
      </c>
      <c r="CL95" s="16">
        <v>0</v>
      </c>
      <c r="CM95" s="16">
        <v>0</v>
      </c>
      <c r="CN95" s="16">
        <v>0</v>
      </c>
      <c r="CO95" s="16">
        <v>0</v>
      </c>
      <c r="CP95" s="16">
        <v>0</v>
      </c>
      <c r="CQ95" s="16">
        <v>0</v>
      </c>
      <c r="CR95" s="16">
        <v>0</v>
      </c>
      <c r="CS95" s="16">
        <v>0</v>
      </c>
      <c r="CT95" s="16">
        <f>SUM(CU95)</f>
        <v>0</v>
      </c>
      <c r="CU95" s="16">
        <f>SUM(CV95:CW95)</f>
        <v>0</v>
      </c>
      <c r="CV95" s="16">
        <v>0</v>
      </c>
      <c r="CW95" s="17">
        <v>0</v>
      </c>
      <c r="CX95" s="40"/>
      <c r="CY95" s="40"/>
    </row>
    <row r="96" spans="1:103" ht="15.75" x14ac:dyDescent="0.25">
      <c r="A96" s="13" t="s">
        <v>1</v>
      </c>
      <c r="B96" s="14" t="s">
        <v>1</v>
      </c>
      <c r="C96" s="14" t="s">
        <v>23</v>
      </c>
      <c r="D96" s="30" t="s">
        <v>519</v>
      </c>
      <c r="E96" s="15">
        <f t="shared" si="136"/>
        <v>5078113</v>
      </c>
      <c r="F96" s="16">
        <f t="shared" si="137"/>
        <v>5078113</v>
      </c>
      <c r="G96" s="16">
        <f t="shared" si="138"/>
        <v>5078113</v>
      </c>
      <c r="H96" s="16">
        <v>0</v>
      </c>
      <c r="I96" s="16">
        <v>0</v>
      </c>
      <c r="J96" s="16">
        <f>SUM(K96:P96)</f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f>SUM(R96:S96)</f>
        <v>0</v>
      </c>
      <c r="R96" s="16">
        <v>0</v>
      </c>
      <c r="S96" s="16">
        <v>0</v>
      </c>
      <c r="T96" s="16">
        <v>0</v>
      </c>
      <c r="U96" s="16">
        <v>0</v>
      </c>
      <c r="V96" s="16">
        <f t="shared" si="139"/>
        <v>0</v>
      </c>
      <c r="W96" s="16">
        <v>0</v>
      </c>
      <c r="X96" s="16">
        <v>0</v>
      </c>
      <c r="Y96" s="16">
        <v>0</v>
      </c>
      <c r="Z96" s="16">
        <v>0</v>
      </c>
      <c r="AA96" s="16">
        <v>0</v>
      </c>
      <c r="AB96" s="16">
        <v>0</v>
      </c>
      <c r="AC96" s="16">
        <v>0</v>
      </c>
      <c r="AD96" s="16">
        <v>0</v>
      </c>
      <c r="AE96" s="16">
        <f t="shared" si="140"/>
        <v>5078113</v>
      </c>
      <c r="AF96" s="16">
        <v>5078113</v>
      </c>
      <c r="AG96" s="16">
        <v>0</v>
      </c>
      <c r="AH96" s="16">
        <v>0</v>
      </c>
      <c r="AI96" s="16">
        <v>0</v>
      </c>
      <c r="AJ96" s="16">
        <v>0</v>
      </c>
      <c r="AK96" s="16">
        <v>0</v>
      </c>
      <c r="AL96" s="16">
        <v>0</v>
      </c>
      <c r="AM96" s="16">
        <v>0</v>
      </c>
      <c r="AN96" s="16">
        <v>0</v>
      </c>
      <c r="AO96" s="16">
        <v>0</v>
      </c>
      <c r="AP96" s="16">
        <v>0</v>
      </c>
      <c r="AQ96" s="16">
        <v>0</v>
      </c>
      <c r="AR96" s="16">
        <v>0</v>
      </c>
      <c r="AS96" s="16">
        <v>0</v>
      </c>
      <c r="AT96" s="16">
        <v>0</v>
      </c>
      <c r="AU96" s="16">
        <v>0</v>
      </c>
      <c r="AV96" s="16">
        <v>0</v>
      </c>
      <c r="AW96" s="16">
        <v>0</v>
      </c>
      <c r="AX96" s="16">
        <v>0</v>
      </c>
      <c r="AY96" s="16">
        <v>0</v>
      </c>
      <c r="AZ96" s="16">
        <v>0</v>
      </c>
      <c r="BA96" s="16">
        <f t="shared" si="141"/>
        <v>0</v>
      </c>
      <c r="BB96" s="16">
        <f t="shared" si="142"/>
        <v>0</v>
      </c>
      <c r="BC96" s="16">
        <v>0</v>
      </c>
      <c r="BD96" s="16">
        <v>0</v>
      </c>
      <c r="BE96" s="16">
        <v>0</v>
      </c>
      <c r="BF96" s="16">
        <f>SUM(BG96:BH96)</f>
        <v>0</v>
      </c>
      <c r="BG96" s="16">
        <v>0</v>
      </c>
      <c r="BH96" s="16">
        <v>0</v>
      </c>
      <c r="BI96" s="16">
        <v>0</v>
      </c>
      <c r="BJ96" s="16">
        <v>0</v>
      </c>
      <c r="BK96" s="16">
        <f>SUM(BL96)</f>
        <v>0</v>
      </c>
      <c r="BL96" s="16">
        <v>0</v>
      </c>
      <c r="BM96" s="16">
        <f>SUM(BN96:BX96)</f>
        <v>0</v>
      </c>
      <c r="BN96" s="16">
        <v>0</v>
      </c>
      <c r="BO96" s="16">
        <v>0</v>
      </c>
      <c r="BP96" s="16">
        <v>0</v>
      </c>
      <c r="BQ96" s="16">
        <v>0</v>
      </c>
      <c r="BR96" s="16">
        <v>0</v>
      </c>
      <c r="BS96" s="16">
        <v>0</v>
      </c>
      <c r="BT96" s="16">
        <v>0</v>
      </c>
      <c r="BU96" s="16">
        <v>0</v>
      </c>
      <c r="BV96" s="16">
        <v>0</v>
      </c>
      <c r="BW96" s="16">
        <v>0</v>
      </c>
      <c r="BX96" s="16">
        <v>0</v>
      </c>
      <c r="BY96" s="16">
        <f t="shared" si="143"/>
        <v>0</v>
      </c>
      <c r="BZ96" s="16">
        <f t="shared" si="144"/>
        <v>0</v>
      </c>
      <c r="CA96" s="16">
        <f>SUM(CB96:CC96)</f>
        <v>0</v>
      </c>
      <c r="CB96" s="16">
        <v>0</v>
      </c>
      <c r="CC96" s="16">
        <v>0</v>
      </c>
      <c r="CD96" s="16">
        <f>SUM(CE96:CI96)</f>
        <v>0</v>
      </c>
      <c r="CE96" s="16">
        <v>0</v>
      </c>
      <c r="CF96" s="16">
        <v>0</v>
      </c>
      <c r="CG96" s="16">
        <v>0</v>
      </c>
      <c r="CH96" s="16">
        <v>0</v>
      </c>
      <c r="CI96" s="16">
        <v>0</v>
      </c>
      <c r="CJ96" s="16">
        <v>0</v>
      </c>
      <c r="CK96" s="16">
        <f>SUM(CL96:CP96)</f>
        <v>0</v>
      </c>
      <c r="CL96" s="16">
        <v>0</v>
      </c>
      <c r="CM96" s="16">
        <v>0</v>
      </c>
      <c r="CN96" s="16">
        <v>0</v>
      </c>
      <c r="CO96" s="16">
        <v>0</v>
      </c>
      <c r="CP96" s="16">
        <v>0</v>
      </c>
      <c r="CQ96" s="16">
        <v>0</v>
      </c>
      <c r="CR96" s="16">
        <v>0</v>
      </c>
      <c r="CS96" s="16">
        <v>0</v>
      </c>
      <c r="CT96" s="16">
        <f>SUM(CU96)</f>
        <v>0</v>
      </c>
      <c r="CU96" s="16">
        <f>SUM(CV96:CW96)</f>
        <v>0</v>
      </c>
      <c r="CV96" s="16">
        <v>0</v>
      </c>
      <c r="CW96" s="17">
        <v>0</v>
      </c>
      <c r="CX96" s="40"/>
      <c r="CY96" s="40"/>
    </row>
    <row r="97" spans="1:103" s="49" customFormat="1" ht="15.75" x14ac:dyDescent="0.25">
      <c r="A97" s="42"/>
      <c r="B97" s="43"/>
      <c r="C97" s="44" t="s">
        <v>23</v>
      </c>
      <c r="D97" s="45" t="s">
        <v>546</v>
      </c>
      <c r="E97" s="46">
        <f t="shared" si="136"/>
        <v>0</v>
      </c>
      <c r="F97" s="41">
        <f t="shared" si="137"/>
        <v>0</v>
      </c>
      <c r="G97" s="41">
        <f t="shared" si="138"/>
        <v>0</v>
      </c>
      <c r="H97" s="41"/>
      <c r="I97" s="41"/>
      <c r="J97" s="41">
        <f t="shared" ref="J97" si="145">SUM(K97:P97)</f>
        <v>0</v>
      </c>
      <c r="K97" s="41">
        <v>0</v>
      </c>
      <c r="L97" s="41"/>
      <c r="M97" s="41">
        <v>0</v>
      </c>
      <c r="N97" s="41">
        <v>0</v>
      </c>
      <c r="O97" s="41"/>
      <c r="P97" s="41"/>
      <c r="Q97" s="41">
        <f t="shared" ref="Q97" si="146">SUM(R97:S97)</f>
        <v>0</v>
      </c>
      <c r="R97" s="41"/>
      <c r="S97" s="41"/>
      <c r="T97" s="41">
        <v>0</v>
      </c>
      <c r="U97" s="41"/>
      <c r="V97" s="41">
        <f t="shared" si="139"/>
        <v>0</v>
      </c>
      <c r="W97" s="41"/>
      <c r="X97" s="41"/>
      <c r="Y97" s="41"/>
      <c r="Z97" s="41"/>
      <c r="AA97" s="41"/>
      <c r="AB97" s="41">
        <v>0</v>
      </c>
      <c r="AC97" s="41">
        <v>0</v>
      </c>
      <c r="AD97" s="41"/>
      <c r="AE97" s="41">
        <f>SUM(AF97:AZ97)</f>
        <v>0</v>
      </c>
      <c r="AF97" s="41">
        <v>0</v>
      </c>
      <c r="AG97" s="41"/>
      <c r="AH97" s="41"/>
      <c r="AI97" s="41">
        <v>0</v>
      </c>
      <c r="AJ97" s="41"/>
      <c r="AK97" s="41"/>
      <c r="AL97" s="41"/>
      <c r="AM97" s="41"/>
      <c r="AN97" s="41"/>
      <c r="AO97" s="41"/>
      <c r="AP97" s="41"/>
      <c r="AQ97" s="41">
        <v>0</v>
      </c>
      <c r="AR97" s="41">
        <v>0</v>
      </c>
      <c r="AS97" s="41"/>
      <c r="AT97" s="41">
        <v>0</v>
      </c>
      <c r="AU97" s="41">
        <v>0</v>
      </c>
      <c r="AV97" s="41">
        <v>0</v>
      </c>
      <c r="AW97" s="41">
        <v>0</v>
      </c>
      <c r="AX97" s="41">
        <v>0</v>
      </c>
      <c r="AY97" s="41"/>
      <c r="AZ97" s="41"/>
      <c r="BA97" s="41">
        <f t="shared" si="141"/>
        <v>0</v>
      </c>
      <c r="BB97" s="41">
        <f t="shared" si="142"/>
        <v>0</v>
      </c>
      <c r="BC97" s="41">
        <v>0</v>
      </c>
      <c r="BD97" s="41">
        <v>0</v>
      </c>
      <c r="BE97" s="41">
        <v>0</v>
      </c>
      <c r="BF97" s="41">
        <f t="shared" ref="BF97" si="147">SUM(BG97:BH97)</f>
        <v>0</v>
      </c>
      <c r="BG97" s="41">
        <v>0</v>
      </c>
      <c r="BH97" s="41">
        <v>0</v>
      </c>
      <c r="BI97" s="41">
        <v>0</v>
      </c>
      <c r="BJ97" s="41">
        <v>0</v>
      </c>
      <c r="BK97" s="41">
        <f t="shared" ref="BK97" si="148">SUM(BL97)</f>
        <v>0</v>
      </c>
      <c r="BL97" s="41">
        <v>0</v>
      </c>
      <c r="BM97" s="41">
        <f t="shared" ref="BM97" si="149">SUM(BN97:BX97)</f>
        <v>0</v>
      </c>
      <c r="BN97" s="41">
        <v>0</v>
      </c>
      <c r="BO97" s="41">
        <v>0</v>
      </c>
      <c r="BP97" s="41">
        <v>0</v>
      </c>
      <c r="BQ97" s="41">
        <v>0</v>
      </c>
      <c r="BR97" s="41">
        <v>0</v>
      </c>
      <c r="BS97" s="41">
        <v>0</v>
      </c>
      <c r="BT97" s="41">
        <v>0</v>
      </c>
      <c r="BU97" s="41">
        <v>0</v>
      </c>
      <c r="BV97" s="41">
        <v>0</v>
      </c>
      <c r="BW97" s="41"/>
      <c r="BX97" s="41">
        <v>0</v>
      </c>
      <c r="BY97" s="41">
        <f t="shared" si="143"/>
        <v>0</v>
      </c>
      <c r="BZ97" s="41">
        <f t="shared" si="144"/>
        <v>0</v>
      </c>
      <c r="CA97" s="41">
        <f t="shared" ref="CA97" si="150">SUM(CB97:CC97)</f>
        <v>0</v>
      </c>
      <c r="CB97" s="41">
        <v>0</v>
      </c>
      <c r="CC97" s="41"/>
      <c r="CD97" s="41">
        <f t="shared" ref="CD97" si="151">SUM(CE97:CI97)</f>
        <v>0</v>
      </c>
      <c r="CE97" s="41">
        <v>0</v>
      </c>
      <c r="CF97" s="41">
        <v>0</v>
      </c>
      <c r="CG97" s="41">
        <v>0</v>
      </c>
      <c r="CH97" s="41">
        <v>0</v>
      </c>
      <c r="CI97" s="41">
        <v>0</v>
      </c>
      <c r="CJ97" s="41">
        <v>0</v>
      </c>
      <c r="CK97" s="41">
        <f t="shared" ref="CK97" si="152">SUM(CL97:CP97)</f>
        <v>0</v>
      </c>
      <c r="CL97" s="41">
        <v>0</v>
      </c>
      <c r="CM97" s="41">
        <v>0</v>
      </c>
      <c r="CN97" s="41">
        <v>0</v>
      </c>
      <c r="CO97" s="41"/>
      <c r="CP97" s="41">
        <v>0</v>
      </c>
      <c r="CQ97" s="41">
        <f>SUM(CR97)</f>
        <v>0</v>
      </c>
      <c r="CR97" s="41"/>
      <c r="CS97" s="41">
        <v>0</v>
      </c>
      <c r="CT97" s="41">
        <f t="shared" ref="CT97" si="153">SUM(CU97)</f>
        <v>0</v>
      </c>
      <c r="CU97" s="41">
        <f t="shared" ref="CU97" si="154">SUM(CV97:CW97)</f>
        <v>0</v>
      </c>
      <c r="CV97" s="41">
        <v>0</v>
      </c>
      <c r="CW97" s="47">
        <v>0</v>
      </c>
      <c r="CX97" s="48"/>
      <c r="CY97" s="48"/>
    </row>
    <row r="98" spans="1:103" s="49" customFormat="1" ht="15.75" x14ac:dyDescent="0.25">
      <c r="A98" s="42"/>
      <c r="B98" s="43"/>
      <c r="C98" s="44" t="s">
        <v>23</v>
      </c>
      <c r="D98" s="45" t="s">
        <v>547</v>
      </c>
      <c r="E98" s="46">
        <f t="shared" si="136"/>
        <v>0</v>
      </c>
      <c r="F98" s="41">
        <f t="shared" si="137"/>
        <v>0</v>
      </c>
      <c r="G98" s="41">
        <f t="shared" si="138"/>
        <v>0</v>
      </c>
      <c r="H98" s="41"/>
      <c r="I98" s="41"/>
      <c r="J98" s="41">
        <f t="shared" ref="J98" si="155">SUM(K98:P98)</f>
        <v>0</v>
      </c>
      <c r="K98" s="41">
        <v>0</v>
      </c>
      <c r="L98" s="41"/>
      <c r="M98" s="41">
        <v>0</v>
      </c>
      <c r="N98" s="41">
        <v>0</v>
      </c>
      <c r="O98" s="41"/>
      <c r="P98" s="41"/>
      <c r="Q98" s="41">
        <f t="shared" ref="Q98" si="156">SUM(R98:S98)</f>
        <v>0</v>
      </c>
      <c r="R98" s="41"/>
      <c r="S98" s="41"/>
      <c r="T98" s="41">
        <v>0</v>
      </c>
      <c r="U98" s="41"/>
      <c r="V98" s="41">
        <f t="shared" si="139"/>
        <v>0</v>
      </c>
      <c r="W98" s="41"/>
      <c r="X98" s="41"/>
      <c r="Y98" s="41"/>
      <c r="Z98" s="41"/>
      <c r="AA98" s="41"/>
      <c r="AB98" s="41">
        <v>0</v>
      </c>
      <c r="AC98" s="41">
        <v>0</v>
      </c>
      <c r="AD98" s="41"/>
      <c r="AE98" s="41">
        <f>SUM(AF98:AZ98)</f>
        <v>0</v>
      </c>
      <c r="AF98" s="41">
        <v>0</v>
      </c>
      <c r="AG98" s="41"/>
      <c r="AH98" s="41"/>
      <c r="AI98" s="41">
        <v>0</v>
      </c>
      <c r="AJ98" s="41"/>
      <c r="AK98" s="41"/>
      <c r="AL98" s="41"/>
      <c r="AM98" s="41"/>
      <c r="AN98" s="41"/>
      <c r="AO98" s="41"/>
      <c r="AP98" s="41"/>
      <c r="AQ98" s="41">
        <v>0</v>
      </c>
      <c r="AR98" s="41">
        <v>0</v>
      </c>
      <c r="AS98" s="41"/>
      <c r="AT98" s="41">
        <v>0</v>
      </c>
      <c r="AU98" s="41">
        <v>0</v>
      </c>
      <c r="AV98" s="41">
        <v>0</v>
      </c>
      <c r="AW98" s="41">
        <v>0</v>
      </c>
      <c r="AX98" s="41">
        <v>0</v>
      </c>
      <c r="AY98" s="41"/>
      <c r="AZ98" s="41"/>
      <c r="BA98" s="41">
        <f t="shared" si="141"/>
        <v>0</v>
      </c>
      <c r="BB98" s="41">
        <f t="shared" si="142"/>
        <v>0</v>
      </c>
      <c r="BC98" s="41">
        <v>0</v>
      </c>
      <c r="BD98" s="41">
        <v>0</v>
      </c>
      <c r="BE98" s="41">
        <v>0</v>
      </c>
      <c r="BF98" s="41">
        <f t="shared" ref="BF98" si="157">SUM(BG98:BH98)</f>
        <v>0</v>
      </c>
      <c r="BG98" s="41">
        <v>0</v>
      </c>
      <c r="BH98" s="41">
        <v>0</v>
      </c>
      <c r="BI98" s="41">
        <v>0</v>
      </c>
      <c r="BJ98" s="41">
        <v>0</v>
      </c>
      <c r="BK98" s="41">
        <f t="shared" ref="BK98" si="158">SUM(BL98)</f>
        <v>0</v>
      </c>
      <c r="BL98" s="41">
        <v>0</v>
      </c>
      <c r="BM98" s="41">
        <f t="shared" ref="BM98" si="159">SUM(BN98:BX98)</f>
        <v>0</v>
      </c>
      <c r="BN98" s="41">
        <v>0</v>
      </c>
      <c r="BO98" s="41">
        <v>0</v>
      </c>
      <c r="BP98" s="41">
        <v>0</v>
      </c>
      <c r="BQ98" s="41">
        <v>0</v>
      </c>
      <c r="BR98" s="41">
        <v>0</v>
      </c>
      <c r="BS98" s="41">
        <v>0</v>
      </c>
      <c r="BT98" s="41">
        <v>0</v>
      </c>
      <c r="BU98" s="41">
        <v>0</v>
      </c>
      <c r="BV98" s="41">
        <v>0</v>
      </c>
      <c r="BW98" s="41"/>
      <c r="BX98" s="41">
        <v>0</v>
      </c>
      <c r="BY98" s="41">
        <f t="shared" si="143"/>
        <v>0</v>
      </c>
      <c r="BZ98" s="41">
        <f t="shared" si="144"/>
        <v>0</v>
      </c>
      <c r="CA98" s="41">
        <f t="shared" ref="CA98" si="160">SUM(CB98:CC98)</f>
        <v>0</v>
      </c>
      <c r="CB98" s="41">
        <v>0</v>
      </c>
      <c r="CC98" s="41"/>
      <c r="CD98" s="41">
        <f t="shared" ref="CD98" si="161">SUM(CE98:CI98)</f>
        <v>0</v>
      </c>
      <c r="CE98" s="41">
        <v>0</v>
      </c>
      <c r="CF98" s="41">
        <v>0</v>
      </c>
      <c r="CG98" s="41">
        <v>0</v>
      </c>
      <c r="CH98" s="41">
        <v>0</v>
      </c>
      <c r="CI98" s="41">
        <v>0</v>
      </c>
      <c r="CJ98" s="41">
        <v>0</v>
      </c>
      <c r="CK98" s="41">
        <f t="shared" ref="CK98" si="162">SUM(CL98:CP98)</f>
        <v>0</v>
      </c>
      <c r="CL98" s="41">
        <v>0</v>
      </c>
      <c r="CM98" s="41">
        <v>0</v>
      </c>
      <c r="CN98" s="41">
        <v>0</v>
      </c>
      <c r="CO98" s="41"/>
      <c r="CP98" s="41">
        <v>0</v>
      </c>
      <c r="CQ98" s="41">
        <f>SUM(CR98)</f>
        <v>0</v>
      </c>
      <c r="CR98" s="41"/>
      <c r="CS98" s="41">
        <v>0</v>
      </c>
      <c r="CT98" s="41">
        <f t="shared" ref="CT98" si="163">SUM(CU98)</f>
        <v>0</v>
      </c>
      <c r="CU98" s="41">
        <f t="shared" ref="CU98" si="164">SUM(CV98:CW98)</f>
        <v>0</v>
      </c>
      <c r="CV98" s="41">
        <v>0</v>
      </c>
      <c r="CW98" s="47">
        <v>0</v>
      </c>
      <c r="CX98" s="48"/>
      <c r="CY98" s="48"/>
    </row>
    <row r="99" spans="1:103" ht="15.75" x14ac:dyDescent="0.25">
      <c r="A99" s="13" t="s">
        <v>1</v>
      </c>
      <c r="B99" s="14" t="s">
        <v>1</v>
      </c>
      <c r="C99" s="14" t="s">
        <v>25</v>
      </c>
      <c r="D99" s="30" t="s">
        <v>521</v>
      </c>
      <c r="E99" s="15">
        <f t="shared" si="136"/>
        <v>315668</v>
      </c>
      <c r="F99" s="16">
        <f t="shared" si="137"/>
        <v>315668</v>
      </c>
      <c r="G99" s="16">
        <f t="shared" si="138"/>
        <v>315668</v>
      </c>
      <c r="H99" s="16">
        <v>0</v>
      </c>
      <c r="I99" s="16">
        <v>0</v>
      </c>
      <c r="J99" s="16">
        <f t="shared" si="103"/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f t="shared" si="104"/>
        <v>0</v>
      </c>
      <c r="R99" s="16">
        <v>0</v>
      </c>
      <c r="S99" s="16">
        <v>0</v>
      </c>
      <c r="T99" s="16">
        <v>0</v>
      </c>
      <c r="U99" s="16">
        <v>0</v>
      </c>
      <c r="V99" s="16">
        <f t="shared" si="139"/>
        <v>0</v>
      </c>
      <c r="W99" s="16">
        <v>0</v>
      </c>
      <c r="X99" s="16">
        <v>0</v>
      </c>
      <c r="Y99" s="16">
        <v>0</v>
      </c>
      <c r="Z99" s="16">
        <v>0</v>
      </c>
      <c r="AA99" s="16">
        <v>0</v>
      </c>
      <c r="AB99" s="16">
        <v>0</v>
      </c>
      <c r="AC99" s="16">
        <v>0</v>
      </c>
      <c r="AD99" s="16">
        <v>0</v>
      </c>
      <c r="AE99" s="16">
        <f t="shared" si="140"/>
        <v>315668</v>
      </c>
      <c r="AF99" s="16">
        <v>315668</v>
      </c>
      <c r="AG99" s="16">
        <v>0</v>
      </c>
      <c r="AH99" s="16">
        <v>0</v>
      </c>
      <c r="AI99" s="16">
        <v>0</v>
      </c>
      <c r="AJ99" s="16">
        <v>0</v>
      </c>
      <c r="AK99" s="16">
        <v>0</v>
      </c>
      <c r="AL99" s="16">
        <v>0</v>
      </c>
      <c r="AM99" s="16">
        <v>0</v>
      </c>
      <c r="AN99" s="16">
        <v>0</v>
      </c>
      <c r="AO99" s="16">
        <v>0</v>
      </c>
      <c r="AP99" s="16">
        <v>0</v>
      </c>
      <c r="AQ99" s="16">
        <v>0</v>
      </c>
      <c r="AR99" s="16">
        <v>0</v>
      </c>
      <c r="AS99" s="16">
        <v>0</v>
      </c>
      <c r="AT99" s="16">
        <v>0</v>
      </c>
      <c r="AU99" s="16">
        <v>0</v>
      </c>
      <c r="AV99" s="16">
        <v>0</v>
      </c>
      <c r="AW99" s="16">
        <v>0</v>
      </c>
      <c r="AX99" s="16">
        <v>0</v>
      </c>
      <c r="AY99" s="16">
        <v>0</v>
      </c>
      <c r="AZ99" s="16">
        <v>0</v>
      </c>
      <c r="BA99" s="16">
        <f t="shared" si="141"/>
        <v>0</v>
      </c>
      <c r="BB99" s="16">
        <f t="shared" si="142"/>
        <v>0</v>
      </c>
      <c r="BC99" s="16">
        <v>0</v>
      </c>
      <c r="BD99" s="16">
        <v>0</v>
      </c>
      <c r="BE99" s="16">
        <v>0</v>
      </c>
      <c r="BF99" s="16">
        <f t="shared" si="105"/>
        <v>0</v>
      </c>
      <c r="BG99" s="16">
        <v>0</v>
      </c>
      <c r="BH99" s="16">
        <v>0</v>
      </c>
      <c r="BI99" s="16">
        <v>0</v>
      </c>
      <c r="BJ99" s="16">
        <v>0</v>
      </c>
      <c r="BK99" s="16">
        <f t="shared" si="106"/>
        <v>0</v>
      </c>
      <c r="BL99" s="16">
        <v>0</v>
      </c>
      <c r="BM99" s="16">
        <f t="shared" si="107"/>
        <v>0</v>
      </c>
      <c r="BN99" s="16">
        <v>0</v>
      </c>
      <c r="BO99" s="16">
        <v>0</v>
      </c>
      <c r="BP99" s="16">
        <v>0</v>
      </c>
      <c r="BQ99" s="16">
        <v>0</v>
      </c>
      <c r="BR99" s="16">
        <v>0</v>
      </c>
      <c r="BS99" s="16">
        <v>0</v>
      </c>
      <c r="BT99" s="16">
        <v>0</v>
      </c>
      <c r="BU99" s="16">
        <v>0</v>
      </c>
      <c r="BV99" s="16">
        <v>0</v>
      </c>
      <c r="BW99" s="16">
        <v>0</v>
      </c>
      <c r="BX99" s="16">
        <v>0</v>
      </c>
      <c r="BY99" s="16">
        <f t="shared" si="143"/>
        <v>0</v>
      </c>
      <c r="BZ99" s="16">
        <f t="shared" si="144"/>
        <v>0</v>
      </c>
      <c r="CA99" s="16">
        <f t="shared" si="108"/>
        <v>0</v>
      </c>
      <c r="CB99" s="16">
        <v>0</v>
      </c>
      <c r="CC99" s="16">
        <v>0</v>
      </c>
      <c r="CD99" s="16">
        <f t="shared" si="109"/>
        <v>0</v>
      </c>
      <c r="CE99" s="16">
        <v>0</v>
      </c>
      <c r="CF99" s="16">
        <v>0</v>
      </c>
      <c r="CG99" s="16">
        <v>0</v>
      </c>
      <c r="CH99" s="16">
        <v>0</v>
      </c>
      <c r="CI99" s="16">
        <v>0</v>
      </c>
      <c r="CJ99" s="16">
        <v>0</v>
      </c>
      <c r="CK99" s="16">
        <f t="shared" si="110"/>
        <v>0</v>
      </c>
      <c r="CL99" s="16">
        <v>0</v>
      </c>
      <c r="CM99" s="16">
        <v>0</v>
      </c>
      <c r="CN99" s="16">
        <v>0</v>
      </c>
      <c r="CO99" s="16">
        <v>0</v>
      </c>
      <c r="CP99" s="16">
        <v>0</v>
      </c>
      <c r="CQ99" s="16">
        <v>0</v>
      </c>
      <c r="CR99" s="16">
        <v>0</v>
      </c>
      <c r="CS99" s="16">
        <v>0</v>
      </c>
      <c r="CT99" s="16">
        <f t="shared" si="111"/>
        <v>0</v>
      </c>
      <c r="CU99" s="16">
        <f t="shared" si="112"/>
        <v>0</v>
      </c>
      <c r="CV99" s="16">
        <v>0</v>
      </c>
      <c r="CW99" s="17">
        <v>0</v>
      </c>
      <c r="CX99" s="40"/>
      <c r="CY99" s="40"/>
    </row>
    <row r="100" spans="1:103" ht="31.5" x14ac:dyDescent="0.25">
      <c r="A100" s="13" t="s">
        <v>1</v>
      </c>
      <c r="B100" s="14" t="s">
        <v>1</v>
      </c>
      <c r="C100" s="14" t="s">
        <v>98</v>
      </c>
      <c r="D100" s="30" t="s">
        <v>99</v>
      </c>
      <c r="E100" s="15">
        <f t="shared" si="136"/>
        <v>555159</v>
      </c>
      <c r="F100" s="16">
        <f t="shared" si="137"/>
        <v>555159</v>
      </c>
      <c r="G100" s="16">
        <f t="shared" si="138"/>
        <v>555159</v>
      </c>
      <c r="H100" s="16">
        <v>0</v>
      </c>
      <c r="I100" s="16">
        <v>0</v>
      </c>
      <c r="J100" s="16">
        <f t="shared" si="103"/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f t="shared" si="104"/>
        <v>0</v>
      </c>
      <c r="R100" s="16">
        <v>0</v>
      </c>
      <c r="S100" s="16">
        <v>0</v>
      </c>
      <c r="T100" s="16">
        <v>0</v>
      </c>
      <c r="U100" s="16">
        <v>0</v>
      </c>
      <c r="V100" s="16">
        <f t="shared" si="139"/>
        <v>0</v>
      </c>
      <c r="W100" s="16">
        <v>0</v>
      </c>
      <c r="X100" s="16">
        <v>0</v>
      </c>
      <c r="Y100" s="16">
        <v>0</v>
      </c>
      <c r="Z100" s="16">
        <v>0</v>
      </c>
      <c r="AA100" s="16">
        <v>0</v>
      </c>
      <c r="AB100" s="16">
        <v>0</v>
      </c>
      <c r="AC100" s="16">
        <v>0</v>
      </c>
      <c r="AD100" s="16">
        <v>0</v>
      </c>
      <c r="AE100" s="16">
        <f t="shared" si="140"/>
        <v>555159</v>
      </c>
      <c r="AF100" s="16">
        <v>555159</v>
      </c>
      <c r="AG100" s="16">
        <v>0</v>
      </c>
      <c r="AH100" s="16">
        <v>0</v>
      </c>
      <c r="AI100" s="16">
        <v>0</v>
      </c>
      <c r="AJ100" s="16">
        <v>0</v>
      </c>
      <c r="AK100" s="16">
        <v>0</v>
      </c>
      <c r="AL100" s="16">
        <v>0</v>
      </c>
      <c r="AM100" s="16">
        <v>0</v>
      </c>
      <c r="AN100" s="16">
        <v>0</v>
      </c>
      <c r="AO100" s="16">
        <v>0</v>
      </c>
      <c r="AP100" s="16">
        <v>0</v>
      </c>
      <c r="AQ100" s="16">
        <v>0</v>
      </c>
      <c r="AR100" s="16">
        <v>0</v>
      </c>
      <c r="AS100" s="16">
        <v>0</v>
      </c>
      <c r="AT100" s="16">
        <v>0</v>
      </c>
      <c r="AU100" s="16">
        <v>0</v>
      </c>
      <c r="AV100" s="16">
        <v>0</v>
      </c>
      <c r="AW100" s="16">
        <v>0</v>
      </c>
      <c r="AX100" s="16">
        <v>0</v>
      </c>
      <c r="AY100" s="16">
        <v>0</v>
      </c>
      <c r="AZ100" s="16">
        <v>0</v>
      </c>
      <c r="BA100" s="16">
        <f t="shared" si="141"/>
        <v>0</v>
      </c>
      <c r="BB100" s="16">
        <f t="shared" si="142"/>
        <v>0</v>
      </c>
      <c r="BC100" s="16">
        <v>0</v>
      </c>
      <c r="BD100" s="16">
        <v>0</v>
      </c>
      <c r="BE100" s="16">
        <v>0</v>
      </c>
      <c r="BF100" s="16">
        <f t="shared" si="105"/>
        <v>0</v>
      </c>
      <c r="BG100" s="16">
        <v>0</v>
      </c>
      <c r="BH100" s="16">
        <v>0</v>
      </c>
      <c r="BI100" s="16">
        <v>0</v>
      </c>
      <c r="BJ100" s="16">
        <v>0</v>
      </c>
      <c r="BK100" s="16">
        <f t="shared" si="106"/>
        <v>0</v>
      </c>
      <c r="BL100" s="16">
        <v>0</v>
      </c>
      <c r="BM100" s="16">
        <f t="shared" si="107"/>
        <v>0</v>
      </c>
      <c r="BN100" s="16">
        <v>0</v>
      </c>
      <c r="BO100" s="16">
        <v>0</v>
      </c>
      <c r="BP100" s="16">
        <v>0</v>
      </c>
      <c r="BQ100" s="16">
        <v>0</v>
      </c>
      <c r="BR100" s="16">
        <v>0</v>
      </c>
      <c r="BS100" s="16">
        <v>0</v>
      </c>
      <c r="BT100" s="16">
        <v>0</v>
      </c>
      <c r="BU100" s="16">
        <v>0</v>
      </c>
      <c r="BV100" s="16">
        <v>0</v>
      </c>
      <c r="BW100" s="16">
        <v>0</v>
      </c>
      <c r="BX100" s="16">
        <v>0</v>
      </c>
      <c r="BY100" s="16">
        <f t="shared" si="143"/>
        <v>0</v>
      </c>
      <c r="BZ100" s="16">
        <f t="shared" si="144"/>
        <v>0</v>
      </c>
      <c r="CA100" s="16">
        <f t="shared" si="108"/>
        <v>0</v>
      </c>
      <c r="CB100" s="16">
        <v>0</v>
      </c>
      <c r="CC100" s="16">
        <v>0</v>
      </c>
      <c r="CD100" s="16">
        <f t="shared" si="109"/>
        <v>0</v>
      </c>
      <c r="CE100" s="16">
        <v>0</v>
      </c>
      <c r="CF100" s="16">
        <v>0</v>
      </c>
      <c r="CG100" s="16">
        <v>0</v>
      </c>
      <c r="CH100" s="16">
        <v>0</v>
      </c>
      <c r="CI100" s="16">
        <v>0</v>
      </c>
      <c r="CJ100" s="16">
        <v>0</v>
      </c>
      <c r="CK100" s="16">
        <f t="shared" si="110"/>
        <v>0</v>
      </c>
      <c r="CL100" s="16">
        <v>0</v>
      </c>
      <c r="CM100" s="16">
        <v>0</v>
      </c>
      <c r="CN100" s="16">
        <v>0</v>
      </c>
      <c r="CO100" s="16">
        <v>0</v>
      </c>
      <c r="CP100" s="16">
        <v>0</v>
      </c>
      <c r="CQ100" s="16">
        <v>0</v>
      </c>
      <c r="CR100" s="16">
        <v>0</v>
      </c>
      <c r="CS100" s="16">
        <v>0</v>
      </c>
      <c r="CT100" s="16">
        <f t="shared" si="111"/>
        <v>0</v>
      </c>
      <c r="CU100" s="16">
        <f t="shared" si="112"/>
        <v>0</v>
      </c>
      <c r="CV100" s="16">
        <v>0</v>
      </c>
      <c r="CW100" s="17">
        <v>0</v>
      </c>
      <c r="CX100" s="40"/>
      <c r="CY100" s="40"/>
    </row>
    <row r="101" spans="1:103" ht="15.75" x14ac:dyDescent="0.25">
      <c r="A101" s="13" t="s">
        <v>1</v>
      </c>
      <c r="B101" s="14" t="s">
        <v>1</v>
      </c>
      <c r="C101" s="14" t="s">
        <v>29</v>
      </c>
      <c r="D101" s="30" t="s">
        <v>520</v>
      </c>
      <c r="E101" s="15">
        <f t="shared" si="136"/>
        <v>661407</v>
      </c>
      <c r="F101" s="16">
        <f t="shared" si="137"/>
        <v>661407</v>
      </c>
      <c r="G101" s="16">
        <f t="shared" si="138"/>
        <v>661407</v>
      </c>
      <c r="H101" s="16">
        <v>0</v>
      </c>
      <c r="I101" s="16">
        <v>0</v>
      </c>
      <c r="J101" s="16">
        <f t="shared" si="103"/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f t="shared" si="104"/>
        <v>0</v>
      </c>
      <c r="R101" s="16">
        <v>0</v>
      </c>
      <c r="S101" s="16">
        <v>0</v>
      </c>
      <c r="T101" s="16">
        <v>0</v>
      </c>
      <c r="U101" s="16">
        <v>0</v>
      </c>
      <c r="V101" s="16">
        <f t="shared" si="139"/>
        <v>0</v>
      </c>
      <c r="W101" s="16">
        <v>0</v>
      </c>
      <c r="X101" s="16">
        <v>0</v>
      </c>
      <c r="Y101" s="16">
        <v>0</v>
      </c>
      <c r="Z101" s="16">
        <v>0</v>
      </c>
      <c r="AA101" s="16">
        <v>0</v>
      </c>
      <c r="AB101" s="16">
        <v>0</v>
      </c>
      <c r="AC101" s="16">
        <v>0</v>
      </c>
      <c r="AD101" s="16">
        <v>0</v>
      </c>
      <c r="AE101" s="16">
        <f t="shared" si="140"/>
        <v>661407</v>
      </c>
      <c r="AF101" s="16">
        <v>661407</v>
      </c>
      <c r="AG101" s="16">
        <v>0</v>
      </c>
      <c r="AH101" s="16">
        <v>0</v>
      </c>
      <c r="AI101" s="16">
        <v>0</v>
      </c>
      <c r="AJ101" s="16">
        <v>0</v>
      </c>
      <c r="AK101" s="16">
        <v>0</v>
      </c>
      <c r="AL101" s="16">
        <v>0</v>
      </c>
      <c r="AM101" s="16">
        <v>0</v>
      </c>
      <c r="AN101" s="16">
        <v>0</v>
      </c>
      <c r="AO101" s="16">
        <v>0</v>
      </c>
      <c r="AP101" s="16">
        <v>0</v>
      </c>
      <c r="AQ101" s="16">
        <v>0</v>
      </c>
      <c r="AR101" s="16">
        <v>0</v>
      </c>
      <c r="AS101" s="16">
        <v>0</v>
      </c>
      <c r="AT101" s="16">
        <v>0</v>
      </c>
      <c r="AU101" s="16">
        <v>0</v>
      </c>
      <c r="AV101" s="16">
        <v>0</v>
      </c>
      <c r="AW101" s="16">
        <v>0</v>
      </c>
      <c r="AX101" s="16">
        <v>0</v>
      </c>
      <c r="AY101" s="16">
        <v>0</v>
      </c>
      <c r="AZ101" s="16">
        <v>0</v>
      </c>
      <c r="BA101" s="16">
        <f t="shared" si="141"/>
        <v>0</v>
      </c>
      <c r="BB101" s="16">
        <f t="shared" si="142"/>
        <v>0</v>
      </c>
      <c r="BC101" s="16">
        <v>0</v>
      </c>
      <c r="BD101" s="16">
        <v>0</v>
      </c>
      <c r="BE101" s="16">
        <v>0</v>
      </c>
      <c r="BF101" s="16">
        <f t="shared" si="105"/>
        <v>0</v>
      </c>
      <c r="BG101" s="16">
        <v>0</v>
      </c>
      <c r="BH101" s="16">
        <v>0</v>
      </c>
      <c r="BI101" s="16">
        <v>0</v>
      </c>
      <c r="BJ101" s="16">
        <v>0</v>
      </c>
      <c r="BK101" s="16">
        <f t="shared" si="106"/>
        <v>0</v>
      </c>
      <c r="BL101" s="16">
        <v>0</v>
      </c>
      <c r="BM101" s="16">
        <f t="shared" si="107"/>
        <v>0</v>
      </c>
      <c r="BN101" s="16">
        <v>0</v>
      </c>
      <c r="BO101" s="16">
        <v>0</v>
      </c>
      <c r="BP101" s="16">
        <v>0</v>
      </c>
      <c r="BQ101" s="16">
        <v>0</v>
      </c>
      <c r="BR101" s="16">
        <v>0</v>
      </c>
      <c r="BS101" s="16">
        <v>0</v>
      </c>
      <c r="BT101" s="16">
        <v>0</v>
      </c>
      <c r="BU101" s="16">
        <v>0</v>
      </c>
      <c r="BV101" s="16">
        <v>0</v>
      </c>
      <c r="BW101" s="16">
        <v>0</v>
      </c>
      <c r="BX101" s="16">
        <v>0</v>
      </c>
      <c r="BY101" s="16">
        <f t="shared" si="143"/>
        <v>0</v>
      </c>
      <c r="BZ101" s="16">
        <f t="shared" si="144"/>
        <v>0</v>
      </c>
      <c r="CA101" s="16">
        <f t="shared" si="108"/>
        <v>0</v>
      </c>
      <c r="CB101" s="16">
        <v>0</v>
      </c>
      <c r="CC101" s="16">
        <v>0</v>
      </c>
      <c r="CD101" s="16">
        <f t="shared" si="109"/>
        <v>0</v>
      </c>
      <c r="CE101" s="16">
        <v>0</v>
      </c>
      <c r="CF101" s="16">
        <v>0</v>
      </c>
      <c r="CG101" s="16">
        <v>0</v>
      </c>
      <c r="CH101" s="16">
        <v>0</v>
      </c>
      <c r="CI101" s="16">
        <v>0</v>
      </c>
      <c r="CJ101" s="16">
        <v>0</v>
      </c>
      <c r="CK101" s="16">
        <f t="shared" si="110"/>
        <v>0</v>
      </c>
      <c r="CL101" s="16">
        <v>0</v>
      </c>
      <c r="CM101" s="16">
        <v>0</v>
      </c>
      <c r="CN101" s="16">
        <v>0</v>
      </c>
      <c r="CO101" s="16">
        <v>0</v>
      </c>
      <c r="CP101" s="16">
        <v>0</v>
      </c>
      <c r="CQ101" s="16">
        <v>0</v>
      </c>
      <c r="CR101" s="16">
        <v>0</v>
      </c>
      <c r="CS101" s="16">
        <v>0</v>
      </c>
      <c r="CT101" s="16">
        <f t="shared" si="111"/>
        <v>0</v>
      </c>
      <c r="CU101" s="16">
        <f t="shared" si="112"/>
        <v>0</v>
      </c>
      <c r="CV101" s="16">
        <v>0</v>
      </c>
      <c r="CW101" s="17">
        <v>0</v>
      </c>
      <c r="CX101" s="40"/>
      <c r="CY101" s="40"/>
    </row>
    <row r="102" spans="1:103" ht="31.5" x14ac:dyDescent="0.25">
      <c r="A102" s="13" t="s">
        <v>1</v>
      </c>
      <c r="B102" s="14" t="s">
        <v>1</v>
      </c>
      <c r="C102" s="14" t="s">
        <v>122</v>
      </c>
      <c r="D102" s="30" t="s">
        <v>515</v>
      </c>
      <c r="E102" s="15">
        <f t="shared" si="136"/>
        <v>366211</v>
      </c>
      <c r="F102" s="16">
        <f t="shared" si="137"/>
        <v>350593</v>
      </c>
      <c r="G102" s="16">
        <f t="shared" si="138"/>
        <v>350593</v>
      </c>
      <c r="H102" s="16">
        <v>274466</v>
      </c>
      <c r="I102" s="16">
        <v>63541</v>
      </c>
      <c r="J102" s="16">
        <f t="shared" si="103"/>
        <v>9114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9114</v>
      </c>
      <c r="Q102" s="16">
        <f t="shared" si="104"/>
        <v>1736</v>
      </c>
      <c r="R102" s="16">
        <v>0</v>
      </c>
      <c r="S102" s="16">
        <v>1736</v>
      </c>
      <c r="T102" s="16">
        <v>0</v>
      </c>
      <c r="U102" s="16">
        <v>0</v>
      </c>
      <c r="V102" s="16">
        <f t="shared" si="139"/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16">
        <v>0</v>
      </c>
      <c r="AE102" s="16">
        <f t="shared" si="140"/>
        <v>1736</v>
      </c>
      <c r="AF102" s="16">
        <v>0</v>
      </c>
      <c r="AG102" s="16">
        <v>0</v>
      </c>
      <c r="AH102" s="16">
        <v>0</v>
      </c>
      <c r="AI102" s="16">
        <v>0</v>
      </c>
      <c r="AJ102" s="16">
        <v>0</v>
      </c>
      <c r="AK102" s="16">
        <v>0</v>
      </c>
      <c r="AL102" s="16">
        <v>1736</v>
      </c>
      <c r="AM102" s="16">
        <v>0</v>
      </c>
      <c r="AN102" s="16">
        <v>0</v>
      </c>
      <c r="AO102" s="16">
        <v>0</v>
      </c>
      <c r="AP102" s="16">
        <v>0</v>
      </c>
      <c r="AQ102" s="16">
        <v>0</v>
      </c>
      <c r="AR102" s="16">
        <v>0</v>
      </c>
      <c r="AS102" s="16">
        <v>0</v>
      </c>
      <c r="AT102" s="16">
        <v>0</v>
      </c>
      <c r="AU102" s="16">
        <v>0</v>
      </c>
      <c r="AV102" s="16">
        <v>0</v>
      </c>
      <c r="AW102" s="16">
        <v>0</v>
      </c>
      <c r="AX102" s="16">
        <v>0</v>
      </c>
      <c r="AY102" s="16">
        <v>0</v>
      </c>
      <c r="AZ102" s="16">
        <v>0</v>
      </c>
      <c r="BA102" s="16">
        <f t="shared" si="141"/>
        <v>0</v>
      </c>
      <c r="BB102" s="16">
        <f t="shared" si="142"/>
        <v>0</v>
      </c>
      <c r="BC102" s="16">
        <v>0</v>
      </c>
      <c r="BD102" s="16">
        <v>0</v>
      </c>
      <c r="BE102" s="16">
        <v>0</v>
      </c>
      <c r="BF102" s="16">
        <f t="shared" si="105"/>
        <v>0</v>
      </c>
      <c r="BG102" s="16">
        <v>0</v>
      </c>
      <c r="BH102" s="16">
        <v>0</v>
      </c>
      <c r="BI102" s="16">
        <v>0</v>
      </c>
      <c r="BJ102" s="16">
        <v>0</v>
      </c>
      <c r="BK102" s="16">
        <f t="shared" si="106"/>
        <v>0</v>
      </c>
      <c r="BL102" s="16">
        <v>0</v>
      </c>
      <c r="BM102" s="16">
        <f t="shared" si="107"/>
        <v>0</v>
      </c>
      <c r="BN102" s="16">
        <v>0</v>
      </c>
      <c r="BO102" s="16">
        <v>0</v>
      </c>
      <c r="BP102" s="16">
        <v>0</v>
      </c>
      <c r="BQ102" s="16">
        <v>0</v>
      </c>
      <c r="BR102" s="16">
        <v>0</v>
      </c>
      <c r="BS102" s="16">
        <v>0</v>
      </c>
      <c r="BT102" s="16">
        <v>0</v>
      </c>
      <c r="BU102" s="16">
        <v>0</v>
      </c>
      <c r="BV102" s="16">
        <v>0</v>
      </c>
      <c r="BW102" s="16">
        <v>0</v>
      </c>
      <c r="BX102" s="16">
        <v>0</v>
      </c>
      <c r="BY102" s="16">
        <f t="shared" si="143"/>
        <v>15618</v>
      </c>
      <c r="BZ102" s="16">
        <f t="shared" si="144"/>
        <v>15618</v>
      </c>
      <c r="CA102" s="16">
        <f t="shared" si="108"/>
        <v>15618</v>
      </c>
      <c r="CB102" s="16">
        <v>0</v>
      </c>
      <c r="CC102" s="16">
        <v>15618</v>
      </c>
      <c r="CD102" s="16">
        <f t="shared" si="109"/>
        <v>0</v>
      </c>
      <c r="CE102" s="16">
        <v>0</v>
      </c>
      <c r="CF102" s="16">
        <v>0</v>
      </c>
      <c r="CG102" s="16">
        <v>0</v>
      </c>
      <c r="CH102" s="16">
        <v>0</v>
      </c>
      <c r="CI102" s="16">
        <v>0</v>
      </c>
      <c r="CJ102" s="16">
        <v>0</v>
      </c>
      <c r="CK102" s="16">
        <f t="shared" si="110"/>
        <v>0</v>
      </c>
      <c r="CL102" s="16">
        <v>0</v>
      </c>
      <c r="CM102" s="16">
        <v>0</v>
      </c>
      <c r="CN102" s="16">
        <v>0</v>
      </c>
      <c r="CO102" s="16">
        <v>0</v>
      </c>
      <c r="CP102" s="16">
        <v>0</v>
      </c>
      <c r="CQ102" s="16">
        <v>0</v>
      </c>
      <c r="CR102" s="16">
        <v>0</v>
      </c>
      <c r="CS102" s="16">
        <v>0</v>
      </c>
      <c r="CT102" s="16">
        <f t="shared" si="111"/>
        <v>0</v>
      </c>
      <c r="CU102" s="16">
        <f t="shared" si="112"/>
        <v>0</v>
      </c>
      <c r="CV102" s="16">
        <v>0</v>
      </c>
      <c r="CW102" s="17">
        <v>0</v>
      </c>
      <c r="CX102" s="40"/>
      <c r="CY102" s="40"/>
    </row>
    <row r="103" spans="1:103" ht="15.75" x14ac:dyDescent="0.25">
      <c r="A103" s="13" t="s">
        <v>1</v>
      </c>
      <c r="B103" s="14" t="s">
        <v>1</v>
      </c>
      <c r="C103" s="14" t="s">
        <v>113</v>
      </c>
      <c r="D103" s="30" t="s">
        <v>548</v>
      </c>
      <c r="E103" s="15">
        <f t="shared" si="136"/>
        <v>117472</v>
      </c>
      <c r="F103" s="16">
        <f t="shared" si="137"/>
        <v>117472</v>
      </c>
      <c r="G103" s="16">
        <f t="shared" si="138"/>
        <v>117472</v>
      </c>
      <c r="H103" s="16">
        <v>0</v>
      </c>
      <c r="I103" s="16">
        <v>0</v>
      </c>
      <c r="J103" s="16">
        <f>SUM(K103:P103)</f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6">
        <v>0</v>
      </c>
      <c r="Q103" s="16">
        <f>SUM(R103:S103)</f>
        <v>0</v>
      </c>
      <c r="R103" s="16">
        <v>0</v>
      </c>
      <c r="S103" s="16">
        <v>0</v>
      </c>
      <c r="T103" s="16">
        <v>0</v>
      </c>
      <c r="U103" s="16">
        <v>0</v>
      </c>
      <c r="V103" s="16">
        <f t="shared" si="139"/>
        <v>0</v>
      </c>
      <c r="W103" s="16">
        <v>0</v>
      </c>
      <c r="X103" s="16">
        <v>0</v>
      </c>
      <c r="Y103" s="16">
        <v>0</v>
      </c>
      <c r="Z103" s="16">
        <v>0</v>
      </c>
      <c r="AA103" s="16">
        <v>0</v>
      </c>
      <c r="AB103" s="16">
        <v>0</v>
      </c>
      <c r="AC103" s="16">
        <v>0</v>
      </c>
      <c r="AD103" s="16">
        <v>0</v>
      </c>
      <c r="AE103" s="16">
        <f t="shared" si="140"/>
        <v>117472</v>
      </c>
      <c r="AF103" s="16">
        <v>117472</v>
      </c>
      <c r="AG103" s="16">
        <v>0</v>
      </c>
      <c r="AH103" s="16">
        <v>0</v>
      </c>
      <c r="AI103" s="16">
        <v>0</v>
      </c>
      <c r="AJ103" s="16">
        <v>0</v>
      </c>
      <c r="AK103" s="16">
        <v>0</v>
      </c>
      <c r="AL103" s="16">
        <v>0</v>
      </c>
      <c r="AM103" s="16">
        <v>0</v>
      </c>
      <c r="AN103" s="16">
        <v>0</v>
      </c>
      <c r="AO103" s="16">
        <v>0</v>
      </c>
      <c r="AP103" s="16">
        <v>0</v>
      </c>
      <c r="AQ103" s="16">
        <v>0</v>
      </c>
      <c r="AR103" s="16">
        <v>0</v>
      </c>
      <c r="AS103" s="16">
        <v>0</v>
      </c>
      <c r="AT103" s="16">
        <v>0</v>
      </c>
      <c r="AU103" s="16">
        <v>0</v>
      </c>
      <c r="AV103" s="16">
        <v>0</v>
      </c>
      <c r="AW103" s="16">
        <v>0</v>
      </c>
      <c r="AX103" s="16">
        <v>0</v>
      </c>
      <c r="AY103" s="16">
        <v>0</v>
      </c>
      <c r="AZ103" s="16">
        <v>0</v>
      </c>
      <c r="BA103" s="16">
        <f t="shared" si="141"/>
        <v>0</v>
      </c>
      <c r="BB103" s="16">
        <f t="shared" si="142"/>
        <v>0</v>
      </c>
      <c r="BC103" s="16">
        <v>0</v>
      </c>
      <c r="BD103" s="16">
        <v>0</v>
      </c>
      <c r="BE103" s="16">
        <v>0</v>
      </c>
      <c r="BF103" s="16">
        <f>SUM(BG103:BH103)</f>
        <v>0</v>
      </c>
      <c r="BG103" s="16">
        <v>0</v>
      </c>
      <c r="BH103" s="16">
        <v>0</v>
      </c>
      <c r="BI103" s="16">
        <v>0</v>
      </c>
      <c r="BJ103" s="16">
        <v>0</v>
      </c>
      <c r="BK103" s="16">
        <f>SUM(BL103)</f>
        <v>0</v>
      </c>
      <c r="BL103" s="16">
        <v>0</v>
      </c>
      <c r="BM103" s="16">
        <f>SUM(BN103:BX103)</f>
        <v>0</v>
      </c>
      <c r="BN103" s="16">
        <v>0</v>
      </c>
      <c r="BO103" s="16">
        <v>0</v>
      </c>
      <c r="BP103" s="16">
        <v>0</v>
      </c>
      <c r="BQ103" s="16">
        <v>0</v>
      </c>
      <c r="BR103" s="16">
        <v>0</v>
      </c>
      <c r="BS103" s="16">
        <v>0</v>
      </c>
      <c r="BT103" s="16">
        <v>0</v>
      </c>
      <c r="BU103" s="16">
        <v>0</v>
      </c>
      <c r="BV103" s="16">
        <v>0</v>
      </c>
      <c r="BW103" s="16">
        <v>0</v>
      </c>
      <c r="BX103" s="16">
        <v>0</v>
      </c>
      <c r="BY103" s="16">
        <f t="shared" si="143"/>
        <v>0</v>
      </c>
      <c r="BZ103" s="16">
        <f t="shared" si="144"/>
        <v>0</v>
      </c>
      <c r="CA103" s="16">
        <f>SUM(CB103:CC103)</f>
        <v>0</v>
      </c>
      <c r="CB103" s="16">
        <v>0</v>
      </c>
      <c r="CC103" s="16">
        <v>0</v>
      </c>
      <c r="CD103" s="16">
        <f>SUM(CE103:CI103)</f>
        <v>0</v>
      </c>
      <c r="CE103" s="16">
        <v>0</v>
      </c>
      <c r="CF103" s="16">
        <v>0</v>
      </c>
      <c r="CG103" s="16">
        <v>0</v>
      </c>
      <c r="CH103" s="16">
        <v>0</v>
      </c>
      <c r="CI103" s="16">
        <v>0</v>
      </c>
      <c r="CJ103" s="16">
        <v>0</v>
      </c>
      <c r="CK103" s="16">
        <f>SUM(CL103:CP103)</f>
        <v>0</v>
      </c>
      <c r="CL103" s="16">
        <v>0</v>
      </c>
      <c r="CM103" s="16">
        <v>0</v>
      </c>
      <c r="CN103" s="16">
        <v>0</v>
      </c>
      <c r="CO103" s="16">
        <v>0</v>
      </c>
      <c r="CP103" s="16">
        <v>0</v>
      </c>
      <c r="CQ103" s="16">
        <v>0</v>
      </c>
      <c r="CR103" s="16">
        <v>0</v>
      </c>
      <c r="CS103" s="16">
        <v>0</v>
      </c>
      <c r="CT103" s="16">
        <f>SUM(CU103)</f>
        <v>0</v>
      </c>
      <c r="CU103" s="16">
        <f>SUM(CV103:CW103)</f>
        <v>0</v>
      </c>
      <c r="CV103" s="16">
        <v>0</v>
      </c>
      <c r="CW103" s="17">
        <v>0</v>
      </c>
      <c r="CX103" s="40"/>
      <c r="CY103" s="40"/>
    </row>
    <row r="104" spans="1:103" ht="31.5" x14ac:dyDescent="0.25">
      <c r="A104" s="13" t="s">
        <v>1</v>
      </c>
      <c r="B104" s="14" t="s">
        <v>1</v>
      </c>
      <c r="C104" s="14" t="s">
        <v>33</v>
      </c>
      <c r="D104" s="30" t="s">
        <v>123</v>
      </c>
      <c r="E104" s="15">
        <f t="shared" si="136"/>
        <v>154079</v>
      </c>
      <c r="F104" s="16">
        <f t="shared" si="137"/>
        <v>154079</v>
      </c>
      <c r="G104" s="16">
        <f t="shared" si="138"/>
        <v>154079</v>
      </c>
      <c r="H104" s="16">
        <v>20028</v>
      </c>
      <c r="I104" s="16">
        <v>5007</v>
      </c>
      <c r="J104" s="16">
        <f t="shared" si="103"/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f t="shared" si="104"/>
        <v>0</v>
      </c>
      <c r="R104" s="16">
        <v>0</v>
      </c>
      <c r="S104" s="16">
        <v>0</v>
      </c>
      <c r="T104" s="16">
        <v>0</v>
      </c>
      <c r="U104" s="16">
        <v>0</v>
      </c>
      <c r="V104" s="16">
        <f t="shared" si="139"/>
        <v>0</v>
      </c>
      <c r="W104" s="16">
        <v>0</v>
      </c>
      <c r="X104" s="16">
        <v>0</v>
      </c>
      <c r="Y104" s="16">
        <v>0</v>
      </c>
      <c r="Z104" s="16">
        <v>0</v>
      </c>
      <c r="AA104" s="16">
        <v>0</v>
      </c>
      <c r="AB104" s="16">
        <v>0</v>
      </c>
      <c r="AC104" s="16">
        <v>0</v>
      </c>
      <c r="AD104" s="16">
        <v>0</v>
      </c>
      <c r="AE104" s="16">
        <f t="shared" si="140"/>
        <v>129044</v>
      </c>
      <c r="AF104" s="16">
        <v>129044</v>
      </c>
      <c r="AG104" s="16">
        <v>0</v>
      </c>
      <c r="AH104" s="16">
        <v>0</v>
      </c>
      <c r="AI104" s="16">
        <v>0</v>
      </c>
      <c r="AJ104" s="16">
        <v>0</v>
      </c>
      <c r="AK104" s="16">
        <v>0</v>
      </c>
      <c r="AL104" s="16">
        <v>0</v>
      </c>
      <c r="AM104" s="16">
        <v>0</v>
      </c>
      <c r="AN104" s="16">
        <v>0</v>
      </c>
      <c r="AO104" s="16">
        <v>0</v>
      </c>
      <c r="AP104" s="16">
        <v>0</v>
      </c>
      <c r="AQ104" s="16">
        <v>0</v>
      </c>
      <c r="AR104" s="16">
        <v>0</v>
      </c>
      <c r="AS104" s="16">
        <v>0</v>
      </c>
      <c r="AT104" s="16">
        <v>0</v>
      </c>
      <c r="AU104" s="16">
        <v>0</v>
      </c>
      <c r="AV104" s="16">
        <v>0</v>
      </c>
      <c r="AW104" s="16">
        <v>0</v>
      </c>
      <c r="AX104" s="16">
        <v>0</v>
      </c>
      <c r="AY104" s="16">
        <v>0</v>
      </c>
      <c r="AZ104" s="16">
        <v>0</v>
      </c>
      <c r="BA104" s="16">
        <f t="shared" si="141"/>
        <v>0</v>
      </c>
      <c r="BB104" s="16">
        <f t="shared" si="142"/>
        <v>0</v>
      </c>
      <c r="BC104" s="16">
        <v>0</v>
      </c>
      <c r="BD104" s="16">
        <v>0</v>
      </c>
      <c r="BE104" s="16">
        <v>0</v>
      </c>
      <c r="BF104" s="16">
        <f t="shared" si="105"/>
        <v>0</v>
      </c>
      <c r="BG104" s="16">
        <v>0</v>
      </c>
      <c r="BH104" s="16">
        <v>0</v>
      </c>
      <c r="BI104" s="16">
        <v>0</v>
      </c>
      <c r="BJ104" s="16">
        <v>0</v>
      </c>
      <c r="BK104" s="16">
        <f t="shared" si="106"/>
        <v>0</v>
      </c>
      <c r="BL104" s="16">
        <v>0</v>
      </c>
      <c r="BM104" s="16">
        <f t="shared" si="107"/>
        <v>0</v>
      </c>
      <c r="BN104" s="16">
        <v>0</v>
      </c>
      <c r="BO104" s="16">
        <v>0</v>
      </c>
      <c r="BP104" s="16">
        <v>0</v>
      </c>
      <c r="BQ104" s="16">
        <v>0</v>
      </c>
      <c r="BR104" s="16">
        <v>0</v>
      </c>
      <c r="BS104" s="16">
        <v>0</v>
      </c>
      <c r="BT104" s="16">
        <v>0</v>
      </c>
      <c r="BU104" s="16">
        <v>0</v>
      </c>
      <c r="BV104" s="16">
        <v>0</v>
      </c>
      <c r="BW104" s="16">
        <v>0</v>
      </c>
      <c r="BX104" s="16">
        <v>0</v>
      </c>
      <c r="BY104" s="16">
        <f t="shared" si="143"/>
        <v>0</v>
      </c>
      <c r="BZ104" s="16">
        <f t="shared" si="144"/>
        <v>0</v>
      </c>
      <c r="CA104" s="16">
        <f t="shared" si="108"/>
        <v>0</v>
      </c>
      <c r="CB104" s="16">
        <v>0</v>
      </c>
      <c r="CC104" s="16">
        <v>0</v>
      </c>
      <c r="CD104" s="16">
        <f t="shared" si="109"/>
        <v>0</v>
      </c>
      <c r="CE104" s="16">
        <v>0</v>
      </c>
      <c r="CF104" s="16">
        <v>0</v>
      </c>
      <c r="CG104" s="16">
        <v>0</v>
      </c>
      <c r="CH104" s="16">
        <v>0</v>
      </c>
      <c r="CI104" s="16">
        <v>0</v>
      </c>
      <c r="CJ104" s="16">
        <v>0</v>
      </c>
      <c r="CK104" s="16">
        <f t="shared" si="110"/>
        <v>0</v>
      </c>
      <c r="CL104" s="16">
        <v>0</v>
      </c>
      <c r="CM104" s="16">
        <v>0</v>
      </c>
      <c r="CN104" s="16">
        <v>0</v>
      </c>
      <c r="CO104" s="16">
        <v>0</v>
      </c>
      <c r="CP104" s="16">
        <v>0</v>
      </c>
      <c r="CQ104" s="16">
        <v>0</v>
      </c>
      <c r="CR104" s="16">
        <v>0</v>
      </c>
      <c r="CS104" s="16">
        <v>0</v>
      </c>
      <c r="CT104" s="16">
        <f t="shared" si="111"/>
        <v>0</v>
      </c>
      <c r="CU104" s="16">
        <f t="shared" si="112"/>
        <v>0</v>
      </c>
      <c r="CV104" s="16">
        <v>0</v>
      </c>
      <c r="CW104" s="17">
        <v>0</v>
      </c>
      <c r="CX104" s="40"/>
      <c r="CY104" s="40"/>
    </row>
    <row r="105" spans="1:103" ht="31.5" x14ac:dyDescent="0.25">
      <c r="A105" s="18" t="s">
        <v>124</v>
      </c>
      <c r="B105" s="19" t="s">
        <v>1</v>
      </c>
      <c r="C105" s="19" t="s">
        <v>1</v>
      </c>
      <c r="D105" s="31" t="s">
        <v>125</v>
      </c>
      <c r="E105" s="20">
        <f>SUM(E106)</f>
        <v>144656032</v>
      </c>
      <c r="F105" s="21">
        <f t="shared" ref="F105:BS106" si="165">SUM(F106)</f>
        <v>144656032</v>
      </c>
      <c r="G105" s="21">
        <f t="shared" si="165"/>
        <v>0</v>
      </c>
      <c r="H105" s="21">
        <f t="shared" si="165"/>
        <v>0</v>
      </c>
      <c r="I105" s="21">
        <f t="shared" si="165"/>
        <v>0</v>
      </c>
      <c r="J105" s="21">
        <f t="shared" si="165"/>
        <v>0</v>
      </c>
      <c r="K105" s="21">
        <f t="shared" si="165"/>
        <v>0</v>
      </c>
      <c r="L105" s="21">
        <f t="shared" si="165"/>
        <v>0</v>
      </c>
      <c r="M105" s="21">
        <f t="shared" si="165"/>
        <v>0</v>
      </c>
      <c r="N105" s="21">
        <f t="shared" si="165"/>
        <v>0</v>
      </c>
      <c r="O105" s="21">
        <f t="shared" si="165"/>
        <v>0</v>
      </c>
      <c r="P105" s="21">
        <f t="shared" si="165"/>
        <v>0</v>
      </c>
      <c r="Q105" s="21">
        <f t="shared" si="165"/>
        <v>0</v>
      </c>
      <c r="R105" s="21">
        <f t="shared" si="165"/>
        <v>0</v>
      </c>
      <c r="S105" s="21">
        <f t="shared" si="165"/>
        <v>0</v>
      </c>
      <c r="T105" s="21">
        <f t="shared" si="165"/>
        <v>0</v>
      </c>
      <c r="U105" s="21">
        <f t="shared" si="165"/>
        <v>0</v>
      </c>
      <c r="V105" s="21">
        <f t="shared" si="165"/>
        <v>0</v>
      </c>
      <c r="W105" s="21">
        <f t="shared" si="165"/>
        <v>0</v>
      </c>
      <c r="X105" s="21">
        <f t="shared" si="165"/>
        <v>0</v>
      </c>
      <c r="Y105" s="21">
        <f t="shared" si="165"/>
        <v>0</v>
      </c>
      <c r="Z105" s="21">
        <f t="shared" si="165"/>
        <v>0</v>
      </c>
      <c r="AA105" s="21">
        <f t="shared" si="165"/>
        <v>0</v>
      </c>
      <c r="AB105" s="21">
        <f t="shared" si="165"/>
        <v>0</v>
      </c>
      <c r="AC105" s="21">
        <f t="shared" si="165"/>
        <v>0</v>
      </c>
      <c r="AD105" s="21">
        <f t="shared" si="165"/>
        <v>0</v>
      </c>
      <c r="AE105" s="21">
        <f t="shared" si="165"/>
        <v>0</v>
      </c>
      <c r="AF105" s="21">
        <f t="shared" si="165"/>
        <v>0</v>
      </c>
      <c r="AG105" s="21">
        <f t="shared" si="165"/>
        <v>0</v>
      </c>
      <c r="AH105" s="21">
        <f t="shared" si="165"/>
        <v>0</v>
      </c>
      <c r="AI105" s="21">
        <f t="shared" si="165"/>
        <v>0</v>
      </c>
      <c r="AJ105" s="21">
        <f t="shared" si="165"/>
        <v>0</v>
      </c>
      <c r="AK105" s="21">
        <f t="shared" si="165"/>
        <v>0</v>
      </c>
      <c r="AL105" s="21">
        <f t="shared" si="165"/>
        <v>0</v>
      </c>
      <c r="AM105" s="21">
        <f t="shared" si="165"/>
        <v>0</v>
      </c>
      <c r="AN105" s="21">
        <f t="shared" si="165"/>
        <v>0</v>
      </c>
      <c r="AO105" s="21">
        <f t="shared" si="165"/>
        <v>0</v>
      </c>
      <c r="AP105" s="21">
        <f t="shared" si="165"/>
        <v>0</v>
      </c>
      <c r="AQ105" s="21">
        <f t="shared" si="165"/>
        <v>0</v>
      </c>
      <c r="AR105" s="21">
        <f t="shared" si="165"/>
        <v>0</v>
      </c>
      <c r="AS105" s="21">
        <f t="shared" si="165"/>
        <v>0</v>
      </c>
      <c r="AT105" s="21">
        <f t="shared" si="165"/>
        <v>0</v>
      </c>
      <c r="AU105" s="21">
        <f t="shared" si="165"/>
        <v>0</v>
      </c>
      <c r="AV105" s="21">
        <f t="shared" si="165"/>
        <v>0</v>
      </c>
      <c r="AW105" s="21">
        <f t="shared" si="165"/>
        <v>0</v>
      </c>
      <c r="AX105" s="21">
        <f t="shared" si="165"/>
        <v>0</v>
      </c>
      <c r="AY105" s="21">
        <f t="shared" si="165"/>
        <v>0</v>
      </c>
      <c r="AZ105" s="21">
        <f t="shared" si="165"/>
        <v>0</v>
      </c>
      <c r="BA105" s="21">
        <f t="shared" si="165"/>
        <v>144656032</v>
      </c>
      <c r="BB105" s="21">
        <f t="shared" si="165"/>
        <v>144656032</v>
      </c>
      <c r="BC105" s="21">
        <f t="shared" si="165"/>
        <v>144656032</v>
      </c>
      <c r="BD105" s="21">
        <f t="shared" si="165"/>
        <v>0</v>
      </c>
      <c r="BE105" s="21">
        <f t="shared" si="165"/>
        <v>0</v>
      </c>
      <c r="BF105" s="21">
        <f t="shared" si="165"/>
        <v>0</v>
      </c>
      <c r="BG105" s="21">
        <f t="shared" si="165"/>
        <v>0</v>
      </c>
      <c r="BH105" s="21">
        <f t="shared" si="165"/>
        <v>0</v>
      </c>
      <c r="BI105" s="21">
        <f t="shared" si="165"/>
        <v>0</v>
      </c>
      <c r="BJ105" s="21">
        <f t="shared" si="165"/>
        <v>0</v>
      </c>
      <c r="BK105" s="21">
        <f t="shared" si="165"/>
        <v>0</v>
      </c>
      <c r="BL105" s="21">
        <f t="shared" si="165"/>
        <v>0</v>
      </c>
      <c r="BM105" s="21">
        <f t="shared" si="165"/>
        <v>0</v>
      </c>
      <c r="BN105" s="21">
        <f t="shared" si="165"/>
        <v>0</v>
      </c>
      <c r="BO105" s="21">
        <f t="shared" si="165"/>
        <v>0</v>
      </c>
      <c r="BP105" s="21">
        <f t="shared" si="165"/>
        <v>0</v>
      </c>
      <c r="BQ105" s="21">
        <f t="shared" si="165"/>
        <v>0</v>
      </c>
      <c r="BR105" s="21">
        <f t="shared" si="165"/>
        <v>0</v>
      </c>
      <c r="BS105" s="21">
        <f t="shared" si="165"/>
        <v>0</v>
      </c>
      <c r="BT105" s="21">
        <f t="shared" ref="BT105:CW106" si="166">SUM(BT106)</f>
        <v>0</v>
      </c>
      <c r="BU105" s="21">
        <f t="shared" si="166"/>
        <v>0</v>
      </c>
      <c r="BV105" s="21">
        <f t="shared" si="166"/>
        <v>0</v>
      </c>
      <c r="BW105" s="21">
        <f t="shared" si="166"/>
        <v>0</v>
      </c>
      <c r="BX105" s="21">
        <f t="shared" si="166"/>
        <v>0</v>
      </c>
      <c r="BY105" s="21">
        <f t="shared" si="166"/>
        <v>0</v>
      </c>
      <c r="BZ105" s="21">
        <f t="shared" si="166"/>
        <v>0</v>
      </c>
      <c r="CA105" s="21">
        <f t="shared" si="166"/>
        <v>0</v>
      </c>
      <c r="CB105" s="21">
        <f t="shared" si="166"/>
        <v>0</v>
      </c>
      <c r="CC105" s="21">
        <f t="shared" si="166"/>
        <v>0</v>
      </c>
      <c r="CD105" s="21">
        <f t="shared" si="166"/>
        <v>0</v>
      </c>
      <c r="CE105" s="21">
        <f t="shared" si="166"/>
        <v>0</v>
      </c>
      <c r="CF105" s="21">
        <f t="shared" si="166"/>
        <v>0</v>
      </c>
      <c r="CG105" s="21">
        <f t="shared" si="166"/>
        <v>0</v>
      </c>
      <c r="CH105" s="21">
        <f t="shared" si="166"/>
        <v>0</v>
      </c>
      <c r="CI105" s="21">
        <f t="shared" si="166"/>
        <v>0</v>
      </c>
      <c r="CJ105" s="21">
        <f t="shared" si="166"/>
        <v>0</v>
      </c>
      <c r="CK105" s="21">
        <f t="shared" si="166"/>
        <v>0</v>
      </c>
      <c r="CL105" s="21">
        <f t="shared" si="166"/>
        <v>0</v>
      </c>
      <c r="CM105" s="21">
        <f t="shared" si="166"/>
        <v>0</v>
      </c>
      <c r="CN105" s="21">
        <f t="shared" si="166"/>
        <v>0</v>
      </c>
      <c r="CO105" s="21">
        <f t="shared" si="166"/>
        <v>0</v>
      </c>
      <c r="CP105" s="21">
        <f t="shared" si="166"/>
        <v>0</v>
      </c>
      <c r="CQ105" s="21">
        <f t="shared" si="166"/>
        <v>0</v>
      </c>
      <c r="CR105" s="21">
        <f t="shared" si="166"/>
        <v>0</v>
      </c>
      <c r="CS105" s="21">
        <f t="shared" si="166"/>
        <v>0</v>
      </c>
      <c r="CT105" s="21">
        <f t="shared" si="166"/>
        <v>0</v>
      </c>
      <c r="CU105" s="21">
        <f t="shared" si="166"/>
        <v>0</v>
      </c>
      <c r="CV105" s="21">
        <f t="shared" si="166"/>
        <v>0</v>
      </c>
      <c r="CW105" s="22">
        <f t="shared" si="166"/>
        <v>0</v>
      </c>
      <c r="CX105" s="40"/>
      <c r="CY105" s="40"/>
    </row>
    <row r="106" spans="1:103" ht="31.5" x14ac:dyDescent="0.25">
      <c r="A106" s="13" t="s">
        <v>100</v>
      </c>
      <c r="B106" s="14" t="s">
        <v>100</v>
      </c>
      <c r="C106" s="14" t="s">
        <v>1</v>
      </c>
      <c r="D106" s="30" t="s">
        <v>126</v>
      </c>
      <c r="E106" s="15">
        <f>SUM(E107)</f>
        <v>144656032</v>
      </c>
      <c r="F106" s="16">
        <f t="shared" si="165"/>
        <v>144656032</v>
      </c>
      <c r="G106" s="16">
        <f t="shared" si="165"/>
        <v>0</v>
      </c>
      <c r="H106" s="16">
        <f t="shared" si="165"/>
        <v>0</v>
      </c>
      <c r="I106" s="16">
        <f t="shared" si="165"/>
        <v>0</v>
      </c>
      <c r="J106" s="16">
        <f t="shared" si="165"/>
        <v>0</v>
      </c>
      <c r="K106" s="16">
        <f t="shared" si="165"/>
        <v>0</v>
      </c>
      <c r="L106" s="16">
        <f t="shared" si="165"/>
        <v>0</v>
      </c>
      <c r="M106" s="16">
        <f t="shared" si="165"/>
        <v>0</v>
      </c>
      <c r="N106" s="16">
        <f t="shared" si="165"/>
        <v>0</v>
      </c>
      <c r="O106" s="16">
        <f t="shared" si="165"/>
        <v>0</v>
      </c>
      <c r="P106" s="16">
        <f t="shared" si="165"/>
        <v>0</v>
      </c>
      <c r="Q106" s="16">
        <f t="shared" si="165"/>
        <v>0</v>
      </c>
      <c r="R106" s="16">
        <f t="shared" si="165"/>
        <v>0</v>
      </c>
      <c r="S106" s="16">
        <f t="shared" si="165"/>
        <v>0</v>
      </c>
      <c r="T106" s="16">
        <f t="shared" si="165"/>
        <v>0</v>
      </c>
      <c r="U106" s="16">
        <f t="shared" si="165"/>
        <v>0</v>
      </c>
      <c r="V106" s="16">
        <f t="shared" si="165"/>
        <v>0</v>
      </c>
      <c r="W106" s="16">
        <f t="shared" si="165"/>
        <v>0</v>
      </c>
      <c r="X106" s="16">
        <f t="shared" si="165"/>
        <v>0</v>
      </c>
      <c r="Y106" s="16">
        <f t="shared" si="165"/>
        <v>0</v>
      </c>
      <c r="Z106" s="16">
        <f t="shared" si="165"/>
        <v>0</v>
      </c>
      <c r="AA106" s="16">
        <f t="shared" si="165"/>
        <v>0</v>
      </c>
      <c r="AB106" s="16">
        <f t="shared" si="165"/>
        <v>0</v>
      </c>
      <c r="AC106" s="16">
        <f t="shared" si="165"/>
        <v>0</v>
      </c>
      <c r="AD106" s="16">
        <f t="shared" si="165"/>
        <v>0</v>
      </c>
      <c r="AE106" s="16">
        <f t="shared" si="165"/>
        <v>0</v>
      </c>
      <c r="AF106" s="16">
        <f t="shared" si="165"/>
        <v>0</v>
      </c>
      <c r="AG106" s="16">
        <f t="shared" si="165"/>
        <v>0</v>
      </c>
      <c r="AH106" s="16">
        <f t="shared" si="165"/>
        <v>0</v>
      </c>
      <c r="AI106" s="16">
        <f t="shared" si="165"/>
        <v>0</v>
      </c>
      <c r="AJ106" s="16">
        <f t="shared" si="165"/>
        <v>0</v>
      </c>
      <c r="AK106" s="16">
        <f t="shared" si="165"/>
        <v>0</v>
      </c>
      <c r="AL106" s="16">
        <f t="shared" si="165"/>
        <v>0</v>
      </c>
      <c r="AM106" s="16">
        <f t="shared" si="165"/>
        <v>0</v>
      </c>
      <c r="AN106" s="16">
        <f t="shared" si="165"/>
        <v>0</v>
      </c>
      <c r="AO106" s="16">
        <f t="shared" si="165"/>
        <v>0</v>
      </c>
      <c r="AP106" s="16">
        <f t="shared" si="165"/>
        <v>0</v>
      </c>
      <c r="AQ106" s="16">
        <f t="shared" si="165"/>
        <v>0</v>
      </c>
      <c r="AR106" s="16">
        <f t="shared" si="165"/>
        <v>0</v>
      </c>
      <c r="AS106" s="16">
        <f t="shared" si="165"/>
        <v>0</v>
      </c>
      <c r="AT106" s="16">
        <f t="shared" si="165"/>
        <v>0</v>
      </c>
      <c r="AU106" s="16">
        <f t="shared" si="165"/>
        <v>0</v>
      </c>
      <c r="AV106" s="16">
        <f t="shared" si="165"/>
        <v>0</v>
      </c>
      <c r="AW106" s="16">
        <f t="shared" si="165"/>
        <v>0</v>
      </c>
      <c r="AX106" s="16">
        <f t="shared" si="165"/>
        <v>0</v>
      </c>
      <c r="AY106" s="16">
        <f t="shared" si="165"/>
        <v>0</v>
      </c>
      <c r="AZ106" s="16">
        <f t="shared" si="165"/>
        <v>0</v>
      </c>
      <c r="BA106" s="16">
        <f t="shared" si="165"/>
        <v>144656032</v>
      </c>
      <c r="BB106" s="16">
        <f t="shared" si="165"/>
        <v>144656032</v>
      </c>
      <c r="BC106" s="16">
        <f t="shared" si="165"/>
        <v>144656032</v>
      </c>
      <c r="BD106" s="16">
        <f t="shared" si="165"/>
        <v>0</v>
      </c>
      <c r="BE106" s="16">
        <f t="shared" si="165"/>
        <v>0</v>
      </c>
      <c r="BF106" s="16">
        <f t="shared" si="165"/>
        <v>0</v>
      </c>
      <c r="BG106" s="16">
        <f t="shared" si="165"/>
        <v>0</v>
      </c>
      <c r="BH106" s="16">
        <f t="shared" si="165"/>
        <v>0</v>
      </c>
      <c r="BI106" s="16">
        <f t="shared" si="165"/>
        <v>0</v>
      </c>
      <c r="BJ106" s="16">
        <f t="shared" si="165"/>
        <v>0</v>
      </c>
      <c r="BK106" s="16">
        <f t="shared" si="165"/>
        <v>0</v>
      </c>
      <c r="BL106" s="16">
        <f t="shared" si="165"/>
        <v>0</v>
      </c>
      <c r="BM106" s="16">
        <f t="shared" si="165"/>
        <v>0</v>
      </c>
      <c r="BN106" s="16">
        <f t="shared" si="165"/>
        <v>0</v>
      </c>
      <c r="BO106" s="16">
        <f t="shared" si="165"/>
        <v>0</v>
      </c>
      <c r="BP106" s="16">
        <f t="shared" si="165"/>
        <v>0</v>
      </c>
      <c r="BQ106" s="16">
        <f t="shared" si="165"/>
        <v>0</v>
      </c>
      <c r="BR106" s="16">
        <f t="shared" si="165"/>
        <v>0</v>
      </c>
      <c r="BS106" s="16">
        <f t="shared" si="165"/>
        <v>0</v>
      </c>
      <c r="BT106" s="16">
        <f t="shared" si="166"/>
        <v>0</v>
      </c>
      <c r="BU106" s="16">
        <f t="shared" si="166"/>
        <v>0</v>
      </c>
      <c r="BV106" s="16">
        <f t="shared" si="166"/>
        <v>0</v>
      </c>
      <c r="BW106" s="16">
        <f t="shared" si="166"/>
        <v>0</v>
      </c>
      <c r="BX106" s="16">
        <f t="shared" si="166"/>
        <v>0</v>
      </c>
      <c r="BY106" s="16">
        <f t="shared" si="166"/>
        <v>0</v>
      </c>
      <c r="BZ106" s="16">
        <f t="shared" si="166"/>
        <v>0</v>
      </c>
      <c r="CA106" s="16">
        <f t="shared" si="166"/>
        <v>0</v>
      </c>
      <c r="CB106" s="16">
        <f t="shared" si="166"/>
        <v>0</v>
      </c>
      <c r="CC106" s="16">
        <f t="shared" si="166"/>
        <v>0</v>
      </c>
      <c r="CD106" s="16">
        <f t="shared" si="166"/>
        <v>0</v>
      </c>
      <c r="CE106" s="16">
        <f t="shared" si="166"/>
        <v>0</v>
      </c>
      <c r="CF106" s="16">
        <f t="shared" si="166"/>
        <v>0</v>
      </c>
      <c r="CG106" s="16">
        <f t="shared" si="166"/>
        <v>0</v>
      </c>
      <c r="CH106" s="16">
        <f t="shared" si="166"/>
        <v>0</v>
      </c>
      <c r="CI106" s="16">
        <f t="shared" si="166"/>
        <v>0</v>
      </c>
      <c r="CJ106" s="16">
        <f t="shared" si="166"/>
        <v>0</v>
      </c>
      <c r="CK106" s="16">
        <f t="shared" si="166"/>
        <v>0</v>
      </c>
      <c r="CL106" s="16">
        <f t="shared" si="166"/>
        <v>0</v>
      </c>
      <c r="CM106" s="16">
        <f t="shared" si="166"/>
        <v>0</v>
      </c>
      <c r="CN106" s="16">
        <f t="shared" si="166"/>
        <v>0</v>
      </c>
      <c r="CO106" s="16">
        <f t="shared" si="166"/>
        <v>0</v>
      </c>
      <c r="CP106" s="16">
        <f t="shared" si="166"/>
        <v>0</v>
      </c>
      <c r="CQ106" s="16">
        <f t="shared" si="166"/>
        <v>0</v>
      </c>
      <c r="CR106" s="16">
        <f t="shared" si="166"/>
        <v>0</v>
      </c>
      <c r="CS106" s="16">
        <f t="shared" si="166"/>
        <v>0</v>
      </c>
      <c r="CT106" s="16">
        <f t="shared" si="166"/>
        <v>0</v>
      </c>
      <c r="CU106" s="16">
        <f t="shared" si="166"/>
        <v>0</v>
      </c>
      <c r="CV106" s="16">
        <f t="shared" si="166"/>
        <v>0</v>
      </c>
      <c r="CW106" s="17">
        <f t="shared" si="166"/>
        <v>0</v>
      </c>
      <c r="CX106" s="40"/>
      <c r="CY106" s="40"/>
    </row>
    <row r="107" spans="1:103" ht="15.75" x14ac:dyDescent="0.25">
      <c r="A107" s="13" t="s">
        <v>1</v>
      </c>
      <c r="B107" s="14" t="s">
        <v>1</v>
      </c>
      <c r="C107" s="14" t="s">
        <v>17</v>
      </c>
      <c r="D107" s="30" t="s">
        <v>127</v>
      </c>
      <c r="E107" s="15">
        <f>SUM(F107+BY107+CT107)</f>
        <v>144656032</v>
      </c>
      <c r="F107" s="16">
        <f>SUM(G107+BA107)</f>
        <v>144656032</v>
      </c>
      <c r="G107" s="16">
        <f>SUM(H107+I107+J107+Q107+T107+U107+V107+AE107)</f>
        <v>0</v>
      </c>
      <c r="H107" s="16">
        <v>0</v>
      </c>
      <c r="I107" s="16">
        <v>0</v>
      </c>
      <c r="J107" s="16">
        <f t="shared" si="103"/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6">
        <f t="shared" si="104"/>
        <v>0</v>
      </c>
      <c r="R107" s="16">
        <v>0</v>
      </c>
      <c r="S107" s="16">
        <v>0</v>
      </c>
      <c r="T107" s="16">
        <v>0</v>
      </c>
      <c r="U107" s="16">
        <v>0</v>
      </c>
      <c r="V107" s="16">
        <f>SUM(W107:AD107)</f>
        <v>0</v>
      </c>
      <c r="W107" s="16">
        <v>0</v>
      </c>
      <c r="X107" s="16">
        <v>0</v>
      </c>
      <c r="Y107" s="16">
        <v>0</v>
      </c>
      <c r="Z107" s="16">
        <v>0</v>
      </c>
      <c r="AA107" s="16">
        <v>0</v>
      </c>
      <c r="AB107" s="16">
        <v>0</v>
      </c>
      <c r="AC107" s="16">
        <v>0</v>
      </c>
      <c r="AD107" s="16">
        <v>0</v>
      </c>
      <c r="AE107" s="16">
        <f>SUM(AF107:AZ107)</f>
        <v>0</v>
      </c>
      <c r="AF107" s="16">
        <v>0</v>
      </c>
      <c r="AG107" s="16">
        <v>0</v>
      </c>
      <c r="AH107" s="16">
        <v>0</v>
      </c>
      <c r="AI107" s="16">
        <v>0</v>
      </c>
      <c r="AJ107" s="16">
        <v>0</v>
      </c>
      <c r="AK107" s="16">
        <v>0</v>
      </c>
      <c r="AL107" s="16">
        <v>0</v>
      </c>
      <c r="AM107" s="16">
        <v>0</v>
      </c>
      <c r="AN107" s="16">
        <v>0</v>
      </c>
      <c r="AO107" s="16">
        <v>0</v>
      </c>
      <c r="AP107" s="16">
        <v>0</v>
      </c>
      <c r="AQ107" s="16">
        <v>0</v>
      </c>
      <c r="AR107" s="16">
        <v>0</v>
      </c>
      <c r="AS107" s="16">
        <v>0</v>
      </c>
      <c r="AT107" s="16">
        <v>0</v>
      </c>
      <c r="AU107" s="16">
        <v>0</v>
      </c>
      <c r="AV107" s="16">
        <v>0</v>
      </c>
      <c r="AW107" s="16">
        <v>0</v>
      </c>
      <c r="AX107" s="16">
        <v>0</v>
      </c>
      <c r="AY107" s="16">
        <v>0</v>
      </c>
      <c r="AZ107" s="16">
        <v>0</v>
      </c>
      <c r="BA107" s="16">
        <f>SUM(BB107+BF107+BI107+BK107+BM107)</f>
        <v>144656032</v>
      </c>
      <c r="BB107" s="16">
        <f>SUM(BC107:BE107)</f>
        <v>144656032</v>
      </c>
      <c r="BC107" s="16">
        <v>144656032</v>
      </c>
      <c r="BD107" s="16">
        <v>0</v>
      </c>
      <c r="BE107" s="16">
        <v>0</v>
      </c>
      <c r="BF107" s="16">
        <f t="shared" si="105"/>
        <v>0</v>
      </c>
      <c r="BG107" s="16">
        <v>0</v>
      </c>
      <c r="BH107" s="16">
        <v>0</v>
      </c>
      <c r="BI107" s="16">
        <v>0</v>
      </c>
      <c r="BJ107" s="16">
        <v>0</v>
      </c>
      <c r="BK107" s="16">
        <f t="shared" si="106"/>
        <v>0</v>
      </c>
      <c r="BL107" s="16">
        <v>0</v>
      </c>
      <c r="BM107" s="16">
        <f t="shared" si="107"/>
        <v>0</v>
      </c>
      <c r="BN107" s="16">
        <v>0</v>
      </c>
      <c r="BO107" s="16">
        <v>0</v>
      </c>
      <c r="BP107" s="16">
        <v>0</v>
      </c>
      <c r="BQ107" s="16">
        <v>0</v>
      </c>
      <c r="BR107" s="16">
        <v>0</v>
      </c>
      <c r="BS107" s="16">
        <v>0</v>
      </c>
      <c r="BT107" s="16">
        <v>0</v>
      </c>
      <c r="BU107" s="16">
        <v>0</v>
      </c>
      <c r="BV107" s="16">
        <v>0</v>
      </c>
      <c r="BW107" s="16">
        <v>0</v>
      </c>
      <c r="BX107" s="16">
        <v>0</v>
      </c>
      <c r="BY107" s="16">
        <f>SUM(BZ107+CS107)</f>
        <v>0</v>
      </c>
      <c r="BZ107" s="16">
        <f>SUM(CA107+CD107+CK107)</f>
        <v>0</v>
      </c>
      <c r="CA107" s="16">
        <f t="shared" si="108"/>
        <v>0</v>
      </c>
      <c r="CB107" s="16">
        <v>0</v>
      </c>
      <c r="CC107" s="16">
        <v>0</v>
      </c>
      <c r="CD107" s="16">
        <f t="shared" si="109"/>
        <v>0</v>
      </c>
      <c r="CE107" s="16">
        <v>0</v>
      </c>
      <c r="CF107" s="16">
        <v>0</v>
      </c>
      <c r="CG107" s="16">
        <v>0</v>
      </c>
      <c r="CH107" s="16">
        <v>0</v>
      </c>
      <c r="CI107" s="16">
        <v>0</v>
      </c>
      <c r="CJ107" s="16">
        <v>0</v>
      </c>
      <c r="CK107" s="16">
        <f t="shared" si="110"/>
        <v>0</v>
      </c>
      <c r="CL107" s="16">
        <v>0</v>
      </c>
      <c r="CM107" s="16">
        <v>0</v>
      </c>
      <c r="CN107" s="16">
        <v>0</v>
      </c>
      <c r="CO107" s="16">
        <v>0</v>
      </c>
      <c r="CP107" s="16">
        <v>0</v>
      </c>
      <c r="CQ107" s="16">
        <v>0</v>
      </c>
      <c r="CR107" s="16">
        <v>0</v>
      </c>
      <c r="CS107" s="16">
        <v>0</v>
      </c>
      <c r="CT107" s="16">
        <f t="shared" si="111"/>
        <v>0</v>
      </c>
      <c r="CU107" s="16">
        <f t="shared" si="112"/>
        <v>0</v>
      </c>
      <c r="CV107" s="16">
        <v>0</v>
      </c>
      <c r="CW107" s="17">
        <v>0</v>
      </c>
      <c r="CX107" s="40"/>
      <c r="CY107" s="40"/>
    </row>
    <row r="108" spans="1:103" ht="17.25" customHeight="1" x14ac:dyDescent="0.25">
      <c r="A108" s="18" t="s">
        <v>128</v>
      </c>
      <c r="B108" s="19" t="s">
        <v>1</v>
      </c>
      <c r="C108" s="19" t="s">
        <v>1</v>
      </c>
      <c r="D108" s="31" t="s">
        <v>129</v>
      </c>
      <c r="E108" s="20">
        <f t="shared" ref="E108:AJ108" si="167">SUM(E109)</f>
        <v>27431137</v>
      </c>
      <c r="F108" s="21">
        <f t="shared" si="167"/>
        <v>27431137</v>
      </c>
      <c r="G108" s="21">
        <f t="shared" si="167"/>
        <v>27431137</v>
      </c>
      <c r="H108" s="21">
        <f t="shared" si="167"/>
        <v>21919802</v>
      </c>
      <c r="I108" s="21">
        <f t="shared" si="167"/>
        <v>5412176</v>
      </c>
      <c r="J108" s="21">
        <f t="shared" si="167"/>
        <v>0</v>
      </c>
      <c r="K108" s="21">
        <f t="shared" si="167"/>
        <v>0</v>
      </c>
      <c r="L108" s="21">
        <f t="shared" si="167"/>
        <v>0</v>
      </c>
      <c r="M108" s="21">
        <f t="shared" si="167"/>
        <v>0</v>
      </c>
      <c r="N108" s="21">
        <f t="shared" si="167"/>
        <v>0</v>
      </c>
      <c r="O108" s="21">
        <f t="shared" si="167"/>
        <v>0</v>
      </c>
      <c r="P108" s="21">
        <f t="shared" si="167"/>
        <v>0</v>
      </c>
      <c r="Q108" s="21">
        <f t="shared" si="167"/>
        <v>0</v>
      </c>
      <c r="R108" s="21">
        <f t="shared" si="167"/>
        <v>0</v>
      </c>
      <c r="S108" s="21">
        <f t="shared" si="167"/>
        <v>0</v>
      </c>
      <c r="T108" s="21">
        <f t="shared" si="167"/>
        <v>0</v>
      </c>
      <c r="U108" s="21">
        <f t="shared" si="167"/>
        <v>99159</v>
      </c>
      <c r="V108" s="21">
        <f t="shared" si="167"/>
        <v>0</v>
      </c>
      <c r="W108" s="21">
        <f t="shared" si="167"/>
        <v>0</v>
      </c>
      <c r="X108" s="21">
        <f t="shared" si="167"/>
        <v>0</v>
      </c>
      <c r="Y108" s="21">
        <f t="shared" si="167"/>
        <v>0</v>
      </c>
      <c r="Z108" s="21">
        <f t="shared" si="167"/>
        <v>0</v>
      </c>
      <c r="AA108" s="21">
        <f t="shared" si="167"/>
        <v>0</v>
      </c>
      <c r="AB108" s="21">
        <f t="shared" si="167"/>
        <v>0</v>
      </c>
      <c r="AC108" s="21">
        <f t="shared" si="167"/>
        <v>0</v>
      </c>
      <c r="AD108" s="21">
        <f t="shared" si="167"/>
        <v>0</v>
      </c>
      <c r="AE108" s="21">
        <f t="shared" si="167"/>
        <v>0</v>
      </c>
      <c r="AF108" s="21">
        <f t="shared" si="167"/>
        <v>0</v>
      </c>
      <c r="AG108" s="21">
        <f t="shared" si="167"/>
        <v>0</v>
      </c>
      <c r="AH108" s="21">
        <f t="shared" si="167"/>
        <v>0</v>
      </c>
      <c r="AI108" s="21">
        <f t="shared" si="167"/>
        <v>0</v>
      </c>
      <c r="AJ108" s="21">
        <f t="shared" si="167"/>
        <v>0</v>
      </c>
      <c r="AK108" s="21">
        <f t="shared" ref="AK108:BR108" si="168">SUM(AK109)</f>
        <v>0</v>
      </c>
      <c r="AL108" s="21">
        <f t="shared" si="168"/>
        <v>0</v>
      </c>
      <c r="AM108" s="21">
        <f t="shared" si="168"/>
        <v>0</v>
      </c>
      <c r="AN108" s="21">
        <f t="shared" si="168"/>
        <v>0</v>
      </c>
      <c r="AO108" s="21">
        <f t="shared" si="168"/>
        <v>0</v>
      </c>
      <c r="AP108" s="21">
        <f t="shared" si="168"/>
        <v>0</v>
      </c>
      <c r="AQ108" s="21">
        <f t="shared" si="168"/>
        <v>0</v>
      </c>
      <c r="AR108" s="21">
        <f t="shared" si="168"/>
        <v>0</v>
      </c>
      <c r="AS108" s="21">
        <f t="shared" si="168"/>
        <v>0</v>
      </c>
      <c r="AT108" s="21">
        <f t="shared" si="168"/>
        <v>0</v>
      </c>
      <c r="AU108" s="21">
        <f t="shared" si="168"/>
        <v>0</v>
      </c>
      <c r="AV108" s="21">
        <f t="shared" si="168"/>
        <v>0</v>
      </c>
      <c r="AW108" s="21">
        <f t="shared" si="168"/>
        <v>0</v>
      </c>
      <c r="AX108" s="21">
        <f t="shared" si="168"/>
        <v>0</v>
      </c>
      <c r="AY108" s="21">
        <f t="shared" si="168"/>
        <v>0</v>
      </c>
      <c r="AZ108" s="21">
        <f t="shared" si="168"/>
        <v>0</v>
      </c>
      <c r="BA108" s="21">
        <f t="shared" si="168"/>
        <v>0</v>
      </c>
      <c r="BB108" s="21">
        <f t="shared" si="168"/>
        <v>0</v>
      </c>
      <c r="BC108" s="21">
        <f t="shared" si="168"/>
        <v>0</v>
      </c>
      <c r="BD108" s="21">
        <f t="shared" si="168"/>
        <v>0</v>
      </c>
      <c r="BE108" s="21">
        <f t="shared" si="168"/>
        <v>0</v>
      </c>
      <c r="BF108" s="21">
        <f t="shared" si="168"/>
        <v>0</v>
      </c>
      <c r="BG108" s="21">
        <f t="shared" si="168"/>
        <v>0</v>
      </c>
      <c r="BH108" s="21">
        <f t="shared" si="168"/>
        <v>0</v>
      </c>
      <c r="BI108" s="21">
        <f t="shared" si="168"/>
        <v>0</v>
      </c>
      <c r="BJ108" s="21">
        <f t="shared" si="168"/>
        <v>0</v>
      </c>
      <c r="BK108" s="21">
        <f t="shared" si="168"/>
        <v>0</v>
      </c>
      <c r="BL108" s="21">
        <f t="shared" si="168"/>
        <v>0</v>
      </c>
      <c r="BM108" s="21">
        <f t="shared" si="168"/>
        <v>0</v>
      </c>
      <c r="BN108" s="21">
        <f t="shared" si="168"/>
        <v>0</v>
      </c>
      <c r="BO108" s="21">
        <f t="shared" si="168"/>
        <v>0</v>
      </c>
      <c r="BP108" s="21">
        <f t="shared" si="168"/>
        <v>0</v>
      </c>
      <c r="BQ108" s="21">
        <f t="shared" si="168"/>
        <v>0</v>
      </c>
      <c r="BR108" s="21">
        <f t="shared" si="168"/>
        <v>0</v>
      </c>
      <c r="BS108" s="21">
        <f t="shared" ref="BS108:CW108" si="169">SUM(BS109)</f>
        <v>0</v>
      </c>
      <c r="BT108" s="21">
        <f t="shared" si="169"/>
        <v>0</v>
      </c>
      <c r="BU108" s="21">
        <f t="shared" si="169"/>
        <v>0</v>
      </c>
      <c r="BV108" s="21">
        <f t="shared" si="169"/>
        <v>0</v>
      </c>
      <c r="BW108" s="21">
        <f t="shared" si="169"/>
        <v>0</v>
      </c>
      <c r="BX108" s="21">
        <f t="shared" si="169"/>
        <v>0</v>
      </c>
      <c r="BY108" s="21">
        <f t="shared" si="169"/>
        <v>0</v>
      </c>
      <c r="BZ108" s="21">
        <f t="shared" si="169"/>
        <v>0</v>
      </c>
      <c r="CA108" s="21">
        <f t="shared" si="169"/>
        <v>0</v>
      </c>
      <c r="CB108" s="21">
        <f t="shared" si="169"/>
        <v>0</v>
      </c>
      <c r="CC108" s="21">
        <f t="shared" si="169"/>
        <v>0</v>
      </c>
      <c r="CD108" s="21">
        <f t="shared" si="169"/>
        <v>0</v>
      </c>
      <c r="CE108" s="21">
        <f t="shared" si="169"/>
        <v>0</v>
      </c>
      <c r="CF108" s="21">
        <f t="shared" si="169"/>
        <v>0</v>
      </c>
      <c r="CG108" s="21">
        <f t="shared" si="169"/>
        <v>0</v>
      </c>
      <c r="CH108" s="21">
        <f t="shared" si="169"/>
        <v>0</v>
      </c>
      <c r="CI108" s="21">
        <f t="shared" si="169"/>
        <v>0</v>
      </c>
      <c r="CJ108" s="21">
        <f t="shared" si="169"/>
        <v>0</v>
      </c>
      <c r="CK108" s="21">
        <f t="shared" si="169"/>
        <v>0</v>
      </c>
      <c r="CL108" s="21">
        <f t="shared" si="169"/>
        <v>0</v>
      </c>
      <c r="CM108" s="21">
        <f t="shared" si="169"/>
        <v>0</v>
      </c>
      <c r="CN108" s="21">
        <f t="shared" si="169"/>
        <v>0</v>
      </c>
      <c r="CO108" s="21">
        <f t="shared" si="169"/>
        <v>0</v>
      </c>
      <c r="CP108" s="21">
        <f t="shared" si="169"/>
        <v>0</v>
      </c>
      <c r="CQ108" s="21">
        <f t="shared" si="169"/>
        <v>0</v>
      </c>
      <c r="CR108" s="21">
        <f t="shared" si="169"/>
        <v>0</v>
      </c>
      <c r="CS108" s="21">
        <f t="shared" si="169"/>
        <v>0</v>
      </c>
      <c r="CT108" s="21">
        <f t="shared" si="169"/>
        <v>0</v>
      </c>
      <c r="CU108" s="21">
        <f t="shared" si="169"/>
        <v>0</v>
      </c>
      <c r="CV108" s="21">
        <f t="shared" si="169"/>
        <v>0</v>
      </c>
      <c r="CW108" s="22">
        <f t="shared" si="169"/>
        <v>0</v>
      </c>
      <c r="CX108" s="40"/>
      <c r="CY108" s="40"/>
    </row>
    <row r="109" spans="1:103" ht="31.5" x14ac:dyDescent="0.25">
      <c r="A109" s="13" t="s">
        <v>54</v>
      </c>
      <c r="B109" s="14" t="s">
        <v>50</v>
      </c>
      <c r="C109" s="14" t="s">
        <v>1</v>
      </c>
      <c r="D109" s="30" t="s">
        <v>130</v>
      </c>
      <c r="E109" s="15">
        <f>SUM(E110:E111)</f>
        <v>27431137</v>
      </c>
      <c r="F109" s="16">
        <f t="shared" ref="F109:BS109" si="170">SUM(F110:F111)</f>
        <v>27431137</v>
      </c>
      <c r="G109" s="16">
        <f t="shared" si="170"/>
        <v>27431137</v>
      </c>
      <c r="H109" s="16">
        <f t="shared" si="170"/>
        <v>21919802</v>
      </c>
      <c r="I109" s="16">
        <f t="shared" si="170"/>
        <v>5412176</v>
      </c>
      <c r="J109" s="16">
        <f t="shared" si="170"/>
        <v>0</v>
      </c>
      <c r="K109" s="16">
        <f t="shared" si="170"/>
        <v>0</v>
      </c>
      <c r="L109" s="16">
        <f t="shared" si="170"/>
        <v>0</v>
      </c>
      <c r="M109" s="16">
        <f t="shared" si="170"/>
        <v>0</v>
      </c>
      <c r="N109" s="16">
        <f t="shared" si="170"/>
        <v>0</v>
      </c>
      <c r="O109" s="16">
        <f t="shared" si="170"/>
        <v>0</v>
      </c>
      <c r="P109" s="16">
        <f t="shared" si="170"/>
        <v>0</v>
      </c>
      <c r="Q109" s="16">
        <f t="shared" si="170"/>
        <v>0</v>
      </c>
      <c r="R109" s="16">
        <f t="shared" si="170"/>
        <v>0</v>
      </c>
      <c r="S109" s="16">
        <f t="shared" si="170"/>
        <v>0</v>
      </c>
      <c r="T109" s="16">
        <f t="shared" si="170"/>
        <v>0</v>
      </c>
      <c r="U109" s="16">
        <f t="shared" si="170"/>
        <v>99159</v>
      </c>
      <c r="V109" s="16">
        <f t="shared" si="170"/>
        <v>0</v>
      </c>
      <c r="W109" s="16">
        <f t="shared" si="170"/>
        <v>0</v>
      </c>
      <c r="X109" s="16">
        <f t="shared" si="170"/>
        <v>0</v>
      </c>
      <c r="Y109" s="16">
        <f t="shared" si="170"/>
        <v>0</v>
      </c>
      <c r="Z109" s="16">
        <f t="shared" si="170"/>
        <v>0</v>
      </c>
      <c r="AA109" s="16">
        <f t="shared" si="170"/>
        <v>0</v>
      </c>
      <c r="AB109" s="16">
        <f t="shared" si="170"/>
        <v>0</v>
      </c>
      <c r="AC109" s="16">
        <f t="shared" si="170"/>
        <v>0</v>
      </c>
      <c r="AD109" s="16">
        <f t="shared" ref="AD109" si="171">SUM(AD110:AD111)</f>
        <v>0</v>
      </c>
      <c r="AE109" s="16">
        <f t="shared" si="170"/>
        <v>0</v>
      </c>
      <c r="AF109" s="16">
        <f t="shared" si="170"/>
        <v>0</v>
      </c>
      <c r="AG109" s="16">
        <f t="shared" si="170"/>
        <v>0</v>
      </c>
      <c r="AH109" s="16">
        <f t="shared" si="170"/>
        <v>0</v>
      </c>
      <c r="AI109" s="16">
        <f t="shared" si="170"/>
        <v>0</v>
      </c>
      <c r="AJ109" s="16">
        <f t="shared" si="170"/>
        <v>0</v>
      </c>
      <c r="AK109" s="16">
        <f t="shared" si="170"/>
        <v>0</v>
      </c>
      <c r="AL109" s="16">
        <f t="shared" si="170"/>
        <v>0</v>
      </c>
      <c r="AM109" s="16">
        <f t="shared" si="170"/>
        <v>0</v>
      </c>
      <c r="AN109" s="16">
        <f t="shared" si="170"/>
        <v>0</v>
      </c>
      <c r="AO109" s="16">
        <f t="shared" si="170"/>
        <v>0</v>
      </c>
      <c r="AP109" s="16">
        <f>SUM(AP110:AP111)</f>
        <v>0</v>
      </c>
      <c r="AQ109" s="16">
        <f t="shared" si="170"/>
        <v>0</v>
      </c>
      <c r="AR109" s="16">
        <f t="shared" si="170"/>
        <v>0</v>
      </c>
      <c r="AS109" s="16">
        <f t="shared" si="170"/>
        <v>0</v>
      </c>
      <c r="AT109" s="16">
        <f t="shared" si="170"/>
        <v>0</v>
      </c>
      <c r="AU109" s="16">
        <f t="shared" si="170"/>
        <v>0</v>
      </c>
      <c r="AV109" s="16">
        <f t="shared" si="170"/>
        <v>0</v>
      </c>
      <c r="AW109" s="16">
        <f t="shared" si="170"/>
        <v>0</v>
      </c>
      <c r="AX109" s="16">
        <f t="shared" si="170"/>
        <v>0</v>
      </c>
      <c r="AY109" s="16">
        <f t="shared" si="170"/>
        <v>0</v>
      </c>
      <c r="AZ109" s="16">
        <f t="shared" si="170"/>
        <v>0</v>
      </c>
      <c r="BA109" s="16">
        <f t="shared" si="170"/>
        <v>0</v>
      </c>
      <c r="BB109" s="16">
        <f t="shared" si="170"/>
        <v>0</v>
      </c>
      <c r="BC109" s="16">
        <f t="shared" si="170"/>
        <v>0</v>
      </c>
      <c r="BD109" s="16">
        <f t="shared" si="170"/>
        <v>0</v>
      </c>
      <c r="BE109" s="16">
        <f t="shared" si="170"/>
        <v>0</v>
      </c>
      <c r="BF109" s="16">
        <f t="shared" si="170"/>
        <v>0</v>
      </c>
      <c r="BG109" s="16">
        <f t="shared" si="170"/>
        <v>0</v>
      </c>
      <c r="BH109" s="16">
        <f t="shared" si="170"/>
        <v>0</v>
      </c>
      <c r="BI109" s="16">
        <f t="shared" si="170"/>
        <v>0</v>
      </c>
      <c r="BJ109" s="16">
        <f t="shared" si="170"/>
        <v>0</v>
      </c>
      <c r="BK109" s="16">
        <f t="shared" si="170"/>
        <v>0</v>
      </c>
      <c r="BL109" s="16">
        <f t="shared" si="170"/>
        <v>0</v>
      </c>
      <c r="BM109" s="16">
        <f t="shared" si="170"/>
        <v>0</v>
      </c>
      <c r="BN109" s="16">
        <f t="shared" si="170"/>
        <v>0</v>
      </c>
      <c r="BO109" s="16">
        <f t="shared" si="170"/>
        <v>0</v>
      </c>
      <c r="BP109" s="16">
        <f t="shared" si="170"/>
        <v>0</v>
      </c>
      <c r="BQ109" s="16">
        <f t="shared" si="170"/>
        <v>0</v>
      </c>
      <c r="BR109" s="16">
        <f t="shared" si="170"/>
        <v>0</v>
      </c>
      <c r="BS109" s="16">
        <f t="shared" si="170"/>
        <v>0</v>
      </c>
      <c r="BT109" s="16">
        <f t="shared" ref="BT109:CW109" si="172">SUM(BT110:BT111)</f>
        <v>0</v>
      </c>
      <c r="BU109" s="16">
        <f t="shared" si="172"/>
        <v>0</v>
      </c>
      <c r="BV109" s="16">
        <f t="shared" si="172"/>
        <v>0</v>
      </c>
      <c r="BW109" s="16">
        <f t="shared" si="172"/>
        <v>0</v>
      </c>
      <c r="BX109" s="16">
        <f t="shared" si="172"/>
        <v>0</v>
      </c>
      <c r="BY109" s="16">
        <f t="shared" si="172"/>
        <v>0</v>
      </c>
      <c r="BZ109" s="16">
        <f t="shared" si="172"/>
        <v>0</v>
      </c>
      <c r="CA109" s="16">
        <f t="shared" si="172"/>
        <v>0</v>
      </c>
      <c r="CB109" s="16">
        <f t="shared" si="172"/>
        <v>0</v>
      </c>
      <c r="CC109" s="16">
        <f t="shared" si="172"/>
        <v>0</v>
      </c>
      <c r="CD109" s="16">
        <f t="shared" si="172"/>
        <v>0</v>
      </c>
      <c r="CE109" s="16">
        <f t="shared" si="172"/>
        <v>0</v>
      </c>
      <c r="CF109" s="16">
        <f>SUM(CF110:CF111)</f>
        <v>0</v>
      </c>
      <c r="CG109" s="16">
        <f t="shared" si="172"/>
        <v>0</v>
      </c>
      <c r="CH109" s="16">
        <f t="shared" si="172"/>
        <v>0</v>
      </c>
      <c r="CI109" s="16">
        <f t="shared" si="172"/>
        <v>0</v>
      </c>
      <c r="CJ109" s="16">
        <f t="shared" ref="CJ109" si="173">SUM(CJ110:CJ111)</f>
        <v>0</v>
      </c>
      <c r="CK109" s="16">
        <f t="shared" si="172"/>
        <v>0</v>
      </c>
      <c r="CL109" s="16">
        <f t="shared" si="172"/>
        <v>0</v>
      </c>
      <c r="CM109" s="16">
        <f>SUM(CM110:CM111)</f>
        <v>0</v>
      </c>
      <c r="CN109" s="16">
        <f t="shared" si="172"/>
        <v>0</v>
      </c>
      <c r="CO109" s="16">
        <f t="shared" si="172"/>
        <v>0</v>
      </c>
      <c r="CP109" s="16">
        <f t="shared" si="172"/>
        <v>0</v>
      </c>
      <c r="CQ109" s="16">
        <f t="shared" si="172"/>
        <v>0</v>
      </c>
      <c r="CR109" s="16">
        <f t="shared" si="172"/>
        <v>0</v>
      </c>
      <c r="CS109" s="16">
        <f t="shared" si="172"/>
        <v>0</v>
      </c>
      <c r="CT109" s="16">
        <f t="shared" si="172"/>
        <v>0</v>
      </c>
      <c r="CU109" s="16">
        <f t="shared" si="172"/>
        <v>0</v>
      </c>
      <c r="CV109" s="16">
        <f t="shared" si="172"/>
        <v>0</v>
      </c>
      <c r="CW109" s="17">
        <f t="shared" si="172"/>
        <v>0</v>
      </c>
      <c r="CX109" s="40"/>
      <c r="CY109" s="40"/>
    </row>
    <row r="110" spans="1:103" ht="31.5" x14ac:dyDescent="0.25">
      <c r="A110" s="13" t="s">
        <v>1</v>
      </c>
      <c r="B110" s="14" t="s">
        <v>1</v>
      </c>
      <c r="C110" s="14" t="s">
        <v>29</v>
      </c>
      <c r="D110" s="30" t="s">
        <v>131</v>
      </c>
      <c r="E110" s="15">
        <f>SUM(F110+BY110+CT110)</f>
        <v>19458568</v>
      </c>
      <c r="F110" s="16">
        <f>SUM(G110+BA110)</f>
        <v>19458568</v>
      </c>
      <c r="G110" s="16">
        <f>SUM(H110+I110+J110+Q110+T110+U110+V110+AE110)</f>
        <v>19458568</v>
      </c>
      <c r="H110" s="16">
        <v>15566854</v>
      </c>
      <c r="I110" s="16">
        <v>3891714</v>
      </c>
      <c r="J110" s="16">
        <f t="shared" si="103"/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f t="shared" si="104"/>
        <v>0</v>
      </c>
      <c r="R110" s="16">
        <v>0</v>
      </c>
      <c r="S110" s="16">
        <v>0</v>
      </c>
      <c r="T110" s="16">
        <v>0</v>
      </c>
      <c r="U110" s="16">
        <v>0</v>
      </c>
      <c r="V110" s="16">
        <f>SUM(W110:AD110)</f>
        <v>0</v>
      </c>
      <c r="W110" s="16">
        <v>0</v>
      </c>
      <c r="X110" s="16">
        <v>0</v>
      </c>
      <c r="Y110" s="16">
        <v>0</v>
      </c>
      <c r="Z110" s="16">
        <v>0</v>
      </c>
      <c r="AA110" s="16">
        <v>0</v>
      </c>
      <c r="AB110" s="16">
        <v>0</v>
      </c>
      <c r="AC110" s="16">
        <v>0</v>
      </c>
      <c r="AD110" s="16">
        <v>0</v>
      </c>
      <c r="AE110" s="16">
        <f>SUM(AF110:AZ110)</f>
        <v>0</v>
      </c>
      <c r="AF110" s="16">
        <v>0</v>
      </c>
      <c r="AG110" s="16">
        <v>0</v>
      </c>
      <c r="AH110" s="16">
        <v>0</v>
      </c>
      <c r="AI110" s="16">
        <v>0</v>
      </c>
      <c r="AJ110" s="16">
        <v>0</v>
      </c>
      <c r="AK110" s="16">
        <v>0</v>
      </c>
      <c r="AL110" s="16">
        <v>0</v>
      </c>
      <c r="AM110" s="16">
        <v>0</v>
      </c>
      <c r="AN110" s="16">
        <v>0</v>
      </c>
      <c r="AO110" s="16">
        <v>0</v>
      </c>
      <c r="AP110" s="16">
        <v>0</v>
      </c>
      <c r="AQ110" s="16">
        <v>0</v>
      </c>
      <c r="AR110" s="16">
        <v>0</v>
      </c>
      <c r="AS110" s="16">
        <v>0</v>
      </c>
      <c r="AT110" s="16">
        <v>0</v>
      </c>
      <c r="AU110" s="16">
        <v>0</v>
      </c>
      <c r="AV110" s="16">
        <v>0</v>
      </c>
      <c r="AW110" s="16">
        <v>0</v>
      </c>
      <c r="AX110" s="16">
        <v>0</v>
      </c>
      <c r="AY110" s="16">
        <v>0</v>
      </c>
      <c r="AZ110" s="16">
        <v>0</v>
      </c>
      <c r="BA110" s="16">
        <f>SUM(BB110+BF110+BI110+BK110+BM110)</f>
        <v>0</v>
      </c>
      <c r="BB110" s="16">
        <f>SUM(BC110:BE110)</f>
        <v>0</v>
      </c>
      <c r="BC110" s="16">
        <v>0</v>
      </c>
      <c r="BD110" s="16">
        <v>0</v>
      </c>
      <c r="BE110" s="16">
        <v>0</v>
      </c>
      <c r="BF110" s="16">
        <f t="shared" si="105"/>
        <v>0</v>
      </c>
      <c r="BG110" s="16">
        <v>0</v>
      </c>
      <c r="BH110" s="16">
        <v>0</v>
      </c>
      <c r="BI110" s="16">
        <v>0</v>
      </c>
      <c r="BJ110" s="16">
        <v>0</v>
      </c>
      <c r="BK110" s="16">
        <f t="shared" si="106"/>
        <v>0</v>
      </c>
      <c r="BL110" s="16">
        <v>0</v>
      </c>
      <c r="BM110" s="16">
        <f t="shared" si="107"/>
        <v>0</v>
      </c>
      <c r="BN110" s="16">
        <v>0</v>
      </c>
      <c r="BO110" s="16">
        <v>0</v>
      </c>
      <c r="BP110" s="16">
        <v>0</v>
      </c>
      <c r="BQ110" s="16">
        <v>0</v>
      </c>
      <c r="BR110" s="16">
        <v>0</v>
      </c>
      <c r="BS110" s="16">
        <v>0</v>
      </c>
      <c r="BT110" s="16">
        <v>0</v>
      </c>
      <c r="BU110" s="16">
        <v>0</v>
      </c>
      <c r="BV110" s="16">
        <v>0</v>
      </c>
      <c r="BW110" s="16">
        <v>0</v>
      </c>
      <c r="BX110" s="16">
        <v>0</v>
      </c>
      <c r="BY110" s="16">
        <f>SUM(BZ110+CS110)</f>
        <v>0</v>
      </c>
      <c r="BZ110" s="16">
        <f>SUM(CA110+CD110+CK110)</f>
        <v>0</v>
      </c>
      <c r="CA110" s="16">
        <f t="shared" si="108"/>
        <v>0</v>
      </c>
      <c r="CB110" s="16">
        <v>0</v>
      </c>
      <c r="CC110" s="16">
        <v>0</v>
      </c>
      <c r="CD110" s="16">
        <f t="shared" si="109"/>
        <v>0</v>
      </c>
      <c r="CE110" s="16">
        <v>0</v>
      </c>
      <c r="CF110" s="16">
        <v>0</v>
      </c>
      <c r="CG110" s="16">
        <v>0</v>
      </c>
      <c r="CH110" s="16">
        <v>0</v>
      </c>
      <c r="CI110" s="16">
        <v>0</v>
      </c>
      <c r="CJ110" s="16">
        <v>0</v>
      </c>
      <c r="CK110" s="16">
        <f t="shared" si="110"/>
        <v>0</v>
      </c>
      <c r="CL110" s="16">
        <v>0</v>
      </c>
      <c r="CM110" s="16">
        <v>0</v>
      </c>
      <c r="CN110" s="16">
        <v>0</v>
      </c>
      <c r="CO110" s="16">
        <v>0</v>
      </c>
      <c r="CP110" s="16">
        <v>0</v>
      </c>
      <c r="CQ110" s="16">
        <v>0</v>
      </c>
      <c r="CR110" s="16">
        <v>0</v>
      </c>
      <c r="CS110" s="16">
        <v>0</v>
      </c>
      <c r="CT110" s="16">
        <f t="shared" si="111"/>
        <v>0</v>
      </c>
      <c r="CU110" s="16">
        <f t="shared" si="112"/>
        <v>0</v>
      </c>
      <c r="CV110" s="16">
        <v>0</v>
      </c>
      <c r="CW110" s="17">
        <v>0</v>
      </c>
      <c r="CX110" s="40"/>
      <c r="CY110" s="40"/>
    </row>
    <row r="111" spans="1:103" ht="15.75" x14ac:dyDescent="0.25">
      <c r="A111" s="13" t="s">
        <v>1</v>
      </c>
      <c r="B111" s="14" t="s">
        <v>1</v>
      </c>
      <c r="C111" s="14" t="s">
        <v>29</v>
      </c>
      <c r="D111" s="30" t="s">
        <v>132</v>
      </c>
      <c r="E111" s="15">
        <f>SUM(F111+BY111+CT111)</f>
        <v>7972569</v>
      </c>
      <c r="F111" s="16">
        <f>SUM(G111+BA111)</f>
        <v>7972569</v>
      </c>
      <c r="G111" s="16">
        <f>SUM(H111+I111+J111+Q111+T111+U111+V111+AE111)</f>
        <v>7972569</v>
      </c>
      <c r="H111" s="16">
        <v>6352948</v>
      </c>
      <c r="I111" s="16">
        <v>1520462</v>
      </c>
      <c r="J111" s="16">
        <f t="shared" si="103"/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f t="shared" si="104"/>
        <v>0</v>
      </c>
      <c r="R111" s="16">
        <v>0</v>
      </c>
      <c r="S111" s="16">
        <v>0</v>
      </c>
      <c r="T111" s="16">
        <v>0</v>
      </c>
      <c r="U111" s="16">
        <v>99159</v>
      </c>
      <c r="V111" s="16">
        <f>SUM(W111:AD111)</f>
        <v>0</v>
      </c>
      <c r="W111" s="16">
        <v>0</v>
      </c>
      <c r="X111" s="16">
        <v>0</v>
      </c>
      <c r="Y111" s="16">
        <v>0</v>
      </c>
      <c r="Z111" s="16">
        <v>0</v>
      </c>
      <c r="AA111" s="16">
        <v>0</v>
      </c>
      <c r="AB111" s="16">
        <v>0</v>
      </c>
      <c r="AC111" s="16">
        <v>0</v>
      </c>
      <c r="AD111" s="16">
        <v>0</v>
      </c>
      <c r="AE111" s="16">
        <f>SUM(AF111:AZ111)</f>
        <v>0</v>
      </c>
      <c r="AF111" s="16">
        <v>0</v>
      </c>
      <c r="AG111" s="16">
        <v>0</v>
      </c>
      <c r="AH111" s="16">
        <v>0</v>
      </c>
      <c r="AI111" s="16">
        <v>0</v>
      </c>
      <c r="AJ111" s="16">
        <v>0</v>
      </c>
      <c r="AK111" s="16">
        <v>0</v>
      </c>
      <c r="AL111" s="16">
        <v>0</v>
      </c>
      <c r="AM111" s="16">
        <v>0</v>
      </c>
      <c r="AN111" s="16">
        <v>0</v>
      </c>
      <c r="AO111" s="16">
        <v>0</v>
      </c>
      <c r="AP111" s="16">
        <v>0</v>
      </c>
      <c r="AQ111" s="16">
        <v>0</v>
      </c>
      <c r="AR111" s="16">
        <v>0</v>
      </c>
      <c r="AS111" s="16">
        <v>0</v>
      </c>
      <c r="AT111" s="16">
        <v>0</v>
      </c>
      <c r="AU111" s="16">
        <v>0</v>
      </c>
      <c r="AV111" s="16">
        <v>0</v>
      </c>
      <c r="AW111" s="16">
        <v>0</v>
      </c>
      <c r="AX111" s="16">
        <v>0</v>
      </c>
      <c r="AY111" s="16">
        <v>0</v>
      </c>
      <c r="AZ111" s="16">
        <v>0</v>
      </c>
      <c r="BA111" s="16">
        <f>SUM(BB111+BF111+BI111+BK111+BM111)</f>
        <v>0</v>
      </c>
      <c r="BB111" s="16">
        <f>SUM(BC111:BE111)</f>
        <v>0</v>
      </c>
      <c r="BC111" s="16">
        <v>0</v>
      </c>
      <c r="BD111" s="16">
        <v>0</v>
      </c>
      <c r="BE111" s="16">
        <v>0</v>
      </c>
      <c r="BF111" s="16">
        <f t="shared" si="105"/>
        <v>0</v>
      </c>
      <c r="BG111" s="16">
        <v>0</v>
      </c>
      <c r="BH111" s="16">
        <v>0</v>
      </c>
      <c r="BI111" s="16">
        <v>0</v>
      </c>
      <c r="BJ111" s="16">
        <v>0</v>
      </c>
      <c r="BK111" s="16">
        <f t="shared" si="106"/>
        <v>0</v>
      </c>
      <c r="BL111" s="16">
        <v>0</v>
      </c>
      <c r="BM111" s="16">
        <f t="shared" si="107"/>
        <v>0</v>
      </c>
      <c r="BN111" s="16">
        <v>0</v>
      </c>
      <c r="BO111" s="16">
        <v>0</v>
      </c>
      <c r="BP111" s="16">
        <v>0</v>
      </c>
      <c r="BQ111" s="16">
        <v>0</v>
      </c>
      <c r="BR111" s="16">
        <v>0</v>
      </c>
      <c r="BS111" s="16">
        <v>0</v>
      </c>
      <c r="BT111" s="16">
        <v>0</v>
      </c>
      <c r="BU111" s="16">
        <v>0</v>
      </c>
      <c r="BV111" s="16">
        <v>0</v>
      </c>
      <c r="BW111" s="16">
        <v>0</v>
      </c>
      <c r="BX111" s="16">
        <v>0</v>
      </c>
      <c r="BY111" s="16">
        <f>SUM(BZ111+CS111)</f>
        <v>0</v>
      </c>
      <c r="BZ111" s="16">
        <f>SUM(CA111+CD111+CK111)</f>
        <v>0</v>
      </c>
      <c r="CA111" s="16">
        <f t="shared" si="108"/>
        <v>0</v>
      </c>
      <c r="CB111" s="16">
        <v>0</v>
      </c>
      <c r="CC111" s="16">
        <v>0</v>
      </c>
      <c r="CD111" s="16">
        <f t="shared" si="109"/>
        <v>0</v>
      </c>
      <c r="CE111" s="16">
        <v>0</v>
      </c>
      <c r="CF111" s="16">
        <v>0</v>
      </c>
      <c r="CG111" s="16">
        <v>0</v>
      </c>
      <c r="CH111" s="16">
        <v>0</v>
      </c>
      <c r="CI111" s="16">
        <v>0</v>
      </c>
      <c r="CJ111" s="16">
        <v>0</v>
      </c>
      <c r="CK111" s="16">
        <f t="shared" si="110"/>
        <v>0</v>
      </c>
      <c r="CL111" s="16">
        <v>0</v>
      </c>
      <c r="CM111" s="16">
        <v>0</v>
      </c>
      <c r="CN111" s="16">
        <v>0</v>
      </c>
      <c r="CO111" s="16">
        <v>0</v>
      </c>
      <c r="CP111" s="16">
        <v>0</v>
      </c>
      <c r="CQ111" s="16">
        <v>0</v>
      </c>
      <c r="CR111" s="16">
        <v>0</v>
      </c>
      <c r="CS111" s="16">
        <v>0</v>
      </c>
      <c r="CT111" s="16">
        <f t="shared" si="111"/>
        <v>0</v>
      </c>
      <c r="CU111" s="16">
        <f t="shared" si="112"/>
        <v>0</v>
      </c>
      <c r="CV111" s="16">
        <v>0</v>
      </c>
      <c r="CW111" s="17">
        <v>0</v>
      </c>
      <c r="CX111" s="40"/>
      <c r="CY111" s="40"/>
    </row>
    <row r="112" spans="1:103" ht="47.25" x14ac:dyDescent="0.25">
      <c r="A112" s="18" t="s">
        <v>133</v>
      </c>
      <c r="B112" s="19" t="s">
        <v>1</v>
      </c>
      <c r="C112" s="19" t="s">
        <v>1</v>
      </c>
      <c r="D112" s="31" t="s">
        <v>134</v>
      </c>
      <c r="E112" s="20">
        <f>SUM(E113+E115)</f>
        <v>12472908</v>
      </c>
      <c r="F112" s="21">
        <f t="shared" ref="F112:BS112" si="174">SUM(F113+F115)</f>
        <v>12429073</v>
      </c>
      <c r="G112" s="21">
        <f t="shared" si="174"/>
        <v>3786990</v>
      </c>
      <c r="H112" s="21">
        <f t="shared" si="174"/>
        <v>2971382</v>
      </c>
      <c r="I112" s="21">
        <f t="shared" si="174"/>
        <v>680746</v>
      </c>
      <c r="J112" s="21">
        <f t="shared" si="174"/>
        <v>45417</v>
      </c>
      <c r="K112" s="21">
        <f t="shared" si="174"/>
        <v>0</v>
      </c>
      <c r="L112" s="21">
        <f t="shared" si="174"/>
        <v>0</v>
      </c>
      <c r="M112" s="21">
        <f t="shared" si="174"/>
        <v>0</v>
      </c>
      <c r="N112" s="21">
        <f t="shared" si="174"/>
        <v>2513</v>
      </c>
      <c r="O112" s="21">
        <f t="shared" si="174"/>
        <v>42904</v>
      </c>
      <c r="P112" s="21">
        <f t="shared" si="174"/>
        <v>0</v>
      </c>
      <c r="Q112" s="21">
        <f t="shared" si="174"/>
        <v>0</v>
      </c>
      <c r="R112" s="21">
        <f t="shared" si="174"/>
        <v>0</v>
      </c>
      <c r="S112" s="21">
        <f t="shared" si="174"/>
        <v>0</v>
      </c>
      <c r="T112" s="21">
        <f t="shared" si="174"/>
        <v>0</v>
      </c>
      <c r="U112" s="21">
        <f t="shared" si="174"/>
        <v>40815</v>
      </c>
      <c r="V112" s="21">
        <f t="shared" si="174"/>
        <v>20114</v>
      </c>
      <c r="W112" s="21">
        <f t="shared" si="174"/>
        <v>0</v>
      </c>
      <c r="X112" s="21">
        <f t="shared" si="174"/>
        <v>4431</v>
      </c>
      <c r="Y112" s="21">
        <f t="shared" si="174"/>
        <v>15555</v>
      </c>
      <c r="Z112" s="21">
        <f t="shared" si="174"/>
        <v>128</v>
      </c>
      <c r="AA112" s="21">
        <f t="shared" si="174"/>
        <v>0</v>
      </c>
      <c r="AB112" s="21">
        <f t="shared" si="174"/>
        <v>0</v>
      </c>
      <c r="AC112" s="21">
        <f t="shared" si="174"/>
        <v>0</v>
      </c>
      <c r="AD112" s="21">
        <f t="shared" ref="AD112" si="175">SUM(AD113+AD115)</f>
        <v>0</v>
      </c>
      <c r="AE112" s="21">
        <f t="shared" si="174"/>
        <v>28516</v>
      </c>
      <c r="AF112" s="21">
        <f t="shared" si="174"/>
        <v>0</v>
      </c>
      <c r="AG112" s="21">
        <f t="shared" si="174"/>
        <v>0</v>
      </c>
      <c r="AH112" s="21">
        <f t="shared" si="174"/>
        <v>6598</v>
      </c>
      <c r="AI112" s="21">
        <f t="shared" si="174"/>
        <v>0</v>
      </c>
      <c r="AJ112" s="21">
        <f t="shared" si="174"/>
        <v>0</v>
      </c>
      <c r="AK112" s="21">
        <f t="shared" si="174"/>
        <v>0</v>
      </c>
      <c r="AL112" s="21">
        <f t="shared" si="174"/>
        <v>21918</v>
      </c>
      <c r="AM112" s="21">
        <f t="shared" si="174"/>
        <v>0</v>
      </c>
      <c r="AN112" s="21">
        <f t="shared" si="174"/>
        <v>0</v>
      </c>
      <c r="AO112" s="21">
        <f t="shared" si="174"/>
        <v>0</v>
      </c>
      <c r="AP112" s="21">
        <f>SUM(AP113+AP115)</f>
        <v>0</v>
      </c>
      <c r="AQ112" s="21">
        <f t="shared" si="174"/>
        <v>0</v>
      </c>
      <c r="AR112" s="21">
        <f t="shared" si="174"/>
        <v>0</v>
      </c>
      <c r="AS112" s="21">
        <f t="shared" si="174"/>
        <v>0</v>
      </c>
      <c r="AT112" s="21">
        <f t="shared" si="174"/>
        <v>0</v>
      </c>
      <c r="AU112" s="21">
        <f t="shared" si="174"/>
        <v>0</v>
      </c>
      <c r="AV112" s="21">
        <f t="shared" si="174"/>
        <v>0</v>
      </c>
      <c r="AW112" s="21">
        <f t="shared" si="174"/>
        <v>0</v>
      </c>
      <c r="AX112" s="21">
        <f t="shared" si="174"/>
        <v>0</v>
      </c>
      <c r="AY112" s="21">
        <f t="shared" si="174"/>
        <v>0</v>
      </c>
      <c r="AZ112" s="21">
        <f t="shared" si="174"/>
        <v>0</v>
      </c>
      <c r="BA112" s="21">
        <f t="shared" si="174"/>
        <v>8642083</v>
      </c>
      <c r="BB112" s="21">
        <f t="shared" si="174"/>
        <v>0</v>
      </c>
      <c r="BC112" s="21">
        <f t="shared" si="174"/>
        <v>0</v>
      </c>
      <c r="BD112" s="21">
        <f t="shared" si="174"/>
        <v>0</v>
      </c>
      <c r="BE112" s="21">
        <f t="shared" si="174"/>
        <v>0</v>
      </c>
      <c r="BF112" s="21">
        <f t="shared" si="174"/>
        <v>8642083</v>
      </c>
      <c r="BG112" s="21">
        <f t="shared" si="174"/>
        <v>8642083</v>
      </c>
      <c r="BH112" s="21">
        <f t="shared" si="174"/>
        <v>0</v>
      </c>
      <c r="BI112" s="21">
        <f t="shared" si="174"/>
        <v>0</v>
      </c>
      <c r="BJ112" s="21">
        <f t="shared" si="174"/>
        <v>0</v>
      </c>
      <c r="BK112" s="21">
        <f t="shared" si="174"/>
        <v>0</v>
      </c>
      <c r="BL112" s="21">
        <f t="shared" si="174"/>
        <v>0</v>
      </c>
      <c r="BM112" s="21">
        <f t="shared" si="174"/>
        <v>0</v>
      </c>
      <c r="BN112" s="21">
        <f t="shared" si="174"/>
        <v>0</v>
      </c>
      <c r="BO112" s="21">
        <f t="shared" si="174"/>
        <v>0</v>
      </c>
      <c r="BP112" s="21">
        <f t="shared" si="174"/>
        <v>0</v>
      </c>
      <c r="BQ112" s="21">
        <f t="shared" si="174"/>
        <v>0</v>
      </c>
      <c r="BR112" s="21">
        <f t="shared" si="174"/>
        <v>0</v>
      </c>
      <c r="BS112" s="21">
        <f t="shared" si="174"/>
        <v>0</v>
      </c>
      <c r="BT112" s="21">
        <f t="shared" ref="BT112:CW112" si="176">SUM(BT113+BT115)</f>
        <v>0</v>
      </c>
      <c r="BU112" s="21">
        <f t="shared" si="176"/>
        <v>0</v>
      </c>
      <c r="BV112" s="21">
        <f t="shared" si="176"/>
        <v>0</v>
      </c>
      <c r="BW112" s="21">
        <f t="shared" si="176"/>
        <v>0</v>
      </c>
      <c r="BX112" s="21">
        <f t="shared" si="176"/>
        <v>0</v>
      </c>
      <c r="BY112" s="21">
        <f t="shared" si="176"/>
        <v>43835</v>
      </c>
      <c r="BZ112" s="21">
        <f t="shared" si="176"/>
        <v>43835</v>
      </c>
      <c r="CA112" s="21">
        <f t="shared" si="176"/>
        <v>43835</v>
      </c>
      <c r="CB112" s="21">
        <f t="shared" si="176"/>
        <v>0</v>
      </c>
      <c r="CC112" s="21">
        <f t="shared" si="176"/>
        <v>43835</v>
      </c>
      <c r="CD112" s="21">
        <f t="shared" si="176"/>
        <v>0</v>
      </c>
      <c r="CE112" s="21">
        <f t="shared" si="176"/>
        <v>0</v>
      </c>
      <c r="CF112" s="21">
        <f>SUM(CF113+CF115)</f>
        <v>0</v>
      </c>
      <c r="CG112" s="21">
        <f t="shared" si="176"/>
        <v>0</v>
      </c>
      <c r="CH112" s="21">
        <f t="shared" si="176"/>
        <v>0</v>
      </c>
      <c r="CI112" s="21">
        <f t="shared" si="176"/>
        <v>0</v>
      </c>
      <c r="CJ112" s="21">
        <f t="shared" ref="CJ112" si="177">SUM(CJ113+CJ115)</f>
        <v>0</v>
      </c>
      <c r="CK112" s="21">
        <f t="shared" si="176"/>
        <v>0</v>
      </c>
      <c r="CL112" s="21">
        <f t="shared" si="176"/>
        <v>0</v>
      </c>
      <c r="CM112" s="21">
        <f>SUM(CM113+CM115)</f>
        <v>0</v>
      </c>
      <c r="CN112" s="21">
        <f t="shared" si="176"/>
        <v>0</v>
      </c>
      <c r="CO112" s="21">
        <f t="shared" si="176"/>
        <v>0</v>
      </c>
      <c r="CP112" s="21">
        <f t="shared" si="176"/>
        <v>0</v>
      </c>
      <c r="CQ112" s="21">
        <f t="shared" si="176"/>
        <v>0</v>
      </c>
      <c r="CR112" s="21">
        <f t="shared" si="176"/>
        <v>0</v>
      </c>
      <c r="CS112" s="21">
        <f t="shared" si="176"/>
        <v>0</v>
      </c>
      <c r="CT112" s="21">
        <f t="shared" si="176"/>
        <v>0</v>
      </c>
      <c r="CU112" s="21">
        <f t="shared" si="176"/>
        <v>0</v>
      </c>
      <c r="CV112" s="21">
        <f t="shared" si="176"/>
        <v>0</v>
      </c>
      <c r="CW112" s="22">
        <f t="shared" si="176"/>
        <v>0</v>
      </c>
      <c r="CX112" s="40"/>
      <c r="CY112" s="40"/>
    </row>
    <row r="113" spans="1:103" ht="15.75" x14ac:dyDescent="0.25">
      <c r="A113" s="13" t="s">
        <v>107</v>
      </c>
      <c r="B113" s="14" t="s">
        <v>7</v>
      </c>
      <c r="C113" s="14" t="s">
        <v>1</v>
      </c>
      <c r="D113" s="30" t="s">
        <v>135</v>
      </c>
      <c r="E113" s="15">
        <f>SUM(E114)</f>
        <v>8642083</v>
      </c>
      <c r="F113" s="16">
        <f t="shared" ref="F113:BS113" si="178">SUM(F114)</f>
        <v>8642083</v>
      </c>
      <c r="G113" s="16">
        <f t="shared" si="178"/>
        <v>0</v>
      </c>
      <c r="H113" s="16">
        <f t="shared" si="178"/>
        <v>0</v>
      </c>
      <c r="I113" s="16">
        <f t="shared" si="178"/>
        <v>0</v>
      </c>
      <c r="J113" s="16">
        <f t="shared" si="178"/>
        <v>0</v>
      </c>
      <c r="K113" s="16">
        <f t="shared" si="178"/>
        <v>0</v>
      </c>
      <c r="L113" s="16">
        <f t="shared" si="178"/>
        <v>0</v>
      </c>
      <c r="M113" s="16">
        <f t="shared" si="178"/>
        <v>0</v>
      </c>
      <c r="N113" s="16">
        <f t="shared" si="178"/>
        <v>0</v>
      </c>
      <c r="O113" s="16">
        <f t="shared" si="178"/>
        <v>0</v>
      </c>
      <c r="P113" s="16">
        <f t="shared" si="178"/>
        <v>0</v>
      </c>
      <c r="Q113" s="16">
        <f t="shared" si="178"/>
        <v>0</v>
      </c>
      <c r="R113" s="16">
        <f t="shared" si="178"/>
        <v>0</v>
      </c>
      <c r="S113" s="16">
        <f t="shared" si="178"/>
        <v>0</v>
      </c>
      <c r="T113" s="16">
        <f t="shared" si="178"/>
        <v>0</v>
      </c>
      <c r="U113" s="16">
        <f t="shared" si="178"/>
        <v>0</v>
      </c>
      <c r="V113" s="16">
        <f t="shared" si="178"/>
        <v>0</v>
      </c>
      <c r="W113" s="16">
        <f t="shared" si="178"/>
        <v>0</v>
      </c>
      <c r="X113" s="16">
        <f t="shared" si="178"/>
        <v>0</v>
      </c>
      <c r="Y113" s="16">
        <f t="shared" si="178"/>
        <v>0</v>
      </c>
      <c r="Z113" s="16">
        <f t="shared" si="178"/>
        <v>0</v>
      </c>
      <c r="AA113" s="16">
        <f t="shared" si="178"/>
        <v>0</v>
      </c>
      <c r="AB113" s="16">
        <f t="shared" si="178"/>
        <v>0</v>
      </c>
      <c r="AC113" s="16">
        <f t="shared" si="178"/>
        <v>0</v>
      </c>
      <c r="AD113" s="16">
        <f t="shared" si="178"/>
        <v>0</v>
      </c>
      <c r="AE113" s="16">
        <f t="shared" si="178"/>
        <v>0</v>
      </c>
      <c r="AF113" s="16">
        <f t="shared" si="178"/>
        <v>0</v>
      </c>
      <c r="AG113" s="16">
        <f t="shared" si="178"/>
        <v>0</v>
      </c>
      <c r="AH113" s="16">
        <f t="shared" si="178"/>
        <v>0</v>
      </c>
      <c r="AI113" s="16">
        <f t="shared" si="178"/>
        <v>0</v>
      </c>
      <c r="AJ113" s="16">
        <f t="shared" si="178"/>
        <v>0</v>
      </c>
      <c r="AK113" s="16">
        <f t="shared" si="178"/>
        <v>0</v>
      </c>
      <c r="AL113" s="16">
        <f t="shared" si="178"/>
        <v>0</v>
      </c>
      <c r="AM113" s="16">
        <f t="shared" si="178"/>
        <v>0</v>
      </c>
      <c r="AN113" s="16">
        <f t="shared" si="178"/>
        <v>0</v>
      </c>
      <c r="AO113" s="16">
        <f t="shared" si="178"/>
        <v>0</v>
      </c>
      <c r="AP113" s="16">
        <f t="shared" si="178"/>
        <v>0</v>
      </c>
      <c r="AQ113" s="16">
        <f t="shared" si="178"/>
        <v>0</v>
      </c>
      <c r="AR113" s="16">
        <f t="shared" si="178"/>
        <v>0</v>
      </c>
      <c r="AS113" s="16">
        <f t="shared" si="178"/>
        <v>0</v>
      </c>
      <c r="AT113" s="16">
        <f t="shared" si="178"/>
        <v>0</v>
      </c>
      <c r="AU113" s="16">
        <f t="shared" si="178"/>
        <v>0</v>
      </c>
      <c r="AV113" s="16">
        <f t="shared" si="178"/>
        <v>0</v>
      </c>
      <c r="AW113" s="16">
        <f t="shared" si="178"/>
        <v>0</v>
      </c>
      <c r="AX113" s="16">
        <f t="shared" si="178"/>
        <v>0</v>
      </c>
      <c r="AY113" s="16">
        <f t="shared" si="178"/>
        <v>0</v>
      </c>
      <c r="AZ113" s="16">
        <f t="shared" si="178"/>
        <v>0</v>
      </c>
      <c r="BA113" s="16">
        <f t="shared" si="178"/>
        <v>8642083</v>
      </c>
      <c r="BB113" s="16">
        <f t="shared" si="178"/>
        <v>0</v>
      </c>
      <c r="BC113" s="16">
        <f t="shared" si="178"/>
        <v>0</v>
      </c>
      <c r="BD113" s="16">
        <f t="shared" si="178"/>
        <v>0</v>
      </c>
      <c r="BE113" s="16">
        <f t="shared" si="178"/>
        <v>0</v>
      </c>
      <c r="BF113" s="16">
        <f t="shared" si="178"/>
        <v>8642083</v>
      </c>
      <c r="BG113" s="16">
        <f t="shared" si="178"/>
        <v>8642083</v>
      </c>
      <c r="BH113" s="16">
        <f t="shared" si="178"/>
        <v>0</v>
      </c>
      <c r="BI113" s="16">
        <f t="shared" si="178"/>
        <v>0</v>
      </c>
      <c r="BJ113" s="16">
        <f t="shared" si="178"/>
        <v>0</v>
      </c>
      <c r="BK113" s="16">
        <f t="shared" si="178"/>
        <v>0</v>
      </c>
      <c r="BL113" s="16">
        <f t="shared" si="178"/>
        <v>0</v>
      </c>
      <c r="BM113" s="16">
        <f t="shared" si="178"/>
        <v>0</v>
      </c>
      <c r="BN113" s="16">
        <f t="shared" si="178"/>
        <v>0</v>
      </c>
      <c r="BO113" s="16">
        <f t="shared" si="178"/>
        <v>0</v>
      </c>
      <c r="BP113" s="16">
        <f t="shared" si="178"/>
        <v>0</v>
      </c>
      <c r="BQ113" s="16">
        <f t="shared" si="178"/>
        <v>0</v>
      </c>
      <c r="BR113" s="16">
        <f t="shared" si="178"/>
        <v>0</v>
      </c>
      <c r="BS113" s="16">
        <f t="shared" si="178"/>
        <v>0</v>
      </c>
      <c r="BT113" s="16">
        <f t="shared" ref="BT113:CW113" si="179">SUM(BT114)</f>
        <v>0</v>
      </c>
      <c r="BU113" s="16">
        <f t="shared" si="179"/>
        <v>0</v>
      </c>
      <c r="BV113" s="16">
        <f t="shared" si="179"/>
        <v>0</v>
      </c>
      <c r="BW113" s="16">
        <f t="shared" si="179"/>
        <v>0</v>
      </c>
      <c r="BX113" s="16">
        <f t="shared" si="179"/>
        <v>0</v>
      </c>
      <c r="BY113" s="16">
        <f t="shared" si="179"/>
        <v>0</v>
      </c>
      <c r="BZ113" s="16">
        <f t="shared" si="179"/>
        <v>0</v>
      </c>
      <c r="CA113" s="16">
        <f t="shared" si="179"/>
        <v>0</v>
      </c>
      <c r="CB113" s="16">
        <f t="shared" si="179"/>
        <v>0</v>
      </c>
      <c r="CC113" s="16">
        <f t="shared" si="179"/>
        <v>0</v>
      </c>
      <c r="CD113" s="16">
        <f t="shared" si="179"/>
        <v>0</v>
      </c>
      <c r="CE113" s="16">
        <f t="shared" si="179"/>
        <v>0</v>
      </c>
      <c r="CF113" s="16">
        <f t="shared" si="179"/>
        <v>0</v>
      </c>
      <c r="CG113" s="16">
        <f t="shared" si="179"/>
        <v>0</v>
      </c>
      <c r="CH113" s="16">
        <f t="shared" si="179"/>
        <v>0</v>
      </c>
      <c r="CI113" s="16">
        <f t="shared" si="179"/>
        <v>0</v>
      </c>
      <c r="CJ113" s="16">
        <f t="shared" si="179"/>
        <v>0</v>
      </c>
      <c r="CK113" s="16">
        <f t="shared" si="179"/>
        <v>0</v>
      </c>
      <c r="CL113" s="16">
        <f t="shared" si="179"/>
        <v>0</v>
      </c>
      <c r="CM113" s="16">
        <f t="shared" si="179"/>
        <v>0</v>
      </c>
      <c r="CN113" s="16">
        <f t="shared" si="179"/>
        <v>0</v>
      </c>
      <c r="CO113" s="16">
        <f t="shared" si="179"/>
        <v>0</v>
      </c>
      <c r="CP113" s="16">
        <f t="shared" si="179"/>
        <v>0</v>
      </c>
      <c r="CQ113" s="16">
        <f t="shared" si="179"/>
        <v>0</v>
      </c>
      <c r="CR113" s="16">
        <f t="shared" si="179"/>
        <v>0</v>
      </c>
      <c r="CS113" s="16">
        <f t="shared" si="179"/>
        <v>0</v>
      </c>
      <c r="CT113" s="16">
        <f t="shared" si="179"/>
        <v>0</v>
      </c>
      <c r="CU113" s="16">
        <f t="shared" si="179"/>
        <v>0</v>
      </c>
      <c r="CV113" s="16">
        <f t="shared" si="179"/>
        <v>0</v>
      </c>
      <c r="CW113" s="17">
        <f t="shared" si="179"/>
        <v>0</v>
      </c>
      <c r="CX113" s="40"/>
      <c r="CY113" s="40"/>
    </row>
    <row r="114" spans="1:103" ht="31.5" x14ac:dyDescent="0.25">
      <c r="A114" s="13" t="s">
        <v>1</v>
      </c>
      <c r="B114" s="14" t="s">
        <v>1</v>
      </c>
      <c r="C114" s="14" t="s">
        <v>29</v>
      </c>
      <c r="D114" s="30" t="s">
        <v>499</v>
      </c>
      <c r="E114" s="15">
        <f>SUM(F114+BY114+CT114)</f>
        <v>8642083</v>
      </c>
      <c r="F114" s="16">
        <f>SUM(G114+BA114)</f>
        <v>8642083</v>
      </c>
      <c r="G114" s="16">
        <f>SUM(H114+I114+J114+Q114+T114+U114+V114+AE114)</f>
        <v>0</v>
      </c>
      <c r="H114" s="16">
        <v>0</v>
      </c>
      <c r="I114" s="16">
        <v>0</v>
      </c>
      <c r="J114" s="16">
        <f t="shared" si="103"/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f t="shared" si="104"/>
        <v>0</v>
      </c>
      <c r="R114" s="16">
        <v>0</v>
      </c>
      <c r="S114" s="16">
        <v>0</v>
      </c>
      <c r="T114" s="16">
        <v>0</v>
      </c>
      <c r="U114" s="16">
        <v>0</v>
      </c>
      <c r="V114" s="16">
        <f>SUM(W114:AD114)</f>
        <v>0</v>
      </c>
      <c r="W114" s="16">
        <v>0</v>
      </c>
      <c r="X114" s="16">
        <v>0</v>
      </c>
      <c r="Y114" s="16">
        <v>0</v>
      </c>
      <c r="Z114" s="16">
        <v>0</v>
      </c>
      <c r="AA114" s="16">
        <v>0</v>
      </c>
      <c r="AB114" s="16">
        <v>0</v>
      </c>
      <c r="AC114" s="16">
        <v>0</v>
      </c>
      <c r="AD114" s="16">
        <v>0</v>
      </c>
      <c r="AE114" s="16">
        <f>SUM(AF114:AZ114)</f>
        <v>0</v>
      </c>
      <c r="AF114" s="16">
        <v>0</v>
      </c>
      <c r="AG114" s="16">
        <v>0</v>
      </c>
      <c r="AH114" s="16">
        <v>0</v>
      </c>
      <c r="AI114" s="16">
        <v>0</v>
      </c>
      <c r="AJ114" s="16">
        <v>0</v>
      </c>
      <c r="AK114" s="16">
        <v>0</v>
      </c>
      <c r="AL114" s="16">
        <v>0</v>
      </c>
      <c r="AM114" s="16">
        <v>0</v>
      </c>
      <c r="AN114" s="16">
        <v>0</v>
      </c>
      <c r="AO114" s="16">
        <v>0</v>
      </c>
      <c r="AP114" s="16">
        <v>0</v>
      </c>
      <c r="AQ114" s="16">
        <v>0</v>
      </c>
      <c r="AR114" s="16">
        <v>0</v>
      </c>
      <c r="AS114" s="16">
        <v>0</v>
      </c>
      <c r="AT114" s="16">
        <v>0</v>
      </c>
      <c r="AU114" s="16">
        <v>0</v>
      </c>
      <c r="AV114" s="16">
        <v>0</v>
      </c>
      <c r="AW114" s="16">
        <v>0</v>
      </c>
      <c r="AX114" s="16">
        <v>0</v>
      </c>
      <c r="AY114" s="16">
        <v>0</v>
      </c>
      <c r="AZ114" s="16">
        <v>0</v>
      </c>
      <c r="BA114" s="16">
        <f>SUM(BB114+BF114+BI114+BK114+BM114)</f>
        <v>8642083</v>
      </c>
      <c r="BB114" s="16">
        <f>SUM(BC114:BE114)</f>
        <v>0</v>
      </c>
      <c r="BC114" s="16">
        <v>0</v>
      </c>
      <c r="BD114" s="16">
        <v>0</v>
      </c>
      <c r="BE114" s="16">
        <v>0</v>
      </c>
      <c r="BF114" s="16">
        <f t="shared" si="105"/>
        <v>8642083</v>
      </c>
      <c r="BG114" s="16">
        <v>8642083</v>
      </c>
      <c r="BH114" s="16">
        <v>0</v>
      </c>
      <c r="BI114" s="16">
        <v>0</v>
      </c>
      <c r="BJ114" s="16">
        <v>0</v>
      </c>
      <c r="BK114" s="16">
        <f t="shared" si="106"/>
        <v>0</v>
      </c>
      <c r="BL114" s="16">
        <v>0</v>
      </c>
      <c r="BM114" s="16">
        <f t="shared" si="107"/>
        <v>0</v>
      </c>
      <c r="BN114" s="16">
        <v>0</v>
      </c>
      <c r="BO114" s="16">
        <v>0</v>
      </c>
      <c r="BP114" s="16">
        <v>0</v>
      </c>
      <c r="BQ114" s="16">
        <v>0</v>
      </c>
      <c r="BR114" s="16">
        <v>0</v>
      </c>
      <c r="BS114" s="16">
        <v>0</v>
      </c>
      <c r="BT114" s="16">
        <v>0</v>
      </c>
      <c r="BU114" s="16">
        <v>0</v>
      </c>
      <c r="BV114" s="16">
        <v>0</v>
      </c>
      <c r="BW114" s="16">
        <v>0</v>
      </c>
      <c r="BX114" s="16">
        <v>0</v>
      </c>
      <c r="BY114" s="16">
        <f>SUM(BZ114+CS114)</f>
        <v>0</v>
      </c>
      <c r="BZ114" s="16">
        <f>SUM(CA114+CD114+CK114)</f>
        <v>0</v>
      </c>
      <c r="CA114" s="16">
        <f t="shared" si="108"/>
        <v>0</v>
      </c>
      <c r="CB114" s="16">
        <v>0</v>
      </c>
      <c r="CC114" s="16">
        <v>0</v>
      </c>
      <c r="CD114" s="16">
        <f t="shared" si="109"/>
        <v>0</v>
      </c>
      <c r="CE114" s="16">
        <v>0</v>
      </c>
      <c r="CF114" s="16">
        <v>0</v>
      </c>
      <c r="CG114" s="16">
        <v>0</v>
      </c>
      <c r="CH114" s="16">
        <v>0</v>
      </c>
      <c r="CI114" s="16">
        <v>0</v>
      </c>
      <c r="CJ114" s="16">
        <v>0</v>
      </c>
      <c r="CK114" s="16">
        <f t="shared" si="110"/>
        <v>0</v>
      </c>
      <c r="CL114" s="16">
        <v>0</v>
      </c>
      <c r="CM114" s="16">
        <v>0</v>
      </c>
      <c r="CN114" s="16">
        <v>0</v>
      </c>
      <c r="CO114" s="16">
        <v>0</v>
      </c>
      <c r="CP114" s="16">
        <v>0</v>
      </c>
      <c r="CQ114" s="16">
        <v>0</v>
      </c>
      <c r="CR114" s="16">
        <v>0</v>
      </c>
      <c r="CS114" s="16">
        <v>0</v>
      </c>
      <c r="CT114" s="16">
        <f t="shared" si="111"/>
        <v>0</v>
      </c>
      <c r="CU114" s="16">
        <f t="shared" si="112"/>
        <v>0</v>
      </c>
      <c r="CV114" s="16">
        <v>0</v>
      </c>
      <c r="CW114" s="17">
        <v>0</v>
      </c>
      <c r="CX114" s="40"/>
      <c r="CY114" s="40"/>
    </row>
    <row r="115" spans="1:103" ht="15.75" x14ac:dyDescent="0.25">
      <c r="A115" s="13" t="s">
        <v>107</v>
      </c>
      <c r="B115" s="14" t="s">
        <v>50</v>
      </c>
      <c r="C115" s="14" t="s">
        <v>1</v>
      </c>
      <c r="D115" s="30" t="s">
        <v>136</v>
      </c>
      <c r="E115" s="15">
        <f t="shared" ref="E115:AJ115" si="180">SUM(E116)</f>
        <v>3830825</v>
      </c>
      <c r="F115" s="16">
        <f t="shared" si="180"/>
        <v>3786990</v>
      </c>
      <c r="G115" s="16">
        <f t="shared" si="180"/>
        <v>3786990</v>
      </c>
      <c r="H115" s="16">
        <f t="shared" si="180"/>
        <v>2971382</v>
      </c>
      <c r="I115" s="16">
        <f t="shared" si="180"/>
        <v>680746</v>
      </c>
      <c r="J115" s="16">
        <f t="shared" si="180"/>
        <v>45417</v>
      </c>
      <c r="K115" s="16">
        <f t="shared" si="180"/>
        <v>0</v>
      </c>
      <c r="L115" s="16">
        <f t="shared" si="180"/>
        <v>0</v>
      </c>
      <c r="M115" s="16">
        <f t="shared" si="180"/>
        <v>0</v>
      </c>
      <c r="N115" s="16">
        <f t="shared" si="180"/>
        <v>2513</v>
      </c>
      <c r="O115" s="16">
        <f t="shared" si="180"/>
        <v>42904</v>
      </c>
      <c r="P115" s="16">
        <f t="shared" si="180"/>
        <v>0</v>
      </c>
      <c r="Q115" s="16">
        <f t="shared" si="180"/>
        <v>0</v>
      </c>
      <c r="R115" s="16">
        <f t="shared" si="180"/>
        <v>0</v>
      </c>
      <c r="S115" s="16">
        <f t="shared" si="180"/>
        <v>0</v>
      </c>
      <c r="T115" s="16">
        <f t="shared" si="180"/>
        <v>0</v>
      </c>
      <c r="U115" s="16">
        <f t="shared" si="180"/>
        <v>40815</v>
      </c>
      <c r="V115" s="16">
        <f t="shared" si="180"/>
        <v>20114</v>
      </c>
      <c r="W115" s="16">
        <f t="shared" si="180"/>
        <v>0</v>
      </c>
      <c r="X115" s="16">
        <f t="shared" si="180"/>
        <v>4431</v>
      </c>
      <c r="Y115" s="16">
        <f t="shared" si="180"/>
        <v>15555</v>
      </c>
      <c r="Z115" s="16">
        <f t="shared" si="180"/>
        <v>128</v>
      </c>
      <c r="AA115" s="16">
        <f t="shared" si="180"/>
        <v>0</v>
      </c>
      <c r="AB115" s="16">
        <f t="shared" si="180"/>
        <v>0</v>
      </c>
      <c r="AC115" s="16">
        <f t="shared" si="180"/>
        <v>0</v>
      </c>
      <c r="AD115" s="16">
        <f t="shared" si="180"/>
        <v>0</v>
      </c>
      <c r="AE115" s="16">
        <f t="shared" si="180"/>
        <v>28516</v>
      </c>
      <c r="AF115" s="16">
        <f t="shared" si="180"/>
        <v>0</v>
      </c>
      <c r="AG115" s="16">
        <f t="shared" si="180"/>
        <v>0</v>
      </c>
      <c r="AH115" s="16">
        <f t="shared" si="180"/>
        <v>6598</v>
      </c>
      <c r="AI115" s="16">
        <f t="shared" si="180"/>
        <v>0</v>
      </c>
      <c r="AJ115" s="16">
        <f t="shared" si="180"/>
        <v>0</v>
      </c>
      <c r="AK115" s="16">
        <f t="shared" ref="AK115:BR115" si="181">SUM(AK116)</f>
        <v>0</v>
      </c>
      <c r="AL115" s="16">
        <f t="shared" si="181"/>
        <v>21918</v>
      </c>
      <c r="AM115" s="16">
        <f t="shared" si="181"/>
        <v>0</v>
      </c>
      <c r="AN115" s="16">
        <f t="shared" si="181"/>
        <v>0</v>
      </c>
      <c r="AO115" s="16">
        <f t="shared" si="181"/>
        <v>0</v>
      </c>
      <c r="AP115" s="16">
        <f t="shared" si="181"/>
        <v>0</v>
      </c>
      <c r="AQ115" s="16">
        <f t="shared" si="181"/>
        <v>0</v>
      </c>
      <c r="AR115" s="16">
        <f t="shared" si="181"/>
        <v>0</v>
      </c>
      <c r="AS115" s="16">
        <f t="shared" si="181"/>
        <v>0</v>
      </c>
      <c r="AT115" s="16">
        <f t="shared" si="181"/>
        <v>0</v>
      </c>
      <c r="AU115" s="16">
        <f t="shared" si="181"/>
        <v>0</v>
      </c>
      <c r="AV115" s="16">
        <f t="shared" si="181"/>
        <v>0</v>
      </c>
      <c r="AW115" s="16">
        <f t="shared" si="181"/>
        <v>0</v>
      </c>
      <c r="AX115" s="16">
        <f t="shared" si="181"/>
        <v>0</v>
      </c>
      <c r="AY115" s="16">
        <f t="shared" si="181"/>
        <v>0</v>
      </c>
      <c r="AZ115" s="16">
        <f t="shared" si="181"/>
        <v>0</v>
      </c>
      <c r="BA115" s="16">
        <f t="shared" si="181"/>
        <v>0</v>
      </c>
      <c r="BB115" s="16">
        <f t="shared" si="181"/>
        <v>0</v>
      </c>
      <c r="BC115" s="16">
        <f t="shared" si="181"/>
        <v>0</v>
      </c>
      <c r="BD115" s="16">
        <f t="shared" si="181"/>
        <v>0</v>
      </c>
      <c r="BE115" s="16">
        <f t="shared" si="181"/>
        <v>0</v>
      </c>
      <c r="BF115" s="16">
        <f t="shared" si="181"/>
        <v>0</v>
      </c>
      <c r="BG115" s="16">
        <f t="shared" si="181"/>
        <v>0</v>
      </c>
      <c r="BH115" s="16">
        <f t="shared" si="181"/>
        <v>0</v>
      </c>
      <c r="BI115" s="16">
        <f t="shared" si="181"/>
        <v>0</v>
      </c>
      <c r="BJ115" s="16">
        <f t="shared" si="181"/>
        <v>0</v>
      </c>
      <c r="BK115" s="16">
        <f t="shared" si="181"/>
        <v>0</v>
      </c>
      <c r="BL115" s="16">
        <f t="shared" si="181"/>
        <v>0</v>
      </c>
      <c r="BM115" s="16">
        <f t="shared" si="181"/>
        <v>0</v>
      </c>
      <c r="BN115" s="16">
        <f t="shared" si="181"/>
        <v>0</v>
      </c>
      <c r="BO115" s="16">
        <f t="shared" si="181"/>
        <v>0</v>
      </c>
      <c r="BP115" s="16">
        <f t="shared" si="181"/>
        <v>0</v>
      </c>
      <c r="BQ115" s="16">
        <f t="shared" si="181"/>
        <v>0</v>
      </c>
      <c r="BR115" s="16">
        <f t="shared" si="181"/>
        <v>0</v>
      </c>
      <c r="BS115" s="16">
        <f t="shared" ref="BS115:CW115" si="182">SUM(BS116)</f>
        <v>0</v>
      </c>
      <c r="BT115" s="16">
        <f t="shared" si="182"/>
        <v>0</v>
      </c>
      <c r="BU115" s="16">
        <f t="shared" si="182"/>
        <v>0</v>
      </c>
      <c r="BV115" s="16">
        <f t="shared" si="182"/>
        <v>0</v>
      </c>
      <c r="BW115" s="16">
        <f t="shared" si="182"/>
        <v>0</v>
      </c>
      <c r="BX115" s="16">
        <f t="shared" si="182"/>
        <v>0</v>
      </c>
      <c r="BY115" s="16">
        <f t="shared" si="182"/>
        <v>43835</v>
      </c>
      <c r="BZ115" s="16">
        <f t="shared" si="182"/>
        <v>43835</v>
      </c>
      <c r="CA115" s="16">
        <f t="shared" si="182"/>
        <v>43835</v>
      </c>
      <c r="CB115" s="16">
        <f t="shared" si="182"/>
        <v>0</v>
      </c>
      <c r="CC115" s="16">
        <f t="shared" si="182"/>
        <v>43835</v>
      </c>
      <c r="CD115" s="16">
        <f t="shared" si="182"/>
        <v>0</v>
      </c>
      <c r="CE115" s="16">
        <f t="shared" si="182"/>
        <v>0</v>
      </c>
      <c r="CF115" s="16">
        <f t="shared" si="182"/>
        <v>0</v>
      </c>
      <c r="CG115" s="16">
        <f t="shared" si="182"/>
        <v>0</v>
      </c>
      <c r="CH115" s="16">
        <f t="shared" si="182"/>
        <v>0</v>
      </c>
      <c r="CI115" s="16">
        <f t="shared" si="182"/>
        <v>0</v>
      </c>
      <c r="CJ115" s="16">
        <f t="shared" si="182"/>
        <v>0</v>
      </c>
      <c r="CK115" s="16">
        <f t="shared" si="182"/>
        <v>0</v>
      </c>
      <c r="CL115" s="16">
        <f t="shared" si="182"/>
        <v>0</v>
      </c>
      <c r="CM115" s="16">
        <f t="shared" si="182"/>
        <v>0</v>
      </c>
      <c r="CN115" s="16">
        <f t="shared" si="182"/>
        <v>0</v>
      </c>
      <c r="CO115" s="16">
        <f t="shared" si="182"/>
        <v>0</v>
      </c>
      <c r="CP115" s="16">
        <f t="shared" si="182"/>
        <v>0</v>
      </c>
      <c r="CQ115" s="16">
        <f t="shared" si="182"/>
        <v>0</v>
      </c>
      <c r="CR115" s="16">
        <f t="shared" si="182"/>
        <v>0</v>
      </c>
      <c r="CS115" s="16">
        <f t="shared" si="182"/>
        <v>0</v>
      </c>
      <c r="CT115" s="16">
        <f t="shared" si="182"/>
        <v>0</v>
      </c>
      <c r="CU115" s="16">
        <f t="shared" si="182"/>
        <v>0</v>
      </c>
      <c r="CV115" s="16">
        <f t="shared" si="182"/>
        <v>0</v>
      </c>
      <c r="CW115" s="17">
        <f t="shared" si="182"/>
        <v>0</v>
      </c>
      <c r="CX115" s="40"/>
      <c r="CY115" s="40"/>
    </row>
    <row r="116" spans="1:103" ht="31.5" x14ac:dyDescent="0.25">
      <c r="A116" s="13" t="s">
        <v>1</v>
      </c>
      <c r="B116" s="14" t="s">
        <v>1</v>
      </c>
      <c r="C116" s="14" t="s">
        <v>29</v>
      </c>
      <c r="D116" s="30" t="s">
        <v>137</v>
      </c>
      <c r="E116" s="15">
        <f>SUM(F116+BY116+CT116)</f>
        <v>3830825</v>
      </c>
      <c r="F116" s="16">
        <f>SUM(G116+BA116)</f>
        <v>3786990</v>
      </c>
      <c r="G116" s="16">
        <f>SUM(H116+I116+J116+Q116+T116+U116+V116+AE116)</f>
        <v>3786990</v>
      </c>
      <c r="H116" s="16">
        <v>2971382</v>
      </c>
      <c r="I116" s="16">
        <v>680746</v>
      </c>
      <c r="J116" s="16">
        <f t="shared" si="103"/>
        <v>45417</v>
      </c>
      <c r="K116" s="16">
        <v>0</v>
      </c>
      <c r="L116" s="16">
        <v>0</v>
      </c>
      <c r="M116" s="16">
        <v>0</v>
      </c>
      <c r="N116" s="16">
        <v>2513</v>
      </c>
      <c r="O116" s="16">
        <v>42904</v>
      </c>
      <c r="P116" s="16">
        <v>0</v>
      </c>
      <c r="Q116" s="16">
        <f t="shared" si="104"/>
        <v>0</v>
      </c>
      <c r="R116" s="16">
        <v>0</v>
      </c>
      <c r="S116" s="16">
        <v>0</v>
      </c>
      <c r="T116" s="16">
        <v>0</v>
      </c>
      <c r="U116" s="16">
        <v>40815</v>
      </c>
      <c r="V116" s="16">
        <f>SUM(W116:AD116)</f>
        <v>20114</v>
      </c>
      <c r="W116" s="16">
        <v>0</v>
      </c>
      <c r="X116" s="16">
        <v>4431</v>
      </c>
      <c r="Y116" s="16">
        <v>15555</v>
      </c>
      <c r="Z116" s="16">
        <v>128</v>
      </c>
      <c r="AA116" s="16">
        <v>0</v>
      </c>
      <c r="AB116" s="16">
        <v>0</v>
      </c>
      <c r="AC116" s="16">
        <v>0</v>
      </c>
      <c r="AD116" s="16">
        <v>0</v>
      </c>
      <c r="AE116" s="16">
        <f>SUM(AF116:AZ116)</f>
        <v>28516</v>
      </c>
      <c r="AF116" s="16">
        <v>0</v>
      </c>
      <c r="AG116" s="16">
        <v>0</v>
      </c>
      <c r="AH116" s="16">
        <v>6598</v>
      </c>
      <c r="AI116" s="16">
        <v>0</v>
      </c>
      <c r="AJ116" s="16">
        <v>0</v>
      </c>
      <c r="AK116" s="16">
        <v>0</v>
      </c>
      <c r="AL116" s="16">
        <v>21918</v>
      </c>
      <c r="AM116" s="16">
        <v>0</v>
      </c>
      <c r="AN116" s="16">
        <v>0</v>
      </c>
      <c r="AO116" s="16">
        <v>0</v>
      </c>
      <c r="AP116" s="16">
        <v>0</v>
      </c>
      <c r="AQ116" s="16">
        <v>0</v>
      </c>
      <c r="AR116" s="16">
        <v>0</v>
      </c>
      <c r="AS116" s="16">
        <v>0</v>
      </c>
      <c r="AT116" s="16">
        <v>0</v>
      </c>
      <c r="AU116" s="16">
        <v>0</v>
      </c>
      <c r="AV116" s="16">
        <v>0</v>
      </c>
      <c r="AW116" s="16">
        <v>0</v>
      </c>
      <c r="AX116" s="16">
        <v>0</v>
      </c>
      <c r="AY116" s="16">
        <v>0</v>
      </c>
      <c r="AZ116" s="16">
        <v>0</v>
      </c>
      <c r="BA116" s="16">
        <f>SUM(BB116+BF116+BI116+BK116+BM116)</f>
        <v>0</v>
      </c>
      <c r="BB116" s="16">
        <f>SUM(BC116:BE116)</f>
        <v>0</v>
      </c>
      <c r="BC116" s="16">
        <v>0</v>
      </c>
      <c r="BD116" s="16">
        <v>0</v>
      </c>
      <c r="BE116" s="16">
        <v>0</v>
      </c>
      <c r="BF116" s="16">
        <f t="shared" si="105"/>
        <v>0</v>
      </c>
      <c r="BG116" s="16">
        <v>0</v>
      </c>
      <c r="BH116" s="16">
        <v>0</v>
      </c>
      <c r="BI116" s="16">
        <v>0</v>
      </c>
      <c r="BJ116" s="16">
        <v>0</v>
      </c>
      <c r="BK116" s="16">
        <f t="shared" si="106"/>
        <v>0</v>
      </c>
      <c r="BL116" s="16">
        <v>0</v>
      </c>
      <c r="BM116" s="16">
        <f t="shared" si="107"/>
        <v>0</v>
      </c>
      <c r="BN116" s="16">
        <v>0</v>
      </c>
      <c r="BO116" s="16">
        <v>0</v>
      </c>
      <c r="BP116" s="16">
        <v>0</v>
      </c>
      <c r="BQ116" s="16">
        <v>0</v>
      </c>
      <c r="BR116" s="16">
        <v>0</v>
      </c>
      <c r="BS116" s="16">
        <v>0</v>
      </c>
      <c r="BT116" s="16">
        <v>0</v>
      </c>
      <c r="BU116" s="16">
        <v>0</v>
      </c>
      <c r="BV116" s="16">
        <v>0</v>
      </c>
      <c r="BW116" s="16">
        <v>0</v>
      </c>
      <c r="BX116" s="16">
        <v>0</v>
      </c>
      <c r="BY116" s="16">
        <f>SUM(BZ116+CS116)</f>
        <v>43835</v>
      </c>
      <c r="BZ116" s="16">
        <f>SUM(CA116+CD116+CK116)</f>
        <v>43835</v>
      </c>
      <c r="CA116" s="16">
        <f t="shared" si="108"/>
        <v>43835</v>
      </c>
      <c r="CB116" s="16">
        <v>0</v>
      </c>
      <c r="CC116" s="16">
        <v>43835</v>
      </c>
      <c r="CD116" s="16">
        <f t="shared" si="109"/>
        <v>0</v>
      </c>
      <c r="CE116" s="16">
        <v>0</v>
      </c>
      <c r="CF116" s="16">
        <v>0</v>
      </c>
      <c r="CG116" s="16">
        <v>0</v>
      </c>
      <c r="CH116" s="16">
        <v>0</v>
      </c>
      <c r="CI116" s="16">
        <v>0</v>
      </c>
      <c r="CJ116" s="16">
        <v>0</v>
      </c>
      <c r="CK116" s="16">
        <f t="shared" si="110"/>
        <v>0</v>
      </c>
      <c r="CL116" s="16">
        <v>0</v>
      </c>
      <c r="CM116" s="16">
        <v>0</v>
      </c>
      <c r="CN116" s="16">
        <v>0</v>
      </c>
      <c r="CO116" s="16">
        <v>0</v>
      </c>
      <c r="CP116" s="16">
        <v>0</v>
      </c>
      <c r="CQ116" s="16">
        <v>0</v>
      </c>
      <c r="CR116" s="16">
        <v>0</v>
      </c>
      <c r="CS116" s="16">
        <v>0</v>
      </c>
      <c r="CT116" s="16">
        <f t="shared" si="111"/>
        <v>0</v>
      </c>
      <c r="CU116" s="16">
        <f t="shared" si="112"/>
        <v>0</v>
      </c>
      <c r="CV116" s="16">
        <v>0</v>
      </c>
      <c r="CW116" s="17">
        <v>0</v>
      </c>
      <c r="CX116" s="40"/>
      <c r="CY116" s="40"/>
    </row>
    <row r="117" spans="1:103" ht="31.5" x14ac:dyDescent="0.25">
      <c r="A117" s="18" t="s">
        <v>138</v>
      </c>
      <c r="B117" s="19" t="s">
        <v>1</v>
      </c>
      <c r="C117" s="19" t="s">
        <v>1</v>
      </c>
      <c r="D117" s="31" t="s">
        <v>139</v>
      </c>
      <c r="E117" s="20">
        <f>SUM(E118+E120+E122+E124)</f>
        <v>32159033</v>
      </c>
      <c r="F117" s="21">
        <f t="shared" ref="F117:BS117" si="183">SUM(F118+F120+F122+F124)</f>
        <v>32159033</v>
      </c>
      <c r="G117" s="21">
        <f t="shared" si="183"/>
        <v>4949220</v>
      </c>
      <c r="H117" s="21">
        <f t="shared" si="183"/>
        <v>0</v>
      </c>
      <c r="I117" s="21">
        <f t="shared" si="183"/>
        <v>0</v>
      </c>
      <c r="J117" s="21">
        <f t="shared" si="183"/>
        <v>0</v>
      </c>
      <c r="K117" s="21">
        <f t="shared" si="183"/>
        <v>0</v>
      </c>
      <c r="L117" s="21">
        <f t="shared" si="183"/>
        <v>0</v>
      </c>
      <c r="M117" s="21">
        <f t="shared" si="183"/>
        <v>0</v>
      </c>
      <c r="N117" s="21">
        <f t="shared" si="183"/>
        <v>0</v>
      </c>
      <c r="O117" s="21">
        <f t="shared" si="183"/>
        <v>0</v>
      </c>
      <c r="P117" s="21">
        <f t="shared" si="183"/>
        <v>0</v>
      </c>
      <c r="Q117" s="21">
        <f t="shared" si="183"/>
        <v>0</v>
      </c>
      <c r="R117" s="21">
        <f t="shared" si="183"/>
        <v>0</v>
      </c>
      <c r="S117" s="21">
        <f t="shared" si="183"/>
        <v>0</v>
      </c>
      <c r="T117" s="21">
        <f t="shared" si="183"/>
        <v>0</v>
      </c>
      <c r="U117" s="21">
        <f t="shared" si="183"/>
        <v>0</v>
      </c>
      <c r="V117" s="21">
        <f t="shared" si="183"/>
        <v>0</v>
      </c>
      <c r="W117" s="21">
        <f t="shared" si="183"/>
        <v>0</v>
      </c>
      <c r="X117" s="21">
        <f t="shared" si="183"/>
        <v>0</v>
      </c>
      <c r="Y117" s="21">
        <f t="shared" si="183"/>
        <v>0</v>
      </c>
      <c r="Z117" s="21">
        <f t="shared" si="183"/>
        <v>0</v>
      </c>
      <c r="AA117" s="21">
        <f t="shared" si="183"/>
        <v>0</v>
      </c>
      <c r="AB117" s="21">
        <f t="shared" si="183"/>
        <v>0</v>
      </c>
      <c r="AC117" s="21">
        <f t="shared" si="183"/>
        <v>0</v>
      </c>
      <c r="AD117" s="21">
        <f t="shared" ref="AD117" si="184">SUM(AD118+AD120+AD122+AD124)</f>
        <v>0</v>
      </c>
      <c r="AE117" s="21">
        <f t="shared" si="183"/>
        <v>4949220</v>
      </c>
      <c r="AF117" s="21">
        <f t="shared" si="183"/>
        <v>0</v>
      </c>
      <c r="AG117" s="21">
        <f t="shared" si="183"/>
        <v>0</v>
      </c>
      <c r="AH117" s="21">
        <f t="shared" si="183"/>
        <v>0</v>
      </c>
      <c r="AI117" s="21">
        <f t="shared" si="183"/>
        <v>0</v>
      </c>
      <c r="AJ117" s="21">
        <f t="shared" si="183"/>
        <v>0</v>
      </c>
      <c r="AK117" s="21">
        <f t="shared" si="183"/>
        <v>0</v>
      </c>
      <c r="AL117" s="21">
        <f t="shared" si="183"/>
        <v>0</v>
      </c>
      <c r="AM117" s="21">
        <f t="shared" si="183"/>
        <v>0</v>
      </c>
      <c r="AN117" s="21">
        <f t="shared" si="183"/>
        <v>0</v>
      </c>
      <c r="AO117" s="21">
        <f t="shared" si="183"/>
        <v>0</v>
      </c>
      <c r="AP117" s="21">
        <f>SUM(AP118+AP120+AP122+AP124)</f>
        <v>0</v>
      </c>
      <c r="AQ117" s="21">
        <f t="shared" si="183"/>
        <v>0</v>
      </c>
      <c r="AR117" s="21">
        <f t="shared" si="183"/>
        <v>0</v>
      </c>
      <c r="AS117" s="21">
        <f t="shared" si="183"/>
        <v>0</v>
      </c>
      <c r="AT117" s="21">
        <f t="shared" si="183"/>
        <v>0</v>
      </c>
      <c r="AU117" s="21">
        <f t="shared" si="183"/>
        <v>0</v>
      </c>
      <c r="AV117" s="21">
        <f t="shared" si="183"/>
        <v>0</v>
      </c>
      <c r="AW117" s="21">
        <f t="shared" si="183"/>
        <v>0</v>
      </c>
      <c r="AX117" s="21">
        <f t="shared" si="183"/>
        <v>0</v>
      </c>
      <c r="AY117" s="21">
        <f t="shared" si="183"/>
        <v>0</v>
      </c>
      <c r="AZ117" s="21">
        <f t="shared" si="183"/>
        <v>4949220</v>
      </c>
      <c r="BA117" s="21">
        <f t="shared" si="183"/>
        <v>27209813</v>
      </c>
      <c r="BB117" s="21">
        <f t="shared" si="183"/>
        <v>27209813</v>
      </c>
      <c r="BC117" s="21">
        <f t="shared" si="183"/>
        <v>0</v>
      </c>
      <c r="BD117" s="21">
        <f t="shared" si="183"/>
        <v>6980711</v>
      </c>
      <c r="BE117" s="21">
        <f t="shared" si="183"/>
        <v>20229102</v>
      </c>
      <c r="BF117" s="21">
        <f t="shared" si="183"/>
        <v>0</v>
      </c>
      <c r="BG117" s="21">
        <f t="shared" si="183"/>
        <v>0</v>
      </c>
      <c r="BH117" s="21">
        <f t="shared" si="183"/>
        <v>0</v>
      </c>
      <c r="BI117" s="21">
        <f t="shared" si="183"/>
        <v>0</v>
      </c>
      <c r="BJ117" s="21">
        <f t="shared" si="183"/>
        <v>0</v>
      </c>
      <c r="BK117" s="21">
        <f t="shared" si="183"/>
        <v>0</v>
      </c>
      <c r="BL117" s="21">
        <f t="shared" si="183"/>
        <v>0</v>
      </c>
      <c r="BM117" s="21">
        <f t="shared" si="183"/>
        <v>0</v>
      </c>
      <c r="BN117" s="21">
        <f t="shared" si="183"/>
        <v>0</v>
      </c>
      <c r="BO117" s="21">
        <f t="shared" si="183"/>
        <v>0</v>
      </c>
      <c r="BP117" s="21">
        <f t="shared" si="183"/>
        <v>0</v>
      </c>
      <c r="BQ117" s="21">
        <f t="shared" si="183"/>
        <v>0</v>
      </c>
      <c r="BR117" s="21">
        <f t="shared" si="183"/>
        <v>0</v>
      </c>
      <c r="BS117" s="21">
        <f t="shared" si="183"/>
        <v>0</v>
      </c>
      <c r="BT117" s="21">
        <f t="shared" ref="BT117:CW117" si="185">SUM(BT118+BT120+BT122+BT124)</f>
        <v>0</v>
      </c>
      <c r="BU117" s="21">
        <f t="shared" si="185"/>
        <v>0</v>
      </c>
      <c r="BV117" s="21">
        <f t="shared" si="185"/>
        <v>0</v>
      </c>
      <c r="BW117" s="21">
        <f t="shared" si="185"/>
        <v>0</v>
      </c>
      <c r="BX117" s="21">
        <f t="shared" si="185"/>
        <v>0</v>
      </c>
      <c r="BY117" s="21">
        <f t="shared" si="185"/>
        <v>0</v>
      </c>
      <c r="BZ117" s="21">
        <f t="shared" si="185"/>
        <v>0</v>
      </c>
      <c r="CA117" s="21">
        <f t="shared" si="185"/>
        <v>0</v>
      </c>
      <c r="CB117" s="21">
        <f t="shared" si="185"/>
        <v>0</v>
      </c>
      <c r="CC117" s="21">
        <f t="shared" si="185"/>
        <v>0</v>
      </c>
      <c r="CD117" s="21">
        <f t="shared" si="185"/>
        <v>0</v>
      </c>
      <c r="CE117" s="21">
        <f t="shared" si="185"/>
        <v>0</v>
      </c>
      <c r="CF117" s="21">
        <f>SUM(CF118+CF120+CF122+CF124)</f>
        <v>0</v>
      </c>
      <c r="CG117" s="21">
        <f t="shared" si="185"/>
        <v>0</v>
      </c>
      <c r="CH117" s="21">
        <f t="shared" si="185"/>
        <v>0</v>
      </c>
      <c r="CI117" s="21">
        <f t="shared" si="185"/>
        <v>0</v>
      </c>
      <c r="CJ117" s="21">
        <f t="shared" ref="CJ117" si="186">SUM(CJ118+CJ120+CJ122+CJ124)</f>
        <v>0</v>
      </c>
      <c r="CK117" s="21">
        <f t="shared" si="185"/>
        <v>0</v>
      </c>
      <c r="CL117" s="21">
        <f t="shared" si="185"/>
        <v>0</v>
      </c>
      <c r="CM117" s="21">
        <f>SUM(CM118+CM120+CM122+CM124)</f>
        <v>0</v>
      </c>
      <c r="CN117" s="21">
        <f t="shared" si="185"/>
        <v>0</v>
      </c>
      <c r="CO117" s="21">
        <f t="shared" si="185"/>
        <v>0</v>
      </c>
      <c r="CP117" s="21">
        <f t="shared" si="185"/>
        <v>0</v>
      </c>
      <c r="CQ117" s="21">
        <f t="shared" si="185"/>
        <v>0</v>
      </c>
      <c r="CR117" s="21">
        <f t="shared" si="185"/>
        <v>0</v>
      </c>
      <c r="CS117" s="21">
        <f t="shared" si="185"/>
        <v>0</v>
      </c>
      <c r="CT117" s="21">
        <f t="shared" si="185"/>
        <v>0</v>
      </c>
      <c r="CU117" s="21">
        <f t="shared" si="185"/>
        <v>0</v>
      </c>
      <c r="CV117" s="21">
        <f t="shared" si="185"/>
        <v>0</v>
      </c>
      <c r="CW117" s="22">
        <f t="shared" si="185"/>
        <v>0</v>
      </c>
      <c r="CX117" s="40"/>
      <c r="CY117" s="40"/>
    </row>
    <row r="118" spans="1:103" ht="15.75" x14ac:dyDescent="0.25">
      <c r="A118" s="13" t="s">
        <v>57</v>
      </c>
      <c r="B118" s="14" t="s">
        <v>3</v>
      </c>
      <c r="C118" s="14" t="s">
        <v>1</v>
      </c>
      <c r="D118" s="30" t="s">
        <v>140</v>
      </c>
      <c r="E118" s="15">
        <f t="shared" ref="E118:AJ118" si="187">SUM(E119)</f>
        <v>6980711</v>
      </c>
      <c r="F118" s="16">
        <f t="shared" si="187"/>
        <v>6980711</v>
      </c>
      <c r="G118" s="16">
        <f t="shared" si="187"/>
        <v>0</v>
      </c>
      <c r="H118" s="16">
        <f t="shared" si="187"/>
        <v>0</v>
      </c>
      <c r="I118" s="16">
        <f t="shared" si="187"/>
        <v>0</v>
      </c>
      <c r="J118" s="16">
        <f t="shared" si="187"/>
        <v>0</v>
      </c>
      <c r="K118" s="16">
        <f t="shared" si="187"/>
        <v>0</v>
      </c>
      <c r="L118" s="16">
        <f t="shared" si="187"/>
        <v>0</v>
      </c>
      <c r="M118" s="16">
        <f t="shared" si="187"/>
        <v>0</v>
      </c>
      <c r="N118" s="16">
        <f t="shared" si="187"/>
        <v>0</v>
      </c>
      <c r="O118" s="16">
        <f t="shared" si="187"/>
        <v>0</v>
      </c>
      <c r="P118" s="16">
        <f t="shared" si="187"/>
        <v>0</v>
      </c>
      <c r="Q118" s="16">
        <f t="shared" si="187"/>
        <v>0</v>
      </c>
      <c r="R118" s="16">
        <f t="shared" si="187"/>
        <v>0</v>
      </c>
      <c r="S118" s="16">
        <f t="shared" si="187"/>
        <v>0</v>
      </c>
      <c r="T118" s="16">
        <f t="shared" si="187"/>
        <v>0</v>
      </c>
      <c r="U118" s="16">
        <f t="shared" si="187"/>
        <v>0</v>
      </c>
      <c r="V118" s="16">
        <f t="shared" si="187"/>
        <v>0</v>
      </c>
      <c r="W118" s="16">
        <f t="shared" si="187"/>
        <v>0</v>
      </c>
      <c r="X118" s="16">
        <f t="shared" si="187"/>
        <v>0</v>
      </c>
      <c r="Y118" s="16">
        <f t="shared" si="187"/>
        <v>0</v>
      </c>
      <c r="Z118" s="16">
        <f t="shared" si="187"/>
        <v>0</v>
      </c>
      <c r="AA118" s="16">
        <f t="shared" si="187"/>
        <v>0</v>
      </c>
      <c r="AB118" s="16">
        <f t="shared" si="187"/>
        <v>0</v>
      </c>
      <c r="AC118" s="16">
        <f t="shared" si="187"/>
        <v>0</v>
      </c>
      <c r="AD118" s="16">
        <f t="shared" si="187"/>
        <v>0</v>
      </c>
      <c r="AE118" s="16">
        <f t="shared" si="187"/>
        <v>0</v>
      </c>
      <c r="AF118" s="16">
        <f t="shared" si="187"/>
        <v>0</v>
      </c>
      <c r="AG118" s="16">
        <f t="shared" si="187"/>
        <v>0</v>
      </c>
      <c r="AH118" s="16">
        <f t="shared" si="187"/>
        <v>0</v>
      </c>
      <c r="AI118" s="16">
        <f t="shared" si="187"/>
        <v>0</v>
      </c>
      <c r="AJ118" s="16">
        <f t="shared" si="187"/>
        <v>0</v>
      </c>
      <c r="AK118" s="16">
        <f t="shared" ref="AK118:BR118" si="188">SUM(AK119)</f>
        <v>0</v>
      </c>
      <c r="AL118" s="16">
        <f t="shared" si="188"/>
        <v>0</v>
      </c>
      <c r="AM118" s="16">
        <f t="shared" si="188"/>
        <v>0</v>
      </c>
      <c r="AN118" s="16">
        <f t="shared" si="188"/>
        <v>0</v>
      </c>
      <c r="AO118" s="16">
        <f t="shared" si="188"/>
        <v>0</v>
      </c>
      <c r="AP118" s="16">
        <f t="shared" si="188"/>
        <v>0</v>
      </c>
      <c r="AQ118" s="16">
        <f t="shared" si="188"/>
        <v>0</v>
      </c>
      <c r="AR118" s="16">
        <f t="shared" si="188"/>
        <v>0</v>
      </c>
      <c r="AS118" s="16">
        <f t="shared" si="188"/>
        <v>0</v>
      </c>
      <c r="AT118" s="16">
        <f t="shared" si="188"/>
        <v>0</v>
      </c>
      <c r="AU118" s="16">
        <f t="shared" si="188"/>
        <v>0</v>
      </c>
      <c r="AV118" s="16">
        <f t="shared" si="188"/>
        <v>0</v>
      </c>
      <c r="AW118" s="16">
        <f t="shared" si="188"/>
        <v>0</v>
      </c>
      <c r="AX118" s="16">
        <f t="shared" si="188"/>
        <v>0</v>
      </c>
      <c r="AY118" s="16">
        <f t="shared" si="188"/>
        <v>0</v>
      </c>
      <c r="AZ118" s="16">
        <f t="shared" si="188"/>
        <v>0</v>
      </c>
      <c r="BA118" s="16">
        <f t="shared" si="188"/>
        <v>6980711</v>
      </c>
      <c r="BB118" s="16">
        <f t="shared" si="188"/>
        <v>6980711</v>
      </c>
      <c r="BC118" s="16">
        <f t="shared" si="188"/>
        <v>0</v>
      </c>
      <c r="BD118" s="16">
        <f t="shared" si="188"/>
        <v>6980711</v>
      </c>
      <c r="BE118" s="16">
        <f t="shared" si="188"/>
        <v>0</v>
      </c>
      <c r="BF118" s="16">
        <f t="shared" si="188"/>
        <v>0</v>
      </c>
      <c r="BG118" s="16">
        <f t="shared" si="188"/>
        <v>0</v>
      </c>
      <c r="BH118" s="16">
        <f t="shared" si="188"/>
        <v>0</v>
      </c>
      <c r="BI118" s="16">
        <f t="shared" si="188"/>
        <v>0</v>
      </c>
      <c r="BJ118" s="16">
        <f t="shared" si="188"/>
        <v>0</v>
      </c>
      <c r="BK118" s="16">
        <f t="shared" si="188"/>
        <v>0</v>
      </c>
      <c r="BL118" s="16">
        <f t="shared" si="188"/>
        <v>0</v>
      </c>
      <c r="BM118" s="16">
        <f t="shared" si="188"/>
        <v>0</v>
      </c>
      <c r="BN118" s="16">
        <f t="shared" si="188"/>
        <v>0</v>
      </c>
      <c r="BO118" s="16">
        <f t="shared" si="188"/>
        <v>0</v>
      </c>
      <c r="BP118" s="16">
        <f t="shared" si="188"/>
        <v>0</v>
      </c>
      <c r="BQ118" s="16">
        <f t="shared" si="188"/>
        <v>0</v>
      </c>
      <c r="BR118" s="16">
        <f t="shared" si="188"/>
        <v>0</v>
      </c>
      <c r="BS118" s="16">
        <f t="shared" ref="BS118:CW118" si="189">SUM(BS119)</f>
        <v>0</v>
      </c>
      <c r="BT118" s="16">
        <f t="shared" si="189"/>
        <v>0</v>
      </c>
      <c r="BU118" s="16">
        <f t="shared" si="189"/>
        <v>0</v>
      </c>
      <c r="BV118" s="16">
        <f t="shared" si="189"/>
        <v>0</v>
      </c>
      <c r="BW118" s="16">
        <f t="shared" si="189"/>
        <v>0</v>
      </c>
      <c r="BX118" s="16">
        <f t="shared" si="189"/>
        <v>0</v>
      </c>
      <c r="BY118" s="16">
        <f t="shared" si="189"/>
        <v>0</v>
      </c>
      <c r="BZ118" s="16">
        <f t="shared" si="189"/>
        <v>0</v>
      </c>
      <c r="CA118" s="16">
        <f t="shared" si="189"/>
        <v>0</v>
      </c>
      <c r="CB118" s="16">
        <f t="shared" si="189"/>
        <v>0</v>
      </c>
      <c r="CC118" s="16">
        <f t="shared" si="189"/>
        <v>0</v>
      </c>
      <c r="CD118" s="16">
        <f t="shared" si="189"/>
        <v>0</v>
      </c>
      <c r="CE118" s="16">
        <f t="shared" si="189"/>
        <v>0</v>
      </c>
      <c r="CF118" s="16">
        <f t="shared" si="189"/>
        <v>0</v>
      </c>
      <c r="CG118" s="16">
        <f t="shared" si="189"/>
        <v>0</v>
      </c>
      <c r="CH118" s="16">
        <f t="shared" si="189"/>
        <v>0</v>
      </c>
      <c r="CI118" s="16">
        <f t="shared" si="189"/>
        <v>0</v>
      </c>
      <c r="CJ118" s="16">
        <f t="shared" si="189"/>
        <v>0</v>
      </c>
      <c r="CK118" s="16">
        <f t="shared" si="189"/>
        <v>0</v>
      </c>
      <c r="CL118" s="16">
        <f t="shared" si="189"/>
        <v>0</v>
      </c>
      <c r="CM118" s="16">
        <f t="shared" si="189"/>
        <v>0</v>
      </c>
      <c r="CN118" s="16">
        <f t="shared" si="189"/>
        <v>0</v>
      </c>
      <c r="CO118" s="16">
        <f t="shared" si="189"/>
        <v>0</v>
      </c>
      <c r="CP118" s="16">
        <f t="shared" si="189"/>
        <v>0</v>
      </c>
      <c r="CQ118" s="16">
        <f t="shared" si="189"/>
        <v>0</v>
      </c>
      <c r="CR118" s="16">
        <f t="shared" si="189"/>
        <v>0</v>
      </c>
      <c r="CS118" s="16">
        <f t="shared" si="189"/>
        <v>0</v>
      </c>
      <c r="CT118" s="16">
        <f t="shared" si="189"/>
        <v>0</v>
      </c>
      <c r="CU118" s="16">
        <f t="shared" si="189"/>
        <v>0</v>
      </c>
      <c r="CV118" s="16">
        <f t="shared" si="189"/>
        <v>0</v>
      </c>
      <c r="CW118" s="17">
        <f t="shared" si="189"/>
        <v>0</v>
      </c>
      <c r="CX118" s="40"/>
      <c r="CY118" s="40"/>
    </row>
    <row r="119" spans="1:103" ht="15.75" x14ac:dyDescent="0.25">
      <c r="A119" s="13" t="s">
        <v>1</v>
      </c>
      <c r="B119" s="14" t="s">
        <v>1</v>
      </c>
      <c r="C119" s="14" t="s">
        <v>17</v>
      </c>
      <c r="D119" s="30" t="s">
        <v>141</v>
      </c>
      <c r="E119" s="15">
        <f>SUM(F119+BY119+CT119)</f>
        <v>6980711</v>
      </c>
      <c r="F119" s="16">
        <f>SUM(G119+BA119)</f>
        <v>6980711</v>
      </c>
      <c r="G119" s="16">
        <f>SUM(H119+I119+J119+Q119+T119+U119+V119+AE119)</f>
        <v>0</v>
      </c>
      <c r="H119" s="16">
        <v>0</v>
      </c>
      <c r="I119" s="16">
        <v>0</v>
      </c>
      <c r="J119" s="16">
        <f t="shared" si="103"/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f t="shared" si="104"/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f>SUM(W119:AD119)</f>
        <v>0</v>
      </c>
      <c r="W119" s="16">
        <v>0</v>
      </c>
      <c r="X119" s="16">
        <v>0</v>
      </c>
      <c r="Y119" s="16">
        <v>0</v>
      </c>
      <c r="Z119" s="16">
        <v>0</v>
      </c>
      <c r="AA119" s="16">
        <v>0</v>
      </c>
      <c r="AB119" s="16">
        <v>0</v>
      </c>
      <c r="AC119" s="16">
        <v>0</v>
      </c>
      <c r="AD119" s="16">
        <v>0</v>
      </c>
      <c r="AE119" s="16">
        <f>SUM(AF119:AZ119)</f>
        <v>0</v>
      </c>
      <c r="AF119" s="16">
        <v>0</v>
      </c>
      <c r="AG119" s="16">
        <v>0</v>
      </c>
      <c r="AH119" s="16">
        <v>0</v>
      </c>
      <c r="AI119" s="16">
        <v>0</v>
      </c>
      <c r="AJ119" s="16">
        <v>0</v>
      </c>
      <c r="AK119" s="16">
        <v>0</v>
      </c>
      <c r="AL119" s="16">
        <v>0</v>
      </c>
      <c r="AM119" s="16">
        <v>0</v>
      </c>
      <c r="AN119" s="16">
        <v>0</v>
      </c>
      <c r="AO119" s="16">
        <v>0</v>
      </c>
      <c r="AP119" s="16">
        <v>0</v>
      </c>
      <c r="AQ119" s="16">
        <v>0</v>
      </c>
      <c r="AR119" s="16">
        <v>0</v>
      </c>
      <c r="AS119" s="16">
        <v>0</v>
      </c>
      <c r="AT119" s="16">
        <v>0</v>
      </c>
      <c r="AU119" s="16">
        <v>0</v>
      </c>
      <c r="AV119" s="16">
        <v>0</v>
      </c>
      <c r="AW119" s="16">
        <v>0</v>
      </c>
      <c r="AX119" s="16">
        <v>0</v>
      </c>
      <c r="AY119" s="16">
        <v>0</v>
      </c>
      <c r="AZ119" s="16">
        <v>0</v>
      </c>
      <c r="BA119" s="16">
        <f>SUM(BB119+BF119+BI119+BK119+BM119)</f>
        <v>6980711</v>
      </c>
      <c r="BB119" s="16">
        <f>SUM(BC119:BE119)</f>
        <v>6980711</v>
      </c>
      <c r="BC119" s="16">
        <v>0</v>
      </c>
      <c r="BD119" s="16">
        <v>6980711</v>
      </c>
      <c r="BE119" s="16">
        <v>0</v>
      </c>
      <c r="BF119" s="16">
        <f t="shared" si="105"/>
        <v>0</v>
      </c>
      <c r="BG119" s="16">
        <v>0</v>
      </c>
      <c r="BH119" s="16">
        <v>0</v>
      </c>
      <c r="BI119" s="16">
        <v>0</v>
      </c>
      <c r="BJ119" s="16">
        <v>0</v>
      </c>
      <c r="BK119" s="16">
        <f t="shared" si="106"/>
        <v>0</v>
      </c>
      <c r="BL119" s="16">
        <v>0</v>
      </c>
      <c r="BM119" s="16">
        <f t="shared" si="107"/>
        <v>0</v>
      </c>
      <c r="BN119" s="16">
        <v>0</v>
      </c>
      <c r="BO119" s="16">
        <v>0</v>
      </c>
      <c r="BP119" s="16">
        <v>0</v>
      </c>
      <c r="BQ119" s="16">
        <v>0</v>
      </c>
      <c r="BR119" s="16">
        <v>0</v>
      </c>
      <c r="BS119" s="16">
        <v>0</v>
      </c>
      <c r="BT119" s="16">
        <v>0</v>
      </c>
      <c r="BU119" s="16">
        <v>0</v>
      </c>
      <c r="BV119" s="16">
        <v>0</v>
      </c>
      <c r="BW119" s="16">
        <v>0</v>
      </c>
      <c r="BX119" s="16">
        <v>0</v>
      </c>
      <c r="BY119" s="16">
        <f>SUM(BZ119+CS119)</f>
        <v>0</v>
      </c>
      <c r="BZ119" s="16">
        <f>SUM(CA119+CD119+CK119)</f>
        <v>0</v>
      </c>
      <c r="CA119" s="16">
        <f t="shared" si="108"/>
        <v>0</v>
      </c>
      <c r="CB119" s="16">
        <v>0</v>
      </c>
      <c r="CC119" s="16">
        <v>0</v>
      </c>
      <c r="CD119" s="16">
        <f t="shared" si="109"/>
        <v>0</v>
      </c>
      <c r="CE119" s="16">
        <v>0</v>
      </c>
      <c r="CF119" s="16">
        <v>0</v>
      </c>
      <c r="CG119" s="16">
        <v>0</v>
      </c>
      <c r="CH119" s="16">
        <v>0</v>
      </c>
      <c r="CI119" s="16">
        <v>0</v>
      </c>
      <c r="CJ119" s="16">
        <v>0</v>
      </c>
      <c r="CK119" s="16">
        <f t="shared" si="110"/>
        <v>0</v>
      </c>
      <c r="CL119" s="16">
        <v>0</v>
      </c>
      <c r="CM119" s="16">
        <v>0</v>
      </c>
      <c r="CN119" s="16">
        <v>0</v>
      </c>
      <c r="CO119" s="16">
        <v>0</v>
      </c>
      <c r="CP119" s="16">
        <v>0</v>
      </c>
      <c r="CQ119" s="16">
        <v>0</v>
      </c>
      <c r="CR119" s="16">
        <v>0</v>
      </c>
      <c r="CS119" s="16">
        <v>0</v>
      </c>
      <c r="CT119" s="16">
        <f t="shared" si="111"/>
        <v>0</v>
      </c>
      <c r="CU119" s="16">
        <f t="shared" si="112"/>
        <v>0</v>
      </c>
      <c r="CV119" s="16">
        <v>0</v>
      </c>
      <c r="CW119" s="17">
        <v>0</v>
      </c>
      <c r="CX119" s="40"/>
      <c r="CY119" s="40"/>
    </row>
    <row r="120" spans="1:103" ht="15.75" x14ac:dyDescent="0.25">
      <c r="A120" s="13" t="s">
        <v>57</v>
      </c>
      <c r="B120" s="14" t="s">
        <v>100</v>
      </c>
      <c r="C120" s="14" t="s">
        <v>1</v>
      </c>
      <c r="D120" s="30" t="s">
        <v>142</v>
      </c>
      <c r="E120" s="15">
        <f t="shared" ref="E120:AJ120" si="190">SUM(E121)</f>
        <v>20229102</v>
      </c>
      <c r="F120" s="16">
        <f t="shared" si="190"/>
        <v>20229102</v>
      </c>
      <c r="G120" s="16">
        <f t="shared" si="190"/>
        <v>0</v>
      </c>
      <c r="H120" s="16">
        <f t="shared" si="190"/>
        <v>0</v>
      </c>
      <c r="I120" s="16">
        <f t="shared" si="190"/>
        <v>0</v>
      </c>
      <c r="J120" s="16">
        <f t="shared" si="190"/>
        <v>0</v>
      </c>
      <c r="K120" s="16">
        <f t="shared" si="190"/>
        <v>0</v>
      </c>
      <c r="L120" s="16">
        <f t="shared" si="190"/>
        <v>0</v>
      </c>
      <c r="M120" s="16">
        <f t="shared" si="190"/>
        <v>0</v>
      </c>
      <c r="N120" s="16">
        <f t="shared" si="190"/>
        <v>0</v>
      </c>
      <c r="O120" s="16">
        <f t="shared" si="190"/>
        <v>0</v>
      </c>
      <c r="P120" s="16">
        <f t="shared" si="190"/>
        <v>0</v>
      </c>
      <c r="Q120" s="16">
        <f t="shared" si="190"/>
        <v>0</v>
      </c>
      <c r="R120" s="16">
        <f t="shared" si="190"/>
        <v>0</v>
      </c>
      <c r="S120" s="16">
        <f t="shared" si="190"/>
        <v>0</v>
      </c>
      <c r="T120" s="16">
        <f t="shared" si="190"/>
        <v>0</v>
      </c>
      <c r="U120" s="16">
        <f t="shared" si="190"/>
        <v>0</v>
      </c>
      <c r="V120" s="16">
        <f t="shared" si="190"/>
        <v>0</v>
      </c>
      <c r="W120" s="16">
        <f t="shared" si="190"/>
        <v>0</v>
      </c>
      <c r="X120" s="16">
        <f t="shared" si="190"/>
        <v>0</v>
      </c>
      <c r="Y120" s="16">
        <f t="shared" si="190"/>
        <v>0</v>
      </c>
      <c r="Z120" s="16">
        <f t="shared" si="190"/>
        <v>0</v>
      </c>
      <c r="AA120" s="16">
        <f t="shared" si="190"/>
        <v>0</v>
      </c>
      <c r="AB120" s="16">
        <f t="shared" si="190"/>
        <v>0</v>
      </c>
      <c r="AC120" s="16">
        <f t="shared" si="190"/>
        <v>0</v>
      </c>
      <c r="AD120" s="16">
        <f t="shared" si="190"/>
        <v>0</v>
      </c>
      <c r="AE120" s="16">
        <f t="shared" si="190"/>
        <v>0</v>
      </c>
      <c r="AF120" s="16">
        <f t="shared" si="190"/>
        <v>0</v>
      </c>
      <c r="AG120" s="16">
        <f t="shared" si="190"/>
        <v>0</v>
      </c>
      <c r="AH120" s="16">
        <f t="shared" si="190"/>
        <v>0</v>
      </c>
      <c r="AI120" s="16">
        <f t="shared" si="190"/>
        <v>0</v>
      </c>
      <c r="AJ120" s="16">
        <f t="shared" si="190"/>
        <v>0</v>
      </c>
      <c r="AK120" s="16">
        <f t="shared" ref="AK120:BR120" si="191">SUM(AK121)</f>
        <v>0</v>
      </c>
      <c r="AL120" s="16">
        <f t="shared" si="191"/>
        <v>0</v>
      </c>
      <c r="AM120" s="16">
        <f t="shared" si="191"/>
        <v>0</v>
      </c>
      <c r="AN120" s="16">
        <f t="shared" si="191"/>
        <v>0</v>
      </c>
      <c r="AO120" s="16">
        <f t="shared" si="191"/>
        <v>0</v>
      </c>
      <c r="AP120" s="16">
        <f t="shared" si="191"/>
        <v>0</v>
      </c>
      <c r="AQ120" s="16">
        <f t="shared" si="191"/>
        <v>0</v>
      </c>
      <c r="AR120" s="16">
        <f t="shared" si="191"/>
        <v>0</v>
      </c>
      <c r="AS120" s="16">
        <f t="shared" si="191"/>
        <v>0</v>
      </c>
      <c r="AT120" s="16">
        <f t="shared" si="191"/>
        <v>0</v>
      </c>
      <c r="AU120" s="16">
        <f t="shared" si="191"/>
        <v>0</v>
      </c>
      <c r="AV120" s="16">
        <f t="shared" si="191"/>
        <v>0</v>
      </c>
      <c r="AW120" s="16">
        <f t="shared" si="191"/>
        <v>0</v>
      </c>
      <c r="AX120" s="16">
        <f t="shared" si="191"/>
        <v>0</v>
      </c>
      <c r="AY120" s="16">
        <f t="shared" si="191"/>
        <v>0</v>
      </c>
      <c r="AZ120" s="16">
        <f t="shared" si="191"/>
        <v>0</v>
      </c>
      <c r="BA120" s="16">
        <f t="shared" si="191"/>
        <v>20229102</v>
      </c>
      <c r="BB120" s="16">
        <f t="shared" si="191"/>
        <v>20229102</v>
      </c>
      <c r="BC120" s="16">
        <f t="shared" si="191"/>
        <v>0</v>
      </c>
      <c r="BD120" s="16">
        <f t="shared" si="191"/>
        <v>0</v>
      </c>
      <c r="BE120" s="16">
        <f t="shared" si="191"/>
        <v>20229102</v>
      </c>
      <c r="BF120" s="16">
        <f t="shared" si="191"/>
        <v>0</v>
      </c>
      <c r="BG120" s="16">
        <f t="shared" si="191"/>
        <v>0</v>
      </c>
      <c r="BH120" s="16">
        <f t="shared" si="191"/>
        <v>0</v>
      </c>
      <c r="BI120" s="16">
        <f t="shared" si="191"/>
        <v>0</v>
      </c>
      <c r="BJ120" s="16">
        <f t="shared" si="191"/>
        <v>0</v>
      </c>
      <c r="BK120" s="16">
        <f t="shared" si="191"/>
        <v>0</v>
      </c>
      <c r="BL120" s="16">
        <f t="shared" si="191"/>
        <v>0</v>
      </c>
      <c r="BM120" s="16">
        <f t="shared" si="191"/>
        <v>0</v>
      </c>
      <c r="BN120" s="16">
        <f t="shared" si="191"/>
        <v>0</v>
      </c>
      <c r="BO120" s="16">
        <f t="shared" si="191"/>
        <v>0</v>
      </c>
      <c r="BP120" s="16">
        <f t="shared" si="191"/>
        <v>0</v>
      </c>
      <c r="BQ120" s="16">
        <f t="shared" si="191"/>
        <v>0</v>
      </c>
      <c r="BR120" s="16">
        <f t="shared" si="191"/>
        <v>0</v>
      </c>
      <c r="BS120" s="16">
        <f t="shared" ref="BS120:CW120" si="192">SUM(BS121)</f>
        <v>0</v>
      </c>
      <c r="BT120" s="16">
        <f t="shared" si="192"/>
        <v>0</v>
      </c>
      <c r="BU120" s="16">
        <f t="shared" si="192"/>
        <v>0</v>
      </c>
      <c r="BV120" s="16">
        <f t="shared" si="192"/>
        <v>0</v>
      </c>
      <c r="BW120" s="16">
        <f t="shared" si="192"/>
        <v>0</v>
      </c>
      <c r="BX120" s="16">
        <f t="shared" si="192"/>
        <v>0</v>
      </c>
      <c r="BY120" s="16">
        <f t="shared" si="192"/>
        <v>0</v>
      </c>
      <c r="BZ120" s="16">
        <f t="shared" si="192"/>
        <v>0</v>
      </c>
      <c r="CA120" s="16">
        <f t="shared" si="192"/>
        <v>0</v>
      </c>
      <c r="CB120" s="16">
        <f t="shared" si="192"/>
        <v>0</v>
      </c>
      <c r="CC120" s="16">
        <f t="shared" si="192"/>
        <v>0</v>
      </c>
      <c r="CD120" s="16">
        <f t="shared" si="192"/>
        <v>0</v>
      </c>
      <c r="CE120" s="16">
        <f t="shared" si="192"/>
        <v>0</v>
      </c>
      <c r="CF120" s="16">
        <f t="shared" si="192"/>
        <v>0</v>
      </c>
      <c r="CG120" s="16">
        <f t="shared" si="192"/>
        <v>0</v>
      </c>
      <c r="CH120" s="16">
        <f t="shared" si="192"/>
        <v>0</v>
      </c>
      <c r="CI120" s="16">
        <f t="shared" si="192"/>
        <v>0</v>
      </c>
      <c r="CJ120" s="16">
        <f t="shared" si="192"/>
        <v>0</v>
      </c>
      <c r="CK120" s="16">
        <f t="shared" si="192"/>
        <v>0</v>
      </c>
      <c r="CL120" s="16">
        <f t="shared" si="192"/>
        <v>0</v>
      </c>
      <c r="CM120" s="16">
        <f t="shared" si="192"/>
        <v>0</v>
      </c>
      <c r="CN120" s="16">
        <f t="shared" si="192"/>
        <v>0</v>
      </c>
      <c r="CO120" s="16">
        <f t="shared" si="192"/>
        <v>0</v>
      </c>
      <c r="CP120" s="16">
        <f t="shared" si="192"/>
        <v>0</v>
      </c>
      <c r="CQ120" s="16">
        <f t="shared" si="192"/>
        <v>0</v>
      </c>
      <c r="CR120" s="16">
        <f t="shared" si="192"/>
        <v>0</v>
      </c>
      <c r="CS120" s="16">
        <f t="shared" si="192"/>
        <v>0</v>
      </c>
      <c r="CT120" s="16">
        <f t="shared" si="192"/>
        <v>0</v>
      </c>
      <c r="CU120" s="16">
        <f t="shared" si="192"/>
        <v>0</v>
      </c>
      <c r="CV120" s="16">
        <f t="shared" si="192"/>
        <v>0</v>
      </c>
      <c r="CW120" s="17">
        <f t="shared" si="192"/>
        <v>0</v>
      </c>
      <c r="CX120" s="40"/>
      <c r="CY120" s="40"/>
    </row>
    <row r="121" spans="1:103" ht="15.75" x14ac:dyDescent="0.25">
      <c r="A121" s="13" t="s">
        <v>1</v>
      </c>
      <c r="B121" s="14" t="s">
        <v>1</v>
      </c>
      <c r="C121" s="14" t="s">
        <v>36</v>
      </c>
      <c r="D121" s="30" t="s">
        <v>143</v>
      </c>
      <c r="E121" s="15">
        <f>SUM(F121+BY121+CT121)</f>
        <v>20229102</v>
      </c>
      <c r="F121" s="16">
        <f>SUM(G121+BA121)</f>
        <v>20229102</v>
      </c>
      <c r="G121" s="16">
        <f>SUM(H121+I121+J121+Q121+T121+U121+V121+AE121)</f>
        <v>0</v>
      </c>
      <c r="H121" s="16">
        <v>0</v>
      </c>
      <c r="I121" s="16">
        <v>0</v>
      </c>
      <c r="J121" s="16">
        <f t="shared" si="103"/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f t="shared" si="104"/>
        <v>0</v>
      </c>
      <c r="R121" s="16">
        <v>0</v>
      </c>
      <c r="S121" s="16">
        <v>0</v>
      </c>
      <c r="T121" s="16">
        <v>0</v>
      </c>
      <c r="U121" s="16">
        <v>0</v>
      </c>
      <c r="V121" s="16">
        <f>SUM(W121:AD121)</f>
        <v>0</v>
      </c>
      <c r="W121" s="16">
        <v>0</v>
      </c>
      <c r="X121" s="16">
        <v>0</v>
      </c>
      <c r="Y121" s="16">
        <v>0</v>
      </c>
      <c r="Z121" s="16">
        <v>0</v>
      </c>
      <c r="AA121" s="16">
        <v>0</v>
      </c>
      <c r="AB121" s="16">
        <v>0</v>
      </c>
      <c r="AC121" s="16">
        <v>0</v>
      </c>
      <c r="AD121" s="16">
        <v>0</v>
      </c>
      <c r="AE121" s="16">
        <f>SUM(AF121:AZ121)</f>
        <v>0</v>
      </c>
      <c r="AF121" s="16">
        <v>0</v>
      </c>
      <c r="AG121" s="16">
        <v>0</v>
      </c>
      <c r="AH121" s="16">
        <v>0</v>
      </c>
      <c r="AI121" s="16">
        <v>0</v>
      </c>
      <c r="AJ121" s="16">
        <v>0</v>
      </c>
      <c r="AK121" s="16">
        <v>0</v>
      </c>
      <c r="AL121" s="16">
        <v>0</v>
      </c>
      <c r="AM121" s="16">
        <v>0</v>
      </c>
      <c r="AN121" s="16">
        <v>0</v>
      </c>
      <c r="AO121" s="16">
        <v>0</v>
      </c>
      <c r="AP121" s="16">
        <v>0</v>
      </c>
      <c r="AQ121" s="16">
        <v>0</v>
      </c>
      <c r="AR121" s="16">
        <v>0</v>
      </c>
      <c r="AS121" s="16">
        <v>0</v>
      </c>
      <c r="AT121" s="16">
        <v>0</v>
      </c>
      <c r="AU121" s="16">
        <v>0</v>
      </c>
      <c r="AV121" s="16">
        <v>0</v>
      </c>
      <c r="AW121" s="16">
        <v>0</v>
      </c>
      <c r="AX121" s="16">
        <v>0</v>
      </c>
      <c r="AY121" s="16">
        <v>0</v>
      </c>
      <c r="AZ121" s="16">
        <v>0</v>
      </c>
      <c r="BA121" s="16">
        <f>SUM(BB121+BF121+BI121+BK121+BM121)</f>
        <v>20229102</v>
      </c>
      <c r="BB121" s="16">
        <f>SUM(BC121:BE121)</f>
        <v>20229102</v>
      </c>
      <c r="BC121" s="16">
        <v>0</v>
      </c>
      <c r="BD121" s="16">
        <v>0</v>
      </c>
      <c r="BE121" s="16">
        <v>20229102</v>
      </c>
      <c r="BF121" s="16">
        <f t="shared" si="105"/>
        <v>0</v>
      </c>
      <c r="BG121" s="16">
        <v>0</v>
      </c>
      <c r="BH121" s="16">
        <v>0</v>
      </c>
      <c r="BI121" s="16">
        <v>0</v>
      </c>
      <c r="BJ121" s="16">
        <v>0</v>
      </c>
      <c r="BK121" s="16">
        <f t="shared" si="106"/>
        <v>0</v>
      </c>
      <c r="BL121" s="16">
        <v>0</v>
      </c>
      <c r="BM121" s="16">
        <f t="shared" si="107"/>
        <v>0</v>
      </c>
      <c r="BN121" s="16">
        <v>0</v>
      </c>
      <c r="BO121" s="16">
        <v>0</v>
      </c>
      <c r="BP121" s="16">
        <v>0</v>
      </c>
      <c r="BQ121" s="16">
        <v>0</v>
      </c>
      <c r="BR121" s="16">
        <v>0</v>
      </c>
      <c r="BS121" s="16">
        <v>0</v>
      </c>
      <c r="BT121" s="16">
        <v>0</v>
      </c>
      <c r="BU121" s="16">
        <v>0</v>
      </c>
      <c r="BV121" s="16">
        <v>0</v>
      </c>
      <c r="BW121" s="16">
        <v>0</v>
      </c>
      <c r="BX121" s="16">
        <v>0</v>
      </c>
      <c r="BY121" s="16">
        <f>SUM(BZ121+CS121)</f>
        <v>0</v>
      </c>
      <c r="BZ121" s="16">
        <f>SUM(CA121+CD121+CK121)</f>
        <v>0</v>
      </c>
      <c r="CA121" s="16">
        <f t="shared" si="108"/>
        <v>0</v>
      </c>
      <c r="CB121" s="16">
        <v>0</v>
      </c>
      <c r="CC121" s="16">
        <v>0</v>
      </c>
      <c r="CD121" s="16">
        <f t="shared" si="109"/>
        <v>0</v>
      </c>
      <c r="CE121" s="16">
        <v>0</v>
      </c>
      <c r="CF121" s="16">
        <v>0</v>
      </c>
      <c r="CG121" s="16">
        <v>0</v>
      </c>
      <c r="CH121" s="16">
        <v>0</v>
      </c>
      <c r="CI121" s="16">
        <v>0</v>
      </c>
      <c r="CJ121" s="16">
        <v>0</v>
      </c>
      <c r="CK121" s="16">
        <f t="shared" si="110"/>
        <v>0</v>
      </c>
      <c r="CL121" s="16">
        <v>0</v>
      </c>
      <c r="CM121" s="16">
        <v>0</v>
      </c>
      <c r="CN121" s="16">
        <v>0</v>
      </c>
      <c r="CO121" s="16">
        <v>0</v>
      </c>
      <c r="CP121" s="16">
        <v>0</v>
      </c>
      <c r="CQ121" s="16">
        <v>0</v>
      </c>
      <c r="CR121" s="16">
        <v>0</v>
      </c>
      <c r="CS121" s="16">
        <v>0</v>
      </c>
      <c r="CT121" s="16">
        <f t="shared" si="111"/>
        <v>0</v>
      </c>
      <c r="CU121" s="16">
        <f t="shared" si="112"/>
        <v>0</v>
      </c>
      <c r="CV121" s="16">
        <v>0</v>
      </c>
      <c r="CW121" s="17">
        <v>0</v>
      </c>
      <c r="CX121" s="40"/>
      <c r="CY121" s="40"/>
    </row>
    <row r="122" spans="1:103" ht="15.75" x14ac:dyDescent="0.25">
      <c r="A122" s="13" t="s">
        <v>57</v>
      </c>
      <c r="B122" s="14" t="s">
        <v>54</v>
      </c>
      <c r="C122" s="14" t="s">
        <v>1</v>
      </c>
      <c r="D122" s="30" t="s">
        <v>144</v>
      </c>
      <c r="E122" s="15">
        <f t="shared" ref="E122:AJ122" si="193">SUM(E123)</f>
        <v>3493944</v>
      </c>
      <c r="F122" s="16">
        <f t="shared" si="193"/>
        <v>3493944</v>
      </c>
      <c r="G122" s="16">
        <f t="shared" si="193"/>
        <v>3493944</v>
      </c>
      <c r="H122" s="16">
        <f t="shared" si="193"/>
        <v>0</v>
      </c>
      <c r="I122" s="16">
        <f t="shared" si="193"/>
        <v>0</v>
      </c>
      <c r="J122" s="16">
        <f t="shared" si="193"/>
        <v>0</v>
      </c>
      <c r="K122" s="16">
        <f t="shared" si="193"/>
        <v>0</v>
      </c>
      <c r="L122" s="16">
        <f t="shared" si="193"/>
        <v>0</v>
      </c>
      <c r="M122" s="16">
        <f t="shared" si="193"/>
        <v>0</v>
      </c>
      <c r="N122" s="16">
        <f t="shared" si="193"/>
        <v>0</v>
      </c>
      <c r="O122" s="16">
        <f t="shared" si="193"/>
        <v>0</v>
      </c>
      <c r="P122" s="16">
        <f t="shared" si="193"/>
        <v>0</v>
      </c>
      <c r="Q122" s="16">
        <f t="shared" si="193"/>
        <v>0</v>
      </c>
      <c r="R122" s="16">
        <f t="shared" si="193"/>
        <v>0</v>
      </c>
      <c r="S122" s="16">
        <f t="shared" si="193"/>
        <v>0</v>
      </c>
      <c r="T122" s="16">
        <f t="shared" si="193"/>
        <v>0</v>
      </c>
      <c r="U122" s="16">
        <f t="shared" si="193"/>
        <v>0</v>
      </c>
      <c r="V122" s="16">
        <f t="shared" si="193"/>
        <v>0</v>
      </c>
      <c r="W122" s="16">
        <f t="shared" si="193"/>
        <v>0</v>
      </c>
      <c r="X122" s="16">
        <f t="shared" si="193"/>
        <v>0</v>
      </c>
      <c r="Y122" s="16">
        <f t="shared" si="193"/>
        <v>0</v>
      </c>
      <c r="Z122" s="16">
        <f t="shared" si="193"/>
        <v>0</v>
      </c>
      <c r="AA122" s="16">
        <f t="shared" si="193"/>
        <v>0</v>
      </c>
      <c r="AB122" s="16">
        <f t="shared" si="193"/>
        <v>0</v>
      </c>
      <c r="AC122" s="16">
        <f t="shared" si="193"/>
        <v>0</v>
      </c>
      <c r="AD122" s="16">
        <f t="shared" si="193"/>
        <v>0</v>
      </c>
      <c r="AE122" s="16">
        <f t="shared" si="193"/>
        <v>3493944</v>
      </c>
      <c r="AF122" s="16">
        <f t="shared" si="193"/>
        <v>0</v>
      </c>
      <c r="AG122" s="16">
        <f t="shared" si="193"/>
        <v>0</v>
      </c>
      <c r="AH122" s="16">
        <f t="shared" si="193"/>
        <v>0</v>
      </c>
      <c r="AI122" s="16">
        <f t="shared" si="193"/>
        <v>0</v>
      </c>
      <c r="AJ122" s="16">
        <f t="shared" si="193"/>
        <v>0</v>
      </c>
      <c r="AK122" s="16">
        <f t="shared" ref="AK122:BR122" si="194">SUM(AK123)</f>
        <v>0</v>
      </c>
      <c r="AL122" s="16">
        <f t="shared" si="194"/>
        <v>0</v>
      </c>
      <c r="AM122" s="16">
        <f t="shared" si="194"/>
        <v>0</v>
      </c>
      <c r="AN122" s="16">
        <f t="shared" si="194"/>
        <v>0</v>
      </c>
      <c r="AO122" s="16">
        <f t="shared" si="194"/>
        <v>0</v>
      </c>
      <c r="AP122" s="16">
        <f t="shared" si="194"/>
        <v>0</v>
      </c>
      <c r="AQ122" s="16">
        <f t="shared" si="194"/>
        <v>0</v>
      </c>
      <c r="AR122" s="16">
        <f t="shared" si="194"/>
        <v>0</v>
      </c>
      <c r="AS122" s="16">
        <f t="shared" si="194"/>
        <v>0</v>
      </c>
      <c r="AT122" s="16">
        <f t="shared" si="194"/>
        <v>0</v>
      </c>
      <c r="AU122" s="16">
        <f t="shared" si="194"/>
        <v>0</v>
      </c>
      <c r="AV122" s="16">
        <f t="shared" si="194"/>
        <v>0</v>
      </c>
      <c r="AW122" s="16">
        <f t="shared" si="194"/>
        <v>0</v>
      </c>
      <c r="AX122" s="16">
        <f t="shared" si="194"/>
        <v>0</v>
      </c>
      <c r="AY122" s="16">
        <f t="shared" si="194"/>
        <v>0</v>
      </c>
      <c r="AZ122" s="16">
        <f t="shared" si="194"/>
        <v>3493944</v>
      </c>
      <c r="BA122" s="16">
        <f t="shared" si="194"/>
        <v>0</v>
      </c>
      <c r="BB122" s="16">
        <f t="shared" si="194"/>
        <v>0</v>
      </c>
      <c r="BC122" s="16">
        <f t="shared" si="194"/>
        <v>0</v>
      </c>
      <c r="BD122" s="16">
        <f t="shared" si="194"/>
        <v>0</v>
      </c>
      <c r="BE122" s="16">
        <f t="shared" si="194"/>
        <v>0</v>
      </c>
      <c r="BF122" s="16">
        <f t="shared" si="194"/>
        <v>0</v>
      </c>
      <c r="BG122" s="16">
        <f t="shared" si="194"/>
        <v>0</v>
      </c>
      <c r="BH122" s="16">
        <f t="shared" si="194"/>
        <v>0</v>
      </c>
      <c r="BI122" s="16">
        <f t="shared" si="194"/>
        <v>0</v>
      </c>
      <c r="BJ122" s="16">
        <f t="shared" si="194"/>
        <v>0</v>
      </c>
      <c r="BK122" s="16">
        <f t="shared" si="194"/>
        <v>0</v>
      </c>
      <c r="BL122" s="16">
        <f t="shared" si="194"/>
        <v>0</v>
      </c>
      <c r="BM122" s="16">
        <f t="shared" si="194"/>
        <v>0</v>
      </c>
      <c r="BN122" s="16">
        <f t="shared" si="194"/>
        <v>0</v>
      </c>
      <c r="BO122" s="16">
        <f t="shared" si="194"/>
        <v>0</v>
      </c>
      <c r="BP122" s="16">
        <f t="shared" si="194"/>
        <v>0</v>
      </c>
      <c r="BQ122" s="16">
        <f t="shared" si="194"/>
        <v>0</v>
      </c>
      <c r="BR122" s="16">
        <f t="shared" si="194"/>
        <v>0</v>
      </c>
      <c r="BS122" s="16">
        <f t="shared" ref="BS122:CW122" si="195">SUM(BS123)</f>
        <v>0</v>
      </c>
      <c r="BT122" s="16">
        <f t="shared" si="195"/>
        <v>0</v>
      </c>
      <c r="BU122" s="16">
        <f t="shared" si="195"/>
        <v>0</v>
      </c>
      <c r="BV122" s="16">
        <f t="shared" si="195"/>
        <v>0</v>
      </c>
      <c r="BW122" s="16">
        <f t="shared" si="195"/>
        <v>0</v>
      </c>
      <c r="BX122" s="16">
        <f t="shared" si="195"/>
        <v>0</v>
      </c>
      <c r="BY122" s="16">
        <f t="shared" si="195"/>
        <v>0</v>
      </c>
      <c r="BZ122" s="16">
        <f t="shared" si="195"/>
        <v>0</v>
      </c>
      <c r="CA122" s="16">
        <f t="shared" si="195"/>
        <v>0</v>
      </c>
      <c r="CB122" s="16">
        <f t="shared" si="195"/>
        <v>0</v>
      </c>
      <c r="CC122" s="16">
        <f t="shared" si="195"/>
        <v>0</v>
      </c>
      <c r="CD122" s="16">
        <f t="shared" si="195"/>
        <v>0</v>
      </c>
      <c r="CE122" s="16">
        <f t="shared" si="195"/>
        <v>0</v>
      </c>
      <c r="CF122" s="16">
        <f t="shared" si="195"/>
        <v>0</v>
      </c>
      <c r="CG122" s="16">
        <f t="shared" si="195"/>
        <v>0</v>
      </c>
      <c r="CH122" s="16">
        <f t="shared" si="195"/>
        <v>0</v>
      </c>
      <c r="CI122" s="16">
        <f t="shared" si="195"/>
        <v>0</v>
      </c>
      <c r="CJ122" s="16">
        <f t="shared" si="195"/>
        <v>0</v>
      </c>
      <c r="CK122" s="16">
        <f t="shared" si="195"/>
        <v>0</v>
      </c>
      <c r="CL122" s="16">
        <f t="shared" si="195"/>
        <v>0</v>
      </c>
      <c r="CM122" s="16">
        <f t="shared" si="195"/>
        <v>0</v>
      </c>
      <c r="CN122" s="16">
        <f t="shared" si="195"/>
        <v>0</v>
      </c>
      <c r="CO122" s="16">
        <f t="shared" si="195"/>
        <v>0</v>
      </c>
      <c r="CP122" s="16">
        <f t="shared" si="195"/>
        <v>0</v>
      </c>
      <c r="CQ122" s="16">
        <f t="shared" si="195"/>
        <v>0</v>
      </c>
      <c r="CR122" s="16">
        <f t="shared" si="195"/>
        <v>0</v>
      </c>
      <c r="CS122" s="16">
        <f t="shared" si="195"/>
        <v>0</v>
      </c>
      <c r="CT122" s="16">
        <f t="shared" si="195"/>
        <v>0</v>
      </c>
      <c r="CU122" s="16">
        <f t="shared" si="195"/>
        <v>0</v>
      </c>
      <c r="CV122" s="16">
        <f t="shared" si="195"/>
        <v>0</v>
      </c>
      <c r="CW122" s="17">
        <f t="shared" si="195"/>
        <v>0</v>
      </c>
      <c r="CX122" s="40"/>
      <c r="CY122" s="40"/>
    </row>
    <row r="123" spans="1:103" ht="15.75" x14ac:dyDescent="0.25">
      <c r="A123" s="13" t="s">
        <v>1</v>
      </c>
      <c r="B123" s="14" t="s">
        <v>1</v>
      </c>
      <c r="C123" s="14" t="s">
        <v>36</v>
      </c>
      <c r="D123" s="30" t="s">
        <v>145</v>
      </c>
      <c r="E123" s="15">
        <f>SUM(F123+BY123+CT123)</f>
        <v>3493944</v>
      </c>
      <c r="F123" s="16">
        <f>SUM(G123+BA123)</f>
        <v>3493944</v>
      </c>
      <c r="G123" s="16">
        <f>SUM(H123+I123+J123+Q123+T123+U123+V123+AE123)</f>
        <v>3493944</v>
      </c>
      <c r="H123" s="16">
        <v>0</v>
      </c>
      <c r="I123" s="16">
        <v>0</v>
      </c>
      <c r="J123" s="16">
        <f t="shared" si="103"/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6">
        <v>0</v>
      </c>
      <c r="Q123" s="16">
        <f t="shared" si="104"/>
        <v>0</v>
      </c>
      <c r="R123" s="16">
        <v>0</v>
      </c>
      <c r="S123" s="16">
        <v>0</v>
      </c>
      <c r="T123" s="16">
        <v>0</v>
      </c>
      <c r="U123" s="16">
        <v>0</v>
      </c>
      <c r="V123" s="16">
        <f>SUM(W123:AD123)</f>
        <v>0</v>
      </c>
      <c r="W123" s="16">
        <v>0</v>
      </c>
      <c r="X123" s="16">
        <v>0</v>
      </c>
      <c r="Y123" s="16">
        <v>0</v>
      </c>
      <c r="Z123" s="16">
        <v>0</v>
      </c>
      <c r="AA123" s="16">
        <v>0</v>
      </c>
      <c r="AB123" s="16">
        <v>0</v>
      </c>
      <c r="AC123" s="16">
        <v>0</v>
      </c>
      <c r="AD123" s="16">
        <v>0</v>
      </c>
      <c r="AE123" s="16">
        <f>SUM(AF123:AZ123)</f>
        <v>3493944</v>
      </c>
      <c r="AF123" s="16">
        <v>0</v>
      </c>
      <c r="AG123" s="16">
        <v>0</v>
      </c>
      <c r="AH123" s="16">
        <v>0</v>
      </c>
      <c r="AI123" s="16">
        <v>0</v>
      </c>
      <c r="AJ123" s="16">
        <v>0</v>
      </c>
      <c r="AK123" s="16">
        <v>0</v>
      </c>
      <c r="AL123" s="16">
        <v>0</v>
      </c>
      <c r="AM123" s="16">
        <v>0</v>
      </c>
      <c r="AN123" s="16">
        <v>0</v>
      </c>
      <c r="AO123" s="16">
        <v>0</v>
      </c>
      <c r="AP123" s="16">
        <v>0</v>
      </c>
      <c r="AQ123" s="16">
        <v>0</v>
      </c>
      <c r="AR123" s="16">
        <v>0</v>
      </c>
      <c r="AS123" s="16">
        <v>0</v>
      </c>
      <c r="AT123" s="16">
        <v>0</v>
      </c>
      <c r="AU123" s="16">
        <v>0</v>
      </c>
      <c r="AV123" s="16">
        <v>0</v>
      </c>
      <c r="AW123" s="16">
        <v>0</v>
      </c>
      <c r="AX123" s="16">
        <v>0</v>
      </c>
      <c r="AY123" s="16">
        <v>0</v>
      </c>
      <c r="AZ123" s="16">
        <f>2948800+545144</f>
        <v>3493944</v>
      </c>
      <c r="BA123" s="16">
        <f>SUM(BB123+BF123+BI123+BK123+BM123)</f>
        <v>0</v>
      </c>
      <c r="BB123" s="16">
        <f>SUM(BC123:BE123)</f>
        <v>0</v>
      </c>
      <c r="BC123" s="16">
        <v>0</v>
      </c>
      <c r="BD123" s="16">
        <v>0</v>
      </c>
      <c r="BE123" s="16">
        <v>0</v>
      </c>
      <c r="BF123" s="16">
        <f t="shared" si="105"/>
        <v>0</v>
      </c>
      <c r="BG123" s="16">
        <v>0</v>
      </c>
      <c r="BH123" s="16">
        <v>0</v>
      </c>
      <c r="BI123" s="16">
        <v>0</v>
      </c>
      <c r="BJ123" s="16">
        <v>0</v>
      </c>
      <c r="BK123" s="16">
        <f t="shared" si="106"/>
        <v>0</v>
      </c>
      <c r="BL123" s="16">
        <v>0</v>
      </c>
      <c r="BM123" s="16">
        <f t="shared" si="107"/>
        <v>0</v>
      </c>
      <c r="BN123" s="16">
        <v>0</v>
      </c>
      <c r="BO123" s="16">
        <v>0</v>
      </c>
      <c r="BP123" s="16">
        <v>0</v>
      </c>
      <c r="BQ123" s="16">
        <v>0</v>
      </c>
      <c r="BR123" s="16">
        <v>0</v>
      </c>
      <c r="BS123" s="16">
        <v>0</v>
      </c>
      <c r="BT123" s="16">
        <v>0</v>
      </c>
      <c r="BU123" s="16">
        <v>0</v>
      </c>
      <c r="BV123" s="16">
        <v>0</v>
      </c>
      <c r="BW123" s="16">
        <v>0</v>
      </c>
      <c r="BX123" s="16">
        <v>0</v>
      </c>
      <c r="BY123" s="16">
        <f>SUM(BZ123+CS123)</f>
        <v>0</v>
      </c>
      <c r="BZ123" s="16">
        <f>SUM(CA123+CD123+CK123)</f>
        <v>0</v>
      </c>
      <c r="CA123" s="16">
        <f t="shared" si="108"/>
        <v>0</v>
      </c>
      <c r="CB123" s="16">
        <v>0</v>
      </c>
      <c r="CC123" s="16">
        <v>0</v>
      </c>
      <c r="CD123" s="16">
        <f t="shared" si="109"/>
        <v>0</v>
      </c>
      <c r="CE123" s="16">
        <v>0</v>
      </c>
      <c r="CF123" s="16">
        <v>0</v>
      </c>
      <c r="CG123" s="16">
        <v>0</v>
      </c>
      <c r="CH123" s="16">
        <v>0</v>
      </c>
      <c r="CI123" s="16">
        <v>0</v>
      </c>
      <c r="CJ123" s="16">
        <v>0</v>
      </c>
      <c r="CK123" s="16">
        <f t="shared" si="110"/>
        <v>0</v>
      </c>
      <c r="CL123" s="16">
        <v>0</v>
      </c>
      <c r="CM123" s="16">
        <v>0</v>
      </c>
      <c r="CN123" s="16">
        <v>0</v>
      </c>
      <c r="CO123" s="16">
        <v>0</v>
      </c>
      <c r="CP123" s="16">
        <v>0</v>
      </c>
      <c r="CQ123" s="16">
        <v>0</v>
      </c>
      <c r="CR123" s="16">
        <v>0</v>
      </c>
      <c r="CS123" s="16">
        <v>0</v>
      </c>
      <c r="CT123" s="16">
        <f t="shared" si="111"/>
        <v>0</v>
      </c>
      <c r="CU123" s="16">
        <f t="shared" si="112"/>
        <v>0</v>
      </c>
      <c r="CV123" s="16">
        <v>0</v>
      </c>
      <c r="CW123" s="17">
        <v>0</v>
      </c>
      <c r="CX123" s="40"/>
      <c r="CY123" s="40"/>
    </row>
    <row r="124" spans="1:103" ht="31.5" x14ac:dyDescent="0.25">
      <c r="A124" s="13" t="s">
        <v>57</v>
      </c>
      <c r="B124" s="14" t="s">
        <v>57</v>
      </c>
      <c r="C124" s="14" t="s">
        <v>1</v>
      </c>
      <c r="D124" s="30" t="s">
        <v>146</v>
      </c>
      <c r="E124" s="15">
        <f t="shared" ref="E124:AJ124" si="196">SUM(E125)</f>
        <v>1455276</v>
      </c>
      <c r="F124" s="16">
        <f t="shared" si="196"/>
        <v>1455276</v>
      </c>
      <c r="G124" s="16">
        <f t="shared" si="196"/>
        <v>1455276</v>
      </c>
      <c r="H124" s="16">
        <f t="shared" si="196"/>
        <v>0</v>
      </c>
      <c r="I124" s="16">
        <f t="shared" si="196"/>
        <v>0</v>
      </c>
      <c r="J124" s="16">
        <f t="shared" si="196"/>
        <v>0</v>
      </c>
      <c r="K124" s="16">
        <f t="shared" si="196"/>
        <v>0</v>
      </c>
      <c r="L124" s="16">
        <f t="shared" si="196"/>
        <v>0</v>
      </c>
      <c r="M124" s="16">
        <f t="shared" si="196"/>
        <v>0</v>
      </c>
      <c r="N124" s="16">
        <f t="shared" si="196"/>
        <v>0</v>
      </c>
      <c r="O124" s="16">
        <f t="shared" si="196"/>
        <v>0</v>
      </c>
      <c r="P124" s="16">
        <f t="shared" si="196"/>
        <v>0</v>
      </c>
      <c r="Q124" s="16">
        <f t="shared" si="196"/>
        <v>0</v>
      </c>
      <c r="R124" s="16">
        <f t="shared" si="196"/>
        <v>0</v>
      </c>
      <c r="S124" s="16">
        <f t="shared" si="196"/>
        <v>0</v>
      </c>
      <c r="T124" s="16">
        <f t="shared" si="196"/>
        <v>0</v>
      </c>
      <c r="U124" s="16">
        <f t="shared" si="196"/>
        <v>0</v>
      </c>
      <c r="V124" s="16">
        <f t="shared" si="196"/>
        <v>0</v>
      </c>
      <c r="W124" s="16">
        <f t="shared" si="196"/>
        <v>0</v>
      </c>
      <c r="X124" s="16">
        <f t="shared" si="196"/>
        <v>0</v>
      </c>
      <c r="Y124" s="16">
        <f t="shared" si="196"/>
        <v>0</v>
      </c>
      <c r="Z124" s="16">
        <f t="shared" si="196"/>
        <v>0</v>
      </c>
      <c r="AA124" s="16">
        <f t="shared" si="196"/>
        <v>0</v>
      </c>
      <c r="AB124" s="16">
        <f t="shared" si="196"/>
        <v>0</v>
      </c>
      <c r="AC124" s="16">
        <f t="shared" si="196"/>
        <v>0</v>
      </c>
      <c r="AD124" s="16">
        <f t="shared" si="196"/>
        <v>0</v>
      </c>
      <c r="AE124" s="16">
        <f t="shared" si="196"/>
        <v>1455276</v>
      </c>
      <c r="AF124" s="16">
        <f t="shared" si="196"/>
        <v>0</v>
      </c>
      <c r="AG124" s="16">
        <f t="shared" si="196"/>
        <v>0</v>
      </c>
      <c r="AH124" s="16">
        <f t="shared" si="196"/>
        <v>0</v>
      </c>
      <c r="AI124" s="16">
        <f t="shared" si="196"/>
        <v>0</v>
      </c>
      <c r="AJ124" s="16">
        <f t="shared" si="196"/>
        <v>0</v>
      </c>
      <c r="AK124" s="16">
        <f t="shared" ref="AK124:BR124" si="197">SUM(AK125)</f>
        <v>0</v>
      </c>
      <c r="AL124" s="16">
        <f t="shared" si="197"/>
        <v>0</v>
      </c>
      <c r="AM124" s="16">
        <f t="shared" si="197"/>
        <v>0</v>
      </c>
      <c r="AN124" s="16">
        <f t="shared" si="197"/>
        <v>0</v>
      </c>
      <c r="AO124" s="16">
        <f t="shared" si="197"/>
        <v>0</v>
      </c>
      <c r="AP124" s="16">
        <f t="shared" si="197"/>
        <v>0</v>
      </c>
      <c r="AQ124" s="16">
        <f t="shared" si="197"/>
        <v>0</v>
      </c>
      <c r="AR124" s="16">
        <f t="shared" si="197"/>
        <v>0</v>
      </c>
      <c r="AS124" s="16">
        <f t="shared" si="197"/>
        <v>0</v>
      </c>
      <c r="AT124" s="16">
        <f t="shared" si="197"/>
        <v>0</v>
      </c>
      <c r="AU124" s="16">
        <f t="shared" si="197"/>
        <v>0</v>
      </c>
      <c r="AV124" s="16">
        <f t="shared" si="197"/>
        <v>0</v>
      </c>
      <c r="AW124" s="16">
        <f t="shared" si="197"/>
        <v>0</v>
      </c>
      <c r="AX124" s="16">
        <f t="shared" si="197"/>
        <v>0</v>
      </c>
      <c r="AY124" s="16">
        <f t="shared" si="197"/>
        <v>0</v>
      </c>
      <c r="AZ124" s="16">
        <f t="shared" si="197"/>
        <v>1455276</v>
      </c>
      <c r="BA124" s="16">
        <f t="shared" si="197"/>
        <v>0</v>
      </c>
      <c r="BB124" s="16">
        <f t="shared" si="197"/>
        <v>0</v>
      </c>
      <c r="BC124" s="16">
        <f t="shared" si="197"/>
        <v>0</v>
      </c>
      <c r="BD124" s="16">
        <f t="shared" si="197"/>
        <v>0</v>
      </c>
      <c r="BE124" s="16">
        <f t="shared" si="197"/>
        <v>0</v>
      </c>
      <c r="BF124" s="16">
        <f t="shared" si="197"/>
        <v>0</v>
      </c>
      <c r="BG124" s="16">
        <f t="shared" si="197"/>
        <v>0</v>
      </c>
      <c r="BH124" s="16">
        <f t="shared" si="197"/>
        <v>0</v>
      </c>
      <c r="BI124" s="16">
        <f t="shared" si="197"/>
        <v>0</v>
      </c>
      <c r="BJ124" s="16">
        <f t="shared" si="197"/>
        <v>0</v>
      </c>
      <c r="BK124" s="16">
        <f t="shared" si="197"/>
        <v>0</v>
      </c>
      <c r="BL124" s="16">
        <f t="shared" si="197"/>
        <v>0</v>
      </c>
      <c r="BM124" s="16">
        <f t="shared" si="197"/>
        <v>0</v>
      </c>
      <c r="BN124" s="16">
        <f t="shared" si="197"/>
        <v>0</v>
      </c>
      <c r="BO124" s="16">
        <f t="shared" si="197"/>
        <v>0</v>
      </c>
      <c r="BP124" s="16">
        <f t="shared" si="197"/>
        <v>0</v>
      </c>
      <c r="BQ124" s="16">
        <f t="shared" si="197"/>
        <v>0</v>
      </c>
      <c r="BR124" s="16">
        <f t="shared" si="197"/>
        <v>0</v>
      </c>
      <c r="BS124" s="16">
        <f t="shared" ref="BS124:CW124" si="198">SUM(BS125)</f>
        <v>0</v>
      </c>
      <c r="BT124" s="16">
        <f t="shared" si="198"/>
        <v>0</v>
      </c>
      <c r="BU124" s="16">
        <f t="shared" si="198"/>
        <v>0</v>
      </c>
      <c r="BV124" s="16">
        <f t="shared" si="198"/>
        <v>0</v>
      </c>
      <c r="BW124" s="16">
        <f t="shared" si="198"/>
        <v>0</v>
      </c>
      <c r="BX124" s="16">
        <f t="shared" si="198"/>
        <v>0</v>
      </c>
      <c r="BY124" s="16">
        <f t="shared" si="198"/>
        <v>0</v>
      </c>
      <c r="BZ124" s="16">
        <f t="shared" si="198"/>
        <v>0</v>
      </c>
      <c r="CA124" s="16">
        <f t="shared" si="198"/>
        <v>0</v>
      </c>
      <c r="CB124" s="16">
        <f t="shared" si="198"/>
        <v>0</v>
      </c>
      <c r="CC124" s="16">
        <f t="shared" si="198"/>
        <v>0</v>
      </c>
      <c r="CD124" s="16">
        <f t="shared" si="198"/>
        <v>0</v>
      </c>
      <c r="CE124" s="16">
        <f t="shared" si="198"/>
        <v>0</v>
      </c>
      <c r="CF124" s="16">
        <f t="shared" si="198"/>
        <v>0</v>
      </c>
      <c r="CG124" s="16">
        <f t="shared" si="198"/>
        <v>0</v>
      </c>
      <c r="CH124" s="16">
        <f t="shared" si="198"/>
        <v>0</v>
      </c>
      <c r="CI124" s="16">
        <f t="shared" si="198"/>
        <v>0</v>
      </c>
      <c r="CJ124" s="16">
        <f t="shared" si="198"/>
        <v>0</v>
      </c>
      <c r="CK124" s="16">
        <f t="shared" si="198"/>
        <v>0</v>
      </c>
      <c r="CL124" s="16">
        <f t="shared" si="198"/>
        <v>0</v>
      </c>
      <c r="CM124" s="16">
        <f t="shared" si="198"/>
        <v>0</v>
      </c>
      <c r="CN124" s="16">
        <f t="shared" si="198"/>
        <v>0</v>
      </c>
      <c r="CO124" s="16">
        <f t="shared" si="198"/>
        <v>0</v>
      </c>
      <c r="CP124" s="16">
        <f t="shared" si="198"/>
        <v>0</v>
      </c>
      <c r="CQ124" s="16">
        <f t="shared" si="198"/>
        <v>0</v>
      </c>
      <c r="CR124" s="16">
        <f t="shared" si="198"/>
        <v>0</v>
      </c>
      <c r="CS124" s="16">
        <f t="shared" si="198"/>
        <v>0</v>
      </c>
      <c r="CT124" s="16">
        <f t="shared" si="198"/>
        <v>0</v>
      </c>
      <c r="CU124" s="16">
        <f t="shared" si="198"/>
        <v>0</v>
      </c>
      <c r="CV124" s="16">
        <f t="shared" si="198"/>
        <v>0</v>
      </c>
      <c r="CW124" s="17">
        <f t="shared" si="198"/>
        <v>0</v>
      </c>
      <c r="CX124" s="40"/>
      <c r="CY124" s="40"/>
    </row>
    <row r="125" spans="1:103" ht="15.75" x14ac:dyDescent="0.25">
      <c r="A125" s="13" t="s">
        <v>1</v>
      </c>
      <c r="B125" s="14" t="s">
        <v>1</v>
      </c>
      <c r="C125" s="14" t="s">
        <v>36</v>
      </c>
      <c r="D125" s="30" t="s">
        <v>147</v>
      </c>
      <c r="E125" s="15">
        <f>SUM(F125+BY125+CT125)</f>
        <v>1455276</v>
      </c>
      <c r="F125" s="16">
        <f>SUM(G125+BA125)</f>
        <v>1455276</v>
      </c>
      <c r="G125" s="16">
        <f>SUM(H125+I125+J125+Q125+T125+U125+V125+AE125)</f>
        <v>1455276</v>
      </c>
      <c r="H125" s="16">
        <v>0</v>
      </c>
      <c r="I125" s="16">
        <v>0</v>
      </c>
      <c r="J125" s="16">
        <f t="shared" si="103"/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  <c r="Q125" s="16">
        <f t="shared" si="104"/>
        <v>0</v>
      </c>
      <c r="R125" s="16">
        <v>0</v>
      </c>
      <c r="S125" s="16">
        <v>0</v>
      </c>
      <c r="T125" s="16">
        <v>0</v>
      </c>
      <c r="U125" s="16">
        <v>0</v>
      </c>
      <c r="V125" s="16">
        <f>SUM(W125:AD125)</f>
        <v>0</v>
      </c>
      <c r="W125" s="16">
        <v>0</v>
      </c>
      <c r="X125" s="16">
        <v>0</v>
      </c>
      <c r="Y125" s="16">
        <v>0</v>
      </c>
      <c r="Z125" s="16">
        <v>0</v>
      </c>
      <c r="AA125" s="16">
        <v>0</v>
      </c>
      <c r="AB125" s="16">
        <v>0</v>
      </c>
      <c r="AC125" s="16">
        <v>0</v>
      </c>
      <c r="AD125" s="16">
        <v>0</v>
      </c>
      <c r="AE125" s="16">
        <f>SUM(AF125:AZ125)</f>
        <v>1455276</v>
      </c>
      <c r="AF125" s="16">
        <v>0</v>
      </c>
      <c r="AG125" s="16">
        <v>0</v>
      </c>
      <c r="AH125" s="16">
        <v>0</v>
      </c>
      <c r="AI125" s="16">
        <v>0</v>
      </c>
      <c r="AJ125" s="16">
        <v>0</v>
      </c>
      <c r="AK125" s="16">
        <v>0</v>
      </c>
      <c r="AL125" s="16">
        <v>0</v>
      </c>
      <c r="AM125" s="16">
        <v>0</v>
      </c>
      <c r="AN125" s="16">
        <v>0</v>
      </c>
      <c r="AO125" s="16">
        <v>0</v>
      </c>
      <c r="AP125" s="16">
        <v>0</v>
      </c>
      <c r="AQ125" s="16">
        <v>0</v>
      </c>
      <c r="AR125" s="16">
        <v>0</v>
      </c>
      <c r="AS125" s="16">
        <v>0</v>
      </c>
      <c r="AT125" s="16">
        <v>0</v>
      </c>
      <c r="AU125" s="16">
        <v>0</v>
      </c>
      <c r="AV125" s="16">
        <v>0</v>
      </c>
      <c r="AW125" s="16">
        <v>0</v>
      </c>
      <c r="AX125" s="16">
        <v>0</v>
      </c>
      <c r="AY125" s="16">
        <v>0</v>
      </c>
      <c r="AZ125" s="16">
        <v>1455276</v>
      </c>
      <c r="BA125" s="16">
        <f>SUM(BB125+BF125+BI125+BK125+BM125)</f>
        <v>0</v>
      </c>
      <c r="BB125" s="16">
        <f>SUM(BC125:BE125)</f>
        <v>0</v>
      </c>
      <c r="BC125" s="16">
        <v>0</v>
      </c>
      <c r="BD125" s="16">
        <v>0</v>
      </c>
      <c r="BE125" s="16">
        <v>0</v>
      </c>
      <c r="BF125" s="16">
        <f t="shared" si="105"/>
        <v>0</v>
      </c>
      <c r="BG125" s="16">
        <v>0</v>
      </c>
      <c r="BH125" s="16">
        <v>0</v>
      </c>
      <c r="BI125" s="16">
        <v>0</v>
      </c>
      <c r="BJ125" s="16">
        <v>0</v>
      </c>
      <c r="BK125" s="16">
        <f t="shared" si="106"/>
        <v>0</v>
      </c>
      <c r="BL125" s="16">
        <v>0</v>
      </c>
      <c r="BM125" s="16">
        <f t="shared" si="107"/>
        <v>0</v>
      </c>
      <c r="BN125" s="16">
        <v>0</v>
      </c>
      <c r="BO125" s="16">
        <v>0</v>
      </c>
      <c r="BP125" s="16">
        <v>0</v>
      </c>
      <c r="BQ125" s="16">
        <v>0</v>
      </c>
      <c r="BR125" s="16">
        <v>0</v>
      </c>
      <c r="BS125" s="16">
        <v>0</v>
      </c>
      <c r="BT125" s="16">
        <v>0</v>
      </c>
      <c r="BU125" s="16">
        <v>0</v>
      </c>
      <c r="BV125" s="16">
        <v>0</v>
      </c>
      <c r="BW125" s="16">
        <v>0</v>
      </c>
      <c r="BX125" s="16">
        <v>0</v>
      </c>
      <c r="BY125" s="16">
        <f>SUM(BZ125+CS125)</f>
        <v>0</v>
      </c>
      <c r="BZ125" s="16">
        <f>SUM(CA125+CD125+CK125)</f>
        <v>0</v>
      </c>
      <c r="CA125" s="16">
        <f t="shared" si="108"/>
        <v>0</v>
      </c>
      <c r="CB125" s="16">
        <v>0</v>
      </c>
      <c r="CC125" s="16">
        <v>0</v>
      </c>
      <c r="CD125" s="16">
        <f t="shared" si="109"/>
        <v>0</v>
      </c>
      <c r="CE125" s="16">
        <v>0</v>
      </c>
      <c r="CF125" s="16">
        <v>0</v>
      </c>
      <c r="CG125" s="16">
        <v>0</v>
      </c>
      <c r="CH125" s="16">
        <v>0</v>
      </c>
      <c r="CI125" s="16">
        <v>0</v>
      </c>
      <c r="CJ125" s="16">
        <v>0</v>
      </c>
      <c r="CK125" s="16">
        <f t="shared" si="110"/>
        <v>0</v>
      </c>
      <c r="CL125" s="16">
        <v>0</v>
      </c>
      <c r="CM125" s="16">
        <v>0</v>
      </c>
      <c r="CN125" s="16">
        <v>0</v>
      </c>
      <c r="CO125" s="16">
        <v>0</v>
      </c>
      <c r="CP125" s="16">
        <v>0</v>
      </c>
      <c r="CQ125" s="16">
        <v>0</v>
      </c>
      <c r="CR125" s="16">
        <v>0</v>
      </c>
      <c r="CS125" s="16">
        <v>0</v>
      </c>
      <c r="CT125" s="16">
        <f t="shared" si="111"/>
        <v>0</v>
      </c>
      <c r="CU125" s="16">
        <f t="shared" si="112"/>
        <v>0</v>
      </c>
      <c r="CV125" s="16">
        <v>0</v>
      </c>
      <c r="CW125" s="17">
        <v>0</v>
      </c>
      <c r="CX125" s="40"/>
      <c r="CY125" s="40"/>
    </row>
    <row r="126" spans="1:103" ht="15.75" x14ac:dyDescent="0.25">
      <c r="A126" s="18" t="s">
        <v>148</v>
      </c>
      <c r="B126" s="19" t="s">
        <v>1</v>
      </c>
      <c r="C126" s="19" t="s">
        <v>1</v>
      </c>
      <c r="D126" s="31" t="s">
        <v>149</v>
      </c>
      <c r="E126" s="20">
        <f>SUM(E127+E131+E135+E139+E141+E143)</f>
        <v>309858296</v>
      </c>
      <c r="F126" s="21">
        <f t="shared" ref="F126:BS126" si="199">SUM(F127+F131+F135+F139+F141+F143)</f>
        <v>302869769</v>
      </c>
      <c r="G126" s="21">
        <f t="shared" si="199"/>
        <v>259310999</v>
      </c>
      <c r="H126" s="21">
        <f t="shared" si="199"/>
        <v>179752977</v>
      </c>
      <c r="I126" s="21">
        <f t="shared" si="199"/>
        <v>41953862</v>
      </c>
      <c r="J126" s="21">
        <f t="shared" si="199"/>
        <v>22041052</v>
      </c>
      <c r="K126" s="21">
        <f t="shared" si="199"/>
        <v>235445</v>
      </c>
      <c r="L126" s="21">
        <f t="shared" si="199"/>
        <v>2405094</v>
      </c>
      <c r="M126" s="21">
        <f t="shared" si="199"/>
        <v>16080942</v>
      </c>
      <c r="N126" s="21">
        <f t="shared" si="199"/>
        <v>617832</v>
      </c>
      <c r="O126" s="21">
        <f t="shared" si="199"/>
        <v>2171300</v>
      </c>
      <c r="P126" s="21">
        <f t="shared" si="199"/>
        <v>530439</v>
      </c>
      <c r="Q126" s="21">
        <f t="shared" si="199"/>
        <v>142198</v>
      </c>
      <c r="R126" s="21">
        <f t="shared" si="199"/>
        <v>142198</v>
      </c>
      <c r="S126" s="21">
        <f t="shared" si="199"/>
        <v>0</v>
      </c>
      <c r="T126" s="21">
        <f t="shared" si="199"/>
        <v>0</v>
      </c>
      <c r="U126" s="21">
        <f t="shared" si="199"/>
        <v>978026</v>
      </c>
      <c r="V126" s="21">
        <f t="shared" si="199"/>
        <v>5779228</v>
      </c>
      <c r="W126" s="21">
        <f t="shared" si="199"/>
        <v>1314640</v>
      </c>
      <c r="X126" s="21">
        <f t="shared" si="199"/>
        <v>2783473</v>
      </c>
      <c r="Y126" s="21">
        <f t="shared" si="199"/>
        <v>825699</v>
      </c>
      <c r="Z126" s="21">
        <f t="shared" si="199"/>
        <v>444435</v>
      </c>
      <c r="AA126" s="21">
        <f t="shared" si="199"/>
        <v>300488</v>
      </c>
      <c r="AB126" s="21">
        <f t="shared" si="199"/>
        <v>74697</v>
      </c>
      <c r="AC126" s="21">
        <f t="shared" si="199"/>
        <v>0</v>
      </c>
      <c r="AD126" s="21">
        <f t="shared" ref="AD126" si="200">SUM(AD127+AD131+AD135+AD139+AD141+AD143)</f>
        <v>35796</v>
      </c>
      <c r="AE126" s="21">
        <f t="shared" si="199"/>
        <v>8663656</v>
      </c>
      <c r="AF126" s="21">
        <f t="shared" si="199"/>
        <v>0</v>
      </c>
      <c r="AG126" s="21">
        <f t="shared" si="199"/>
        <v>64132</v>
      </c>
      <c r="AH126" s="21">
        <f t="shared" si="199"/>
        <v>1493714</v>
      </c>
      <c r="AI126" s="21">
        <f t="shared" si="199"/>
        <v>1131115</v>
      </c>
      <c r="AJ126" s="21">
        <f t="shared" si="199"/>
        <v>1151124</v>
      </c>
      <c r="AK126" s="21">
        <f t="shared" si="199"/>
        <v>0</v>
      </c>
      <c r="AL126" s="21">
        <f t="shared" si="199"/>
        <v>1887802</v>
      </c>
      <c r="AM126" s="21">
        <f t="shared" si="199"/>
        <v>608892</v>
      </c>
      <c r="AN126" s="21">
        <f t="shared" si="199"/>
        <v>0</v>
      </c>
      <c r="AO126" s="21">
        <f t="shared" si="199"/>
        <v>76110</v>
      </c>
      <c r="AP126" s="21">
        <f>SUM(AP127+AP131+AP135+AP139+AP141+AP143)</f>
        <v>0</v>
      </c>
      <c r="AQ126" s="21">
        <f t="shared" si="199"/>
        <v>0</v>
      </c>
      <c r="AR126" s="21">
        <f t="shared" si="199"/>
        <v>15367</v>
      </c>
      <c r="AS126" s="21">
        <f t="shared" si="199"/>
        <v>123652</v>
      </c>
      <c r="AT126" s="21">
        <f t="shared" si="199"/>
        <v>0</v>
      </c>
      <c r="AU126" s="21">
        <f t="shared" si="199"/>
        <v>0</v>
      </c>
      <c r="AV126" s="21">
        <f t="shared" si="199"/>
        <v>0</v>
      </c>
      <c r="AW126" s="21">
        <f t="shared" si="199"/>
        <v>0</v>
      </c>
      <c r="AX126" s="21">
        <f t="shared" si="199"/>
        <v>0</v>
      </c>
      <c r="AY126" s="21">
        <f t="shared" si="199"/>
        <v>0</v>
      </c>
      <c r="AZ126" s="21">
        <f t="shared" si="199"/>
        <v>2111748</v>
      </c>
      <c r="BA126" s="21">
        <f t="shared" si="199"/>
        <v>43558770</v>
      </c>
      <c r="BB126" s="21">
        <f t="shared" si="199"/>
        <v>0</v>
      </c>
      <c r="BC126" s="21">
        <f t="shared" si="199"/>
        <v>0</v>
      </c>
      <c r="BD126" s="21">
        <f t="shared" si="199"/>
        <v>0</v>
      </c>
      <c r="BE126" s="21">
        <f t="shared" si="199"/>
        <v>0</v>
      </c>
      <c r="BF126" s="21">
        <f t="shared" si="199"/>
        <v>0</v>
      </c>
      <c r="BG126" s="21">
        <f t="shared" si="199"/>
        <v>0</v>
      </c>
      <c r="BH126" s="21">
        <f t="shared" si="199"/>
        <v>0</v>
      </c>
      <c r="BI126" s="21">
        <f t="shared" si="199"/>
        <v>0</v>
      </c>
      <c r="BJ126" s="21">
        <f t="shared" si="199"/>
        <v>0</v>
      </c>
      <c r="BK126" s="21">
        <f t="shared" si="199"/>
        <v>0</v>
      </c>
      <c r="BL126" s="21">
        <f t="shared" si="199"/>
        <v>0</v>
      </c>
      <c r="BM126" s="21">
        <f t="shared" si="199"/>
        <v>43558770</v>
      </c>
      <c r="BN126" s="21">
        <f t="shared" si="199"/>
        <v>0</v>
      </c>
      <c r="BO126" s="21">
        <f t="shared" si="199"/>
        <v>0</v>
      </c>
      <c r="BP126" s="21">
        <f t="shared" si="199"/>
        <v>16019068</v>
      </c>
      <c r="BQ126" s="21">
        <f t="shared" si="199"/>
        <v>0</v>
      </c>
      <c r="BR126" s="21">
        <f t="shared" si="199"/>
        <v>0</v>
      </c>
      <c r="BS126" s="21">
        <f t="shared" si="199"/>
        <v>407888</v>
      </c>
      <c r="BT126" s="21">
        <f t="shared" ref="BT126:CW126" si="201">SUM(BT127+BT131+BT135+BT139+BT141+BT143)</f>
        <v>0</v>
      </c>
      <c r="BU126" s="21">
        <f t="shared" si="201"/>
        <v>0</v>
      </c>
      <c r="BV126" s="21">
        <f t="shared" si="201"/>
        <v>0</v>
      </c>
      <c r="BW126" s="21">
        <f t="shared" si="201"/>
        <v>15883817</v>
      </c>
      <c r="BX126" s="21">
        <f t="shared" si="201"/>
        <v>11247997</v>
      </c>
      <c r="BY126" s="21">
        <f t="shared" si="201"/>
        <v>6988527</v>
      </c>
      <c r="BZ126" s="21">
        <f t="shared" si="201"/>
        <v>6988527</v>
      </c>
      <c r="CA126" s="21">
        <f t="shared" si="201"/>
        <v>6988527</v>
      </c>
      <c r="CB126" s="21">
        <f t="shared" si="201"/>
        <v>0</v>
      </c>
      <c r="CC126" s="21">
        <f t="shared" si="201"/>
        <v>6988527</v>
      </c>
      <c r="CD126" s="21">
        <f t="shared" si="201"/>
        <v>0</v>
      </c>
      <c r="CE126" s="21">
        <f t="shared" si="201"/>
        <v>0</v>
      </c>
      <c r="CF126" s="21">
        <f>SUM(CF127+CF131+CF135+CF139+CF141+CF143)</f>
        <v>0</v>
      </c>
      <c r="CG126" s="21">
        <f t="shared" si="201"/>
        <v>0</v>
      </c>
      <c r="CH126" s="21">
        <f t="shared" si="201"/>
        <v>0</v>
      </c>
      <c r="CI126" s="21">
        <f t="shared" si="201"/>
        <v>0</v>
      </c>
      <c r="CJ126" s="21">
        <f t="shared" ref="CJ126" si="202">SUM(CJ127+CJ131+CJ135+CJ139+CJ141+CJ143)</f>
        <v>0</v>
      </c>
      <c r="CK126" s="21">
        <f t="shared" si="201"/>
        <v>0</v>
      </c>
      <c r="CL126" s="21">
        <f t="shared" si="201"/>
        <v>0</v>
      </c>
      <c r="CM126" s="21">
        <f>SUM(CM127+CM131+CM135+CM139+CM141+CM143)</f>
        <v>0</v>
      </c>
      <c r="CN126" s="21">
        <f t="shared" si="201"/>
        <v>0</v>
      </c>
      <c r="CO126" s="21">
        <f t="shared" si="201"/>
        <v>0</v>
      </c>
      <c r="CP126" s="21">
        <f t="shared" si="201"/>
        <v>0</v>
      </c>
      <c r="CQ126" s="21">
        <f t="shared" si="201"/>
        <v>0</v>
      </c>
      <c r="CR126" s="21">
        <f t="shared" si="201"/>
        <v>0</v>
      </c>
      <c r="CS126" s="21">
        <f t="shared" si="201"/>
        <v>0</v>
      </c>
      <c r="CT126" s="21">
        <f t="shared" si="201"/>
        <v>0</v>
      </c>
      <c r="CU126" s="21">
        <f t="shared" si="201"/>
        <v>0</v>
      </c>
      <c r="CV126" s="21">
        <f t="shared" si="201"/>
        <v>0</v>
      </c>
      <c r="CW126" s="22">
        <f t="shared" si="201"/>
        <v>0</v>
      </c>
      <c r="CX126" s="40"/>
      <c r="CY126" s="40"/>
    </row>
    <row r="127" spans="1:103" ht="15.75" x14ac:dyDescent="0.25">
      <c r="A127" s="13" t="s">
        <v>111</v>
      </c>
      <c r="B127" s="14" t="s">
        <v>15</v>
      </c>
      <c r="C127" s="14" t="s">
        <v>1</v>
      </c>
      <c r="D127" s="30" t="s">
        <v>150</v>
      </c>
      <c r="E127" s="15">
        <f>SUM(E128:E130)</f>
        <v>59715487</v>
      </c>
      <c r="F127" s="16">
        <f t="shared" ref="F127:BS127" si="203">SUM(F128:F130)</f>
        <v>59147227</v>
      </c>
      <c r="G127" s="16">
        <f t="shared" si="203"/>
        <v>50858058</v>
      </c>
      <c r="H127" s="16">
        <f t="shared" si="203"/>
        <v>29601720</v>
      </c>
      <c r="I127" s="16">
        <f t="shared" si="203"/>
        <v>6871989</v>
      </c>
      <c r="J127" s="16">
        <f t="shared" si="203"/>
        <v>11263409</v>
      </c>
      <c r="K127" s="16">
        <f t="shared" si="203"/>
        <v>130229</v>
      </c>
      <c r="L127" s="16">
        <f t="shared" si="203"/>
        <v>2093821</v>
      </c>
      <c r="M127" s="16">
        <f t="shared" si="203"/>
        <v>8163570</v>
      </c>
      <c r="N127" s="16">
        <f t="shared" si="203"/>
        <v>300995</v>
      </c>
      <c r="O127" s="16">
        <f t="shared" si="203"/>
        <v>512456</v>
      </c>
      <c r="P127" s="16">
        <f t="shared" si="203"/>
        <v>62338</v>
      </c>
      <c r="Q127" s="16">
        <f t="shared" si="203"/>
        <v>0</v>
      </c>
      <c r="R127" s="16">
        <f t="shared" si="203"/>
        <v>0</v>
      </c>
      <c r="S127" s="16">
        <f t="shared" si="203"/>
        <v>0</v>
      </c>
      <c r="T127" s="16">
        <f t="shared" si="203"/>
        <v>0</v>
      </c>
      <c r="U127" s="16">
        <f t="shared" si="203"/>
        <v>97120</v>
      </c>
      <c r="V127" s="16">
        <f t="shared" si="203"/>
        <v>1233926</v>
      </c>
      <c r="W127" s="16">
        <f t="shared" si="203"/>
        <v>94554</v>
      </c>
      <c r="X127" s="16">
        <f t="shared" si="203"/>
        <v>582986</v>
      </c>
      <c r="Y127" s="16">
        <f t="shared" si="203"/>
        <v>269548</v>
      </c>
      <c r="Z127" s="16">
        <f t="shared" si="203"/>
        <v>198947</v>
      </c>
      <c r="AA127" s="16">
        <f t="shared" si="203"/>
        <v>54324</v>
      </c>
      <c r="AB127" s="16">
        <f t="shared" si="203"/>
        <v>0</v>
      </c>
      <c r="AC127" s="16">
        <f t="shared" si="203"/>
        <v>0</v>
      </c>
      <c r="AD127" s="16">
        <f t="shared" ref="AD127" si="204">SUM(AD128:AD130)</f>
        <v>33567</v>
      </c>
      <c r="AE127" s="16">
        <f t="shared" si="203"/>
        <v>1789894</v>
      </c>
      <c r="AF127" s="16">
        <f t="shared" si="203"/>
        <v>0</v>
      </c>
      <c r="AG127" s="16">
        <f t="shared" si="203"/>
        <v>730</v>
      </c>
      <c r="AH127" s="16">
        <f t="shared" si="203"/>
        <v>370290</v>
      </c>
      <c r="AI127" s="16">
        <f t="shared" si="203"/>
        <v>126250</v>
      </c>
      <c r="AJ127" s="16">
        <f t="shared" si="203"/>
        <v>874077</v>
      </c>
      <c r="AK127" s="16">
        <f t="shared" si="203"/>
        <v>0</v>
      </c>
      <c r="AL127" s="16">
        <f t="shared" si="203"/>
        <v>324639</v>
      </c>
      <c r="AM127" s="16">
        <f t="shared" si="203"/>
        <v>10061</v>
      </c>
      <c r="AN127" s="16">
        <f t="shared" si="203"/>
        <v>0</v>
      </c>
      <c r="AO127" s="16">
        <f t="shared" si="203"/>
        <v>43868</v>
      </c>
      <c r="AP127" s="16">
        <f>SUM(AP128:AP130)</f>
        <v>0</v>
      </c>
      <c r="AQ127" s="16">
        <f t="shared" si="203"/>
        <v>0</v>
      </c>
      <c r="AR127" s="16">
        <f t="shared" si="203"/>
        <v>0</v>
      </c>
      <c r="AS127" s="16">
        <f t="shared" si="203"/>
        <v>0</v>
      </c>
      <c r="AT127" s="16">
        <f t="shared" si="203"/>
        <v>0</v>
      </c>
      <c r="AU127" s="16">
        <f t="shared" si="203"/>
        <v>0</v>
      </c>
      <c r="AV127" s="16">
        <f t="shared" si="203"/>
        <v>0</v>
      </c>
      <c r="AW127" s="16">
        <f t="shared" si="203"/>
        <v>0</v>
      </c>
      <c r="AX127" s="16">
        <f t="shared" si="203"/>
        <v>0</v>
      </c>
      <c r="AY127" s="16">
        <f t="shared" si="203"/>
        <v>0</v>
      </c>
      <c r="AZ127" s="16">
        <f t="shared" si="203"/>
        <v>39979</v>
      </c>
      <c r="BA127" s="16">
        <f t="shared" si="203"/>
        <v>8289169</v>
      </c>
      <c r="BB127" s="16">
        <f t="shared" si="203"/>
        <v>0</v>
      </c>
      <c r="BC127" s="16">
        <f t="shared" si="203"/>
        <v>0</v>
      </c>
      <c r="BD127" s="16">
        <f t="shared" si="203"/>
        <v>0</v>
      </c>
      <c r="BE127" s="16">
        <f t="shared" si="203"/>
        <v>0</v>
      </c>
      <c r="BF127" s="16">
        <f t="shared" si="203"/>
        <v>0</v>
      </c>
      <c r="BG127" s="16">
        <f t="shared" si="203"/>
        <v>0</v>
      </c>
      <c r="BH127" s="16">
        <f t="shared" si="203"/>
        <v>0</v>
      </c>
      <c r="BI127" s="16">
        <f t="shared" si="203"/>
        <v>0</v>
      </c>
      <c r="BJ127" s="16">
        <f t="shared" si="203"/>
        <v>0</v>
      </c>
      <c r="BK127" s="16">
        <f t="shared" si="203"/>
        <v>0</v>
      </c>
      <c r="BL127" s="16">
        <f t="shared" si="203"/>
        <v>0</v>
      </c>
      <c r="BM127" s="16">
        <f t="shared" si="203"/>
        <v>8289169</v>
      </c>
      <c r="BN127" s="16">
        <f t="shared" si="203"/>
        <v>0</v>
      </c>
      <c r="BO127" s="16">
        <f t="shared" si="203"/>
        <v>0</v>
      </c>
      <c r="BP127" s="16">
        <f t="shared" si="203"/>
        <v>0</v>
      </c>
      <c r="BQ127" s="16">
        <f t="shared" si="203"/>
        <v>0</v>
      </c>
      <c r="BR127" s="16">
        <f t="shared" si="203"/>
        <v>0</v>
      </c>
      <c r="BS127" s="16">
        <f t="shared" si="203"/>
        <v>374363</v>
      </c>
      <c r="BT127" s="16">
        <f t="shared" ref="BT127:CW127" si="205">SUM(BT128:BT130)</f>
        <v>0</v>
      </c>
      <c r="BU127" s="16">
        <f t="shared" si="205"/>
        <v>0</v>
      </c>
      <c r="BV127" s="16">
        <f t="shared" si="205"/>
        <v>0</v>
      </c>
      <c r="BW127" s="16">
        <f t="shared" si="205"/>
        <v>0</v>
      </c>
      <c r="BX127" s="16">
        <f t="shared" si="205"/>
        <v>7914806</v>
      </c>
      <c r="BY127" s="16">
        <f t="shared" si="205"/>
        <v>568260</v>
      </c>
      <c r="BZ127" s="16">
        <f t="shared" si="205"/>
        <v>568260</v>
      </c>
      <c r="CA127" s="16">
        <f t="shared" si="205"/>
        <v>568260</v>
      </c>
      <c r="CB127" s="16">
        <f t="shared" si="205"/>
        <v>0</v>
      </c>
      <c r="CC127" s="16">
        <f t="shared" si="205"/>
        <v>568260</v>
      </c>
      <c r="CD127" s="16">
        <f t="shared" si="205"/>
        <v>0</v>
      </c>
      <c r="CE127" s="16">
        <f t="shared" si="205"/>
        <v>0</v>
      </c>
      <c r="CF127" s="16">
        <f>SUM(CF128:CF130)</f>
        <v>0</v>
      </c>
      <c r="CG127" s="16">
        <f t="shared" si="205"/>
        <v>0</v>
      </c>
      <c r="CH127" s="16">
        <f t="shared" si="205"/>
        <v>0</v>
      </c>
      <c r="CI127" s="16">
        <f t="shared" si="205"/>
        <v>0</v>
      </c>
      <c r="CJ127" s="16">
        <f t="shared" ref="CJ127" si="206">SUM(CJ128:CJ130)</f>
        <v>0</v>
      </c>
      <c r="CK127" s="16">
        <f t="shared" si="205"/>
        <v>0</v>
      </c>
      <c r="CL127" s="16">
        <f t="shared" si="205"/>
        <v>0</v>
      </c>
      <c r="CM127" s="16">
        <f>SUM(CM128:CM130)</f>
        <v>0</v>
      </c>
      <c r="CN127" s="16">
        <f t="shared" si="205"/>
        <v>0</v>
      </c>
      <c r="CO127" s="16">
        <f t="shared" si="205"/>
        <v>0</v>
      </c>
      <c r="CP127" s="16">
        <f t="shared" si="205"/>
        <v>0</v>
      </c>
      <c r="CQ127" s="16">
        <f t="shared" si="205"/>
        <v>0</v>
      </c>
      <c r="CR127" s="16">
        <f t="shared" si="205"/>
        <v>0</v>
      </c>
      <c r="CS127" s="16">
        <f t="shared" si="205"/>
        <v>0</v>
      </c>
      <c r="CT127" s="16">
        <f t="shared" si="205"/>
        <v>0</v>
      </c>
      <c r="CU127" s="16">
        <f t="shared" si="205"/>
        <v>0</v>
      </c>
      <c r="CV127" s="16">
        <f t="shared" si="205"/>
        <v>0</v>
      </c>
      <c r="CW127" s="17">
        <f t="shared" si="205"/>
        <v>0</v>
      </c>
      <c r="CX127" s="40"/>
      <c r="CY127" s="40"/>
    </row>
    <row r="128" spans="1:103" ht="15.75" x14ac:dyDescent="0.25">
      <c r="A128" s="13" t="s">
        <v>1</v>
      </c>
      <c r="B128" s="14" t="s">
        <v>1</v>
      </c>
      <c r="C128" s="14" t="s">
        <v>19</v>
      </c>
      <c r="D128" s="30" t="s">
        <v>151</v>
      </c>
      <c r="E128" s="15">
        <f>SUM(F128+BY128+CT128)</f>
        <v>19117790</v>
      </c>
      <c r="F128" s="16">
        <f>SUM(G128+BA128)</f>
        <v>18989845</v>
      </c>
      <c r="G128" s="16">
        <f>SUM(H128+I128+J128+Q128+T128+U128+V128+AE128)</f>
        <v>14732069</v>
      </c>
      <c r="H128" s="16">
        <v>7559762</v>
      </c>
      <c r="I128" s="16">
        <v>1771936</v>
      </c>
      <c r="J128" s="16">
        <f t="shared" si="103"/>
        <v>4716629</v>
      </c>
      <c r="K128" s="16">
        <v>18876</v>
      </c>
      <c r="L128" s="16">
        <v>695564</v>
      </c>
      <c r="M128" s="16">
        <v>3371956</v>
      </c>
      <c r="N128" s="16">
        <v>300995</v>
      </c>
      <c r="O128" s="16">
        <v>317378</v>
      </c>
      <c r="P128" s="16">
        <v>11860</v>
      </c>
      <c r="Q128" s="16">
        <f t="shared" si="104"/>
        <v>0</v>
      </c>
      <c r="R128" s="16">
        <v>0</v>
      </c>
      <c r="S128" s="16">
        <v>0</v>
      </c>
      <c r="T128" s="16">
        <v>0</v>
      </c>
      <c r="U128" s="16">
        <v>29258</v>
      </c>
      <c r="V128" s="16">
        <f>SUM(W128:AD128)</f>
        <v>406811</v>
      </c>
      <c r="W128" s="16">
        <v>6214</v>
      </c>
      <c r="X128" s="16">
        <v>240826</v>
      </c>
      <c r="Y128" s="16">
        <v>119400</v>
      </c>
      <c r="Z128" s="16">
        <v>11103</v>
      </c>
      <c r="AA128" s="16">
        <v>14160</v>
      </c>
      <c r="AB128" s="16">
        <v>0</v>
      </c>
      <c r="AC128" s="16">
        <v>0</v>
      </c>
      <c r="AD128" s="16">
        <v>15108</v>
      </c>
      <c r="AE128" s="16">
        <f>SUM(AF128:AZ128)</f>
        <v>247673</v>
      </c>
      <c r="AF128" s="16">
        <v>0</v>
      </c>
      <c r="AG128" s="16">
        <v>0</v>
      </c>
      <c r="AH128" s="16">
        <v>141460</v>
      </c>
      <c r="AI128" s="16">
        <v>5776</v>
      </c>
      <c r="AJ128" s="16">
        <v>11856</v>
      </c>
      <c r="AK128" s="16">
        <v>0</v>
      </c>
      <c r="AL128" s="16">
        <v>75598</v>
      </c>
      <c r="AM128" s="16">
        <v>5071</v>
      </c>
      <c r="AN128" s="16">
        <v>0</v>
      </c>
      <c r="AO128" s="16">
        <v>1976</v>
      </c>
      <c r="AP128" s="16"/>
      <c r="AQ128" s="16">
        <v>0</v>
      </c>
      <c r="AR128" s="16">
        <v>0</v>
      </c>
      <c r="AS128" s="16">
        <v>0</v>
      </c>
      <c r="AT128" s="16">
        <v>0</v>
      </c>
      <c r="AU128" s="16">
        <v>0</v>
      </c>
      <c r="AV128" s="16">
        <v>0</v>
      </c>
      <c r="AW128" s="16">
        <v>0</v>
      </c>
      <c r="AX128" s="16">
        <v>0</v>
      </c>
      <c r="AY128" s="16"/>
      <c r="AZ128" s="16">
        <v>5936</v>
      </c>
      <c r="BA128" s="16">
        <f>SUM(BB128+BF128+BI128+BK128+BM128)</f>
        <v>4257776</v>
      </c>
      <c r="BB128" s="16">
        <f>SUM(BC128:BE128)</f>
        <v>0</v>
      </c>
      <c r="BC128" s="16">
        <v>0</v>
      </c>
      <c r="BD128" s="16">
        <v>0</v>
      </c>
      <c r="BE128" s="16">
        <v>0</v>
      </c>
      <c r="BF128" s="16">
        <f t="shared" si="105"/>
        <v>0</v>
      </c>
      <c r="BG128" s="16">
        <v>0</v>
      </c>
      <c r="BH128" s="16">
        <v>0</v>
      </c>
      <c r="BI128" s="16">
        <v>0</v>
      </c>
      <c r="BJ128" s="16">
        <v>0</v>
      </c>
      <c r="BK128" s="16">
        <f t="shared" si="106"/>
        <v>0</v>
      </c>
      <c r="BL128" s="16">
        <v>0</v>
      </c>
      <c r="BM128" s="16">
        <f t="shared" si="107"/>
        <v>4257776</v>
      </c>
      <c r="BN128" s="16">
        <v>0</v>
      </c>
      <c r="BO128" s="16">
        <v>0</v>
      </c>
      <c r="BP128" s="16">
        <v>0</v>
      </c>
      <c r="BQ128" s="16">
        <v>0</v>
      </c>
      <c r="BR128" s="16">
        <v>0</v>
      </c>
      <c r="BS128" s="16">
        <v>206738</v>
      </c>
      <c r="BT128" s="16">
        <v>0</v>
      </c>
      <c r="BU128" s="16">
        <v>0</v>
      </c>
      <c r="BV128" s="16">
        <v>0</v>
      </c>
      <c r="BW128" s="16">
        <v>0</v>
      </c>
      <c r="BX128" s="16">
        <v>4051038</v>
      </c>
      <c r="BY128" s="16">
        <f>SUM(BZ128+CS128)</f>
        <v>127945</v>
      </c>
      <c r="BZ128" s="16">
        <f>SUM(CA128+CD128+CK128)</f>
        <v>127945</v>
      </c>
      <c r="CA128" s="16">
        <f t="shared" si="108"/>
        <v>127945</v>
      </c>
      <c r="CB128" s="16">
        <v>0</v>
      </c>
      <c r="CC128" s="16">
        <v>127945</v>
      </c>
      <c r="CD128" s="16">
        <f t="shared" si="109"/>
        <v>0</v>
      </c>
      <c r="CE128" s="16">
        <v>0</v>
      </c>
      <c r="CF128" s="16">
        <v>0</v>
      </c>
      <c r="CG128" s="16">
        <v>0</v>
      </c>
      <c r="CH128" s="16">
        <v>0</v>
      </c>
      <c r="CI128" s="16">
        <v>0</v>
      </c>
      <c r="CJ128" s="16">
        <v>0</v>
      </c>
      <c r="CK128" s="16">
        <f t="shared" si="110"/>
        <v>0</v>
      </c>
      <c r="CL128" s="16">
        <v>0</v>
      </c>
      <c r="CM128" s="16">
        <v>0</v>
      </c>
      <c r="CN128" s="16">
        <v>0</v>
      </c>
      <c r="CO128" s="16">
        <v>0</v>
      </c>
      <c r="CP128" s="16">
        <v>0</v>
      </c>
      <c r="CQ128" s="16"/>
      <c r="CR128" s="16"/>
      <c r="CS128" s="16">
        <v>0</v>
      </c>
      <c r="CT128" s="16">
        <f t="shared" si="111"/>
        <v>0</v>
      </c>
      <c r="CU128" s="16">
        <f t="shared" si="112"/>
        <v>0</v>
      </c>
      <c r="CV128" s="16">
        <v>0</v>
      </c>
      <c r="CW128" s="17">
        <v>0</v>
      </c>
      <c r="CX128" s="40"/>
      <c r="CY128" s="40"/>
    </row>
    <row r="129" spans="1:103" ht="15.75" x14ac:dyDescent="0.25">
      <c r="A129" s="13" t="s">
        <v>1</v>
      </c>
      <c r="B129" s="14" t="s">
        <v>1</v>
      </c>
      <c r="C129" s="14" t="s">
        <v>19</v>
      </c>
      <c r="D129" s="30" t="s">
        <v>152</v>
      </c>
      <c r="E129" s="15">
        <f>SUM(F129+BY129+CT129)</f>
        <v>32127697</v>
      </c>
      <c r="F129" s="16">
        <f>SUM(G129+BA129)</f>
        <v>31809800</v>
      </c>
      <c r="G129" s="16">
        <f>SUM(H129+I129+J129+Q129+T129+U129+V129+AE129)</f>
        <v>27778407</v>
      </c>
      <c r="H129" s="16">
        <v>16025635</v>
      </c>
      <c r="I129" s="16">
        <v>3704351</v>
      </c>
      <c r="J129" s="16">
        <f t="shared" si="103"/>
        <v>6052716</v>
      </c>
      <c r="K129" s="16">
        <v>97293</v>
      </c>
      <c r="L129" s="16">
        <v>1384307</v>
      </c>
      <c r="M129" s="16">
        <v>4327109</v>
      </c>
      <c r="N129" s="16">
        <v>0</v>
      </c>
      <c r="O129" s="16">
        <v>195078</v>
      </c>
      <c r="P129" s="16">
        <v>48929</v>
      </c>
      <c r="Q129" s="16">
        <f t="shared" si="104"/>
        <v>0</v>
      </c>
      <c r="R129" s="16">
        <v>0</v>
      </c>
      <c r="S129" s="16">
        <v>0</v>
      </c>
      <c r="T129" s="16">
        <v>0</v>
      </c>
      <c r="U129" s="16">
        <v>33884</v>
      </c>
      <c r="V129" s="16">
        <f>SUM(W129:AD129)</f>
        <v>545891</v>
      </c>
      <c r="W129" s="16">
        <v>67769</v>
      </c>
      <c r="X129" s="16">
        <v>186939</v>
      </c>
      <c r="Y129" s="16">
        <v>89764</v>
      </c>
      <c r="Z129" s="16">
        <v>159098</v>
      </c>
      <c r="AA129" s="16">
        <v>23862</v>
      </c>
      <c r="AB129" s="16">
        <v>0</v>
      </c>
      <c r="AC129" s="16">
        <v>0</v>
      </c>
      <c r="AD129" s="16">
        <v>18459</v>
      </c>
      <c r="AE129" s="16">
        <f>SUM(AF129:AZ129)</f>
        <v>1415930</v>
      </c>
      <c r="AF129" s="16">
        <v>0</v>
      </c>
      <c r="AG129" s="16">
        <v>172</v>
      </c>
      <c r="AH129" s="16">
        <v>193351</v>
      </c>
      <c r="AI129" s="16">
        <v>102425</v>
      </c>
      <c r="AJ129" s="16">
        <v>851225</v>
      </c>
      <c r="AK129" s="16">
        <v>0</v>
      </c>
      <c r="AL129" s="16">
        <v>187832</v>
      </c>
      <c r="AM129" s="16">
        <v>4990</v>
      </c>
      <c r="AN129" s="16">
        <v>0</v>
      </c>
      <c r="AO129" s="16">
        <v>41892</v>
      </c>
      <c r="AP129" s="16"/>
      <c r="AQ129" s="16">
        <v>0</v>
      </c>
      <c r="AR129" s="16">
        <v>0</v>
      </c>
      <c r="AS129" s="16">
        <v>0</v>
      </c>
      <c r="AT129" s="16">
        <v>0</v>
      </c>
      <c r="AU129" s="16">
        <v>0</v>
      </c>
      <c r="AV129" s="16">
        <v>0</v>
      </c>
      <c r="AW129" s="16">
        <v>0</v>
      </c>
      <c r="AX129" s="16">
        <v>0</v>
      </c>
      <c r="AY129" s="16"/>
      <c r="AZ129" s="16">
        <v>34043</v>
      </c>
      <c r="BA129" s="16">
        <f>SUM(BB129+BF129+BI129+BK129+BM129)</f>
        <v>4031393</v>
      </c>
      <c r="BB129" s="16">
        <f>SUM(BC129:BE129)</f>
        <v>0</v>
      </c>
      <c r="BC129" s="16">
        <v>0</v>
      </c>
      <c r="BD129" s="16">
        <v>0</v>
      </c>
      <c r="BE129" s="16">
        <v>0</v>
      </c>
      <c r="BF129" s="16">
        <f t="shared" si="105"/>
        <v>0</v>
      </c>
      <c r="BG129" s="16">
        <v>0</v>
      </c>
      <c r="BH129" s="16">
        <v>0</v>
      </c>
      <c r="BI129" s="16">
        <v>0</v>
      </c>
      <c r="BJ129" s="16">
        <v>0</v>
      </c>
      <c r="BK129" s="16">
        <f t="shared" si="106"/>
        <v>0</v>
      </c>
      <c r="BL129" s="16">
        <v>0</v>
      </c>
      <c r="BM129" s="16">
        <f t="shared" si="107"/>
        <v>4031393</v>
      </c>
      <c r="BN129" s="16">
        <v>0</v>
      </c>
      <c r="BO129" s="16">
        <v>0</v>
      </c>
      <c r="BP129" s="16">
        <v>0</v>
      </c>
      <c r="BQ129" s="16">
        <v>0</v>
      </c>
      <c r="BR129" s="16">
        <v>0</v>
      </c>
      <c r="BS129" s="16">
        <v>167625</v>
      </c>
      <c r="BT129" s="16">
        <v>0</v>
      </c>
      <c r="BU129" s="16">
        <v>0</v>
      </c>
      <c r="BV129" s="16">
        <v>0</v>
      </c>
      <c r="BW129" s="16">
        <v>0</v>
      </c>
      <c r="BX129" s="16">
        <v>3863768</v>
      </c>
      <c r="BY129" s="16">
        <f>SUM(BZ129+CS129)</f>
        <v>317897</v>
      </c>
      <c r="BZ129" s="16">
        <f>SUM(CA129+CD129+CK129)</f>
        <v>317897</v>
      </c>
      <c r="CA129" s="16">
        <f t="shared" si="108"/>
        <v>317897</v>
      </c>
      <c r="CB129" s="16">
        <v>0</v>
      </c>
      <c r="CC129" s="16">
        <v>317897</v>
      </c>
      <c r="CD129" s="16">
        <f t="shared" si="109"/>
        <v>0</v>
      </c>
      <c r="CE129" s="16">
        <v>0</v>
      </c>
      <c r="CF129" s="16">
        <v>0</v>
      </c>
      <c r="CG129" s="16">
        <v>0</v>
      </c>
      <c r="CH129" s="16">
        <v>0</v>
      </c>
      <c r="CI129" s="16">
        <v>0</v>
      </c>
      <c r="CJ129" s="16">
        <v>0</v>
      </c>
      <c r="CK129" s="16">
        <f t="shared" si="110"/>
        <v>0</v>
      </c>
      <c r="CL129" s="16">
        <v>0</v>
      </c>
      <c r="CM129" s="16">
        <v>0</v>
      </c>
      <c r="CN129" s="16">
        <v>0</v>
      </c>
      <c r="CO129" s="16">
        <v>0</v>
      </c>
      <c r="CP129" s="16">
        <v>0</v>
      </c>
      <c r="CQ129" s="16"/>
      <c r="CR129" s="16"/>
      <c r="CS129" s="16">
        <v>0</v>
      </c>
      <c r="CT129" s="16">
        <f t="shared" si="111"/>
        <v>0</v>
      </c>
      <c r="CU129" s="16">
        <f t="shared" si="112"/>
        <v>0</v>
      </c>
      <c r="CV129" s="16">
        <v>0</v>
      </c>
      <c r="CW129" s="17">
        <v>0</v>
      </c>
      <c r="CX129" s="40"/>
      <c r="CY129" s="40"/>
    </row>
    <row r="130" spans="1:103" ht="15.75" x14ac:dyDescent="0.25">
      <c r="A130" s="13" t="s">
        <v>1</v>
      </c>
      <c r="B130" s="14" t="s">
        <v>1</v>
      </c>
      <c r="C130" s="14" t="s">
        <v>23</v>
      </c>
      <c r="D130" s="30" t="s">
        <v>153</v>
      </c>
      <c r="E130" s="15">
        <f>SUM(F130+BY130+CT130)</f>
        <v>8470000</v>
      </c>
      <c r="F130" s="16">
        <f>SUM(G130+BA130)</f>
        <v>8347582</v>
      </c>
      <c r="G130" s="16">
        <f>SUM(H130+I130+J130+Q130+T130+U130+V130+AE130)</f>
        <v>8347582</v>
      </c>
      <c r="H130" s="16">
        <v>6016323</v>
      </c>
      <c r="I130" s="16">
        <v>1395702</v>
      </c>
      <c r="J130" s="16">
        <f t="shared" si="103"/>
        <v>494064</v>
      </c>
      <c r="K130" s="16">
        <v>14060</v>
      </c>
      <c r="L130" s="16">
        <v>13950</v>
      </c>
      <c r="M130" s="16">
        <v>464505</v>
      </c>
      <c r="N130" s="16">
        <v>0</v>
      </c>
      <c r="O130" s="16">
        <v>0</v>
      </c>
      <c r="P130" s="16">
        <v>1549</v>
      </c>
      <c r="Q130" s="16">
        <f t="shared" si="104"/>
        <v>0</v>
      </c>
      <c r="R130" s="16">
        <v>0</v>
      </c>
      <c r="S130" s="16">
        <v>0</v>
      </c>
      <c r="T130" s="16">
        <v>0</v>
      </c>
      <c r="U130" s="16">
        <v>33978</v>
      </c>
      <c r="V130" s="16">
        <f>SUM(W130:AD130)</f>
        <v>281224</v>
      </c>
      <c r="W130" s="16">
        <v>20571</v>
      </c>
      <c r="X130" s="16">
        <v>155221</v>
      </c>
      <c r="Y130" s="16">
        <v>60384</v>
      </c>
      <c r="Z130" s="16">
        <v>28746</v>
      </c>
      <c r="AA130" s="16">
        <v>16302</v>
      </c>
      <c r="AB130" s="16">
        <v>0</v>
      </c>
      <c r="AC130" s="16">
        <v>0</v>
      </c>
      <c r="AD130" s="16">
        <v>0</v>
      </c>
      <c r="AE130" s="16">
        <f>SUM(AF130:AZ130)</f>
        <v>126291</v>
      </c>
      <c r="AF130" s="16">
        <v>0</v>
      </c>
      <c r="AG130" s="16">
        <v>558</v>
      </c>
      <c r="AH130" s="16">
        <v>35479</v>
      </c>
      <c r="AI130" s="16">
        <v>18049</v>
      </c>
      <c r="AJ130" s="16">
        <v>10996</v>
      </c>
      <c r="AK130" s="16">
        <v>0</v>
      </c>
      <c r="AL130" s="16">
        <v>61209</v>
      </c>
      <c r="AM130" s="16">
        <v>0</v>
      </c>
      <c r="AN130" s="16">
        <v>0</v>
      </c>
      <c r="AO130" s="16">
        <v>0</v>
      </c>
      <c r="AP130" s="16">
        <v>0</v>
      </c>
      <c r="AQ130" s="16">
        <v>0</v>
      </c>
      <c r="AR130" s="16">
        <v>0</v>
      </c>
      <c r="AS130" s="16">
        <v>0</v>
      </c>
      <c r="AT130" s="16">
        <v>0</v>
      </c>
      <c r="AU130" s="16">
        <v>0</v>
      </c>
      <c r="AV130" s="16">
        <v>0</v>
      </c>
      <c r="AW130" s="16">
        <v>0</v>
      </c>
      <c r="AX130" s="16">
        <v>0</v>
      </c>
      <c r="AY130" s="16">
        <v>0</v>
      </c>
      <c r="AZ130" s="16">
        <v>0</v>
      </c>
      <c r="BA130" s="16">
        <f>SUM(BB130+BF130+BI130+BK130+BM130)</f>
        <v>0</v>
      </c>
      <c r="BB130" s="16">
        <f>SUM(BC130:BE130)</f>
        <v>0</v>
      </c>
      <c r="BC130" s="16">
        <v>0</v>
      </c>
      <c r="BD130" s="16">
        <v>0</v>
      </c>
      <c r="BE130" s="16">
        <v>0</v>
      </c>
      <c r="BF130" s="16">
        <f t="shared" si="105"/>
        <v>0</v>
      </c>
      <c r="BG130" s="16">
        <v>0</v>
      </c>
      <c r="BH130" s="16">
        <v>0</v>
      </c>
      <c r="BI130" s="16">
        <v>0</v>
      </c>
      <c r="BJ130" s="16">
        <v>0</v>
      </c>
      <c r="BK130" s="16">
        <f t="shared" si="106"/>
        <v>0</v>
      </c>
      <c r="BL130" s="16">
        <v>0</v>
      </c>
      <c r="BM130" s="16">
        <f t="shared" si="107"/>
        <v>0</v>
      </c>
      <c r="BN130" s="16">
        <v>0</v>
      </c>
      <c r="BO130" s="16">
        <v>0</v>
      </c>
      <c r="BP130" s="16">
        <v>0</v>
      </c>
      <c r="BQ130" s="16">
        <v>0</v>
      </c>
      <c r="BR130" s="16">
        <v>0</v>
      </c>
      <c r="BS130" s="16">
        <v>0</v>
      </c>
      <c r="BT130" s="16">
        <v>0</v>
      </c>
      <c r="BU130" s="16">
        <v>0</v>
      </c>
      <c r="BV130" s="16">
        <v>0</v>
      </c>
      <c r="BW130" s="16">
        <v>0</v>
      </c>
      <c r="BX130" s="16">
        <v>0</v>
      </c>
      <c r="BY130" s="16">
        <f>SUM(BZ130+CS130)</f>
        <v>122418</v>
      </c>
      <c r="BZ130" s="16">
        <f>SUM(CA130+CD130+CK130)</f>
        <v>122418</v>
      </c>
      <c r="CA130" s="16">
        <f t="shared" si="108"/>
        <v>122418</v>
      </c>
      <c r="CB130" s="16">
        <v>0</v>
      </c>
      <c r="CC130" s="16">
        <v>122418</v>
      </c>
      <c r="CD130" s="16">
        <f t="shared" si="109"/>
        <v>0</v>
      </c>
      <c r="CE130" s="16">
        <v>0</v>
      </c>
      <c r="CF130" s="16">
        <v>0</v>
      </c>
      <c r="CG130" s="16">
        <v>0</v>
      </c>
      <c r="CH130" s="16">
        <v>0</v>
      </c>
      <c r="CI130" s="16">
        <v>0</v>
      </c>
      <c r="CJ130" s="16">
        <v>0</v>
      </c>
      <c r="CK130" s="16">
        <f t="shared" si="110"/>
        <v>0</v>
      </c>
      <c r="CL130" s="16">
        <v>0</v>
      </c>
      <c r="CM130" s="16">
        <v>0</v>
      </c>
      <c r="CN130" s="16">
        <v>0</v>
      </c>
      <c r="CO130" s="16">
        <v>0</v>
      </c>
      <c r="CP130" s="16">
        <v>0</v>
      </c>
      <c r="CQ130" s="16">
        <v>0</v>
      </c>
      <c r="CR130" s="16">
        <v>0</v>
      </c>
      <c r="CS130" s="16">
        <v>0</v>
      </c>
      <c r="CT130" s="16">
        <f t="shared" si="111"/>
        <v>0</v>
      </c>
      <c r="CU130" s="16">
        <f t="shared" si="112"/>
        <v>0</v>
      </c>
      <c r="CV130" s="16">
        <v>0</v>
      </c>
      <c r="CW130" s="17">
        <v>0</v>
      </c>
      <c r="CX130" s="40"/>
      <c r="CY130" s="40"/>
    </row>
    <row r="131" spans="1:103" ht="15.75" x14ac:dyDescent="0.25">
      <c r="A131" s="13" t="s">
        <v>111</v>
      </c>
      <c r="B131" s="14" t="s">
        <v>47</v>
      </c>
      <c r="C131" s="14" t="s">
        <v>1</v>
      </c>
      <c r="D131" s="30" t="s">
        <v>154</v>
      </c>
      <c r="E131" s="15">
        <f>SUM(E132:E134)</f>
        <v>119244578</v>
      </c>
      <c r="F131" s="16">
        <f t="shared" ref="F131:BS131" si="207">SUM(F132:F134)</f>
        <v>113582921</v>
      </c>
      <c r="G131" s="16">
        <f t="shared" si="207"/>
        <v>94052598</v>
      </c>
      <c r="H131" s="16">
        <f t="shared" si="207"/>
        <v>64629753</v>
      </c>
      <c r="I131" s="16">
        <f t="shared" si="207"/>
        <v>15063606</v>
      </c>
      <c r="J131" s="16">
        <f t="shared" si="207"/>
        <v>7830298</v>
      </c>
      <c r="K131" s="16">
        <f t="shared" si="207"/>
        <v>96314</v>
      </c>
      <c r="L131" s="16">
        <f t="shared" si="207"/>
        <v>50185</v>
      </c>
      <c r="M131" s="16">
        <f t="shared" si="207"/>
        <v>6235248</v>
      </c>
      <c r="N131" s="16">
        <f t="shared" si="207"/>
        <v>0</v>
      </c>
      <c r="O131" s="16">
        <f t="shared" si="207"/>
        <v>1088191</v>
      </c>
      <c r="P131" s="16">
        <f t="shared" si="207"/>
        <v>360360</v>
      </c>
      <c r="Q131" s="16">
        <f t="shared" si="207"/>
        <v>119846</v>
      </c>
      <c r="R131" s="16">
        <f t="shared" si="207"/>
        <v>119846</v>
      </c>
      <c r="S131" s="16">
        <f t="shared" si="207"/>
        <v>0</v>
      </c>
      <c r="T131" s="16">
        <f t="shared" si="207"/>
        <v>0</v>
      </c>
      <c r="U131" s="16">
        <f t="shared" si="207"/>
        <v>491948</v>
      </c>
      <c r="V131" s="16">
        <f t="shared" si="207"/>
        <v>2023297</v>
      </c>
      <c r="W131" s="16">
        <f t="shared" si="207"/>
        <v>43471</v>
      </c>
      <c r="X131" s="16">
        <f t="shared" si="207"/>
        <v>1476180</v>
      </c>
      <c r="Y131" s="16">
        <f t="shared" si="207"/>
        <v>289459</v>
      </c>
      <c r="Z131" s="16">
        <f t="shared" si="207"/>
        <v>110061</v>
      </c>
      <c r="AA131" s="16">
        <f t="shared" si="207"/>
        <v>104126</v>
      </c>
      <c r="AB131" s="16">
        <f t="shared" si="207"/>
        <v>0</v>
      </c>
      <c r="AC131" s="16">
        <f t="shared" si="207"/>
        <v>0</v>
      </c>
      <c r="AD131" s="16">
        <f t="shared" ref="AD131" si="208">SUM(AD132:AD134)</f>
        <v>0</v>
      </c>
      <c r="AE131" s="16">
        <f t="shared" si="207"/>
        <v>3893850</v>
      </c>
      <c r="AF131" s="16">
        <f t="shared" si="207"/>
        <v>0</v>
      </c>
      <c r="AG131" s="16">
        <f t="shared" si="207"/>
        <v>46374</v>
      </c>
      <c r="AH131" s="16">
        <f t="shared" si="207"/>
        <v>810392</v>
      </c>
      <c r="AI131" s="16">
        <f t="shared" si="207"/>
        <v>401563</v>
      </c>
      <c r="AJ131" s="16">
        <f t="shared" si="207"/>
        <v>144382</v>
      </c>
      <c r="AK131" s="16">
        <f t="shared" si="207"/>
        <v>0</v>
      </c>
      <c r="AL131" s="16">
        <f t="shared" si="207"/>
        <v>653029</v>
      </c>
      <c r="AM131" s="16">
        <f t="shared" si="207"/>
        <v>16716</v>
      </c>
      <c r="AN131" s="16">
        <f t="shared" si="207"/>
        <v>0</v>
      </c>
      <c r="AO131" s="16">
        <f t="shared" si="207"/>
        <v>14841</v>
      </c>
      <c r="AP131" s="16">
        <f>SUM(AP132:AP134)</f>
        <v>0</v>
      </c>
      <c r="AQ131" s="16">
        <f t="shared" si="207"/>
        <v>0</v>
      </c>
      <c r="AR131" s="16">
        <f t="shared" si="207"/>
        <v>15367</v>
      </c>
      <c r="AS131" s="16">
        <f t="shared" si="207"/>
        <v>83800</v>
      </c>
      <c r="AT131" s="16">
        <f t="shared" si="207"/>
        <v>0</v>
      </c>
      <c r="AU131" s="16">
        <f t="shared" si="207"/>
        <v>0</v>
      </c>
      <c r="AV131" s="16">
        <f t="shared" si="207"/>
        <v>0</v>
      </c>
      <c r="AW131" s="16">
        <f t="shared" si="207"/>
        <v>0</v>
      </c>
      <c r="AX131" s="16">
        <f t="shared" si="207"/>
        <v>0</v>
      </c>
      <c r="AY131" s="16">
        <f t="shared" si="207"/>
        <v>0</v>
      </c>
      <c r="AZ131" s="16">
        <f t="shared" si="207"/>
        <v>1707386</v>
      </c>
      <c r="BA131" s="16">
        <f t="shared" si="207"/>
        <v>19530323</v>
      </c>
      <c r="BB131" s="16">
        <f t="shared" si="207"/>
        <v>0</v>
      </c>
      <c r="BC131" s="16">
        <f t="shared" si="207"/>
        <v>0</v>
      </c>
      <c r="BD131" s="16">
        <f t="shared" si="207"/>
        <v>0</v>
      </c>
      <c r="BE131" s="16">
        <f t="shared" si="207"/>
        <v>0</v>
      </c>
      <c r="BF131" s="16">
        <f t="shared" si="207"/>
        <v>0</v>
      </c>
      <c r="BG131" s="16">
        <f t="shared" si="207"/>
        <v>0</v>
      </c>
      <c r="BH131" s="16">
        <f t="shared" si="207"/>
        <v>0</v>
      </c>
      <c r="BI131" s="16">
        <f t="shared" si="207"/>
        <v>0</v>
      </c>
      <c r="BJ131" s="16">
        <f t="shared" si="207"/>
        <v>0</v>
      </c>
      <c r="BK131" s="16">
        <f t="shared" si="207"/>
        <v>0</v>
      </c>
      <c r="BL131" s="16">
        <f t="shared" si="207"/>
        <v>0</v>
      </c>
      <c r="BM131" s="16">
        <f t="shared" si="207"/>
        <v>19530323</v>
      </c>
      <c r="BN131" s="16">
        <f t="shared" si="207"/>
        <v>0</v>
      </c>
      <c r="BO131" s="16">
        <f t="shared" si="207"/>
        <v>0</v>
      </c>
      <c r="BP131" s="16">
        <f t="shared" si="207"/>
        <v>7815125</v>
      </c>
      <c r="BQ131" s="16">
        <f t="shared" si="207"/>
        <v>0</v>
      </c>
      <c r="BR131" s="16">
        <f t="shared" si="207"/>
        <v>0</v>
      </c>
      <c r="BS131" s="16">
        <f t="shared" si="207"/>
        <v>0</v>
      </c>
      <c r="BT131" s="16">
        <f t="shared" ref="BT131:CW131" si="209">SUM(BT132:BT134)</f>
        <v>0</v>
      </c>
      <c r="BU131" s="16">
        <f t="shared" si="209"/>
        <v>0</v>
      </c>
      <c r="BV131" s="16">
        <f t="shared" si="209"/>
        <v>0</v>
      </c>
      <c r="BW131" s="16">
        <f t="shared" si="209"/>
        <v>11430670</v>
      </c>
      <c r="BX131" s="16">
        <f t="shared" si="209"/>
        <v>284528</v>
      </c>
      <c r="BY131" s="16">
        <f t="shared" si="209"/>
        <v>5661657</v>
      </c>
      <c r="BZ131" s="16">
        <f t="shared" si="209"/>
        <v>5661657</v>
      </c>
      <c r="CA131" s="16">
        <f t="shared" si="209"/>
        <v>5661657</v>
      </c>
      <c r="CB131" s="16">
        <f t="shared" si="209"/>
        <v>0</v>
      </c>
      <c r="CC131" s="16">
        <f t="shared" si="209"/>
        <v>5661657</v>
      </c>
      <c r="CD131" s="16">
        <f t="shared" si="209"/>
        <v>0</v>
      </c>
      <c r="CE131" s="16">
        <f t="shared" si="209"/>
        <v>0</v>
      </c>
      <c r="CF131" s="16">
        <f>SUM(CF132:CF134)</f>
        <v>0</v>
      </c>
      <c r="CG131" s="16">
        <f t="shared" si="209"/>
        <v>0</v>
      </c>
      <c r="CH131" s="16">
        <f t="shared" si="209"/>
        <v>0</v>
      </c>
      <c r="CI131" s="16">
        <f t="shared" si="209"/>
        <v>0</v>
      </c>
      <c r="CJ131" s="16">
        <f t="shared" ref="CJ131" si="210">SUM(CJ132:CJ134)</f>
        <v>0</v>
      </c>
      <c r="CK131" s="16">
        <f t="shared" si="209"/>
        <v>0</v>
      </c>
      <c r="CL131" s="16">
        <f t="shared" si="209"/>
        <v>0</v>
      </c>
      <c r="CM131" s="16">
        <f>SUM(CM132:CM134)</f>
        <v>0</v>
      </c>
      <c r="CN131" s="16">
        <f t="shared" si="209"/>
        <v>0</v>
      </c>
      <c r="CO131" s="16">
        <f t="shared" si="209"/>
        <v>0</v>
      </c>
      <c r="CP131" s="16">
        <f t="shared" si="209"/>
        <v>0</v>
      </c>
      <c r="CQ131" s="16">
        <f t="shared" si="209"/>
        <v>0</v>
      </c>
      <c r="CR131" s="16">
        <f t="shared" si="209"/>
        <v>0</v>
      </c>
      <c r="CS131" s="16">
        <f t="shared" si="209"/>
        <v>0</v>
      </c>
      <c r="CT131" s="16">
        <f t="shared" si="209"/>
        <v>0</v>
      </c>
      <c r="CU131" s="16">
        <f t="shared" si="209"/>
        <v>0</v>
      </c>
      <c r="CV131" s="16">
        <f t="shared" si="209"/>
        <v>0</v>
      </c>
      <c r="CW131" s="17">
        <f t="shared" si="209"/>
        <v>0</v>
      </c>
      <c r="CX131" s="40"/>
      <c r="CY131" s="40"/>
    </row>
    <row r="132" spans="1:103" ht="31.5" x14ac:dyDescent="0.25">
      <c r="A132" s="13" t="s">
        <v>1</v>
      </c>
      <c r="B132" s="14" t="s">
        <v>1</v>
      </c>
      <c r="C132" s="14" t="s">
        <v>21</v>
      </c>
      <c r="D132" s="30" t="s">
        <v>155</v>
      </c>
      <c r="E132" s="15">
        <f>SUM(F132+BY132+CT132)</f>
        <v>14525355</v>
      </c>
      <c r="F132" s="16">
        <f>SUM(G132+BA132)</f>
        <v>14350201</v>
      </c>
      <c r="G132" s="16">
        <f>SUM(H132+I132+J132+Q132+T132+U132+V132+AE132)</f>
        <v>11687394</v>
      </c>
      <c r="H132" s="16">
        <v>8757688</v>
      </c>
      <c r="I132" s="16">
        <v>2026528</v>
      </c>
      <c r="J132" s="16">
        <f t="shared" si="103"/>
        <v>532552</v>
      </c>
      <c r="K132" s="16">
        <v>0</v>
      </c>
      <c r="L132" s="16">
        <v>13517</v>
      </c>
      <c r="M132" s="16">
        <v>445498</v>
      </c>
      <c r="N132" s="16">
        <v>0</v>
      </c>
      <c r="O132" s="16">
        <v>53042</v>
      </c>
      <c r="P132" s="16">
        <v>20495</v>
      </c>
      <c r="Q132" s="16">
        <f t="shared" si="104"/>
        <v>0</v>
      </c>
      <c r="R132" s="16">
        <v>0</v>
      </c>
      <c r="S132" s="16">
        <v>0</v>
      </c>
      <c r="T132" s="16">
        <v>0</v>
      </c>
      <c r="U132" s="16">
        <v>59256</v>
      </c>
      <c r="V132" s="16">
        <f>SUM(W132:AD132)</f>
        <v>77535</v>
      </c>
      <c r="W132" s="16">
        <v>0</v>
      </c>
      <c r="X132" s="16">
        <v>63488</v>
      </c>
      <c r="Y132" s="16">
        <v>4538</v>
      </c>
      <c r="Z132" s="16">
        <v>9509</v>
      </c>
      <c r="AA132" s="16">
        <v>0</v>
      </c>
      <c r="AB132" s="16">
        <v>0</v>
      </c>
      <c r="AC132" s="16">
        <v>0</v>
      </c>
      <c r="AD132" s="16">
        <v>0</v>
      </c>
      <c r="AE132" s="16">
        <f>SUM(AF132:AZ132)</f>
        <v>233835</v>
      </c>
      <c r="AF132" s="16">
        <v>0</v>
      </c>
      <c r="AG132" s="16">
        <v>0</v>
      </c>
      <c r="AH132" s="16">
        <v>68356</v>
      </c>
      <c r="AI132" s="16">
        <v>53629</v>
      </c>
      <c r="AJ132" s="16">
        <v>16162</v>
      </c>
      <c r="AK132" s="16">
        <v>0</v>
      </c>
      <c r="AL132" s="16">
        <v>87577</v>
      </c>
      <c r="AM132" s="16">
        <v>0</v>
      </c>
      <c r="AN132" s="16">
        <v>0</v>
      </c>
      <c r="AO132" s="16">
        <v>0</v>
      </c>
      <c r="AP132" s="16">
        <v>0</v>
      </c>
      <c r="AQ132" s="16">
        <v>0</v>
      </c>
      <c r="AR132" s="16">
        <v>0</v>
      </c>
      <c r="AS132" s="16">
        <v>0</v>
      </c>
      <c r="AT132" s="16">
        <v>0</v>
      </c>
      <c r="AU132" s="16">
        <v>0</v>
      </c>
      <c r="AV132" s="16">
        <v>0</v>
      </c>
      <c r="AW132" s="16">
        <v>0</v>
      </c>
      <c r="AX132" s="16">
        <v>0</v>
      </c>
      <c r="AY132" s="16">
        <v>0</v>
      </c>
      <c r="AZ132" s="16">
        <v>8111</v>
      </c>
      <c r="BA132" s="16">
        <f>SUM(BB132+BF132+BI132+BK132+BM132)</f>
        <v>2662807</v>
      </c>
      <c r="BB132" s="16">
        <f>SUM(BC132:BE132)</f>
        <v>0</v>
      </c>
      <c r="BC132" s="16">
        <v>0</v>
      </c>
      <c r="BD132" s="16">
        <v>0</v>
      </c>
      <c r="BE132" s="16">
        <v>0</v>
      </c>
      <c r="BF132" s="16">
        <f t="shared" si="105"/>
        <v>0</v>
      </c>
      <c r="BG132" s="16">
        <v>0</v>
      </c>
      <c r="BH132" s="16">
        <v>0</v>
      </c>
      <c r="BI132" s="16">
        <v>0</v>
      </c>
      <c r="BJ132" s="16">
        <v>0</v>
      </c>
      <c r="BK132" s="16">
        <f t="shared" si="106"/>
        <v>0</v>
      </c>
      <c r="BL132" s="16">
        <v>0</v>
      </c>
      <c r="BM132" s="16">
        <f t="shared" si="107"/>
        <v>2662807</v>
      </c>
      <c r="BN132" s="16">
        <v>0</v>
      </c>
      <c r="BO132" s="16">
        <v>0</v>
      </c>
      <c r="BP132" s="16">
        <v>1067941</v>
      </c>
      <c r="BQ132" s="16">
        <v>0</v>
      </c>
      <c r="BR132" s="16">
        <v>0</v>
      </c>
      <c r="BS132" s="16">
        <v>0</v>
      </c>
      <c r="BT132" s="16">
        <v>0</v>
      </c>
      <c r="BU132" s="16">
        <v>0</v>
      </c>
      <c r="BV132" s="16">
        <v>0</v>
      </c>
      <c r="BW132" s="16">
        <v>1348678</v>
      </c>
      <c r="BX132" s="16">
        <v>246188</v>
      </c>
      <c r="BY132" s="16">
        <f>SUM(BZ132+CS132)</f>
        <v>175154</v>
      </c>
      <c r="BZ132" s="16">
        <f>SUM(CA132+CD132+CK132)</f>
        <v>175154</v>
      </c>
      <c r="CA132" s="16">
        <f t="shared" si="108"/>
        <v>175154</v>
      </c>
      <c r="CB132" s="16">
        <v>0</v>
      </c>
      <c r="CC132" s="16">
        <v>175154</v>
      </c>
      <c r="CD132" s="16">
        <f t="shared" si="109"/>
        <v>0</v>
      </c>
      <c r="CE132" s="16">
        <v>0</v>
      </c>
      <c r="CF132" s="16">
        <v>0</v>
      </c>
      <c r="CG132" s="16">
        <v>0</v>
      </c>
      <c r="CH132" s="16">
        <v>0</v>
      </c>
      <c r="CI132" s="16">
        <v>0</v>
      </c>
      <c r="CJ132" s="16">
        <v>0</v>
      </c>
      <c r="CK132" s="16">
        <f t="shared" si="110"/>
        <v>0</v>
      </c>
      <c r="CL132" s="16">
        <v>0</v>
      </c>
      <c r="CM132" s="16">
        <v>0</v>
      </c>
      <c r="CN132" s="16">
        <v>0</v>
      </c>
      <c r="CO132" s="16">
        <v>0</v>
      </c>
      <c r="CP132" s="16">
        <v>0</v>
      </c>
      <c r="CQ132" s="16">
        <v>0</v>
      </c>
      <c r="CR132" s="16">
        <v>0</v>
      </c>
      <c r="CS132" s="16">
        <v>0</v>
      </c>
      <c r="CT132" s="16">
        <f t="shared" si="111"/>
        <v>0</v>
      </c>
      <c r="CU132" s="16">
        <f t="shared" si="112"/>
        <v>0</v>
      </c>
      <c r="CV132" s="16">
        <v>0</v>
      </c>
      <c r="CW132" s="17">
        <v>0</v>
      </c>
      <c r="CX132" s="40"/>
      <c r="CY132" s="40"/>
    </row>
    <row r="133" spans="1:103" ht="31.5" x14ac:dyDescent="0.25">
      <c r="A133" s="13" t="s">
        <v>1</v>
      </c>
      <c r="B133" s="14" t="s">
        <v>1</v>
      </c>
      <c r="C133" s="14" t="s">
        <v>23</v>
      </c>
      <c r="D133" s="30" t="s">
        <v>156</v>
      </c>
      <c r="E133" s="15">
        <f>SUM(F133+BY133+CT133)</f>
        <v>91792438</v>
      </c>
      <c r="F133" s="16">
        <f>SUM(G133+BA133)</f>
        <v>86395682</v>
      </c>
      <c r="G133" s="16">
        <f>SUM(H133+I133+J133+Q133+T133+U133+V133+AE133)</f>
        <v>69528166</v>
      </c>
      <c r="H133" s="16">
        <f>51734559-349824</f>
        <v>51384735</v>
      </c>
      <c r="I133" s="16">
        <f>12074628-82971</f>
        <v>11991657</v>
      </c>
      <c r="J133" s="16">
        <f t="shared" si="103"/>
        <v>2005928</v>
      </c>
      <c r="K133" s="16">
        <v>0</v>
      </c>
      <c r="L133" s="16">
        <v>33748</v>
      </c>
      <c r="M133" s="16">
        <v>861679</v>
      </c>
      <c r="N133" s="16">
        <v>0</v>
      </c>
      <c r="O133" s="16">
        <v>952894</v>
      </c>
      <c r="P133" s="16">
        <f>145607+12000</f>
        <v>157607</v>
      </c>
      <c r="Q133" s="16">
        <f t="shared" si="104"/>
        <v>83394</v>
      </c>
      <c r="R133" s="16">
        <v>83394</v>
      </c>
      <c r="S133" s="16">
        <v>0</v>
      </c>
      <c r="T133" s="16">
        <v>0</v>
      </c>
      <c r="U133" s="16">
        <v>409263</v>
      </c>
      <c r="V133" s="16">
        <f>SUM(W133:AD133)</f>
        <v>1810166</v>
      </c>
      <c r="W133" s="16">
        <v>7019</v>
      </c>
      <c r="X133" s="16">
        <v>1343604</v>
      </c>
      <c r="Y133" s="16">
        <v>279667</v>
      </c>
      <c r="Z133" s="16">
        <v>94530</v>
      </c>
      <c r="AA133" s="16">
        <v>85346</v>
      </c>
      <c r="AB133" s="16">
        <v>0</v>
      </c>
      <c r="AC133" s="16">
        <v>0</v>
      </c>
      <c r="AD133" s="16">
        <v>0</v>
      </c>
      <c r="AE133" s="16">
        <f>SUM(AF133:AZ133)</f>
        <v>1843023</v>
      </c>
      <c r="AF133" s="16">
        <v>0</v>
      </c>
      <c r="AG133" s="16">
        <v>9922</v>
      </c>
      <c r="AH133" s="16">
        <v>704562</v>
      </c>
      <c r="AI133" s="16">
        <f>311509+30000</f>
        <v>341509</v>
      </c>
      <c r="AJ133" s="16">
        <v>121080</v>
      </c>
      <c r="AK133" s="16">
        <v>0</v>
      </c>
      <c r="AL133" s="16">
        <v>520579</v>
      </c>
      <c r="AM133" s="16">
        <v>13491</v>
      </c>
      <c r="AN133" s="16">
        <v>0</v>
      </c>
      <c r="AO133" s="16">
        <v>14841</v>
      </c>
      <c r="AP133" s="16"/>
      <c r="AQ133" s="16">
        <v>0</v>
      </c>
      <c r="AR133" s="16">
        <v>0</v>
      </c>
      <c r="AS133" s="16">
        <v>0</v>
      </c>
      <c r="AT133" s="16">
        <v>0</v>
      </c>
      <c r="AU133" s="16">
        <v>0</v>
      </c>
      <c r="AV133" s="16">
        <v>0</v>
      </c>
      <c r="AW133" s="16">
        <v>0</v>
      </c>
      <c r="AX133" s="16">
        <v>0</v>
      </c>
      <c r="AY133" s="16"/>
      <c r="AZ133" s="16">
        <v>117039</v>
      </c>
      <c r="BA133" s="16">
        <f>SUM(BB133+BF133+BI133+BK133+BM133)</f>
        <v>16867516</v>
      </c>
      <c r="BB133" s="16">
        <f>SUM(BC133:BE133)</f>
        <v>0</v>
      </c>
      <c r="BC133" s="16">
        <v>0</v>
      </c>
      <c r="BD133" s="16">
        <v>0</v>
      </c>
      <c r="BE133" s="16">
        <v>0</v>
      </c>
      <c r="BF133" s="16">
        <f t="shared" si="105"/>
        <v>0</v>
      </c>
      <c r="BG133" s="16">
        <v>0</v>
      </c>
      <c r="BH133" s="16">
        <v>0</v>
      </c>
      <c r="BI133" s="16">
        <v>0</v>
      </c>
      <c r="BJ133" s="16">
        <v>0</v>
      </c>
      <c r="BK133" s="16">
        <f t="shared" si="106"/>
        <v>0</v>
      </c>
      <c r="BL133" s="16">
        <v>0</v>
      </c>
      <c r="BM133" s="16">
        <f t="shared" si="107"/>
        <v>16867516</v>
      </c>
      <c r="BN133" s="16">
        <v>0</v>
      </c>
      <c r="BO133" s="16">
        <v>0</v>
      </c>
      <c r="BP133" s="16">
        <v>6747184</v>
      </c>
      <c r="BQ133" s="16">
        <v>0</v>
      </c>
      <c r="BR133" s="16">
        <v>0</v>
      </c>
      <c r="BS133" s="16">
        <v>0</v>
      </c>
      <c r="BT133" s="16">
        <v>0</v>
      </c>
      <c r="BU133" s="16">
        <v>0</v>
      </c>
      <c r="BV133" s="16">
        <v>0</v>
      </c>
      <c r="BW133" s="16">
        <v>10081992</v>
      </c>
      <c r="BX133" s="16">
        <v>38340</v>
      </c>
      <c r="BY133" s="16">
        <f>SUM(BZ133+CS133)</f>
        <v>5396756</v>
      </c>
      <c r="BZ133" s="16">
        <f>SUM(CA133+CD133+CK133)</f>
        <v>5396756</v>
      </c>
      <c r="CA133" s="16">
        <f t="shared" si="108"/>
        <v>5396756</v>
      </c>
      <c r="CB133" s="16">
        <v>0</v>
      </c>
      <c r="CC133" s="16">
        <f>1041159+4355597</f>
        <v>5396756</v>
      </c>
      <c r="CD133" s="16">
        <f t="shared" si="109"/>
        <v>0</v>
      </c>
      <c r="CE133" s="16">
        <v>0</v>
      </c>
      <c r="CF133" s="16">
        <v>0</v>
      </c>
      <c r="CG133" s="16">
        <v>0</v>
      </c>
      <c r="CH133" s="16">
        <v>0</v>
      </c>
      <c r="CI133" s="16">
        <v>0</v>
      </c>
      <c r="CJ133" s="16">
        <v>0</v>
      </c>
      <c r="CK133" s="16">
        <f t="shared" si="110"/>
        <v>0</v>
      </c>
      <c r="CL133" s="16">
        <v>0</v>
      </c>
      <c r="CM133" s="16">
        <v>0</v>
      </c>
      <c r="CN133" s="16">
        <v>0</v>
      </c>
      <c r="CO133" s="16">
        <v>0</v>
      </c>
      <c r="CP133" s="16">
        <v>0</v>
      </c>
      <c r="CQ133" s="16"/>
      <c r="CR133" s="16"/>
      <c r="CS133" s="16">
        <v>0</v>
      </c>
      <c r="CT133" s="16">
        <f t="shared" si="111"/>
        <v>0</v>
      </c>
      <c r="CU133" s="16">
        <f t="shared" si="112"/>
        <v>0</v>
      </c>
      <c r="CV133" s="16">
        <v>0</v>
      </c>
      <c r="CW133" s="17">
        <v>0</v>
      </c>
      <c r="CX133" s="40"/>
      <c r="CY133" s="40"/>
    </row>
    <row r="134" spans="1:103" ht="15.75" x14ac:dyDescent="0.25">
      <c r="A134" s="13" t="s">
        <v>1</v>
      </c>
      <c r="B134" s="14" t="s">
        <v>1</v>
      </c>
      <c r="C134" s="14" t="s">
        <v>31</v>
      </c>
      <c r="D134" s="30" t="s">
        <v>500</v>
      </c>
      <c r="E134" s="15">
        <f>SUM(F134+BY134+CT134)</f>
        <v>12926785</v>
      </c>
      <c r="F134" s="16">
        <f>SUM(G134+BA134)</f>
        <v>12837038</v>
      </c>
      <c r="G134" s="16">
        <f>SUM(H134+I134+J134+Q134+T134+U134+V134+AE134)</f>
        <v>12837038</v>
      </c>
      <c r="H134" s="16">
        <v>4487330</v>
      </c>
      <c r="I134" s="16">
        <v>1045421</v>
      </c>
      <c r="J134" s="16">
        <f t="shared" si="103"/>
        <v>5291818</v>
      </c>
      <c r="K134" s="16">
        <v>96314</v>
      </c>
      <c r="L134" s="16">
        <v>2920</v>
      </c>
      <c r="M134" s="16">
        <v>4928071</v>
      </c>
      <c r="N134" s="16">
        <v>0</v>
      </c>
      <c r="O134" s="16">
        <v>82255</v>
      </c>
      <c r="P134" s="16">
        <v>182258</v>
      </c>
      <c r="Q134" s="16">
        <f t="shared" si="104"/>
        <v>36452</v>
      </c>
      <c r="R134" s="16">
        <v>36452</v>
      </c>
      <c r="S134" s="16">
        <v>0</v>
      </c>
      <c r="T134" s="16">
        <v>0</v>
      </c>
      <c r="U134" s="16">
        <v>23429</v>
      </c>
      <c r="V134" s="16">
        <f>SUM(W134:AD134)</f>
        <v>135596</v>
      </c>
      <c r="W134" s="16">
        <v>36452</v>
      </c>
      <c r="X134" s="16">
        <v>69088</v>
      </c>
      <c r="Y134" s="16">
        <v>5254</v>
      </c>
      <c r="Z134" s="16">
        <v>6022</v>
      </c>
      <c r="AA134" s="16">
        <v>18780</v>
      </c>
      <c r="AB134" s="16">
        <v>0</v>
      </c>
      <c r="AC134" s="16">
        <v>0</v>
      </c>
      <c r="AD134" s="16">
        <v>0</v>
      </c>
      <c r="AE134" s="16">
        <f>SUM(AF134:AZ134)</f>
        <v>1816992</v>
      </c>
      <c r="AF134" s="16">
        <v>0</v>
      </c>
      <c r="AG134" s="16">
        <v>36452</v>
      </c>
      <c r="AH134" s="16">
        <v>37474</v>
      </c>
      <c r="AI134" s="16">
        <v>6425</v>
      </c>
      <c r="AJ134" s="16">
        <v>7140</v>
      </c>
      <c r="AK134" s="16">
        <v>0</v>
      </c>
      <c r="AL134" s="16">
        <v>44873</v>
      </c>
      <c r="AM134" s="16">
        <v>3225</v>
      </c>
      <c r="AN134" s="16">
        <v>0</v>
      </c>
      <c r="AO134" s="16">
        <v>0</v>
      </c>
      <c r="AP134" s="16">
        <v>0</v>
      </c>
      <c r="AQ134" s="16">
        <v>0</v>
      </c>
      <c r="AR134" s="16">
        <v>15367</v>
      </c>
      <c r="AS134" s="16">
        <v>83800</v>
      </c>
      <c r="AT134" s="16">
        <v>0</v>
      </c>
      <c r="AU134" s="16">
        <v>0</v>
      </c>
      <c r="AV134" s="16">
        <v>0</v>
      </c>
      <c r="AW134" s="16">
        <v>0</v>
      </c>
      <c r="AX134" s="16">
        <v>0</v>
      </c>
      <c r="AY134" s="16">
        <v>0</v>
      </c>
      <c r="AZ134" s="16">
        <v>1582236</v>
      </c>
      <c r="BA134" s="16">
        <f>SUM(BB134+BF134+BI134+BK134+BM134)</f>
        <v>0</v>
      </c>
      <c r="BB134" s="16">
        <f>SUM(BC134:BE134)</f>
        <v>0</v>
      </c>
      <c r="BC134" s="16">
        <v>0</v>
      </c>
      <c r="BD134" s="16">
        <v>0</v>
      </c>
      <c r="BE134" s="16">
        <v>0</v>
      </c>
      <c r="BF134" s="16">
        <f t="shared" si="105"/>
        <v>0</v>
      </c>
      <c r="BG134" s="16">
        <v>0</v>
      </c>
      <c r="BH134" s="16">
        <v>0</v>
      </c>
      <c r="BI134" s="16">
        <v>0</v>
      </c>
      <c r="BJ134" s="16">
        <v>0</v>
      </c>
      <c r="BK134" s="16">
        <f t="shared" si="106"/>
        <v>0</v>
      </c>
      <c r="BL134" s="16">
        <v>0</v>
      </c>
      <c r="BM134" s="16">
        <f t="shared" si="107"/>
        <v>0</v>
      </c>
      <c r="BN134" s="16">
        <v>0</v>
      </c>
      <c r="BO134" s="16">
        <v>0</v>
      </c>
      <c r="BP134" s="16">
        <v>0</v>
      </c>
      <c r="BQ134" s="16">
        <v>0</v>
      </c>
      <c r="BR134" s="16">
        <v>0</v>
      </c>
      <c r="BS134" s="16">
        <v>0</v>
      </c>
      <c r="BT134" s="16">
        <v>0</v>
      </c>
      <c r="BU134" s="16">
        <v>0</v>
      </c>
      <c r="BV134" s="16">
        <v>0</v>
      </c>
      <c r="BW134" s="16">
        <v>0</v>
      </c>
      <c r="BX134" s="16">
        <v>0</v>
      </c>
      <c r="BY134" s="16">
        <f>SUM(BZ134+CS134)</f>
        <v>89747</v>
      </c>
      <c r="BZ134" s="16">
        <f>SUM(CA134+CD134+CK134)</f>
        <v>89747</v>
      </c>
      <c r="CA134" s="16">
        <f t="shared" si="108"/>
        <v>89747</v>
      </c>
      <c r="CB134" s="16">
        <v>0</v>
      </c>
      <c r="CC134" s="16">
        <v>89747</v>
      </c>
      <c r="CD134" s="16">
        <f t="shared" si="109"/>
        <v>0</v>
      </c>
      <c r="CE134" s="16">
        <v>0</v>
      </c>
      <c r="CF134" s="16">
        <v>0</v>
      </c>
      <c r="CG134" s="16">
        <v>0</v>
      </c>
      <c r="CH134" s="16">
        <v>0</v>
      </c>
      <c r="CI134" s="16">
        <v>0</v>
      </c>
      <c r="CJ134" s="16">
        <v>0</v>
      </c>
      <c r="CK134" s="16">
        <f t="shared" si="110"/>
        <v>0</v>
      </c>
      <c r="CL134" s="16">
        <v>0</v>
      </c>
      <c r="CM134" s="16">
        <v>0</v>
      </c>
      <c r="CN134" s="16">
        <v>0</v>
      </c>
      <c r="CO134" s="16">
        <v>0</v>
      </c>
      <c r="CP134" s="16">
        <v>0</v>
      </c>
      <c r="CQ134" s="16">
        <v>0</v>
      </c>
      <c r="CR134" s="16">
        <v>0</v>
      </c>
      <c r="CS134" s="16">
        <v>0</v>
      </c>
      <c r="CT134" s="16">
        <f t="shared" si="111"/>
        <v>0</v>
      </c>
      <c r="CU134" s="16">
        <f t="shared" si="112"/>
        <v>0</v>
      </c>
      <c r="CV134" s="16">
        <v>0</v>
      </c>
      <c r="CW134" s="17">
        <v>0</v>
      </c>
      <c r="CX134" s="40"/>
      <c r="CY134" s="40"/>
    </row>
    <row r="135" spans="1:103" ht="15.75" x14ac:dyDescent="0.25">
      <c r="A135" s="13" t="s">
        <v>111</v>
      </c>
      <c r="B135" s="14" t="s">
        <v>50</v>
      </c>
      <c r="C135" s="14" t="s">
        <v>1</v>
      </c>
      <c r="D135" s="30" t="s">
        <v>157</v>
      </c>
      <c r="E135" s="15">
        <f t="shared" ref="E135:AJ135" si="211">SUM(E136:E138)</f>
        <v>116726446</v>
      </c>
      <c r="F135" s="16">
        <f t="shared" si="211"/>
        <v>116096301</v>
      </c>
      <c r="G135" s="16">
        <f t="shared" si="211"/>
        <v>102736702</v>
      </c>
      <c r="H135" s="16">
        <f t="shared" si="211"/>
        <v>78527280</v>
      </c>
      <c r="I135" s="16">
        <f t="shared" si="211"/>
        <v>18412631</v>
      </c>
      <c r="J135" s="16">
        <f t="shared" si="211"/>
        <v>743978</v>
      </c>
      <c r="K135" s="16">
        <f t="shared" si="211"/>
        <v>0</v>
      </c>
      <c r="L135" s="16">
        <f t="shared" si="211"/>
        <v>25323</v>
      </c>
      <c r="M135" s="16">
        <f t="shared" si="211"/>
        <v>292880</v>
      </c>
      <c r="N135" s="16">
        <f t="shared" si="211"/>
        <v>0</v>
      </c>
      <c r="O135" s="16">
        <f t="shared" si="211"/>
        <v>376974</v>
      </c>
      <c r="P135" s="16">
        <f t="shared" si="211"/>
        <v>48801</v>
      </c>
      <c r="Q135" s="16">
        <f t="shared" si="211"/>
        <v>18453</v>
      </c>
      <c r="R135" s="16">
        <f t="shared" si="211"/>
        <v>18453</v>
      </c>
      <c r="S135" s="16">
        <f t="shared" si="211"/>
        <v>0</v>
      </c>
      <c r="T135" s="16">
        <f t="shared" si="211"/>
        <v>0</v>
      </c>
      <c r="U135" s="16">
        <f t="shared" si="211"/>
        <v>324739</v>
      </c>
      <c r="V135" s="16">
        <f t="shared" si="211"/>
        <v>2315093</v>
      </c>
      <c r="W135" s="16">
        <f t="shared" si="211"/>
        <v>1142511</v>
      </c>
      <c r="X135" s="16">
        <f t="shared" si="211"/>
        <v>640056</v>
      </c>
      <c r="Y135" s="16">
        <f t="shared" si="211"/>
        <v>220347</v>
      </c>
      <c r="Z135" s="16">
        <f t="shared" si="211"/>
        <v>100413</v>
      </c>
      <c r="AA135" s="16">
        <f t="shared" si="211"/>
        <v>136920</v>
      </c>
      <c r="AB135" s="16">
        <f t="shared" si="211"/>
        <v>74697</v>
      </c>
      <c r="AC135" s="16">
        <f t="shared" si="211"/>
        <v>0</v>
      </c>
      <c r="AD135" s="16">
        <f t="shared" ref="AD135" si="212">SUM(AD136:AD138)</f>
        <v>149</v>
      </c>
      <c r="AE135" s="16">
        <f t="shared" si="211"/>
        <v>2394528</v>
      </c>
      <c r="AF135" s="16">
        <f t="shared" si="211"/>
        <v>0</v>
      </c>
      <c r="AG135" s="16">
        <f t="shared" si="211"/>
        <v>14500</v>
      </c>
      <c r="AH135" s="16">
        <f t="shared" si="211"/>
        <v>259042</v>
      </c>
      <c r="AI135" s="16">
        <f t="shared" si="211"/>
        <v>601157</v>
      </c>
      <c r="AJ135" s="16">
        <f t="shared" si="211"/>
        <v>125728</v>
      </c>
      <c r="AK135" s="16">
        <f t="shared" ref="AK135:BR135" si="213">SUM(AK136:AK138)</f>
        <v>0</v>
      </c>
      <c r="AL135" s="16">
        <f t="shared" si="213"/>
        <v>840192</v>
      </c>
      <c r="AM135" s="16">
        <f t="shared" si="213"/>
        <v>473177</v>
      </c>
      <c r="AN135" s="16">
        <f t="shared" si="213"/>
        <v>0</v>
      </c>
      <c r="AO135" s="16">
        <f t="shared" si="213"/>
        <v>17292</v>
      </c>
      <c r="AP135" s="16">
        <f>SUM(AP136:AP138)</f>
        <v>0</v>
      </c>
      <c r="AQ135" s="16">
        <f t="shared" si="213"/>
        <v>0</v>
      </c>
      <c r="AR135" s="16">
        <f t="shared" si="213"/>
        <v>0</v>
      </c>
      <c r="AS135" s="16">
        <f t="shared" si="213"/>
        <v>39852</v>
      </c>
      <c r="AT135" s="16">
        <f t="shared" si="213"/>
        <v>0</v>
      </c>
      <c r="AU135" s="16">
        <f t="shared" si="213"/>
        <v>0</v>
      </c>
      <c r="AV135" s="16">
        <f t="shared" si="213"/>
        <v>0</v>
      </c>
      <c r="AW135" s="16">
        <f t="shared" si="213"/>
        <v>0</v>
      </c>
      <c r="AX135" s="16">
        <f t="shared" si="213"/>
        <v>0</v>
      </c>
      <c r="AY135" s="16">
        <f t="shared" si="213"/>
        <v>0</v>
      </c>
      <c r="AZ135" s="16">
        <f t="shared" si="213"/>
        <v>23588</v>
      </c>
      <c r="BA135" s="16">
        <f t="shared" si="213"/>
        <v>13359599</v>
      </c>
      <c r="BB135" s="16">
        <f t="shared" si="213"/>
        <v>0</v>
      </c>
      <c r="BC135" s="16">
        <f t="shared" si="213"/>
        <v>0</v>
      </c>
      <c r="BD135" s="16">
        <f t="shared" si="213"/>
        <v>0</v>
      </c>
      <c r="BE135" s="16">
        <f t="shared" si="213"/>
        <v>0</v>
      </c>
      <c r="BF135" s="16">
        <f t="shared" si="213"/>
        <v>0</v>
      </c>
      <c r="BG135" s="16">
        <f t="shared" si="213"/>
        <v>0</v>
      </c>
      <c r="BH135" s="16">
        <f t="shared" si="213"/>
        <v>0</v>
      </c>
      <c r="BI135" s="16">
        <f t="shared" si="213"/>
        <v>0</v>
      </c>
      <c r="BJ135" s="16">
        <f t="shared" si="213"/>
        <v>0</v>
      </c>
      <c r="BK135" s="16">
        <f t="shared" si="213"/>
        <v>0</v>
      </c>
      <c r="BL135" s="16">
        <f t="shared" si="213"/>
        <v>0</v>
      </c>
      <c r="BM135" s="16">
        <f t="shared" si="213"/>
        <v>13359599</v>
      </c>
      <c r="BN135" s="16">
        <f t="shared" si="213"/>
        <v>0</v>
      </c>
      <c r="BO135" s="16">
        <f t="shared" si="213"/>
        <v>0</v>
      </c>
      <c r="BP135" s="16">
        <f t="shared" si="213"/>
        <v>8153503</v>
      </c>
      <c r="BQ135" s="16">
        <f t="shared" si="213"/>
        <v>0</v>
      </c>
      <c r="BR135" s="16">
        <f t="shared" si="213"/>
        <v>0</v>
      </c>
      <c r="BS135" s="16">
        <f t="shared" ref="BS135:CW135" si="214">SUM(BS136:BS138)</f>
        <v>0</v>
      </c>
      <c r="BT135" s="16">
        <f t="shared" si="214"/>
        <v>0</v>
      </c>
      <c r="BU135" s="16">
        <f t="shared" si="214"/>
        <v>0</v>
      </c>
      <c r="BV135" s="16">
        <f t="shared" si="214"/>
        <v>0</v>
      </c>
      <c r="BW135" s="16">
        <f t="shared" si="214"/>
        <v>4453147</v>
      </c>
      <c r="BX135" s="16">
        <f t="shared" si="214"/>
        <v>752949</v>
      </c>
      <c r="BY135" s="16">
        <f t="shared" si="214"/>
        <v>630145</v>
      </c>
      <c r="BZ135" s="16">
        <f t="shared" si="214"/>
        <v>630145</v>
      </c>
      <c r="CA135" s="16">
        <f t="shared" si="214"/>
        <v>630145</v>
      </c>
      <c r="CB135" s="16">
        <f t="shared" si="214"/>
        <v>0</v>
      </c>
      <c r="CC135" s="16">
        <f t="shared" si="214"/>
        <v>630145</v>
      </c>
      <c r="CD135" s="16">
        <f t="shared" si="214"/>
        <v>0</v>
      </c>
      <c r="CE135" s="16">
        <f t="shared" si="214"/>
        <v>0</v>
      </c>
      <c r="CF135" s="16">
        <f t="shared" si="214"/>
        <v>0</v>
      </c>
      <c r="CG135" s="16">
        <f t="shared" si="214"/>
        <v>0</v>
      </c>
      <c r="CH135" s="16">
        <f t="shared" si="214"/>
        <v>0</v>
      </c>
      <c r="CI135" s="16">
        <f t="shared" si="214"/>
        <v>0</v>
      </c>
      <c r="CJ135" s="16">
        <f t="shared" ref="CJ135" si="215">SUM(CJ136:CJ138)</f>
        <v>0</v>
      </c>
      <c r="CK135" s="16">
        <f t="shared" si="214"/>
        <v>0</v>
      </c>
      <c r="CL135" s="16">
        <f t="shared" si="214"/>
        <v>0</v>
      </c>
      <c r="CM135" s="16">
        <f t="shared" si="214"/>
        <v>0</v>
      </c>
      <c r="CN135" s="16">
        <f t="shared" si="214"/>
        <v>0</v>
      </c>
      <c r="CO135" s="16">
        <f t="shared" si="214"/>
        <v>0</v>
      </c>
      <c r="CP135" s="16">
        <f t="shared" si="214"/>
        <v>0</v>
      </c>
      <c r="CQ135" s="16">
        <f t="shared" si="214"/>
        <v>0</v>
      </c>
      <c r="CR135" s="16">
        <f t="shared" si="214"/>
        <v>0</v>
      </c>
      <c r="CS135" s="16">
        <f t="shared" si="214"/>
        <v>0</v>
      </c>
      <c r="CT135" s="16">
        <f t="shared" si="214"/>
        <v>0</v>
      </c>
      <c r="CU135" s="16">
        <f t="shared" si="214"/>
        <v>0</v>
      </c>
      <c r="CV135" s="16">
        <f t="shared" si="214"/>
        <v>0</v>
      </c>
      <c r="CW135" s="17">
        <f t="shared" si="214"/>
        <v>0</v>
      </c>
      <c r="CX135" s="40"/>
      <c r="CY135" s="40"/>
    </row>
    <row r="136" spans="1:103" ht="15.75" x14ac:dyDescent="0.25">
      <c r="A136" s="13" t="s">
        <v>1</v>
      </c>
      <c r="B136" s="14" t="s">
        <v>1</v>
      </c>
      <c r="C136" s="14" t="s">
        <v>23</v>
      </c>
      <c r="D136" s="30" t="s">
        <v>158</v>
      </c>
      <c r="E136" s="15">
        <f>SUM(F136+BY136+CT136)</f>
        <v>187986</v>
      </c>
      <c r="F136" s="16">
        <f>SUM(G136+BA136)</f>
        <v>187986</v>
      </c>
      <c r="G136" s="16">
        <f>SUM(H136+I136+J136+Q136+T136+U136+V136+AE136)</f>
        <v>0</v>
      </c>
      <c r="H136" s="16">
        <v>0</v>
      </c>
      <c r="I136" s="16">
        <v>0</v>
      </c>
      <c r="J136" s="16">
        <f t="shared" si="103"/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f t="shared" si="104"/>
        <v>0</v>
      </c>
      <c r="R136" s="16">
        <v>0</v>
      </c>
      <c r="S136" s="16">
        <v>0</v>
      </c>
      <c r="T136" s="16">
        <v>0</v>
      </c>
      <c r="U136" s="16">
        <v>0</v>
      </c>
      <c r="V136" s="16">
        <f>SUM(W136:AD136)</f>
        <v>0</v>
      </c>
      <c r="W136" s="16">
        <v>0</v>
      </c>
      <c r="X136" s="16">
        <v>0</v>
      </c>
      <c r="Y136" s="16">
        <v>0</v>
      </c>
      <c r="Z136" s="16">
        <v>0</v>
      </c>
      <c r="AA136" s="16">
        <v>0</v>
      </c>
      <c r="AB136" s="16">
        <v>0</v>
      </c>
      <c r="AC136" s="16">
        <v>0</v>
      </c>
      <c r="AD136" s="16">
        <v>0</v>
      </c>
      <c r="AE136" s="16">
        <f>SUM(AF136:AZ136)</f>
        <v>0</v>
      </c>
      <c r="AF136" s="16">
        <v>0</v>
      </c>
      <c r="AG136" s="16">
        <v>0</v>
      </c>
      <c r="AH136" s="16">
        <v>0</v>
      </c>
      <c r="AI136" s="16">
        <v>0</v>
      </c>
      <c r="AJ136" s="16">
        <v>0</v>
      </c>
      <c r="AK136" s="16">
        <v>0</v>
      </c>
      <c r="AL136" s="16">
        <v>0</v>
      </c>
      <c r="AM136" s="16">
        <v>0</v>
      </c>
      <c r="AN136" s="16">
        <v>0</v>
      </c>
      <c r="AO136" s="16">
        <v>0</v>
      </c>
      <c r="AP136" s="16">
        <v>0</v>
      </c>
      <c r="AQ136" s="16">
        <v>0</v>
      </c>
      <c r="AR136" s="16">
        <v>0</v>
      </c>
      <c r="AS136" s="16">
        <v>0</v>
      </c>
      <c r="AT136" s="16">
        <v>0</v>
      </c>
      <c r="AU136" s="16">
        <v>0</v>
      </c>
      <c r="AV136" s="16">
        <v>0</v>
      </c>
      <c r="AW136" s="16">
        <v>0</v>
      </c>
      <c r="AX136" s="16">
        <v>0</v>
      </c>
      <c r="AY136" s="16">
        <v>0</v>
      </c>
      <c r="AZ136" s="16">
        <v>0</v>
      </c>
      <c r="BA136" s="16">
        <f>SUM(BB136+BF136+BI136+BK136+BM136)</f>
        <v>187986</v>
      </c>
      <c r="BB136" s="16">
        <f>SUM(BC136:BE136)</f>
        <v>0</v>
      </c>
      <c r="BC136" s="16">
        <v>0</v>
      </c>
      <c r="BD136" s="16">
        <v>0</v>
      </c>
      <c r="BE136" s="16">
        <v>0</v>
      </c>
      <c r="BF136" s="16">
        <f t="shared" si="105"/>
        <v>0</v>
      </c>
      <c r="BG136" s="16">
        <v>0</v>
      </c>
      <c r="BH136" s="16">
        <v>0</v>
      </c>
      <c r="BI136" s="16">
        <v>0</v>
      </c>
      <c r="BJ136" s="16">
        <v>0</v>
      </c>
      <c r="BK136" s="16">
        <f t="shared" si="106"/>
        <v>0</v>
      </c>
      <c r="BL136" s="16">
        <v>0</v>
      </c>
      <c r="BM136" s="16">
        <f t="shared" si="107"/>
        <v>187986</v>
      </c>
      <c r="BN136" s="16">
        <v>0</v>
      </c>
      <c r="BO136" s="16">
        <v>0</v>
      </c>
      <c r="BP136" s="16">
        <v>187986</v>
      </c>
      <c r="BQ136" s="16">
        <v>0</v>
      </c>
      <c r="BR136" s="16">
        <v>0</v>
      </c>
      <c r="BS136" s="16">
        <v>0</v>
      </c>
      <c r="BT136" s="16">
        <v>0</v>
      </c>
      <c r="BU136" s="16">
        <v>0</v>
      </c>
      <c r="BV136" s="16">
        <v>0</v>
      </c>
      <c r="BW136" s="16">
        <v>0</v>
      </c>
      <c r="BX136" s="16">
        <v>0</v>
      </c>
      <c r="BY136" s="16">
        <f>SUM(BZ136+CS136)</f>
        <v>0</v>
      </c>
      <c r="BZ136" s="16">
        <f>SUM(CA136+CD136+CK136)</f>
        <v>0</v>
      </c>
      <c r="CA136" s="16">
        <f t="shared" si="108"/>
        <v>0</v>
      </c>
      <c r="CB136" s="16">
        <v>0</v>
      </c>
      <c r="CC136" s="16">
        <v>0</v>
      </c>
      <c r="CD136" s="16">
        <f t="shared" si="109"/>
        <v>0</v>
      </c>
      <c r="CE136" s="16">
        <v>0</v>
      </c>
      <c r="CF136" s="16">
        <v>0</v>
      </c>
      <c r="CG136" s="16">
        <v>0</v>
      </c>
      <c r="CH136" s="16">
        <v>0</v>
      </c>
      <c r="CI136" s="16">
        <v>0</v>
      </c>
      <c r="CJ136" s="16">
        <v>0</v>
      </c>
      <c r="CK136" s="16">
        <f t="shared" si="110"/>
        <v>0</v>
      </c>
      <c r="CL136" s="16">
        <v>0</v>
      </c>
      <c r="CM136" s="16">
        <v>0</v>
      </c>
      <c r="CN136" s="16">
        <v>0</v>
      </c>
      <c r="CO136" s="16">
        <v>0</v>
      </c>
      <c r="CP136" s="16">
        <v>0</v>
      </c>
      <c r="CQ136" s="16">
        <v>0</v>
      </c>
      <c r="CR136" s="16">
        <v>0</v>
      </c>
      <c r="CS136" s="16">
        <v>0</v>
      </c>
      <c r="CT136" s="16">
        <f t="shared" si="111"/>
        <v>0</v>
      </c>
      <c r="CU136" s="16">
        <f t="shared" si="112"/>
        <v>0</v>
      </c>
      <c r="CV136" s="16">
        <v>0</v>
      </c>
      <c r="CW136" s="17">
        <v>0</v>
      </c>
      <c r="CX136" s="40"/>
      <c r="CY136" s="40"/>
    </row>
    <row r="137" spans="1:103" ht="15.75" x14ac:dyDescent="0.25">
      <c r="A137" s="13" t="s">
        <v>1</v>
      </c>
      <c r="B137" s="14" t="s">
        <v>1</v>
      </c>
      <c r="C137" s="14" t="s">
        <v>122</v>
      </c>
      <c r="D137" s="30" t="s">
        <v>159</v>
      </c>
      <c r="E137" s="15">
        <f>SUM(F137+BY137+CT137)</f>
        <v>102809728</v>
      </c>
      <c r="F137" s="16">
        <f>SUM(G137+BA137)</f>
        <v>102404064</v>
      </c>
      <c r="G137" s="16">
        <f>SUM(H137+I137+J137+Q137+T137+U137+V137+AE137)</f>
        <v>90147251</v>
      </c>
      <c r="H137" s="16">
        <f>69377949-581106</f>
        <v>68796843</v>
      </c>
      <c r="I137" s="16">
        <f>16177313-97680</f>
        <v>16079633</v>
      </c>
      <c r="J137" s="16">
        <f t="shared" si="103"/>
        <v>641825</v>
      </c>
      <c r="K137" s="16">
        <v>0</v>
      </c>
      <c r="L137" s="16">
        <v>22736</v>
      </c>
      <c r="M137" s="16">
        <f>318932-26052</f>
        <v>292880</v>
      </c>
      <c r="N137" s="16">
        <v>0</v>
      </c>
      <c r="O137" s="16">
        <v>306528</v>
      </c>
      <c r="P137" s="16">
        <v>19681</v>
      </c>
      <c r="Q137" s="16">
        <f t="shared" si="104"/>
        <v>18453</v>
      </c>
      <c r="R137" s="16">
        <f>20086-1633</f>
        <v>18453</v>
      </c>
      <c r="S137" s="16">
        <v>0</v>
      </c>
      <c r="T137" s="16">
        <v>0</v>
      </c>
      <c r="U137" s="16">
        <v>285497</v>
      </c>
      <c r="V137" s="16">
        <f>SUM(W137:AD137)</f>
        <v>2209799</v>
      </c>
      <c r="W137" s="16">
        <v>1138547</v>
      </c>
      <c r="X137" s="16">
        <v>566845</v>
      </c>
      <c r="Y137" s="16">
        <v>204352</v>
      </c>
      <c r="Z137" s="16">
        <v>95529</v>
      </c>
      <c r="AA137" s="16">
        <v>129680</v>
      </c>
      <c r="AB137" s="16">
        <v>74697</v>
      </c>
      <c r="AC137" s="16">
        <v>0</v>
      </c>
      <c r="AD137" s="16">
        <v>149</v>
      </c>
      <c r="AE137" s="16">
        <f>SUM(AF137:AZ137)</f>
        <v>2115201</v>
      </c>
      <c r="AF137" s="16">
        <v>0</v>
      </c>
      <c r="AG137" s="16">
        <v>0</v>
      </c>
      <c r="AH137" s="16">
        <v>204325</v>
      </c>
      <c r="AI137" s="16">
        <v>573358</v>
      </c>
      <c r="AJ137" s="16">
        <v>115817</v>
      </c>
      <c r="AK137" s="16">
        <v>0</v>
      </c>
      <c r="AL137" s="16">
        <v>727952</v>
      </c>
      <c r="AM137" s="16">
        <v>468977</v>
      </c>
      <c r="AN137" s="16">
        <v>0</v>
      </c>
      <c r="AO137" s="16">
        <v>17292</v>
      </c>
      <c r="AP137" s="16"/>
      <c r="AQ137" s="16">
        <v>0</v>
      </c>
      <c r="AR137" s="16">
        <v>0</v>
      </c>
      <c r="AS137" s="16">
        <v>0</v>
      </c>
      <c r="AT137" s="16">
        <v>0</v>
      </c>
      <c r="AU137" s="16">
        <v>0</v>
      </c>
      <c r="AV137" s="16">
        <v>0</v>
      </c>
      <c r="AW137" s="16">
        <v>0</v>
      </c>
      <c r="AX137" s="16">
        <v>0</v>
      </c>
      <c r="AY137" s="16"/>
      <c r="AZ137" s="16">
        <v>7480</v>
      </c>
      <c r="BA137" s="16">
        <f>SUM(BB137+BF137+BI137+BK137+BM137)</f>
        <v>12256813</v>
      </c>
      <c r="BB137" s="16">
        <f>SUM(BC137:BE137)</f>
        <v>0</v>
      </c>
      <c r="BC137" s="16">
        <v>0</v>
      </c>
      <c r="BD137" s="16">
        <v>0</v>
      </c>
      <c r="BE137" s="16">
        <v>0</v>
      </c>
      <c r="BF137" s="16">
        <f t="shared" si="105"/>
        <v>0</v>
      </c>
      <c r="BG137" s="16">
        <v>0</v>
      </c>
      <c r="BH137" s="16">
        <v>0</v>
      </c>
      <c r="BI137" s="16">
        <v>0</v>
      </c>
      <c r="BJ137" s="16">
        <v>0</v>
      </c>
      <c r="BK137" s="16">
        <f t="shared" si="106"/>
        <v>0</v>
      </c>
      <c r="BL137" s="16">
        <v>0</v>
      </c>
      <c r="BM137" s="16">
        <f t="shared" si="107"/>
        <v>12256813</v>
      </c>
      <c r="BN137" s="16">
        <v>0</v>
      </c>
      <c r="BO137" s="16">
        <v>0</v>
      </c>
      <c r="BP137" s="16">
        <f>7680014-363194</f>
        <v>7316820</v>
      </c>
      <c r="BQ137" s="16">
        <v>0</v>
      </c>
      <c r="BR137" s="16">
        <v>0</v>
      </c>
      <c r="BS137" s="16">
        <v>0</v>
      </c>
      <c r="BT137" s="16">
        <v>0</v>
      </c>
      <c r="BU137" s="16">
        <v>0</v>
      </c>
      <c r="BV137" s="16">
        <v>0</v>
      </c>
      <c r="BW137" s="16">
        <v>4187044</v>
      </c>
      <c r="BX137" s="16">
        <v>752949</v>
      </c>
      <c r="BY137" s="16">
        <f>SUM(BZ137+CS137)</f>
        <v>405664</v>
      </c>
      <c r="BZ137" s="16">
        <f>SUM(CA137+CD137+CK137)</f>
        <v>405664</v>
      </c>
      <c r="CA137" s="16">
        <f t="shared" si="108"/>
        <v>405664</v>
      </c>
      <c r="CB137" s="16">
        <v>0</v>
      </c>
      <c r="CC137" s="16">
        <v>405664</v>
      </c>
      <c r="CD137" s="16">
        <f t="shared" si="109"/>
        <v>0</v>
      </c>
      <c r="CE137" s="16">
        <v>0</v>
      </c>
      <c r="CF137" s="16">
        <v>0</v>
      </c>
      <c r="CG137" s="16">
        <v>0</v>
      </c>
      <c r="CH137" s="16">
        <v>0</v>
      </c>
      <c r="CI137" s="16">
        <v>0</v>
      </c>
      <c r="CJ137" s="16">
        <v>0</v>
      </c>
      <c r="CK137" s="16">
        <f t="shared" si="110"/>
        <v>0</v>
      </c>
      <c r="CL137" s="16">
        <v>0</v>
      </c>
      <c r="CM137" s="16">
        <v>0</v>
      </c>
      <c r="CN137" s="16">
        <v>0</v>
      </c>
      <c r="CO137" s="16">
        <v>0</v>
      </c>
      <c r="CP137" s="16">
        <v>0</v>
      </c>
      <c r="CQ137" s="16"/>
      <c r="CR137" s="16"/>
      <c r="CS137" s="16">
        <v>0</v>
      </c>
      <c r="CT137" s="16">
        <f t="shared" si="111"/>
        <v>0</v>
      </c>
      <c r="CU137" s="16">
        <f t="shared" si="112"/>
        <v>0</v>
      </c>
      <c r="CV137" s="16">
        <v>0</v>
      </c>
      <c r="CW137" s="17">
        <v>0</v>
      </c>
      <c r="CX137" s="40"/>
      <c r="CY137" s="40"/>
    </row>
    <row r="138" spans="1:103" ht="15.75" x14ac:dyDescent="0.25">
      <c r="A138" s="13" t="s">
        <v>1</v>
      </c>
      <c r="B138" s="14" t="s">
        <v>1</v>
      </c>
      <c r="C138" s="14" t="s">
        <v>33</v>
      </c>
      <c r="D138" s="30" t="s">
        <v>160</v>
      </c>
      <c r="E138" s="15">
        <f>SUM(F138+BY138+CT138)</f>
        <v>13728732</v>
      </c>
      <c r="F138" s="16">
        <f>SUM(G138+BA138)</f>
        <v>13504251</v>
      </c>
      <c r="G138" s="16">
        <f>SUM(H138+I138+J138+Q138+T138+U138+V138+AE138)</f>
        <v>12589451</v>
      </c>
      <c r="H138" s="16">
        <f>10079084-20028-328619</f>
        <v>9730437</v>
      </c>
      <c r="I138" s="16">
        <f>2375325-5007-37320</f>
        <v>2332998</v>
      </c>
      <c r="J138" s="16">
        <f t="shared" si="103"/>
        <v>102153</v>
      </c>
      <c r="K138" s="16">
        <v>0</v>
      </c>
      <c r="L138" s="16">
        <v>2587</v>
      </c>
      <c r="M138" s="16">
        <v>0</v>
      </c>
      <c r="N138" s="16">
        <v>0</v>
      </c>
      <c r="O138" s="16">
        <f>72022-1576</f>
        <v>70446</v>
      </c>
      <c r="P138" s="16">
        <f>32000-2880</f>
        <v>29120</v>
      </c>
      <c r="Q138" s="16">
        <f t="shared" si="104"/>
        <v>0</v>
      </c>
      <c r="R138" s="16">
        <v>0</v>
      </c>
      <c r="S138" s="16">
        <v>0</v>
      </c>
      <c r="T138" s="16">
        <v>0</v>
      </c>
      <c r="U138" s="16">
        <v>39242</v>
      </c>
      <c r="V138" s="16">
        <f>SUM(W138:AD138)</f>
        <v>105294</v>
      </c>
      <c r="W138" s="16">
        <v>3964</v>
      </c>
      <c r="X138" s="16">
        <f>73512-301</f>
        <v>73211</v>
      </c>
      <c r="Y138" s="16">
        <v>15995</v>
      </c>
      <c r="Z138" s="16">
        <v>4884</v>
      </c>
      <c r="AA138" s="16">
        <v>7240</v>
      </c>
      <c r="AB138" s="16">
        <v>0</v>
      </c>
      <c r="AC138" s="16">
        <v>0</v>
      </c>
      <c r="AD138" s="16">
        <v>0</v>
      </c>
      <c r="AE138" s="16">
        <f>SUM(AF138:AZ138)</f>
        <v>279327</v>
      </c>
      <c r="AF138" s="16">
        <v>0</v>
      </c>
      <c r="AG138" s="16">
        <v>14500</v>
      </c>
      <c r="AH138" s="16">
        <v>54717</v>
      </c>
      <c r="AI138" s="16">
        <v>27799</v>
      </c>
      <c r="AJ138" s="16">
        <v>9911</v>
      </c>
      <c r="AK138" s="16">
        <v>0</v>
      </c>
      <c r="AL138" s="16">
        <v>112240</v>
      </c>
      <c r="AM138" s="16">
        <v>4200</v>
      </c>
      <c r="AN138" s="16">
        <v>0</v>
      </c>
      <c r="AO138" s="16">
        <v>0</v>
      </c>
      <c r="AP138" s="16">
        <v>0</v>
      </c>
      <c r="AQ138" s="16">
        <v>0</v>
      </c>
      <c r="AR138" s="16">
        <v>0</v>
      </c>
      <c r="AS138" s="16">
        <f>39852</f>
        <v>39852</v>
      </c>
      <c r="AT138" s="16">
        <f>0</f>
        <v>0</v>
      </c>
      <c r="AU138" s="16">
        <v>0</v>
      </c>
      <c r="AV138" s="16">
        <v>0</v>
      </c>
      <c r="AW138" s="16">
        <v>0</v>
      </c>
      <c r="AX138" s="16">
        <v>0</v>
      </c>
      <c r="AY138" s="16">
        <v>0</v>
      </c>
      <c r="AZ138" s="16">
        <v>16108</v>
      </c>
      <c r="BA138" s="16">
        <f>SUM(BB138+BF138+BI138+BK138+BM138)</f>
        <v>914800</v>
      </c>
      <c r="BB138" s="16">
        <f>SUM(BC138:BE138)</f>
        <v>0</v>
      </c>
      <c r="BC138" s="16">
        <v>0</v>
      </c>
      <c r="BD138" s="16">
        <v>0</v>
      </c>
      <c r="BE138" s="16">
        <v>0</v>
      </c>
      <c r="BF138" s="16">
        <f t="shared" si="105"/>
        <v>0</v>
      </c>
      <c r="BG138" s="16">
        <v>0</v>
      </c>
      <c r="BH138" s="16">
        <v>0</v>
      </c>
      <c r="BI138" s="16">
        <v>0</v>
      </c>
      <c r="BJ138" s="16">
        <v>0</v>
      </c>
      <c r="BK138" s="16">
        <f t="shared" si="106"/>
        <v>0</v>
      </c>
      <c r="BL138" s="16">
        <v>0</v>
      </c>
      <c r="BM138" s="16">
        <f t="shared" si="107"/>
        <v>914800</v>
      </c>
      <c r="BN138" s="16">
        <v>0</v>
      </c>
      <c r="BO138" s="16">
        <v>0</v>
      </c>
      <c r="BP138" s="16">
        <v>648697</v>
      </c>
      <c r="BQ138" s="16">
        <v>0</v>
      </c>
      <c r="BR138" s="16">
        <v>0</v>
      </c>
      <c r="BS138" s="16">
        <v>0</v>
      </c>
      <c r="BT138" s="16">
        <v>0</v>
      </c>
      <c r="BU138" s="16">
        <v>0</v>
      </c>
      <c r="BV138" s="16">
        <v>0</v>
      </c>
      <c r="BW138" s="16">
        <v>266103</v>
      </c>
      <c r="BX138" s="16">
        <v>0</v>
      </c>
      <c r="BY138" s="16">
        <f>SUM(BZ138+CS138)</f>
        <v>224481</v>
      </c>
      <c r="BZ138" s="16">
        <f>SUM(CA138+CD138+CK138)</f>
        <v>224481</v>
      </c>
      <c r="CA138" s="16">
        <f t="shared" si="108"/>
        <v>224481</v>
      </c>
      <c r="CB138" s="16">
        <v>0</v>
      </c>
      <c r="CC138" s="16">
        <v>224481</v>
      </c>
      <c r="CD138" s="16">
        <f t="shared" si="109"/>
        <v>0</v>
      </c>
      <c r="CE138" s="16">
        <v>0</v>
      </c>
      <c r="CF138" s="16">
        <v>0</v>
      </c>
      <c r="CG138" s="16">
        <v>0</v>
      </c>
      <c r="CH138" s="16">
        <v>0</v>
      </c>
      <c r="CI138" s="16">
        <v>0</v>
      </c>
      <c r="CJ138" s="16">
        <v>0</v>
      </c>
      <c r="CK138" s="16">
        <f t="shared" si="110"/>
        <v>0</v>
      </c>
      <c r="CL138" s="16">
        <v>0</v>
      </c>
      <c r="CM138" s="16">
        <v>0</v>
      </c>
      <c r="CN138" s="16">
        <v>0</v>
      </c>
      <c r="CO138" s="16">
        <v>0</v>
      </c>
      <c r="CP138" s="16">
        <v>0</v>
      </c>
      <c r="CQ138" s="16">
        <v>0</v>
      </c>
      <c r="CR138" s="16">
        <v>0</v>
      </c>
      <c r="CS138" s="16">
        <v>0</v>
      </c>
      <c r="CT138" s="16">
        <f t="shared" si="111"/>
        <v>0</v>
      </c>
      <c r="CU138" s="16">
        <f t="shared" si="112"/>
        <v>0</v>
      </c>
      <c r="CV138" s="16">
        <v>0</v>
      </c>
      <c r="CW138" s="17">
        <v>0</v>
      </c>
      <c r="CX138" s="40"/>
      <c r="CY138" s="40"/>
    </row>
    <row r="139" spans="1:103" ht="31.5" x14ac:dyDescent="0.25">
      <c r="A139" s="13" t="s">
        <v>111</v>
      </c>
      <c r="B139" s="14" t="s">
        <v>100</v>
      </c>
      <c r="C139" s="14" t="s">
        <v>1</v>
      </c>
      <c r="D139" s="30" t="s">
        <v>161</v>
      </c>
      <c r="E139" s="15">
        <f>SUM(E140)</f>
        <v>3471060</v>
      </c>
      <c r="F139" s="16">
        <f t="shared" ref="F139:BS139" si="216">SUM(F140)</f>
        <v>3417083</v>
      </c>
      <c r="G139" s="16">
        <f t="shared" si="216"/>
        <v>3417083</v>
      </c>
      <c r="H139" s="16">
        <f t="shared" si="216"/>
        <v>2698873</v>
      </c>
      <c r="I139" s="16">
        <f t="shared" si="216"/>
        <v>603681</v>
      </c>
      <c r="J139" s="16">
        <f t="shared" si="216"/>
        <v>17933</v>
      </c>
      <c r="K139" s="16">
        <f t="shared" si="216"/>
        <v>0</v>
      </c>
      <c r="L139" s="16">
        <f t="shared" si="216"/>
        <v>0</v>
      </c>
      <c r="M139" s="16">
        <f t="shared" si="216"/>
        <v>0</v>
      </c>
      <c r="N139" s="16">
        <f t="shared" si="216"/>
        <v>0</v>
      </c>
      <c r="O139" s="16">
        <f t="shared" si="216"/>
        <v>13684</v>
      </c>
      <c r="P139" s="16">
        <f t="shared" si="216"/>
        <v>4249</v>
      </c>
      <c r="Q139" s="16">
        <f t="shared" si="216"/>
        <v>400</v>
      </c>
      <c r="R139" s="16">
        <f t="shared" si="216"/>
        <v>400</v>
      </c>
      <c r="S139" s="16">
        <f t="shared" si="216"/>
        <v>0</v>
      </c>
      <c r="T139" s="16">
        <f t="shared" si="216"/>
        <v>0</v>
      </c>
      <c r="U139" s="16">
        <f t="shared" si="216"/>
        <v>28743</v>
      </c>
      <c r="V139" s="16">
        <f t="shared" si="216"/>
        <v>28443</v>
      </c>
      <c r="W139" s="16">
        <f t="shared" si="216"/>
        <v>0</v>
      </c>
      <c r="X139" s="16">
        <f t="shared" si="216"/>
        <v>20941</v>
      </c>
      <c r="Y139" s="16">
        <f t="shared" si="216"/>
        <v>3685</v>
      </c>
      <c r="Z139" s="16">
        <f t="shared" si="216"/>
        <v>2312</v>
      </c>
      <c r="AA139" s="16">
        <f t="shared" si="216"/>
        <v>1505</v>
      </c>
      <c r="AB139" s="16">
        <f t="shared" si="216"/>
        <v>0</v>
      </c>
      <c r="AC139" s="16">
        <f t="shared" si="216"/>
        <v>0</v>
      </c>
      <c r="AD139" s="16">
        <f t="shared" si="216"/>
        <v>0</v>
      </c>
      <c r="AE139" s="16">
        <f t="shared" si="216"/>
        <v>39010</v>
      </c>
      <c r="AF139" s="16">
        <f t="shared" si="216"/>
        <v>0</v>
      </c>
      <c r="AG139" s="16">
        <f t="shared" si="216"/>
        <v>0</v>
      </c>
      <c r="AH139" s="16">
        <f t="shared" si="216"/>
        <v>10430</v>
      </c>
      <c r="AI139" s="16">
        <f t="shared" si="216"/>
        <v>0</v>
      </c>
      <c r="AJ139" s="16">
        <f t="shared" si="216"/>
        <v>1591</v>
      </c>
      <c r="AK139" s="16">
        <f t="shared" si="216"/>
        <v>0</v>
      </c>
      <c r="AL139" s="16">
        <f t="shared" si="216"/>
        <v>26989</v>
      </c>
      <c r="AM139" s="16">
        <f t="shared" si="216"/>
        <v>0</v>
      </c>
      <c r="AN139" s="16">
        <f t="shared" si="216"/>
        <v>0</v>
      </c>
      <c r="AO139" s="16">
        <f t="shared" si="216"/>
        <v>0</v>
      </c>
      <c r="AP139" s="16">
        <f t="shared" si="216"/>
        <v>0</v>
      </c>
      <c r="AQ139" s="16">
        <f t="shared" si="216"/>
        <v>0</v>
      </c>
      <c r="AR139" s="16">
        <f t="shared" si="216"/>
        <v>0</v>
      </c>
      <c r="AS139" s="16">
        <f t="shared" si="216"/>
        <v>0</v>
      </c>
      <c r="AT139" s="16">
        <f t="shared" si="216"/>
        <v>0</v>
      </c>
      <c r="AU139" s="16">
        <f t="shared" si="216"/>
        <v>0</v>
      </c>
      <c r="AV139" s="16">
        <f t="shared" si="216"/>
        <v>0</v>
      </c>
      <c r="AW139" s="16">
        <f t="shared" si="216"/>
        <v>0</v>
      </c>
      <c r="AX139" s="16">
        <f t="shared" si="216"/>
        <v>0</v>
      </c>
      <c r="AY139" s="16">
        <f t="shared" si="216"/>
        <v>0</v>
      </c>
      <c r="AZ139" s="16">
        <f t="shared" si="216"/>
        <v>0</v>
      </c>
      <c r="BA139" s="16">
        <f t="shared" si="216"/>
        <v>0</v>
      </c>
      <c r="BB139" s="16">
        <f t="shared" si="216"/>
        <v>0</v>
      </c>
      <c r="BC139" s="16">
        <f t="shared" si="216"/>
        <v>0</v>
      </c>
      <c r="BD139" s="16">
        <f t="shared" si="216"/>
        <v>0</v>
      </c>
      <c r="BE139" s="16">
        <f t="shared" si="216"/>
        <v>0</v>
      </c>
      <c r="BF139" s="16">
        <f t="shared" si="216"/>
        <v>0</v>
      </c>
      <c r="BG139" s="16">
        <f t="shared" si="216"/>
        <v>0</v>
      </c>
      <c r="BH139" s="16">
        <f t="shared" si="216"/>
        <v>0</v>
      </c>
      <c r="BI139" s="16">
        <f t="shared" si="216"/>
        <v>0</v>
      </c>
      <c r="BJ139" s="16">
        <f t="shared" si="216"/>
        <v>0</v>
      </c>
      <c r="BK139" s="16">
        <f t="shared" si="216"/>
        <v>0</v>
      </c>
      <c r="BL139" s="16">
        <f t="shared" si="216"/>
        <v>0</v>
      </c>
      <c r="BM139" s="16">
        <f t="shared" si="216"/>
        <v>0</v>
      </c>
      <c r="BN139" s="16">
        <f t="shared" si="216"/>
        <v>0</v>
      </c>
      <c r="BO139" s="16">
        <f t="shared" si="216"/>
        <v>0</v>
      </c>
      <c r="BP139" s="16">
        <f t="shared" si="216"/>
        <v>0</v>
      </c>
      <c r="BQ139" s="16">
        <f t="shared" si="216"/>
        <v>0</v>
      </c>
      <c r="BR139" s="16">
        <f t="shared" si="216"/>
        <v>0</v>
      </c>
      <c r="BS139" s="16">
        <f t="shared" si="216"/>
        <v>0</v>
      </c>
      <c r="BT139" s="16">
        <f t="shared" ref="BT139:CW139" si="217">SUM(BT140)</f>
        <v>0</v>
      </c>
      <c r="BU139" s="16">
        <f t="shared" si="217"/>
        <v>0</v>
      </c>
      <c r="BV139" s="16">
        <f t="shared" si="217"/>
        <v>0</v>
      </c>
      <c r="BW139" s="16">
        <f t="shared" si="217"/>
        <v>0</v>
      </c>
      <c r="BX139" s="16">
        <f t="shared" si="217"/>
        <v>0</v>
      </c>
      <c r="BY139" s="16">
        <f t="shared" si="217"/>
        <v>53977</v>
      </c>
      <c r="BZ139" s="16">
        <f t="shared" si="217"/>
        <v>53977</v>
      </c>
      <c r="CA139" s="16">
        <f t="shared" si="217"/>
        <v>53977</v>
      </c>
      <c r="CB139" s="16">
        <f t="shared" si="217"/>
        <v>0</v>
      </c>
      <c r="CC139" s="16">
        <f t="shared" si="217"/>
        <v>53977</v>
      </c>
      <c r="CD139" s="16">
        <f t="shared" si="217"/>
        <v>0</v>
      </c>
      <c r="CE139" s="16">
        <f t="shared" si="217"/>
        <v>0</v>
      </c>
      <c r="CF139" s="16">
        <f t="shared" si="217"/>
        <v>0</v>
      </c>
      <c r="CG139" s="16">
        <f t="shared" si="217"/>
        <v>0</v>
      </c>
      <c r="CH139" s="16">
        <f t="shared" si="217"/>
        <v>0</v>
      </c>
      <c r="CI139" s="16">
        <f t="shared" si="217"/>
        <v>0</v>
      </c>
      <c r="CJ139" s="16">
        <f t="shared" si="217"/>
        <v>0</v>
      </c>
      <c r="CK139" s="16">
        <f t="shared" si="217"/>
        <v>0</v>
      </c>
      <c r="CL139" s="16">
        <f t="shared" si="217"/>
        <v>0</v>
      </c>
      <c r="CM139" s="16">
        <f t="shared" si="217"/>
        <v>0</v>
      </c>
      <c r="CN139" s="16">
        <f t="shared" si="217"/>
        <v>0</v>
      </c>
      <c r="CO139" s="16">
        <f t="shared" si="217"/>
        <v>0</v>
      </c>
      <c r="CP139" s="16">
        <f t="shared" si="217"/>
        <v>0</v>
      </c>
      <c r="CQ139" s="16">
        <f t="shared" si="217"/>
        <v>0</v>
      </c>
      <c r="CR139" s="16">
        <f t="shared" si="217"/>
        <v>0</v>
      </c>
      <c r="CS139" s="16">
        <f t="shared" si="217"/>
        <v>0</v>
      </c>
      <c r="CT139" s="16">
        <f t="shared" si="217"/>
        <v>0</v>
      </c>
      <c r="CU139" s="16">
        <f t="shared" si="217"/>
        <v>0</v>
      </c>
      <c r="CV139" s="16">
        <f t="shared" si="217"/>
        <v>0</v>
      </c>
      <c r="CW139" s="17">
        <f t="shared" si="217"/>
        <v>0</v>
      </c>
      <c r="CX139" s="40"/>
      <c r="CY139" s="40"/>
    </row>
    <row r="140" spans="1:103" ht="31.5" x14ac:dyDescent="0.25">
      <c r="A140" s="13" t="s">
        <v>1</v>
      </c>
      <c r="B140" s="14" t="s">
        <v>1</v>
      </c>
      <c r="C140" s="14" t="s">
        <v>23</v>
      </c>
      <c r="D140" s="30" t="s">
        <v>162</v>
      </c>
      <c r="E140" s="15">
        <f>SUM(F140+BY140+CT140)</f>
        <v>3471060</v>
      </c>
      <c r="F140" s="16">
        <f>SUM(G140+BA140)</f>
        <v>3417083</v>
      </c>
      <c r="G140" s="16">
        <f>SUM(H140+I140+J140+Q140+T140+U140+V140+AE140)</f>
        <v>3417083</v>
      </c>
      <c r="H140" s="16">
        <v>2698873</v>
      </c>
      <c r="I140" s="16">
        <v>603681</v>
      </c>
      <c r="J140" s="16">
        <f t="shared" si="103"/>
        <v>17933</v>
      </c>
      <c r="K140" s="16">
        <v>0</v>
      </c>
      <c r="L140" s="16">
        <v>0</v>
      </c>
      <c r="M140" s="16">
        <v>0</v>
      </c>
      <c r="N140" s="16">
        <v>0</v>
      </c>
      <c r="O140" s="16">
        <v>13684</v>
      </c>
      <c r="P140" s="16">
        <v>4249</v>
      </c>
      <c r="Q140" s="16">
        <f t="shared" si="104"/>
        <v>400</v>
      </c>
      <c r="R140" s="16">
        <v>400</v>
      </c>
      <c r="S140" s="16">
        <v>0</v>
      </c>
      <c r="T140" s="16">
        <v>0</v>
      </c>
      <c r="U140" s="16">
        <v>28743</v>
      </c>
      <c r="V140" s="16">
        <f>SUM(W140:AD140)</f>
        <v>28443</v>
      </c>
      <c r="W140" s="16">
        <v>0</v>
      </c>
      <c r="X140" s="16">
        <v>20941</v>
      </c>
      <c r="Y140" s="16">
        <v>3685</v>
      </c>
      <c r="Z140" s="16">
        <v>2312</v>
      </c>
      <c r="AA140" s="16">
        <v>1505</v>
      </c>
      <c r="AB140" s="16">
        <v>0</v>
      </c>
      <c r="AC140" s="16">
        <v>0</v>
      </c>
      <c r="AD140" s="16">
        <v>0</v>
      </c>
      <c r="AE140" s="16">
        <f>SUM(AF140:AZ140)</f>
        <v>39010</v>
      </c>
      <c r="AF140" s="16">
        <v>0</v>
      </c>
      <c r="AG140" s="16">
        <v>0</v>
      </c>
      <c r="AH140" s="16">
        <v>10430</v>
      </c>
      <c r="AI140" s="16">
        <v>0</v>
      </c>
      <c r="AJ140" s="16">
        <v>1591</v>
      </c>
      <c r="AK140" s="16">
        <v>0</v>
      </c>
      <c r="AL140" s="16">
        <v>26989</v>
      </c>
      <c r="AM140" s="16">
        <v>0</v>
      </c>
      <c r="AN140" s="16">
        <v>0</v>
      </c>
      <c r="AO140" s="16">
        <v>0</v>
      </c>
      <c r="AP140" s="16">
        <v>0</v>
      </c>
      <c r="AQ140" s="16">
        <v>0</v>
      </c>
      <c r="AR140" s="16">
        <v>0</v>
      </c>
      <c r="AS140" s="16">
        <v>0</v>
      </c>
      <c r="AT140" s="16">
        <v>0</v>
      </c>
      <c r="AU140" s="16">
        <v>0</v>
      </c>
      <c r="AV140" s="16">
        <v>0</v>
      </c>
      <c r="AW140" s="16">
        <v>0</v>
      </c>
      <c r="AX140" s="16">
        <v>0</v>
      </c>
      <c r="AY140" s="16">
        <v>0</v>
      </c>
      <c r="AZ140" s="16">
        <v>0</v>
      </c>
      <c r="BA140" s="16">
        <f>SUM(BB140+BF140+BI140+BK140+BM140)</f>
        <v>0</v>
      </c>
      <c r="BB140" s="16">
        <f>SUM(BC140:BE140)</f>
        <v>0</v>
      </c>
      <c r="BC140" s="16">
        <v>0</v>
      </c>
      <c r="BD140" s="16">
        <v>0</v>
      </c>
      <c r="BE140" s="16">
        <v>0</v>
      </c>
      <c r="BF140" s="16">
        <f t="shared" si="105"/>
        <v>0</v>
      </c>
      <c r="BG140" s="16">
        <v>0</v>
      </c>
      <c r="BH140" s="16">
        <v>0</v>
      </c>
      <c r="BI140" s="16">
        <v>0</v>
      </c>
      <c r="BJ140" s="16">
        <v>0</v>
      </c>
      <c r="BK140" s="16">
        <f t="shared" si="106"/>
        <v>0</v>
      </c>
      <c r="BL140" s="16">
        <v>0</v>
      </c>
      <c r="BM140" s="16">
        <f t="shared" si="107"/>
        <v>0</v>
      </c>
      <c r="BN140" s="16">
        <v>0</v>
      </c>
      <c r="BO140" s="16">
        <v>0</v>
      </c>
      <c r="BP140" s="16">
        <v>0</v>
      </c>
      <c r="BQ140" s="16">
        <v>0</v>
      </c>
      <c r="BR140" s="16">
        <v>0</v>
      </c>
      <c r="BS140" s="16">
        <v>0</v>
      </c>
      <c r="BT140" s="16">
        <v>0</v>
      </c>
      <c r="BU140" s="16">
        <v>0</v>
      </c>
      <c r="BV140" s="16">
        <v>0</v>
      </c>
      <c r="BW140" s="16">
        <v>0</v>
      </c>
      <c r="BX140" s="16">
        <v>0</v>
      </c>
      <c r="BY140" s="16">
        <f>SUM(BZ140+CS140)</f>
        <v>53977</v>
      </c>
      <c r="BZ140" s="16">
        <f>SUM(CA140+CD140+CK140)</f>
        <v>53977</v>
      </c>
      <c r="CA140" s="16">
        <f t="shared" si="108"/>
        <v>53977</v>
      </c>
      <c r="CB140" s="16">
        <v>0</v>
      </c>
      <c r="CC140" s="16">
        <v>53977</v>
      </c>
      <c r="CD140" s="16">
        <f t="shared" si="109"/>
        <v>0</v>
      </c>
      <c r="CE140" s="16">
        <v>0</v>
      </c>
      <c r="CF140" s="16">
        <v>0</v>
      </c>
      <c r="CG140" s="16">
        <v>0</v>
      </c>
      <c r="CH140" s="16">
        <v>0</v>
      </c>
      <c r="CI140" s="16">
        <v>0</v>
      </c>
      <c r="CJ140" s="16">
        <v>0</v>
      </c>
      <c r="CK140" s="16">
        <f t="shared" si="110"/>
        <v>0</v>
      </c>
      <c r="CL140" s="16">
        <v>0</v>
      </c>
      <c r="CM140" s="16">
        <v>0</v>
      </c>
      <c r="CN140" s="16">
        <v>0</v>
      </c>
      <c r="CO140" s="16">
        <v>0</v>
      </c>
      <c r="CP140" s="16">
        <v>0</v>
      </c>
      <c r="CQ140" s="16">
        <v>0</v>
      </c>
      <c r="CR140" s="16">
        <v>0</v>
      </c>
      <c r="CS140" s="16">
        <v>0</v>
      </c>
      <c r="CT140" s="16">
        <f t="shared" si="111"/>
        <v>0</v>
      </c>
      <c r="CU140" s="16">
        <f t="shared" si="112"/>
        <v>0</v>
      </c>
      <c r="CV140" s="16">
        <v>0</v>
      </c>
      <c r="CW140" s="17">
        <v>0</v>
      </c>
      <c r="CX140" s="40"/>
      <c r="CY140" s="40"/>
    </row>
    <row r="141" spans="1:103" ht="15.75" x14ac:dyDescent="0.25">
      <c r="A141" s="13" t="s">
        <v>111</v>
      </c>
      <c r="B141" s="14" t="s">
        <v>54</v>
      </c>
      <c r="C141" s="14" t="s">
        <v>1</v>
      </c>
      <c r="D141" s="30" t="s">
        <v>163</v>
      </c>
      <c r="E141" s="15">
        <f t="shared" ref="E141:AJ141" si="218">SUM(E142)</f>
        <v>9438502</v>
      </c>
      <c r="F141" s="16">
        <f t="shared" si="218"/>
        <v>9375663</v>
      </c>
      <c r="G141" s="16">
        <f t="shared" si="218"/>
        <v>7046424</v>
      </c>
      <c r="H141" s="16">
        <f t="shared" si="218"/>
        <v>3712903</v>
      </c>
      <c r="I141" s="16">
        <f t="shared" si="218"/>
        <v>868652</v>
      </c>
      <c r="J141" s="16">
        <f t="shared" si="218"/>
        <v>2174086</v>
      </c>
      <c r="K141" s="16">
        <f t="shared" si="218"/>
        <v>8902</v>
      </c>
      <c r="L141" s="16">
        <f t="shared" si="218"/>
        <v>235765</v>
      </c>
      <c r="M141" s="16">
        <f t="shared" si="218"/>
        <v>1389244</v>
      </c>
      <c r="N141" s="16">
        <f t="shared" si="218"/>
        <v>316837</v>
      </c>
      <c r="O141" s="16">
        <f t="shared" si="218"/>
        <v>179995</v>
      </c>
      <c r="P141" s="16">
        <f t="shared" si="218"/>
        <v>43343</v>
      </c>
      <c r="Q141" s="16">
        <f t="shared" si="218"/>
        <v>0</v>
      </c>
      <c r="R141" s="16">
        <f t="shared" si="218"/>
        <v>0</v>
      </c>
      <c r="S141" s="16">
        <f t="shared" si="218"/>
        <v>0</v>
      </c>
      <c r="T141" s="16">
        <f t="shared" si="218"/>
        <v>0</v>
      </c>
      <c r="U141" s="16">
        <f t="shared" si="218"/>
        <v>22086</v>
      </c>
      <c r="V141" s="16">
        <f t="shared" si="218"/>
        <v>178469</v>
      </c>
      <c r="W141" s="16">
        <f t="shared" si="218"/>
        <v>34104</v>
      </c>
      <c r="X141" s="16">
        <f t="shared" si="218"/>
        <v>63310</v>
      </c>
      <c r="Y141" s="16">
        <f t="shared" si="218"/>
        <v>42660</v>
      </c>
      <c r="Z141" s="16">
        <f t="shared" si="218"/>
        <v>32702</v>
      </c>
      <c r="AA141" s="16">
        <f t="shared" si="218"/>
        <v>3613</v>
      </c>
      <c r="AB141" s="16">
        <f t="shared" si="218"/>
        <v>0</v>
      </c>
      <c r="AC141" s="16">
        <f t="shared" si="218"/>
        <v>0</v>
      </c>
      <c r="AD141" s="16">
        <f t="shared" si="218"/>
        <v>2080</v>
      </c>
      <c r="AE141" s="16">
        <f t="shared" si="218"/>
        <v>90228</v>
      </c>
      <c r="AF141" s="16">
        <f t="shared" si="218"/>
        <v>0</v>
      </c>
      <c r="AG141" s="16">
        <f t="shared" si="218"/>
        <v>660</v>
      </c>
      <c r="AH141" s="16">
        <f t="shared" si="218"/>
        <v>43560</v>
      </c>
      <c r="AI141" s="16">
        <f t="shared" si="218"/>
        <v>2145</v>
      </c>
      <c r="AJ141" s="16">
        <f t="shared" si="218"/>
        <v>3755</v>
      </c>
      <c r="AK141" s="16">
        <f t="shared" ref="AK141:BR141" si="219">SUM(AK142)</f>
        <v>0</v>
      </c>
      <c r="AL141" s="16">
        <f t="shared" si="219"/>
        <v>37129</v>
      </c>
      <c r="AM141" s="16">
        <f t="shared" si="219"/>
        <v>0</v>
      </c>
      <c r="AN141" s="16">
        <f t="shared" si="219"/>
        <v>0</v>
      </c>
      <c r="AO141" s="16">
        <f t="shared" si="219"/>
        <v>109</v>
      </c>
      <c r="AP141" s="16">
        <f t="shared" si="219"/>
        <v>0</v>
      </c>
      <c r="AQ141" s="16">
        <f t="shared" si="219"/>
        <v>0</v>
      </c>
      <c r="AR141" s="16">
        <f t="shared" si="219"/>
        <v>0</v>
      </c>
      <c r="AS141" s="16">
        <f t="shared" si="219"/>
        <v>0</v>
      </c>
      <c r="AT141" s="16">
        <f t="shared" si="219"/>
        <v>0</v>
      </c>
      <c r="AU141" s="16">
        <f t="shared" si="219"/>
        <v>0</v>
      </c>
      <c r="AV141" s="16">
        <f t="shared" si="219"/>
        <v>0</v>
      </c>
      <c r="AW141" s="16">
        <f t="shared" si="219"/>
        <v>0</v>
      </c>
      <c r="AX141" s="16">
        <f t="shared" si="219"/>
        <v>0</v>
      </c>
      <c r="AY141" s="16">
        <f t="shared" si="219"/>
        <v>0</v>
      </c>
      <c r="AZ141" s="16">
        <f t="shared" si="219"/>
        <v>2870</v>
      </c>
      <c r="BA141" s="16">
        <f t="shared" si="219"/>
        <v>2329239</v>
      </c>
      <c r="BB141" s="16">
        <f t="shared" si="219"/>
        <v>0</v>
      </c>
      <c r="BC141" s="16">
        <f t="shared" si="219"/>
        <v>0</v>
      </c>
      <c r="BD141" s="16">
        <f t="shared" si="219"/>
        <v>0</v>
      </c>
      <c r="BE141" s="16">
        <f t="shared" si="219"/>
        <v>0</v>
      </c>
      <c r="BF141" s="16">
        <f t="shared" si="219"/>
        <v>0</v>
      </c>
      <c r="BG141" s="16">
        <f t="shared" si="219"/>
        <v>0</v>
      </c>
      <c r="BH141" s="16">
        <f t="shared" si="219"/>
        <v>0</v>
      </c>
      <c r="BI141" s="16">
        <f t="shared" si="219"/>
        <v>0</v>
      </c>
      <c r="BJ141" s="16">
        <f t="shared" si="219"/>
        <v>0</v>
      </c>
      <c r="BK141" s="16">
        <f t="shared" si="219"/>
        <v>0</v>
      </c>
      <c r="BL141" s="16">
        <f t="shared" si="219"/>
        <v>0</v>
      </c>
      <c r="BM141" s="16">
        <f t="shared" si="219"/>
        <v>2329239</v>
      </c>
      <c r="BN141" s="16">
        <f t="shared" si="219"/>
        <v>0</v>
      </c>
      <c r="BO141" s="16">
        <f t="shared" si="219"/>
        <v>0</v>
      </c>
      <c r="BP141" s="16">
        <f t="shared" si="219"/>
        <v>0</v>
      </c>
      <c r="BQ141" s="16">
        <f t="shared" si="219"/>
        <v>0</v>
      </c>
      <c r="BR141" s="16">
        <f t="shared" si="219"/>
        <v>0</v>
      </c>
      <c r="BS141" s="16">
        <f t="shared" ref="BS141:CW141" si="220">SUM(BS142)</f>
        <v>33525</v>
      </c>
      <c r="BT141" s="16">
        <f t="shared" si="220"/>
        <v>0</v>
      </c>
      <c r="BU141" s="16">
        <f t="shared" si="220"/>
        <v>0</v>
      </c>
      <c r="BV141" s="16">
        <f t="shared" si="220"/>
        <v>0</v>
      </c>
      <c r="BW141" s="16">
        <f t="shared" si="220"/>
        <v>0</v>
      </c>
      <c r="BX141" s="16">
        <f t="shared" si="220"/>
        <v>2295714</v>
      </c>
      <c r="BY141" s="16">
        <f t="shared" si="220"/>
        <v>62839</v>
      </c>
      <c r="BZ141" s="16">
        <f t="shared" si="220"/>
        <v>62839</v>
      </c>
      <c r="CA141" s="16">
        <f t="shared" si="220"/>
        <v>62839</v>
      </c>
      <c r="CB141" s="16">
        <f t="shared" si="220"/>
        <v>0</v>
      </c>
      <c r="CC141" s="16">
        <f t="shared" si="220"/>
        <v>62839</v>
      </c>
      <c r="CD141" s="16">
        <f t="shared" si="220"/>
        <v>0</v>
      </c>
      <c r="CE141" s="16">
        <f t="shared" si="220"/>
        <v>0</v>
      </c>
      <c r="CF141" s="16">
        <f t="shared" si="220"/>
        <v>0</v>
      </c>
      <c r="CG141" s="16">
        <f t="shared" si="220"/>
        <v>0</v>
      </c>
      <c r="CH141" s="16">
        <f t="shared" si="220"/>
        <v>0</v>
      </c>
      <c r="CI141" s="16">
        <f t="shared" si="220"/>
        <v>0</v>
      </c>
      <c r="CJ141" s="16">
        <f t="shared" si="220"/>
        <v>0</v>
      </c>
      <c r="CK141" s="16">
        <f t="shared" si="220"/>
        <v>0</v>
      </c>
      <c r="CL141" s="16">
        <f t="shared" si="220"/>
        <v>0</v>
      </c>
      <c r="CM141" s="16">
        <f t="shared" si="220"/>
        <v>0</v>
      </c>
      <c r="CN141" s="16">
        <f t="shared" si="220"/>
        <v>0</v>
      </c>
      <c r="CO141" s="16">
        <f t="shared" si="220"/>
        <v>0</v>
      </c>
      <c r="CP141" s="16">
        <f t="shared" si="220"/>
        <v>0</v>
      </c>
      <c r="CQ141" s="16">
        <f t="shared" si="220"/>
        <v>0</v>
      </c>
      <c r="CR141" s="16">
        <f t="shared" si="220"/>
        <v>0</v>
      </c>
      <c r="CS141" s="16">
        <f t="shared" si="220"/>
        <v>0</v>
      </c>
      <c r="CT141" s="16">
        <f t="shared" si="220"/>
        <v>0</v>
      </c>
      <c r="CU141" s="16">
        <f t="shared" si="220"/>
        <v>0</v>
      </c>
      <c r="CV141" s="16">
        <f t="shared" si="220"/>
        <v>0</v>
      </c>
      <c r="CW141" s="17">
        <f t="shared" si="220"/>
        <v>0</v>
      </c>
      <c r="CX141" s="40"/>
      <c r="CY141" s="40"/>
    </row>
    <row r="142" spans="1:103" ht="15.75" x14ac:dyDescent="0.25">
      <c r="A142" s="13" t="s">
        <v>1</v>
      </c>
      <c r="B142" s="14" t="s">
        <v>1</v>
      </c>
      <c r="C142" s="14" t="s">
        <v>19</v>
      </c>
      <c r="D142" s="30" t="s">
        <v>164</v>
      </c>
      <c r="E142" s="15">
        <f>SUM(F142+BY142+CT142)</f>
        <v>9438502</v>
      </c>
      <c r="F142" s="16">
        <f>SUM(G142+BA142)</f>
        <v>9375663</v>
      </c>
      <c r="G142" s="16">
        <f>SUM(H142+I142+J142+Q142+T142+U142+V142+AE142)</f>
        <v>7046424</v>
      </c>
      <c r="H142" s="16">
        <v>3712903</v>
      </c>
      <c r="I142" s="16">
        <v>868652</v>
      </c>
      <c r="J142" s="16">
        <f t="shared" si="103"/>
        <v>2174086</v>
      </c>
      <c r="K142" s="16">
        <v>8902</v>
      </c>
      <c r="L142" s="16">
        <v>235765</v>
      </c>
      <c r="M142" s="16">
        <v>1389244</v>
      </c>
      <c r="N142" s="16">
        <v>316837</v>
      </c>
      <c r="O142" s="16">
        <v>179995</v>
      </c>
      <c r="P142" s="16">
        <v>43343</v>
      </c>
      <c r="Q142" s="16">
        <f t="shared" si="104"/>
        <v>0</v>
      </c>
      <c r="R142" s="16">
        <v>0</v>
      </c>
      <c r="S142" s="16">
        <v>0</v>
      </c>
      <c r="T142" s="16">
        <v>0</v>
      </c>
      <c r="U142" s="16">
        <v>22086</v>
      </c>
      <c r="V142" s="16">
        <f>SUM(W142:AD142)</f>
        <v>178469</v>
      </c>
      <c r="W142" s="16">
        <v>34104</v>
      </c>
      <c r="X142" s="16">
        <v>63310</v>
      </c>
      <c r="Y142" s="16">
        <v>42660</v>
      </c>
      <c r="Z142" s="16">
        <v>32702</v>
      </c>
      <c r="AA142" s="16">
        <v>3613</v>
      </c>
      <c r="AB142" s="16">
        <v>0</v>
      </c>
      <c r="AC142" s="16">
        <v>0</v>
      </c>
      <c r="AD142" s="16">
        <v>2080</v>
      </c>
      <c r="AE142" s="16">
        <f>SUM(AF142:AZ142)</f>
        <v>90228</v>
      </c>
      <c r="AF142" s="16">
        <v>0</v>
      </c>
      <c r="AG142" s="16">
        <v>660</v>
      </c>
      <c r="AH142" s="16">
        <v>43560</v>
      </c>
      <c r="AI142" s="16">
        <v>2145</v>
      </c>
      <c r="AJ142" s="16">
        <v>3755</v>
      </c>
      <c r="AK142" s="16">
        <v>0</v>
      </c>
      <c r="AL142" s="16">
        <v>37129</v>
      </c>
      <c r="AM142" s="16">
        <v>0</v>
      </c>
      <c r="AN142" s="16">
        <v>0</v>
      </c>
      <c r="AO142" s="16">
        <v>109</v>
      </c>
      <c r="AP142" s="16"/>
      <c r="AQ142" s="16">
        <v>0</v>
      </c>
      <c r="AR142" s="16">
        <v>0</v>
      </c>
      <c r="AS142" s="16">
        <v>0</v>
      </c>
      <c r="AT142" s="16">
        <v>0</v>
      </c>
      <c r="AU142" s="16">
        <v>0</v>
      </c>
      <c r="AV142" s="16">
        <v>0</v>
      </c>
      <c r="AW142" s="16">
        <v>0</v>
      </c>
      <c r="AX142" s="16">
        <v>0</v>
      </c>
      <c r="AY142" s="16"/>
      <c r="AZ142" s="16">
        <v>2870</v>
      </c>
      <c r="BA142" s="16">
        <f>SUM(BB142+BF142+BI142+BK142+BM142)</f>
        <v>2329239</v>
      </c>
      <c r="BB142" s="16">
        <f>SUM(BC142:BE142)</f>
        <v>0</v>
      </c>
      <c r="BC142" s="16">
        <v>0</v>
      </c>
      <c r="BD142" s="16">
        <v>0</v>
      </c>
      <c r="BE142" s="16">
        <v>0</v>
      </c>
      <c r="BF142" s="16">
        <f t="shared" si="105"/>
        <v>0</v>
      </c>
      <c r="BG142" s="16">
        <v>0</v>
      </c>
      <c r="BH142" s="16">
        <v>0</v>
      </c>
      <c r="BI142" s="16">
        <v>0</v>
      </c>
      <c r="BJ142" s="16">
        <v>0</v>
      </c>
      <c r="BK142" s="16">
        <f t="shared" si="106"/>
        <v>0</v>
      </c>
      <c r="BL142" s="16">
        <v>0</v>
      </c>
      <c r="BM142" s="16">
        <f t="shared" si="107"/>
        <v>2329239</v>
      </c>
      <c r="BN142" s="16">
        <v>0</v>
      </c>
      <c r="BO142" s="16">
        <v>0</v>
      </c>
      <c r="BP142" s="16">
        <v>0</v>
      </c>
      <c r="BQ142" s="16">
        <v>0</v>
      </c>
      <c r="BR142" s="16">
        <v>0</v>
      </c>
      <c r="BS142" s="16">
        <v>33525</v>
      </c>
      <c r="BT142" s="16">
        <v>0</v>
      </c>
      <c r="BU142" s="16">
        <v>0</v>
      </c>
      <c r="BV142" s="16">
        <v>0</v>
      </c>
      <c r="BW142" s="16">
        <v>0</v>
      </c>
      <c r="BX142" s="16">
        <v>2295714</v>
      </c>
      <c r="BY142" s="16">
        <f>SUM(BZ142+CS142)</f>
        <v>62839</v>
      </c>
      <c r="BZ142" s="16">
        <f>SUM(CA142+CD142+CK142)</f>
        <v>62839</v>
      </c>
      <c r="CA142" s="16">
        <f t="shared" si="108"/>
        <v>62839</v>
      </c>
      <c r="CB142" s="16">
        <v>0</v>
      </c>
      <c r="CC142" s="16">
        <v>62839</v>
      </c>
      <c r="CD142" s="16">
        <f t="shared" si="109"/>
        <v>0</v>
      </c>
      <c r="CE142" s="16">
        <v>0</v>
      </c>
      <c r="CF142" s="16">
        <v>0</v>
      </c>
      <c r="CG142" s="16">
        <v>0</v>
      </c>
      <c r="CH142" s="16">
        <v>0</v>
      </c>
      <c r="CI142" s="16">
        <v>0</v>
      </c>
      <c r="CJ142" s="16">
        <v>0</v>
      </c>
      <c r="CK142" s="16">
        <f t="shared" si="110"/>
        <v>0</v>
      </c>
      <c r="CL142" s="16">
        <v>0</v>
      </c>
      <c r="CM142" s="16">
        <v>0</v>
      </c>
      <c r="CN142" s="16">
        <v>0</v>
      </c>
      <c r="CO142" s="16">
        <v>0</v>
      </c>
      <c r="CP142" s="16">
        <v>0</v>
      </c>
      <c r="CQ142" s="16"/>
      <c r="CR142" s="16"/>
      <c r="CS142" s="16">
        <v>0</v>
      </c>
      <c r="CT142" s="16">
        <f t="shared" si="111"/>
        <v>0</v>
      </c>
      <c r="CU142" s="16">
        <f t="shared" si="112"/>
        <v>0</v>
      </c>
      <c r="CV142" s="16">
        <v>0</v>
      </c>
      <c r="CW142" s="17">
        <v>0</v>
      </c>
      <c r="CX142" s="40"/>
      <c r="CY142" s="40"/>
    </row>
    <row r="143" spans="1:103" ht="31.5" x14ac:dyDescent="0.25">
      <c r="A143" s="13" t="s">
        <v>111</v>
      </c>
      <c r="B143" s="14" t="s">
        <v>107</v>
      </c>
      <c r="C143" s="14" t="s">
        <v>1</v>
      </c>
      <c r="D143" s="30" t="s">
        <v>165</v>
      </c>
      <c r="E143" s="15">
        <f t="shared" ref="E143:AJ143" si="221">SUM(E144:E146)</f>
        <v>1262223</v>
      </c>
      <c r="F143" s="16">
        <f t="shared" si="221"/>
        <v>1250574</v>
      </c>
      <c r="G143" s="16">
        <f t="shared" si="221"/>
        <v>1200134</v>
      </c>
      <c r="H143" s="16">
        <f t="shared" si="221"/>
        <v>582448</v>
      </c>
      <c r="I143" s="16">
        <f t="shared" si="221"/>
        <v>133303</v>
      </c>
      <c r="J143" s="16">
        <f t="shared" si="221"/>
        <v>11348</v>
      </c>
      <c r="K143" s="16">
        <f t="shared" si="221"/>
        <v>0</v>
      </c>
      <c r="L143" s="16">
        <f t="shared" si="221"/>
        <v>0</v>
      </c>
      <c r="M143" s="16">
        <f t="shared" si="221"/>
        <v>0</v>
      </c>
      <c r="N143" s="16">
        <f t="shared" si="221"/>
        <v>0</v>
      </c>
      <c r="O143" s="16">
        <f t="shared" si="221"/>
        <v>0</v>
      </c>
      <c r="P143" s="16">
        <f t="shared" si="221"/>
        <v>11348</v>
      </c>
      <c r="Q143" s="16">
        <f t="shared" si="221"/>
        <v>3499</v>
      </c>
      <c r="R143" s="16">
        <f t="shared" si="221"/>
        <v>3499</v>
      </c>
      <c r="S143" s="16">
        <f t="shared" si="221"/>
        <v>0</v>
      </c>
      <c r="T143" s="16">
        <f t="shared" si="221"/>
        <v>0</v>
      </c>
      <c r="U143" s="16">
        <f t="shared" si="221"/>
        <v>13390</v>
      </c>
      <c r="V143" s="16">
        <f t="shared" si="221"/>
        <v>0</v>
      </c>
      <c r="W143" s="16">
        <f t="shared" si="221"/>
        <v>0</v>
      </c>
      <c r="X143" s="16">
        <f t="shared" si="221"/>
        <v>0</v>
      </c>
      <c r="Y143" s="16">
        <f t="shared" si="221"/>
        <v>0</v>
      </c>
      <c r="Z143" s="16">
        <f t="shared" si="221"/>
        <v>0</v>
      </c>
      <c r="AA143" s="16">
        <f t="shared" si="221"/>
        <v>0</v>
      </c>
      <c r="AB143" s="16">
        <f t="shared" si="221"/>
        <v>0</v>
      </c>
      <c r="AC143" s="16">
        <f t="shared" si="221"/>
        <v>0</v>
      </c>
      <c r="AD143" s="16">
        <f t="shared" ref="AD143" si="222">SUM(AD144:AD146)</f>
        <v>0</v>
      </c>
      <c r="AE143" s="16">
        <f t="shared" si="221"/>
        <v>456146</v>
      </c>
      <c r="AF143" s="16">
        <f t="shared" si="221"/>
        <v>0</v>
      </c>
      <c r="AG143" s="16">
        <f t="shared" si="221"/>
        <v>1868</v>
      </c>
      <c r="AH143" s="16">
        <f t="shared" si="221"/>
        <v>0</v>
      </c>
      <c r="AI143" s="16">
        <f t="shared" si="221"/>
        <v>0</v>
      </c>
      <c r="AJ143" s="16">
        <f t="shared" si="221"/>
        <v>1591</v>
      </c>
      <c r="AK143" s="16">
        <f t="shared" ref="AK143:BP143" si="223">SUM(AK144:AK146)</f>
        <v>0</v>
      </c>
      <c r="AL143" s="16">
        <f t="shared" si="223"/>
        <v>5824</v>
      </c>
      <c r="AM143" s="16">
        <f t="shared" si="223"/>
        <v>108938</v>
      </c>
      <c r="AN143" s="16">
        <f t="shared" si="223"/>
        <v>0</v>
      </c>
      <c r="AO143" s="16">
        <f t="shared" si="223"/>
        <v>0</v>
      </c>
      <c r="AP143" s="16">
        <f t="shared" si="223"/>
        <v>0</v>
      </c>
      <c r="AQ143" s="16">
        <f t="shared" si="223"/>
        <v>0</v>
      </c>
      <c r="AR143" s="16">
        <f t="shared" si="223"/>
        <v>0</v>
      </c>
      <c r="AS143" s="16">
        <f t="shared" si="223"/>
        <v>0</v>
      </c>
      <c r="AT143" s="16">
        <f t="shared" si="223"/>
        <v>0</v>
      </c>
      <c r="AU143" s="16">
        <f t="shared" si="223"/>
        <v>0</v>
      </c>
      <c r="AV143" s="16">
        <f t="shared" si="223"/>
        <v>0</v>
      </c>
      <c r="AW143" s="16">
        <f t="shared" si="223"/>
        <v>0</v>
      </c>
      <c r="AX143" s="16">
        <f t="shared" si="223"/>
        <v>0</v>
      </c>
      <c r="AY143" s="16">
        <f t="shared" si="223"/>
        <v>0</v>
      </c>
      <c r="AZ143" s="16">
        <f t="shared" si="223"/>
        <v>337925</v>
      </c>
      <c r="BA143" s="16">
        <f t="shared" si="223"/>
        <v>50440</v>
      </c>
      <c r="BB143" s="16">
        <f t="shared" si="223"/>
        <v>0</v>
      </c>
      <c r="BC143" s="16">
        <f t="shared" si="223"/>
        <v>0</v>
      </c>
      <c r="BD143" s="16">
        <f t="shared" si="223"/>
        <v>0</v>
      </c>
      <c r="BE143" s="16">
        <f t="shared" si="223"/>
        <v>0</v>
      </c>
      <c r="BF143" s="16">
        <f t="shared" si="223"/>
        <v>0</v>
      </c>
      <c r="BG143" s="16">
        <f t="shared" si="223"/>
        <v>0</v>
      </c>
      <c r="BH143" s="16">
        <f t="shared" si="223"/>
        <v>0</v>
      </c>
      <c r="BI143" s="16">
        <f t="shared" si="223"/>
        <v>0</v>
      </c>
      <c r="BJ143" s="16">
        <f t="shared" si="223"/>
        <v>0</v>
      </c>
      <c r="BK143" s="16">
        <f t="shared" si="223"/>
        <v>0</v>
      </c>
      <c r="BL143" s="16">
        <f t="shared" si="223"/>
        <v>0</v>
      </c>
      <c r="BM143" s="16">
        <f t="shared" si="223"/>
        <v>50440</v>
      </c>
      <c r="BN143" s="16">
        <f t="shared" si="223"/>
        <v>0</v>
      </c>
      <c r="BO143" s="16">
        <f t="shared" si="223"/>
        <v>0</v>
      </c>
      <c r="BP143" s="16">
        <f t="shared" si="223"/>
        <v>50440</v>
      </c>
      <c r="BQ143" s="16">
        <f t="shared" ref="BQ143:CW143" si="224">SUM(BQ144:BQ146)</f>
        <v>0</v>
      </c>
      <c r="BR143" s="16">
        <f t="shared" si="224"/>
        <v>0</v>
      </c>
      <c r="BS143" s="16">
        <f t="shared" si="224"/>
        <v>0</v>
      </c>
      <c r="BT143" s="16">
        <f t="shared" si="224"/>
        <v>0</v>
      </c>
      <c r="BU143" s="16">
        <f t="shared" si="224"/>
        <v>0</v>
      </c>
      <c r="BV143" s="16">
        <f t="shared" si="224"/>
        <v>0</v>
      </c>
      <c r="BW143" s="16">
        <f t="shared" si="224"/>
        <v>0</v>
      </c>
      <c r="BX143" s="16">
        <f t="shared" si="224"/>
        <v>0</v>
      </c>
      <c r="BY143" s="16">
        <f t="shared" si="224"/>
        <v>11649</v>
      </c>
      <c r="BZ143" s="16">
        <f t="shared" si="224"/>
        <v>11649</v>
      </c>
      <c r="CA143" s="16">
        <f t="shared" si="224"/>
        <v>11649</v>
      </c>
      <c r="CB143" s="16">
        <f t="shared" si="224"/>
        <v>0</v>
      </c>
      <c r="CC143" s="16">
        <f t="shared" si="224"/>
        <v>11649</v>
      </c>
      <c r="CD143" s="16">
        <f t="shared" si="224"/>
        <v>0</v>
      </c>
      <c r="CE143" s="16">
        <f t="shared" si="224"/>
        <v>0</v>
      </c>
      <c r="CF143" s="16">
        <f t="shared" si="224"/>
        <v>0</v>
      </c>
      <c r="CG143" s="16">
        <f t="shared" si="224"/>
        <v>0</v>
      </c>
      <c r="CH143" s="16">
        <f t="shared" si="224"/>
        <v>0</v>
      </c>
      <c r="CI143" s="16">
        <f t="shared" si="224"/>
        <v>0</v>
      </c>
      <c r="CJ143" s="16">
        <f t="shared" ref="CJ143" si="225">SUM(CJ144:CJ146)</f>
        <v>0</v>
      </c>
      <c r="CK143" s="16">
        <f t="shared" si="224"/>
        <v>0</v>
      </c>
      <c r="CL143" s="16">
        <f t="shared" si="224"/>
        <v>0</v>
      </c>
      <c r="CM143" s="16">
        <f t="shared" si="224"/>
        <v>0</v>
      </c>
      <c r="CN143" s="16">
        <f t="shared" si="224"/>
        <v>0</v>
      </c>
      <c r="CO143" s="16">
        <f t="shared" si="224"/>
        <v>0</v>
      </c>
      <c r="CP143" s="16">
        <f t="shared" si="224"/>
        <v>0</v>
      </c>
      <c r="CQ143" s="16">
        <f t="shared" si="224"/>
        <v>0</v>
      </c>
      <c r="CR143" s="16">
        <f t="shared" si="224"/>
        <v>0</v>
      </c>
      <c r="CS143" s="16">
        <f t="shared" si="224"/>
        <v>0</v>
      </c>
      <c r="CT143" s="16">
        <f t="shared" si="224"/>
        <v>0</v>
      </c>
      <c r="CU143" s="16">
        <f t="shared" si="224"/>
        <v>0</v>
      </c>
      <c r="CV143" s="16">
        <f t="shared" si="224"/>
        <v>0</v>
      </c>
      <c r="CW143" s="17">
        <f t="shared" si="224"/>
        <v>0</v>
      </c>
      <c r="CX143" s="40"/>
      <c r="CY143" s="40"/>
    </row>
    <row r="144" spans="1:103" ht="31.5" x14ac:dyDescent="0.25">
      <c r="A144" s="13" t="s">
        <v>1</v>
      </c>
      <c r="B144" s="14" t="s">
        <v>1</v>
      </c>
      <c r="C144" s="14" t="s">
        <v>19</v>
      </c>
      <c r="D144" s="30" t="s">
        <v>166</v>
      </c>
      <c r="E144" s="15">
        <f>SUM(F144+BY144+CT144)</f>
        <v>97570</v>
      </c>
      <c r="F144" s="16">
        <f>SUM(G144+BA144)</f>
        <v>97570</v>
      </c>
      <c r="G144" s="16">
        <f>SUM(H144+I144+J144+Q144+T144+U144+V144+AE144)</f>
        <v>97570</v>
      </c>
      <c r="H144" s="16">
        <v>0</v>
      </c>
      <c r="I144" s="16">
        <v>0</v>
      </c>
      <c r="J144" s="16">
        <f t="shared" si="103"/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f t="shared" si="104"/>
        <v>0</v>
      </c>
      <c r="R144" s="16">
        <v>0</v>
      </c>
      <c r="S144" s="16">
        <v>0</v>
      </c>
      <c r="T144" s="16">
        <v>0</v>
      </c>
      <c r="U144" s="16">
        <v>0</v>
      </c>
      <c r="V144" s="16">
        <f>SUM(W144:AD144)</f>
        <v>0</v>
      </c>
      <c r="W144" s="16">
        <v>0</v>
      </c>
      <c r="X144" s="16">
        <v>0</v>
      </c>
      <c r="Y144" s="16">
        <v>0</v>
      </c>
      <c r="Z144" s="16">
        <v>0</v>
      </c>
      <c r="AA144" s="16">
        <v>0</v>
      </c>
      <c r="AB144" s="16">
        <v>0</v>
      </c>
      <c r="AC144" s="16">
        <v>0</v>
      </c>
      <c r="AD144" s="16">
        <v>0</v>
      </c>
      <c r="AE144" s="16">
        <f>SUM(AF144:AZ144)</f>
        <v>97570</v>
      </c>
      <c r="AF144" s="16">
        <v>0</v>
      </c>
      <c r="AG144" s="16">
        <v>0</v>
      </c>
      <c r="AH144" s="16">
        <v>0</v>
      </c>
      <c r="AI144" s="16">
        <v>0</v>
      </c>
      <c r="AJ144" s="16">
        <v>0</v>
      </c>
      <c r="AK144" s="16">
        <v>0</v>
      </c>
      <c r="AL144" s="16">
        <v>0</v>
      </c>
      <c r="AM144" s="16">
        <v>14500</v>
      </c>
      <c r="AN144" s="16">
        <v>0</v>
      </c>
      <c r="AO144" s="16">
        <v>0</v>
      </c>
      <c r="AP144" s="16">
        <v>0</v>
      </c>
      <c r="AQ144" s="16">
        <v>0</v>
      </c>
      <c r="AR144" s="16">
        <v>0</v>
      </c>
      <c r="AS144" s="16">
        <v>0</v>
      </c>
      <c r="AT144" s="16">
        <v>0</v>
      </c>
      <c r="AU144" s="16">
        <v>0</v>
      </c>
      <c r="AV144" s="16">
        <v>0</v>
      </c>
      <c r="AW144" s="16">
        <v>0</v>
      </c>
      <c r="AX144" s="16">
        <v>0</v>
      </c>
      <c r="AY144" s="16">
        <v>0</v>
      </c>
      <c r="AZ144" s="16">
        <v>83070</v>
      </c>
      <c r="BA144" s="16">
        <f>SUM(BB144+BF144+BI144+BK144+BM144)</f>
        <v>0</v>
      </c>
      <c r="BB144" s="16">
        <f>SUM(BC144:BE144)</f>
        <v>0</v>
      </c>
      <c r="BC144" s="16">
        <v>0</v>
      </c>
      <c r="BD144" s="16">
        <v>0</v>
      </c>
      <c r="BE144" s="16">
        <v>0</v>
      </c>
      <c r="BF144" s="16">
        <f t="shared" si="105"/>
        <v>0</v>
      </c>
      <c r="BG144" s="16">
        <v>0</v>
      </c>
      <c r="BH144" s="16">
        <v>0</v>
      </c>
      <c r="BI144" s="16">
        <v>0</v>
      </c>
      <c r="BJ144" s="16">
        <v>0</v>
      </c>
      <c r="BK144" s="16">
        <f t="shared" si="106"/>
        <v>0</v>
      </c>
      <c r="BL144" s="16">
        <v>0</v>
      </c>
      <c r="BM144" s="16">
        <f t="shared" si="107"/>
        <v>0</v>
      </c>
      <c r="BN144" s="16">
        <v>0</v>
      </c>
      <c r="BO144" s="16">
        <v>0</v>
      </c>
      <c r="BP144" s="16">
        <v>0</v>
      </c>
      <c r="BQ144" s="16">
        <v>0</v>
      </c>
      <c r="BR144" s="16">
        <v>0</v>
      </c>
      <c r="BS144" s="16">
        <v>0</v>
      </c>
      <c r="BT144" s="16">
        <v>0</v>
      </c>
      <c r="BU144" s="16">
        <v>0</v>
      </c>
      <c r="BV144" s="16">
        <v>0</v>
      </c>
      <c r="BW144" s="16">
        <v>0</v>
      </c>
      <c r="BX144" s="16">
        <v>0</v>
      </c>
      <c r="BY144" s="16">
        <f>SUM(BZ144+CS144)</f>
        <v>0</v>
      </c>
      <c r="BZ144" s="16">
        <f>SUM(CA144+CD144+CK144)</f>
        <v>0</v>
      </c>
      <c r="CA144" s="16">
        <f t="shared" si="108"/>
        <v>0</v>
      </c>
      <c r="CB144" s="16">
        <v>0</v>
      </c>
      <c r="CC144" s="16">
        <v>0</v>
      </c>
      <c r="CD144" s="16">
        <f t="shared" si="109"/>
        <v>0</v>
      </c>
      <c r="CE144" s="16">
        <v>0</v>
      </c>
      <c r="CF144" s="16">
        <v>0</v>
      </c>
      <c r="CG144" s="16">
        <v>0</v>
      </c>
      <c r="CH144" s="16">
        <v>0</v>
      </c>
      <c r="CI144" s="16">
        <v>0</v>
      </c>
      <c r="CJ144" s="16">
        <v>0</v>
      </c>
      <c r="CK144" s="16">
        <f t="shared" si="110"/>
        <v>0</v>
      </c>
      <c r="CL144" s="16">
        <v>0</v>
      </c>
      <c r="CM144" s="16">
        <v>0</v>
      </c>
      <c r="CN144" s="16">
        <v>0</v>
      </c>
      <c r="CO144" s="16">
        <v>0</v>
      </c>
      <c r="CP144" s="16">
        <v>0</v>
      </c>
      <c r="CQ144" s="16">
        <v>0</v>
      </c>
      <c r="CR144" s="16">
        <v>0</v>
      </c>
      <c r="CS144" s="16">
        <v>0</v>
      </c>
      <c r="CT144" s="16">
        <f t="shared" si="111"/>
        <v>0</v>
      </c>
      <c r="CU144" s="16">
        <f t="shared" si="112"/>
        <v>0</v>
      </c>
      <c r="CV144" s="16">
        <v>0</v>
      </c>
      <c r="CW144" s="17">
        <v>0</v>
      </c>
      <c r="CX144" s="40"/>
      <c r="CY144" s="40"/>
    </row>
    <row r="145" spans="1:103" ht="15.75" x14ac:dyDescent="0.25">
      <c r="A145" s="13" t="s">
        <v>1</v>
      </c>
      <c r="B145" s="14" t="s">
        <v>1</v>
      </c>
      <c r="C145" s="14" t="s">
        <v>23</v>
      </c>
      <c r="D145" s="30" t="s">
        <v>168</v>
      </c>
      <c r="E145" s="15">
        <f>SUM(F145+BY145+CT145)</f>
        <v>764920</v>
      </c>
      <c r="F145" s="16">
        <f>SUM(G145+BA145)</f>
        <v>753271</v>
      </c>
      <c r="G145" s="16">
        <f>SUM(H145+I145+J145+Q145+T145+U145+V145+AE145)</f>
        <v>753271</v>
      </c>
      <c r="H145" s="16">
        <v>582448</v>
      </c>
      <c r="I145" s="16">
        <v>133303</v>
      </c>
      <c r="J145" s="16">
        <f>SUM(K145:P145)</f>
        <v>11348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11348</v>
      </c>
      <c r="Q145" s="16">
        <f>SUM(R145:S145)</f>
        <v>3499</v>
      </c>
      <c r="R145" s="16">
        <v>3499</v>
      </c>
      <c r="S145" s="16">
        <v>0</v>
      </c>
      <c r="T145" s="16">
        <v>0</v>
      </c>
      <c r="U145" s="16">
        <v>13390</v>
      </c>
      <c r="V145" s="16">
        <f>SUM(W145:AD145)</f>
        <v>0</v>
      </c>
      <c r="W145" s="16">
        <v>0</v>
      </c>
      <c r="X145" s="16">
        <v>0</v>
      </c>
      <c r="Y145" s="16">
        <v>0</v>
      </c>
      <c r="Z145" s="16">
        <v>0</v>
      </c>
      <c r="AA145" s="16">
        <v>0</v>
      </c>
      <c r="AB145" s="16">
        <v>0</v>
      </c>
      <c r="AC145" s="16">
        <v>0</v>
      </c>
      <c r="AD145" s="16">
        <v>0</v>
      </c>
      <c r="AE145" s="16">
        <f>SUM(AF145:AZ145)</f>
        <v>9283</v>
      </c>
      <c r="AF145" s="16">
        <v>0</v>
      </c>
      <c r="AG145" s="16">
        <v>1868</v>
      </c>
      <c r="AH145" s="16">
        <v>0</v>
      </c>
      <c r="AI145" s="16">
        <v>0</v>
      </c>
      <c r="AJ145" s="16">
        <v>1591</v>
      </c>
      <c r="AK145" s="16">
        <v>0</v>
      </c>
      <c r="AL145" s="16">
        <v>5824</v>
      </c>
      <c r="AM145" s="16">
        <v>0</v>
      </c>
      <c r="AN145" s="16">
        <v>0</v>
      </c>
      <c r="AO145" s="16">
        <v>0</v>
      </c>
      <c r="AP145" s="16">
        <v>0</v>
      </c>
      <c r="AQ145" s="16">
        <v>0</v>
      </c>
      <c r="AR145" s="16">
        <v>0</v>
      </c>
      <c r="AS145" s="16">
        <v>0</v>
      </c>
      <c r="AT145" s="16">
        <v>0</v>
      </c>
      <c r="AU145" s="16">
        <v>0</v>
      </c>
      <c r="AV145" s="16">
        <v>0</v>
      </c>
      <c r="AW145" s="16">
        <v>0</v>
      </c>
      <c r="AX145" s="16">
        <v>0</v>
      </c>
      <c r="AY145" s="16">
        <v>0</v>
      </c>
      <c r="AZ145" s="16">
        <v>0</v>
      </c>
      <c r="BA145" s="16">
        <f>SUM(BB145+BF145+BI145+BK145+BM145)</f>
        <v>0</v>
      </c>
      <c r="BB145" s="16">
        <f>SUM(BC145:BE145)</f>
        <v>0</v>
      </c>
      <c r="BC145" s="16">
        <v>0</v>
      </c>
      <c r="BD145" s="16">
        <v>0</v>
      </c>
      <c r="BE145" s="16">
        <v>0</v>
      </c>
      <c r="BF145" s="16">
        <f>SUM(BG145:BH145)</f>
        <v>0</v>
      </c>
      <c r="BG145" s="16">
        <v>0</v>
      </c>
      <c r="BH145" s="16">
        <v>0</v>
      </c>
      <c r="BI145" s="16">
        <v>0</v>
      </c>
      <c r="BJ145" s="16">
        <v>0</v>
      </c>
      <c r="BK145" s="16">
        <f>SUM(BL145)</f>
        <v>0</v>
      </c>
      <c r="BL145" s="16">
        <v>0</v>
      </c>
      <c r="BM145" s="16">
        <f>SUM(BN145:BX145)</f>
        <v>0</v>
      </c>
      <c r="BN145" s="16">
        <v>0</v>
      </c>
      <c r="BO145" s="16">
        <v>0</v>
      </c>
      <c r="BP145" s="16">
        <v>0</v>
      </c>
      <c r="BQ145" s="16">
        <v>0</v>
      </c>
      <c r="BR145" s="16">
        <v>0</v>
      </c>
      <c r="BS145" s="16">
        <v>0</v>
      </c>
      <c r="BT145" s="16">
        <v>0</v>
      </c>
      <c r="BU145" s="16">
        <v>0</v>
      </c>
      <c r="BV145" s="16">
        <v>0</v>
      </c>
      <c r="BW145" s="16">
        <v>0</v>
      </c>
      <c r="BX145" s="16">
        <v>0</v>
      </c>
      <c r="BY145" s="16">
        <f>SUM(BZ145+CS145)</f>
        <v>11649</v>
      </c>
      <c r="BZ145" s="16">
        <f>SUM(CA145+CD145+CK145)</f>
        <v>11649</v>
      </c>
      <c r="CA145" s="16">
        <f>SUM(CB145:CC145)</f>
        <v>11649</v>
      </c>
      <c r="CB145" s="16">
        <v>0</v>
      </c>
      <c r="CC145" s="16">
        <v>11649</v>
      </c>
      <c r="CD145" s="16">
        <f>SUM(CE145:CI145)</f>
        <v>0</v>
      </c>
      <c r="CE145" s="16">
        <v>0</v>
      </c>
      <c r="CF145" s="16">
        <v>0</v>
      </c>
      <c r="CG145" s="16">
        <v>0</v>
      </c>
      <c r="CH145" s="16">
        <v>0</v>
      </c>
      <c r="CI145" s="16">
        <v>0</v>
      </c>
      <c r="CJ145" s="16">
        <v>0</v>
      </c>
      <c r="CK145" s="16">
        <f>SUM(CL145:CP145)</f>
        <v>0</v>
      </c>
      <c r="CL145" s="16">
        <v>0</v>
      </c>
      <c r="CM145" s="16">
        <v>0</v>
      </c>
      <c r="CN145" s="16">
        <v>0</v>
      </c>
      <c r="CO145" s="16">
        <v>0</v>
      </c>
      <c r="CP145" s="16">
        <v>0</v>
      </c>
      <c r="CQ145" s="16">
        <v>0</v>
      </c>
      <c r="CR145" s="16">
        <v>0</v>
      </c>
      <c r="CS145" s="16">
        <v>0</v>
      </c>
      <c r="CT145" s="16">
        <f>SUM(CU145)</f>
        <v>0</v>
      </c>
      <c r="CU145" s="16">
        <f>SUM(CV145:CW145)</f>
        <v>0</v>
      </c>
      <c r="CV145" s="16">
        <v>0</v>
      </c>
      <c r="CW145" s="17">
        <v>0</v>
      </c>
      <c r="CX145" s="40"/>
      <c r="CY145" s="40"/>
    </row>
    <row r="146" spans="1:103" ht="15.75" x14ac:dyDescent="0.25">
      <c r="A146" s="13" t="s">
        <v>1</v>
      </c>
      <c r="B146" s="14" t="s">
        <v>1</v>
      </c>
      <c r="C146" s="14" t="s">
        <v>23</v>
      </c>
      <c r="D146" s="30" t="s">
        <v>167</v>
      </c>
      <c r="E146" s="15">
        <f>SUM(F146+BY146+CT146)</f>
        <v>399733</v>
      </c>
      <c r="F146" s="16">
        <f>SUM(G146+BA146)</f>
        <v>399733</v>
      </c>
      <c r="G146" s="16">
        <f>SUM(H146+I146+J146+Q146+T146+U146+V146+AE146)</f>
        <v>349293</v>
      </c>
      <c r="H146" s="16">
        <v>0</v>
      </c>
      <c r="I146" s="16">
        <v>0</v>
      </c>
      <c r="J146" s="16">
        <f t="shared" si="103"/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f t="shared" si="104"/>
        <v>0</v>
      </c>
      <c r="R146" s="16">
        <v>0</v>
      </c>
      <c r="S146" s="16">
        <v>0</v>
      </c>
      <c r="T146" s="16">
        <v>0</v>
      </c>
      <c r="U146" s="16">
        <v>0</v>
      </c>
      <c r="V146" s="16">
        <f>SUM(W146:AD146)</f>
        <v>0</v>
      </c>
      <c r="W146" s="16">
        <v>0</v>
      </c>
      <c r="X146" s="16">
        <v>0</v>
      </c>
      <c r="Y146" s="16">
        <v>0</v>
      </c>
      <c r="Z146" s="16">
        <v>0</v>
      </c>
      <c r="AA146" s="16">
        <v>0</v>
      </c>
      <c r="AB146" s="16">
        <v>0</v>
      </c>
      <c r="AC146" s="16">
        <v>0</v>
      </c>
      <c r="AD146" s="16">
        <v>0</v>
      </c>
      <c r="AE146" s="16">
        <f>SUM(AF146:AZ146)</f>
        <v>349293</v>
      </c>
      <c r="AF146" s="16">
        <v>0</v>
      </c>
      <c r="AG146" s="16">
        <v>0</v>
      </c>
      <c r="AH146" s="16">
        <v>0</v>
      </c>
      <c r="AI146" s="16">
        <v>0</v>
      </c>
      <c r="AJ146" s="16">
        <v>0</v>
      </c>
      <c r="AK146" s="16">
        <v>0</v>
      </c>
      <c r="AL146" s="16">
        <v>0</v>
      </c>
      <c r="AM146" s="16">
        <v>94438</v>
      </c>
      <c r="AN146" s="16">
        <v>0</v>
      </c>
      <c r="AO146" s="16">
        <v>0</v>
      </c>
      <c r="AP146" s="16">
        <v>0</v>
      </c>
      <c r="AQ146" s="16">
        <v>0</v>
      </c>
      <c r="AR146" s="16">
        <v>0</v>
      </c>
      <c r="AS146" s="16">
        <v>0</v>
      </c>
      <c r="AT146" s="16">
        <v>0</v>
      </c>
      <c r="AU146" s="16">
        <v>0</v>
      </c>
      <c r="AV146" s="16">
        <v>0</v>
      </c>
      <c r="AW146" s="16">
        <v>0</v>
      </c>
      <c r="AX146" s="16">
        <v>0</v>
      </c>
      <c r="AY146" s="16">
        <v>0</v>
      </c>
      <c r="AZ146" s="16">
        <v>254855</v>
      </c>
      <c r="BA146" s="16">
        <f>SUM(BB146+BF146+BI146+BK146+BM146)</f>
        <v>50440</v>
      </c>
      <c r="BB146" s="16">
        <f>SUM(BC146:BE146)</f>
        <v>0</v>
      </c>
      <c r="BC146" s="16">
        <v>0</v>
      </c>
      <c r="BD146" s="16">
        <v>0</v>
      </c>
      <c r="BE146" s="16">
        <v>0</v>
      </c>
      <c r="BF146" s="16">
        <f t="shared" si="105"/>
        <v>0</v>
      </c>
      <c r="BG146" s="16">
        <v>0</v>
      </c>
      <c r="BH146" s="16">
        <v>0</v>
      </c>
      <c r="BI146" s="16">
        <v>0</v>
      </c>
      <c r="BJ146" s="16">
        <v>0</v>
      </c>
      <c r="BK146" s="16">
        <f t="shared" si="106"/>
        <v>0</v>
      </c>
      <c r="BL146" s="16">
        <v>0</v>
      </c>
      <c r="BM146" s="16">
        <f t="shared" si="107"/>
        <v>50440</v>
      </c>
      <c r="BN146" s="16">
        <v>0</v>
      </c>
      <c r="BO146" s="16">
        <v>0</v>
      </c>
      <c r="BP146" s="16">
        <v>50440</v>
      </c>
      <c r="BQ146" s="16">
        <v>0</v>
      </c>
      <c r="BR146" s="16">
        <v>0</v>
      </c>
      <c r="BS146" s="16">
        <v>0</v>
      </c>
      <c r="BT146" s="16">
        <v>0</v>
      </c>
      <c r="BU146" s="16">
        <v>0</v>
      </c>
      <c r="BV146" s="16">
        <v>0</v>
      </c>
      <c r="BW146" s="16">
        <v>0</v>
      </c>
      <c r="BX146" s="16">
        <v>0</v>
      </c>
      <c r="BY146" s="16">
        <f>SUM(BZ146+CS146)</f>
        <v>0</v>
      </c>
      <c r="BZ146" s="16">
        <f>SUM(CA146+CD146+CK146)</f>
        <v>0</v>
      </c>
      <c r="CA146" s="16">
        <f t="shared" si="108"/>
        <v>0</v>
      </c>
      <c r="CB146" s="16">
        <v>0</v>
      </c>
      <c r="CC146" s="16">
        <v>0</v>
      </c>
      <c r="CD146" s="16">
        <f t="shared" si="109"/>
        <v>0</v>
      </c>
      <c r="CE146" s="16">
        <v>0</v>
      </c>
      <c r="CF146" s="16">
        <v>0</v>
      </c>
      <c r="CG146" s="16">
        <v>0</v>
      </c>
      <c r="CH146" s="16">
        <v>0</v>
      </c>
      <c r="CI146" s="16">
        <v>0</v>
      </c>
      <c r="CJ146" s="16">
        <v>0</v>
      </c>
      <c r="CK146" s="16">
        <f t="shared" si="110"/>
        <v>0</v>
      </c>
      <c r="CL146" s="16">
        <v>0</v>
      </c>
      <c r="CM146" s="16">
        <v>0</v>
      </c>
      <c r="CN146" s="16">
        <v>0</v>
      </c>
      <c r="CO146" s="16">
        <v>0</v>
      </c>
      <c r="CP146" s="16">
        <v>0</v>
      </c>
      <c r="CQ146" s="16">
        <v>0</v>
      </c>
      <c r="CR146" s="16">
        <v>0</v>
      </c>
      <c r="CS146" s="16">
        <v>0</v>
      </c>
      <c r="CT146" s="16">
        <f t="shared" si="111"/>
        <v>0</v>
      </c>
      <c r="CU146" s="16">
        <f t="shared" si="112"/>
        <v>0</v>
      </c>
      <c r="CV146" s="16">
        <v>0</v>
      </c>
      <c r="CW146" s="17">
        <v>0</v>
      </c>
      <c r="CX146" s="40"/>
      <c r="CY146" s="40"/>
    </row>
    <row r="147" spans="1:103" ht="31.5" x14ac:dyDescent="0.25">
      <c r="A147" s="18" t="s">
        <v>169</v>
      </c>
      <c r="B147" s="19" t="s">
        <v>1</v>
      </c>
      <c r="C147" s="19" t="s">
        <v>1</v>
      </c>
      <c r="D147" s="31" t="s">
        <v>170</v>
      </c>
      <c r="E147" s="20">
        <f>SUM(E148+E152+E155)</f>
        <v>23158395</v>
      </c>
      <c r="F147" s="21">
        <f t="shared" ref="F147:BS147" si="226">SUM(F148+F152+F155)</f>
        <v>22918731</v>
      </c>
      <c r="G147" s="21">
        <f t="shared" si="226"/>
        <v>22406571</v>
      </c>
      <c r="H147" s="21">
        <f t="shared" si="226"/>
        <v>14507932</v>
      </c>
      <c r="I147" s="21">
        <f t="shared" si="226"/>
        <v>3363985</v>
      </c>
      <c r="J147" s="21">
        <f t="shared" si="226"/>
        <v>217065</v>
      </c>
      <c r="K147" s="21">
        <f t="shared" si="226"/>
        <v>0</v>
      </c>
      <c r="L147" s="21">
        <f t="shared" si="226"/>
        <v>8000</v>
      </c>
      <c r="M147" s="21">
        <f t="shared" si="226"/>
        <v>0</v>
      </c>
      <c r="N147" s="21">
        <f t="shared" si="226"/>
        <v>0</v>
      </c>
      <c r="O147" s="21">
        <f t="shared" si="226"/>
        <v>195264</v>
      </c>
      <c r="P147" s="21">
        <f t="shared" si="226"/>
        <v>13801</v>
      </c>
      <c r="Q147" s="21">
        <f t="shared" si="226"/>
        <v>1081</v>
      </c>
      <c r="R147" s="21">
        <f t="shared" si="226"/>
        <v>1081</v>
      </c>
      <c r="S147" s="21">
        <f t="shared" si="226"/>
        <v>0</v>
      </c>
      <c r="T147" s="21">
        <f t="shared" si="226"/>
        <v>0</v>
      </c>
      <c r="U147" s="21">
        <f t="shared" si="226"/>
        <v>99698</v>
      </c>
      <c r="V147" s="21">
        <f t="shared" si="226"/>
        <v>204466</v>
      </c>
      <c r="W147" s="21">
        <f t="shared" si="226"/>
        <v>9800</v>
      </c>
      <c r="X147" s="21">
        <f t="shared" si="226"/>
        <v>135632</v>
      </c>
      <c r="Y147" s="21">
        <f t="shared" si="226"/>
        <v>41855</v>
      </c>
      <c r="Z147" s="21">
        <f t="shared" si="226"/>
        <v>8943</v>
      </c>
      <c r="AA147" s="21">
        <f t="shared" si="226"/>
        <v>6522</v>
      </c>
      <c r="AB147" s="21">
        <f t="shared" si="226"/>
        <v>0</v>
      </c>
      <c r="AC147" s="21">
        <f t="shared" si="226"/>
        <v>0</v>
      </c>
      <c r="AD147" s="21">
        <f t="shared" ref="AD147" si="227">SUM(AD148+AD152+AD155)</f>
        <v>1714</v>
      </c>
      <c r="AE147" s="21">
        <f t="shared" si="226"/>
        <v>4012344</v>
      </c>
      <c r="AF147" s="21">
        <f t="shared" si="226"/>
        <v>0</v>
      </c>
      <c r="AG147" s="21">
        <f t="shared" si="226"/>
        <v>0</v>
      </c>
      <c r="AH147" s="21">
        <f t="shared" si="226"/>
        <v>54080</v>
      </c>
      <c r="AI147" s="21">
        <f t="shared" si="226"/>
        <v>0</v>
      </c>
      <c r="AJ147" s="21">
        <f t="shared" si="226"/>
        <v>9546</v>
      </c>
      <c r="AK147" s="21">
        <f t="shared" si="226"/>
        <v>0</v>
      </c>
      <c r="AL147" s="21">
        <f t="shared" si="226"/>
        <v>119834</v>
      </c>
      <c r="AM147" s="21">
        <f t="shared" si="226"/>
        <v>0</v>
      </c>
      <c r="AN147" s="21">
        <f t="shared" si="226"/>
        <v>0</v>
      </c>
      <c r="AO147" s="21">
        <f t="shared" si="226"/>
        <v>0</v>
      </c>
      <c r="AP147" s="21">
        <f>SUM(AP148+AP152+AP155)</f>
        <v>0</v>
      </c>
      <c r="AQ147" s="21">
        <f t="shared" si="226"/>
        <v>0</v>
      </c>
      <c r="AR147" s="21">
        <f t="shared" si="226"/>
        <v>42219</v>
      </c>
      <c r="AS147" s="21">
        <f t="shared" si="226"/>
        <v>17000</v>
      </c>
      <c r="AT147" s="21">
        <f t="shared" si="226"/>
        <v>0</v>
      </c>
      <c r="AU147" s="21">
        <f t="shared" si="226"/>
        <v>0</v>
      </c>
      <c r="AV147" s="21">
        <f t="shared" si="226"/>
        <v>0</v>
      </c>
      <c r="AW147" s="21">
        <f t="shared" si="226"/>
        <v>0</v>
      </c>
      <c r="AX147" s="21">
        <f t="shared" si="226"/>
        <v>0</v>
      </c>
      <c r="AY147" s="21">
        <f t="shared" si="226"/>
        <v>0</v>
      </c>
      <c r="AZ147" s="21">
        <f t="shared" si="226"/>
        <v>3769665</v>
      </c>
      <c r="BA147" s="21">
        <f t="shared" si="226"/>
        <v>512160</v>
      </c>
      <c r="BB147" s="21">
        <f t="shared" si="226"/>
        <v>0</v>
      </c>
      <c r="BC147" s="21">
        <f t="shared" si="226"/>
        <v>0</v>
      </c>
      <c r="BD147" s="21">
        <f t="shared" si="226"/>
        <v>0</v>
      </c>
      <c r="BE147" s="21">
        <f t="shared" si="226"/>
        <v>0</v>
      </c>
      <c r="BF147" s="21">
        <f t="shared" si="226"/>
        <v>0</v>
      </c>
      <c r="BG147" s="21">
        <f t="shared" si="226"/>
        <v>0</v>
      </c>
      <c r="BH147" s="21">
        <f t="shared" si="226"/>
        <v>0</v>
      </c>
      <c r="BI147" s="21">
        <f t="shared" si="226"/>
        <v>0</v>
      </c>
      <c r="BJ147" s="21">
        <f t="shared" si="226"/>
        <v>0</v>
      </c>
      <c r="BK147" s="21">
        <f t="shared" si="226"/>
        <v>0</v>
      </c>
      <c r="BL147" s="21">
        <f t="shared" si="226"/>
        <v>0</v>
      </c>
      <c r="BM147" s="21">
        <f t="shared" si="226"/>
        <v>512160</v>
      </c>
      <c r="BN147" s="21">
        <f t="shared" si="226"/>
        <v>0</v>
      </c>
      <c r="BO147" s="21">
        <f t="shared" si="226"/>
        <v>0</v>
      </c>
      <c r="BP147" s="21">
        <f t="shared" si="226"/>
        <v>512160</v>
      </c>
      <c r="BQ147" s="21">
        <f t="shared" si="226"/>
        <v>0</v>
      </c>
      <c r="BR147" s="21">
        <f t="shared" si="226"/>
        <v>0</v>
      </c>
      <c r="BS147" s="21">
        <f t="shared" si="226"/>
        <v>0</v>
      </c>
      <c r="BT147" s="21">
        <f t="shared" ref="BT147:CW147" si="228">SUM(BT148+BT152+BT155)</f>
        <v>0</v>
      </c>
      <c r="BU147" s="21">
        <f t="shared" si="228"/>
        <v>0</v>
      </c>
      <c r="BV147" s="21">
        <f t="shared" si="228"/>
        <v>0</v>
      </c>
      <c r="BW147" s="21">
        <f t="shared" si="228"/>
        <v>0</v>
      </c>
      <c r="BX147" s="21">
        <f t="shared" si="228"/>
        <v>0</v>
      </c>
      <c r="BY147" s="21">
        <f t="shared" si="228"/>
        <v>239664</v>
      </c>
      <c r="BZ147" s="21">
        <f t="shared" si="228"/>
        <v>239664</v>
      </c>
      <c r="CA147" s="21">
        <f t="shared" si="228"/>
        <v>239664</v>
      </c>
      <c r="CB147" s="21">
        <f t="shared" si="228"/>
        <v>0</v>
      </c>
      <c r="CC147" s="21">
        <f t="shared" si="228"/>
        <v>239664</v>
      </c>
      <c r="CD147" s="21">
        <f t="shared" si="228"/>
        <v>0</v>
      </c>
      <c r="CE147" s="21">
        <f t="shared" si="228"/>
        <v>0</v>
      </c>
      <c r="CF147" s="21">
        <f>SUM(CF148+CF152+CF155)</f>
        <v>0</v>
      </c>
      <c r="CG147" s="21">
        <f t="shared" si="228"/>
        <v>0</v>
      </c>
      <c r="CH147" s="21">
        <f t="shared" si="228"/>
        <v>0</v>
      </c>
      <c r="CI147" s="21">
        <f t="shared" si="228"/>
        <v>0</v>
      </c>
      <c r="CJ147" s="21">
        <f t="shared" ref="CJ147" si="229">SUM(CJ148+CJ152+CJ155)</f>
        <v>0</v>
      </c>
      <c r="CK147" s="21">
        <f t="shared" si="228"/>
        <v>0</v>
      </c>
      <c r="CL147" s="21">
        <f t="shared" si="228"/>
        <v>0</v>
      </c>
      <c r="CM147" s="21">
        <f>SUM(CM148+CM152+CM155)</f>
        <v>0</v>
      </c>
      <c r="CN147" s="21">
        <f t="shared" si="228"/>
        <v>0</v>
      </c>
      <c r="CO147" s="21">
        <f t="shared" si="228"/>
        <v>0</v>
      </c>
      <c r="CP147" s="21">
        <f t="shared" si="228"/>
        <v>0</v>
      </c>
      <c r="CQ147" s="21">
        <f t="shared" si="228"/>
        <v>0</v>
      </c>
      <c r="CR147" s="21">
        <f t="shared" si="228"/>
        <v>0</v>
      </c>
      <c r="CS147" s="21">
        <f t="shared" si="228"/>
        <v>0</v>
      </c>
      <c r="CT147" s="21">
        <f t="shared" si="228"/>
        <v>0</v>
      </c>
      <c r="CU147" s="21">
        <f t="shared" si="228"/>
        <v>0</v>
      </c>
      <c r="CV147" s="21">
        <f t="shared" si="228"/>
        <v>0</v>
      </c>
      <c r="CW147" s="22">
        <f t="shared" si="228"/>
        <v>0</v>
      </c>
      <c r="CX147" s="40"/>
      <c r="CY147" s="40"/>
    </row>
    <row r="148" spans="1:103" ht="31.5" x14ac:dyDescent="0.25">
      <c r="A148" s="13" t="s">
        <v>171</v>
      </c>
      <c r="B148" s="14" t="s">
        <v>7</v>
      </c>
      <c r="C148" s="14" t="s">
        <v>1</v>
      </c>
      <c r="D148" s="30" t="s">
        <v>172</v>
      </c>
      <c r="E148" s="15">
        <f>SUM(E149:E151)</f>
        <v>13523279</v>
      </c>
      <c r="F148" s="16">
        <f t="shared" ref="F148:BS148" si="230">SUM(F149:F151)</f>
        <v>13371643</v>
      </c>
      <c r="G148" s="16">
        <f t="shared" si="230"/>
        <v>13371643</v>
      </c>
      <c r="H148" s="16">
        <f t="shared" si="230"/>
        <v>10352411</v>
      </c>
      <c r="I148" s="16">
        <f t="shared" si="230"/>
        <v>2422237</v>
      </c>
      <c r="J148" s="16">
        <f t="shared" si="230"/>
        <v>128615</v>
      </c>
      <c r="K148" s="16">
        <f t="shared" si="230"/>
        <v>0</v>
      </c>
      <c r="L148" s="16">
        <f t="shared" si="230"/>
        <v>0</v>
      </c>
      <c r="M148" s="16">
        <f t="shared" si="230"/>
        <v>0</v>
      </c>
      <c r="N148" s="16">
        <f t="shared" si="230"/>
        <v>0</v>
      </c>
      <c r="O148" s="16">
        <f t="shared" si="230"/>
        <v>119656</v>
      </c>
      <c r="P148" s="16">
        <f t="shared" si="230"/>
        <v>8959</v>
      </c>
      <c r="Q148" s="16">
        <f t="shared" si="230"/>
        <v>1081</v>
      </c>
      <c r="R148" s="16">
        <f t="shared" si="230"/>
        <v>1081</v>
      </c>
      <c r="S148" s="16">
        <f t="shared" si="230"/>
        <v>0</v>
      </c>
      <c r="T148" s="16">
        <f t="shared" si="230"/>
        <v>0</v>
      </c>
      <c r="U148" s="16">
        <f t="shared" si="230"/>
        <v>43857</v>
      </c>
      <c r="V148" s="16">
        <f t="shared" si="230"/>
        <v>135815</v>
      </c>
      <c r="W148" s="16">
        <f t="shared" si="230"/>
        <v>9800</v>
      </c>
      <c r="X148" s="16">
        <f t="shared" si="230"/>
        <v>73512</v>
      </c>
      <c r="Y148" s="16">
        <f t="shared" si="230"/>
        <v>36328</v>
      </c>
      <c r="Z148" s="16">
        <f t="shared" si="230"/>
        <v>7939</v>
      </c>
      <c r="AA148" s="16">
        <f t="shared" si="230"/>
        <v>6522</v>
      </c>
      <c r="AB148" s="16">
        <f t="shared" si="230"/>
        <v>0</v>
      </c>
      <c r="AC148" s="16">
        <f t="shared" si="230"/>
        <v>0</v>
      </c>
      <c r="AD148" s="16">
        <f t="shared" ref="AD148" si="231">SUM(AD149:AD151)</f>
        <v>1714</v>
      </c>
      <c r="AE148" s="16">
        <f t="shared" si="230"/>
        <v>287627</v>
      </c>
      <c r="AF148" s="16">
        <f t="shared" si="230"/>
        <v>0</v>
      </c>
      <c r="AG148" s="16">
        <f t="shared" si="230"/>
        <v>0</v>
      </c>
      <c r="AH148" s="16">
        <f t="shared" si="230"/>
        <v>41407</v>
      </c>
      <c r="AI148" s="16">
        <f t="shared" si="230"/>
        <v>0</v>
      </c>
      <c r="AJ148" s="16">
        <f t="shared" si="230"/>
        <v>3182</v>
      </c>
      <c r="AK148" s="16">
        <f t="shared" si="230"/>
        <v>0</v>
      </c>
      <c r="AL148" s="16">
        <f t="shared" si="230"/>
        <v>75819</v>
      </c>
      <c r="AM148" s="16">
        <f t="shared" si="230"/>
        <v>0</v>
      </c>
      <c r="AN148" s="16">
        <f t="shared" si="230"/>
        <v>0</v>
      </c>
      <c r="AO148" s="16">
        <f t="shared" si="230"/>
        <v>0</v>
      </c>
      <c r="AP148" s="16">
        <f>SUM(AP149:AP151)</f>
        <v>0</v>
      </c>
      <c r="AQ148" s="16">
        <f t="shared" si="230"/>
        <v>0</v>
      </c>
      <c r="AR148" s="16">
        <f t="shared" si="230"/>
        <v>42219</v>
      </c>
      <c r="AS148" s="16">
        <f t="shared" si="230"/>
        <v>0</v>
      </c>
      <c r="AT148" s="16">
        <f t="shared" si="230"/>
        <v>0</v>
      </c>
      <c r="AU148" s="16">
        <f t="shared" si="230"/>
        <v>0</v>
      </c>
      <c r="AV148" s="16">
        <f t="shared" si="230"/>
        <v>0</v>
      </c>
      <c r="AW148" s="16">
        <f t="shared" si="230"/>
        <v>0</v>
      </c>
      <c r="AX148" s="16">
        <f t="shared" si="230"/>
        <v>0</v>
      </c>
      <c r="AY148" s="16">
        <f t="shared" si="230"/>
        <v>0</v>
      </c>
      <c r="AZ148" s="16">
        <f t="shared" si="230"/>
        <v>125000</v>
      </c>
      <c r="BA148" s="16">
        <f t="shared" si="230"/>
        <v>0</v>
      </c>
      <c r="BB148" s="16">
        <f t="shared" si="230"/>
        <v>0</v>
      </c>
      <c r="BC148" s="16">
        <f t="shared" si="230"/>
        <v>0</v>
      </c>
      <c r="BD148" s="16">
        <f t="shared" si="230"/>
        <v>0</v>
      </c>
      <c r="BE148" s="16">
        <f t="shared" si="230"/>
        <v>0</v>
      </c>
      <c r="BF148" s="16">
        <f t="shared" si="230"/>
        <v>0</v>
      </c>
      <c r="BG148" s="16">
        <f t="shared" si="230"/>
        <v>0</v>
      </c>
      <c r="BH148" s="16">
        <f t="shared" si="230"/>
        <v>0</v>
      </c>
      <c r="BI148" s="16">
        <f t="shared" si="230"/>
        <v>0</v>
      </c>
      <c r="BJ148" s="16">
        <f t="shared" si="230"/>
        <v>0</v>
      </c>
      <c r="BK148" s="16">
        <f t="shared" si="230"/>
        <v>0</v>
      </c>
      <c r="BL148" s="16">
        <f t="shared" si="230"/>
        <v>0</v>
      </c>
      <c r="BM148" s="16">
        <f t="shared" si="230"/>
        <v>0</v>
      </c>
      <c r="BN148" s="16">
        <f t="shared" si="230"/>
        <v>0</v>
      </c>
      <c r="BO148" s="16">
        <f t="shared" si="230"/>
        <v>0</v>
      </c>
      <c r="BP148" s="16">
        <f t="shared" si="230"/>
        <v>0</v>
      </c>
      <c r="BQ148" s="16">
        <f t="shared" si="230"/>
        <v>0</v>
      </c>
      <c r="BR148" s="16">
        <f t="shared" si="230"/>
        <v>0</v>
      </c>
      <c r="BS148" s="16">
        <f t="shared" si="230"/>
        <v>0</v>
      </c>
      <c r="BT148" s="16">
        <f t="shared" ref="BT148:CW148" si="232">SUM(BT149:BT151)</f>
        <v>0</v>
      </c>
      <c r="BU148" s="16">
        <f t="shared" si="232"/>
        <v>0</v>
      </c>
      <c r="BV148" s="16">
        <f t="shared" si="232"/>
        <v>0</v>
      </c>
      <c r="BW148" s="16">
        <f t="shared" si="232"/>
        <v>0</v>
      </c>
      <c r="BX148" s="16">
        <f t="shared" si="232"/>
        <v>0</v>
      </c>
      <c r="BY148" s="16">
        <f t="shared" si="232"/>
        <v>151636</v>
      </c>
      <c r="BZ148" s="16">
        <f t="shared" si="232"/>
        <v>151636</v>
      </c>
      <c r="CA148" s="16">
        <f t="shared" si="232"/>
        <v>151636</v>
      </c>
      <c r="CB148" s="16">
        <f t="shared" si="232"/>
        <v>0</v>
      </c>
      <c r="CC148" s="16">
        <f t="shared" si="232"/>
        <v>151636</v>
      </c>
      <c r="CD148" s="16">
        <f t="shared" si="232"/>
        <v>0</v>
      </c>
      <c r="CE148" s="16">
        <f t="shared" si="232"/>
        <v>0</v>
      </c>
      <c r="CF148" s="16">
        <f>SUM(CF149:CF151)</f>
        <v>0</v>
      </c>
      <c r="CG148" s="16">
        <f t="shared" si="232"/>
        <v>0</v>
      </c>
      <c r="CH148" s="16">
        <f t="shared" si="232"/>
        <v>0</v>
      </c>
      <c r="CI148" s="16">
        <f t="shared" si="232"/>
        <v>0</v>
      </c>
      <c r="CJ148" s="16">
        <f t="shared" ref="CJ148" si="233">SUM(CJ149:CJ151)</f>
        <v>0</v>
      </c>
      <c r="CK148" s="16">
        <f t="shared" si="232"/>
        <v>0</v>
      </c>
      <c r="CL148" s="16">
        <f t="shared" si="232"/>
        <v>0</v>
      </c>
      <c r="CM148" s="16">
        <f>SUM(CM149:CM151)</f>
        <v>0</v>
      </c>
      <c r="CN148" s="16">
        <f t="shared" si="232"/>
        <v>0</v>
      </c>
      <c r="CO148" s="16">
        <f t="shared" si="232"/>
        <v>0</v>
      </c>
      <c r="CP148" s="16">
        <f t="shared" si="232"/>
        <v>0</v>
      </c>
      <c r="CQ148" s="16">
        <f t="shared" si="232"/>
        <v>0</v>
      </c>
      <c r="CR148" s="16">
        <f t="shared" si="232"/>
        <v>0</v>
      </c>
      <c r="CS148" s="16">
        <f t="shared" si="232"/>
        <v>0</v>
      </c>
      <c r="CT148" s="16">
        <f t="shared" si="232"/>
        <v>0</v>
      </c>
      <c r="CU148" s="16">
        <f t="shared" si="232"/>
        <v>0</v>
      </c>
      <c r="CV148" s="16">
        <f t="shared" si="232"/>
        <v>0</v>
      </c>
      <c r="CW148" s="17">
        <f t="shared" si="232"/>
        <v>0</v>
      </c>
      <c r="CX148" s="40"/>
      <c r="CY148" s="40"/>
    </row>
    <row r="149" spans="1:103" ht="31.5" x14ac:dyDescent="0.25">
      <c r="A149" s="13" t="s">
        <v>1</v>
      </c>
      <c r="B149" s="14" t="s">
        <v>1</v>
      </c>
      <c r="C149" s="14" t="s">
        <v>33</v>
      </c>
      <c r="D149" s="30" t="s">
        <v>173</v>
      </c>
      <c r="E149" s="15">
        <f>SUM(F149+BY149+CT149)</f>
        <v>8178780</v>
      </c>
      <c r="F149" s="16">
        <f>SUM(G149+BA149)</f>
        <v>8042211</v>
      </c>
      <c r="G149" s="16">
        <f>SUM(H149+I149+J149+Q149+T149+U149+V149+AE149)</f>
        <v>8042211</v>
      </c>
      <c r="H149" s="16">
        <v>6218149</v>
      </c>
      <c r="I149" s="16">
        <v>1431221</v>
      </c>
      <c r="J149" s="16">
        <f t="shared" si="103"/>
        <v>128615</v>
      </c>
      <c r="K149" s="16">
        <v>0</v>
      </c>
      <c r="L149" s="16">
        <v>0</v>
      </c>
      <c r="M149" s="16">
        <v>0</v>
      </c>
      <c r="N149" s="16">
        <v>0</v>
      </c>
      <c r="O149" s="16">
        <v>119656</v>
      </c>
      <c r="P149" s="16">
        <v>8959</v>
      </c>
      <c r="Q149" s="16">
        <f t="shared" si="104"/>
        <v>1081</v>
      </c>
      <c r="R149" s="16">
        <v>1081</v>
      </c>
      <c r="S149" s="16">
        <v>0</v>
      </c>
      <c r="T149" s="16">
        <v>0</v>
      </c>
      <c r="U149" s="16">
        <v>30909</v>
      </c>
      <c r="V149" s="16">
        <f>SUM(W149:AD149)</f>
        <v>125666</v>
      </c>
      <c r="W149" s="16">
        <v>9800</v>
      </c>
      <c r="X149" s="16">
        <f>73112+400</f>
        <v>73512</v>
      </c>
      <c r="Y149" s="16">
        <v>28758</v>
      </c>
      <c r="Z149" s="16">
        <v>7074</v>
      </c>
      <c r="AA149" s="16">
        <v>6522</v>
      </c>
      <c r="AB149" s="16">
        <v>0</v>
      </c>
      <c r="AC149" s="16">
        <v>0</v>
      </c>
      <c r="AD149" s="16">
        <v>0</v>
      </c>
      <c r="AE149" s="16">
        <f>SUM(AF149:AZ149)</f>
        <v>106570</v>
      </c>
      <c r="AF149" s="16">
        <v>0</v>
      </c>
      <c r="AG149" s="16">
        <v>0</v>
      </c>
      <c r="AH149" s="16">
        <v>36694</v>
      </c>
      <c r="AI149" s="16">
        <v>0</v>
      </c>
      <c r="AJ149" s="16">
        <v>1591</v>
      </c>
      <c r="AK149" s="16">
        <v>0</v>
      </c>
      <c r="AL149" s="16">
        <v>68285</v>
      </c>
      <c r="AM149" s="16">
        <v>0</v>
      </c>
      <c r="AN149" s="16">
        <v>0</v>
      </c>
      <c r="AO149" s="16">
        <v>0</v>
      </c>
      <c r="AP149" s="16">
        <v>0</v>
      </c>
      <c r="AQ149" s="16">
        <v>0</v>
      </c>
      <c r="AR149" s="16">
        <v>0</v>
      </c>
      <c r="AS149" s="16">
        <v>0</v>
      </c>
      <c r="AT149" s="16">
        <v>0</v>
      </c>
      <c r="AU149" s="16">
        <v>0</v>
      </c>
      <c r="AV149" s="16">
        <v>0</v>
      </c>
      <c r="AW149" s="16">
        <v>0</v>
      </c>
      <c r="AX149" s="16">
        <v>0</v>
      </c>
      <c r="AY149" s="16">
        <v>0</v>
      </c>
      <c r="AZ149" s="16">
        <v>0</v>
      </c>
      <c r="BA149" s="16">
        <f>SUM(BB149+BF149+BI149+BK149+BM149)</f>
        <v>0</v>
      </c>
      <c r="BB149" s="16">
        <f>SUM(BC149:BE149)</f>
        <v>0</v>
      </c>
      <c r="BC149" s="16">
        <v>0</v>
      </c>
      <c r="BD149" s="16">
        <v>0</v>
      </c>
      <c r="BE149" s="16">
        <v>0</v>
      </c>
      <c r="BF149" s="16">
        <f t="shared" si="105"/>
        <v>0</v>
      </c>
      <c r="BG149" s="16">
        <v>0</v>
      </c>
      <c r="BH149" s="16">
        <v>0</v>
      </c>
      <c r="BI149" s="16">
        <v>0</v>
      </c>
      <c r="BJ149" s="16">
        <v>0</v>
      </c>
      <c r="BK149" s="16">
        <f t="shared" si="106"/>
        <v>0</v>
      </c>
      <c r="BL149" s="16">
        <v>0</v>
      </c>
      <c r="BM149" s="16">
        <f t="shared" si="107"/>
        <v>0</v>
      </c>
      <c r="BN149" s="16">
        <v>0</v>
      </c>
      <c r="BO149" s="16">
        <v>0</v>
      </c>
      <c r="BP149" s="16">
        <v>0</v>
      </c>
      <c r="BQ149" s="16">
        <v>0</v>
      </c>
      <c r="BR149" s="16">
        <v>0</v>
      </c>
      <c r="BS149" s="16">
        <v>0</v>
      </c>
      <c r="BT149" s="16">
        <v>0</v>
      </c>
      <c r="BU149" s="16">
        <v>0</v>
      </c>
      <c r="BV149" s="16">
        <v>0</v>
      </c>
      <c r="BW149" s="16">
        <v>0</v>
      </c>
      <c r="BX149" s="16">
        <v>0</v>
      </c>
      <c r="BY149" s="16">
        <f>SUM(BZ149+CS149)</f>
        <v>136569</v>
      </c>
      <c r="BZ149" s="16">
        <f>SUM(CA149+CD149+CK149)</f>
        <v>136569</v>
      </c>
      <c r="CA149" s="16">
        <f t="shared" si="108"/>
        <v>136569</v>
      </c>
      <c r="CB149" s="16">
        <v>0</v>
      </c>
      <c r="CC149" s="16">
        <v>136569</v>
      </c>
      <c r="CD149" s="16">
        <f t="shared" si="109"/>
        <v>0</v>
      </c>
      <c r="CE149" s="16">
        <v>0</v>
      </c>
      <c r="CF149" s="16">
        <v>0</v>
      </c>
      <c r="CG149" s="16">
        <v>0</v>
      </c>
      <c r="CH149" s="16">
        <v>0</v>
      </c>
      <c r="CI149" s="16">
        <v>0</v>
      </c>
      <c r="CJ149" s="16">
        <v>0</v>
      </c>
      <c r="CK149" s="16">
        <f t="shared" si="110"/>
        <v>0</v>
      </c>
      <c r="CL149" s="16">
        <v>0</v>
      </c>
      <c r="CM149" s="16">
        <v>0</v>
      </c>
      <c r="CN149" s="16">
        <v>0</v>
      </c>
      <c r="CO149" s="16">
        <v>0</v>
      </c>
      <c r="CP149" s="16">
        <v>0</v>
      </c>
      <c r="CQ149" s="16">
        <v>0</v>
      </c>
      <c r="CR149" s="16">
        <v>0</v>
      </c>
      <c r="CS149" s="16">
        <v>0</v>
      </c>
      <c r="CT149" s="16">
        <f t="shared" si="111"/>
        <v>0</v>
      </c>
      <c r="CU149" s="16">
        <f t="shared" si="112"/>
        <v>0</v>
      </c>
      <c r="CV149" s="16">
        <v>0</v>
      </c>
      <c r="CW149" s="17">
        <v>0</v>
      </c>
      <c r="CX149" s="40"/>
      <c r="CY149" s="40"/>
    </row>
    <row r="150" spans="1:103" ht="15.75" x14ac:dyDescent="0.25">
      <c r="A150" s="13" t="s">
        <v>1</v>
      </c>
      <c r="B150" s="14" t="s">
        <v>1</v>
      </c>
      <c r="C150" s="14" t="s">
        <v>33</v>
      </c>
      <c r="D150" s="30" t="s">
        <v>174</v>
      </c>
      <c r="E150" s="15">
        <f>SUM(F150+BY150+CT150)</f>
        <v>1117043</v>
      </c>
      <c r="F150" s="16">
        <f>SUM(G150+BA150)</f>
        <v>1101976</v>
      </c>
      <c r="G150" s="16">
        <f>SUM(H150+I150+J150+Q150+T150+U150+V150+AE150)</f>
        <v>1101976</v>
      </c>
      <c r="H150" s="16">
        <v>728521</v>
      </c>
      <c r="I150" s="16">
        <v>169301</v>
      </c>
      <c r="J150" s="16">
        <f t="shared" si="103"/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f t="shared" si="104"/>
        <v>0</v>
      </c>
      <c r="R150" s="16">
        <v>0</v>
      </c>
      <c r="S150" s="16">
        <v>0</v>
      </c>
      <c r="T150" s="16">
        <v>0</v>
      </c>
      <c r="U150" s="16">
        <v>12948</v>
      </c>
      <c r="V150" s="16">
        <f>SUM(W150:AD150)</f>
        <v>10149</v>
      </c>
      <c r="W150" s="16">
        <v>0</v>
      </c>
      <c r="X150" s="16">
        <v>0</v>
      </c>
      <c r="Y150" s="16">
        <v>7570</v>
      </c>
      <c r="Z150" s="16">
        <v>865</v>
      </c>
      <c r="AA150" s="16">
        <v>0</v>
      </c>
      <c r="AB150" s="16">
        <v>0</v>
      </c>
      <c r="AC150" s="16">
        <v>0</v>
      </c>
      <c r="AD150" s="16">
        <v>1714</v>
      </c>
      <c r="AE150" s="16">
        <f>SUM(AF150:AZ150)</f>
        <v>181057</v>
      </c>
      <c r="AF150" s="16">
        <v>0</v>
      </c>
      <c r="AG150" s="16">
        <v>0</v>
      </c>
      <c r="AH150" s="16">
        <v>4713</v>
      </c>
      <c r="AI150" s="16">
        <v>0</v>
      </c>
      <c r="AJ150" s="16">
        <v>1591</v>
      </c>
      <c r="AK150" s="16">
        <v>0</v>
      </c>
      <c r="AL150" s="16">
        <v>7534</v>
      </c>
      <c r="AM150" s="16">
        <v>0</v>
      </c>
      <c r="AN150" s="16">
        <v>0</v>
      </c>
      <c r="AO150" s="16">
        <v>0</v>
      </c>
      <c r="AP150" s="16">
        <v>0</v>
      </c>
      <c r="AQ150" s="16">
        <v>0</v>
      </c>
      <c r="AR150" s="16">
        <v>42219</v>
      </c>
      <c r="AS150" s="16">
        <v>0</v>
      </c>
      <c r="AT150" s="16">
        <v>0</v>
      </c>
      <c r="AU150" s="16">
        <v>0</v>
      </c>
      <c r="AV150" s="16">
        <v>0</v>
      </c>
      <c r="AW150" s="16">
        <v>0</v>
      </c>
      <c r="AX150" s="16">
        <v>0</v>
      </c>
      <c r="AY150" s="16">
        <v>0</v>
      </c>
      <c r="AZ150" s="16">
        <v>125000</v>
      </c>
      <c r="BA150" s="16">
        <f>SUM(BB150+BF150+BI150+BK150+BM150)</f>
        <v>0</v>
      </c>
      <c r="BB150" s="16">
        <f>SUM(BC150:BE150)</f>
        <v>0</v>
      </c>
      <c r="BC150" s="16">
        <v>0</v>
      </c>
      <c r="BD150" s="16">
        <v>0</v>
      </c>
      <c r="BE150" s="16">
        <v>0</v>
      </c>
      <c r="BF150" s="16">
        <f t="shared" si="105"/>
        <v>0</v>
      </c>
      <c r="BG150" s="16">
        <v>0</v>
      </c>
      <c r="BH150" s="16">
        <v>0</v>
      </c>
      <c r="BI150" s="16">
        <v>0</v>
      </c>
      <c r="BJ150" s="16">
        <v>0</v>
      </c>
      <c r="BK150" s="16">
        <f t="shared" si="106"/>
        <v>0</v>
      </c>
      <c r="BL150" s="16">
        <v>0</v>
      </c>
      <c r="BM150" s="16">
        <f t="shared" si="107"/>
        <v>0</v>
      </c>
      <c r="BN150" s="16">
        <v>0</v>
      </c>
      <c r="BO150" s="16">
        <v>0</v>
      </c>
      <c r="BP150" s="16">
        <v>0</v>
      </c>
      <c r="BQ150" s="16">
        <v>0</v>
      </c>
      <c r="BR150" s="16">
        <v>0</v>
      </c>
      <c r="BS150" s="16">
        <v>0</v>
      </c>
      <c r="BT150" s="16">
        <v>0</v>
      </c>
      <c r="BU150" s="16">
        <v>0</v>
      </c>
      <c r="BV150" s="16">
        <v>0</v>
      </c>
      <c r="BW150" s="16">
        <v>0</v>
      </c>
      <c r="BX150" s="16">
        <v>0</v>
      </c>
      <c r="BY150" s="16">
        <f>SUM(BZ150+CS150)</f>
        <v>15067</v>
      </c>
      <c r="BZ150" s="16">
        <f>SUM(CA150+CD150+CK150)</f>
        <v>15067</v>
      </c>
      <c r="CA150" s="16">
        <f t="shared" si="108"/>
        <v>15067</v>
      </c>
      <c r="CB150" s="16">
        <v>0</v>
      </c>
      <c r="CC150" s="16">
        <v>15067</v>
      </c>
      <c r="CD150" s="16">
        <f t="shared" si="109"/>
        <v>0</v>
      </c>
      <c r="CE150" s="16">
        <v>0</v>
      </c>
      <c r="CF150" s="16">
        <v>0</v>
      </c>
      <c r="CG150" s="16">
        <v>0</v>
      </c>
      <c r="CH150" s="16">
        <v>0</v>
      </c>
      <c r="CI150" s="16">
        <v>0</v>
      </c>
      <c r="CJ150" s="16">
        <v>0</v>
      </c>
      <c r="CK150" s="16">
        <f t="shared" si="110"/>
        <v>0</v>
      </c>
      <c r="CL150" s="16">
        <v>0</v>
      </c>
      <c r="CM150" s="16">
        <v>0</v>
      </c>
      <c r="CN150" s="16">
        <v>0</v>
      </c>
      <c r="CO150" s="16">
        <v>0</v>
      </c>
      <c r="CP150" s="16">
        <v>0</v>
      </c>
      <c r="CQ150" s="16">
        <v>0</v>
      </c>
      <c r="CR150" s="16">
        <v>0</v>
      </c>
      <c r="CS150" s="16">
        <v>0</v>
      </c>
      <c r="CT150" s="16">
        <f t="shared" si="111"/>
        <v>0</v>
      </c>
      <c r="CU150" s="16">
        <f t="shared" si="112"/>
        <v>0</v>
      </c>
      <c r="CV150" s="16">
        <v>0</v>
      </c>
      <c r="CW150" s="17">
        <v>0</v>
      </c>
      <c r="CX150" s="40"/>
      <c r="CY150" s="40"/>
    </row>
    <row r="151" spans="1:103" ht="31.5" x14ac:dyDescent="0.25">
      <c r="A151" s="13" t="s">
        <v>1</v>
      </c>
      <c r="B151" s="14" t="s">
        <v>1</v>
      </c>
      <c r="C151" s="14" t="s">
        <v>33</v>
      </c>
      <c r="D151" s="30" t="s">
        <v>516</v>
      </c>
      <c r="E151" s="15">
        <f>SUM(F151+BY151+CT151)</f>
        <v>4227456</v>
      </c>
      <c r="F151" s="16">
        <f>SUM(G151+BA151)</f>
        <v>4227456</v>
      </c>
      <c r="G151" s="16">
        <f>SUM(H151+I151+J151+Q151+T151+U151+V151+AE151)</f>
        <v>4227456</v>
      </c>
      <c r="H151" s="16">
        <v>3405741</v>
      </c>
      <c r="I151" s="16">
        <v>821715</v>
      </c>
      <c r="J151" s="16">
        <f t="shared" si="103"/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f t="shared" si="104"/>
        <v>0</v>
      </c>
      <c r="R151" s="16">
        <v>0</v>
      </c>
      <c r="S151" s="16">
        <v>0</v>
      </c>
      <c r="T151" s="16">
        <v>0</v>
      </c>
      <c r="U151" s="16">
        <v>0</v>
      </c>
      <c r="V151" s="16">
        <f>SUM(W151:AD151)</f>
        <v>0</v>
      </c>
      <c r="W151" s="16">
        <v>0</v>
      </c>
      <c r="X151" s="16">
        <v>0</v>
      </c>
      <c r="Y151" s="16">
        <v>0</v>
      </c>
      <c r="Z151" s="16">
        <v>0</v>
      </c>
      <c r="AA151" s="16">
        <v>0</v>
      </c>
      <c r="AB151" s="16">
        <v>0</v>
      </c>
      <c r="AC151" s="16">
        <v>0</v>
      </c>
      <c r="AD151" s="16">
        <v>0</v>
      </c>
      <c r="AE151" s="16">
        <f>SUM(AF151:AZ151)</f>
        <v>0</v>
      </c>
      <c r="AF151" s="16">
        <v>0</v>
      </c>
      <c r="AG151" s="16">
        <v>0</v>
      </c>
      <c r="AH151" s="16">
        <v>0</v>
      </c>
      <c r="AI151" s="16">
        <v>0</v>
      </c>
      <c r="AJ151" s="16">
        <v>0</v>
      </c>
      <c r="AK151" s="16">
        <v>0</v>
      </c>
      <c r="AL151" s="16">
        <v>0</v>
      </c>
      <c r="AM151" s="16">
        <v>0</v>
      </c>
      <c r="AN151" s="16">
        <v>0</v>
      </c>
      <c r="AO151" s="16">
        <v>0</v>
      </c>
      <c r="AP151" s="16">
        <v>0</v>
      </c>
      <c r="AQ151" s="16">
        <v>0</v>
      </c>
      <c r="AR151" s="16">
        <v>0</v>
      </c>
      <c r="AS151" s="16">
        <v>0</v>
      </c>
      <c r="AT151" s="16">
        <v>0</v>
      </c>
      <c r="AU151" s="16">
        <v>0</v>
      </c>
      <c r="AV151" s="16">
        <v>0</v>
      </c>
      <c r="AW151" s="16">
        <v>0</v>
      </c>
      <c r="AX151" s="16">
        <v>0</v>
      </c>
      <c r="AY151" s="16">
        <v>0</v>
      </c>
      <c r="AZ151" s="16">
        <v>0</v>
      </c>
      <c r="BA151" s="16">
        <f>SUM(BB151+BF151+BI151+BK151+BM151)</f>
        <v>0</v>
      </c>
      <c r="BB151" s="16">
        <f>SUM(BC151:BE151)</f>
        <v>0</v>
      </c>
      <c r="BC151" s="16">
        <v>0</v>
      </c>
      <c r="BD151" s="16">
        <v>0</v>
      </c>
      <c r="BE151" s="16">
        <v>0</v>
      </c>
      <c r="BF151" s="16">
        <f t="shared" si="105"/>
        <v>0</v>
      </c>
      <c r="BG151" s="16">
        <v>0</v>
      </c>
      <c r="BH151" s="16">
        <v>0</v>
      </c>
      <c r="BI151" s="16">
        <v>0</v>
      </c>
      <c r="BJ151" s="16">
        <v>0</v>
      </c>
      <c r="BK151" s="16">
        <f t="shared" si="106"/>
        <v>0</v>
      </c>
      <c r="BL151" s="16">
        <v>0</v>
      </c>
      <c r="BM151" s="16">
        <f t="shared" si="107"/>
        <v>0</v>
      </c>
      <c r="BN151" s="16">
        <v>0</v>
      </c>
      <c r="BO151" s="16">
        <v>0</v>
      </c>
      <c r="BP151" s="16">
        <v>0</v>
      </c>
      <c r="BQ151" s="16">
        <v>0</v>
      </c>
      <c r="BR151" s="16">
        <v>0</v>
      </c>
      <c r="BS151" s="16">
        <v>0</v>
      </c>
      <c r="BT151" s="16">
        <v>0</v>
      </c>
      <c r="BU151" s="16">
        <v>0</v>
      </c>
      <c r="BV151" s="16">
        <v>0</v>
      </c>
      <c r="BW151" s="16">
        <v>0</v>
      </c>
      <c r="BX151" s="16">
        <v>0</v>
      </c>
      <c r="BY151" s="16">
        <f>SUM(BZ151+CS151)</f>
        <v>0</v>
      </c>
      <c r="BZ151" s="16">
        <f>SUM(CA151+CD151+CK151)</f>
        <v>0</v>
      </c>
      <c r="CA151" s="16">
        <f t="shared" si="108"/>
        <v>0</v>
      </c>
      <c r="CB151" s="16">
        <v>0</v>
      </c>
      <c r="CC151" s="16">
        <v>0</v>
      </c>
      <c r="CD151" s="16">
        <f t="shared" si="109"/>
        <v>0</v>
      </c>
      <c r="CE151" s="16">
        <v>0</v>
      </c>
      <c r="CF151" s="16">
        <v>0</v>
      </c>
      <c r="CG151" s="16">
        <v>0</v>
      </c>
      <c r="CH151" s="16">
        <v>0</v>
      </c>
      <c r="CI151" s="16">
        <v>0</v>
      </c>
      <c r="CJ151" s="16">
        <v>0</v>
      </c>
      <c r="CK151" s="16">
        <f t="shared" si="110"/>
        <v>0</v>
      </c>
      <c r="CL151" s="16">
        <v>0</v>
      </c>
      <c r="CM151" s="16">
        <v>0</v>
      </c>
      <c r="CN151" s="16">
        <v>0</v>
      </c>
      <c r="CO151" s="16">
        <v>0</v>
      </c>
      <c r="CP151" s="16">
        <v>0</v>
      </c>
      <c r="CQ151" s="16">
        <v>0</v>
      </c>
      <c r="CR151" s="16">
        <v>0</v>
      </c>
      <c r="CS151" s="16">
        <v>0</v>
      </c>
      <c r="CT151" s="16">
        <f t="shared" si="111"/>
        <v>0</v>
      </c>
      <c r="CU151" s="16">
        <f t="shared" si="112"/>
        <v>0</v>
      </c>
      <c r="CV151" s="16">
        <v>0</v>
      </c>
      <c r="CW151" s="17">
        <v>0</v>
      </c>
      <c r="CX151" s="40"/>
      <c r="CY151" s="40"/>
    </row>
    <row r="152" spans="1:103" ht="15.75" x14ac:dyDescent="0.25">
      <c r="A152" s="13" t="s">
        <v>171</v>
      </c>
      <c r="B152" s="14" t="s">
        <v>15</v>
      </c>
      <c r="C152" s="14" t="s">
        <v>1</v>
      </c>
      <c r="D152" s="30" t="s">
        <v>175</v>
      </c>
      <c r="E152" s="15">
        <f>SUM(E153:E154)</f>
        <v>1458077</v>
      </c>
      <c r="F152" s="16">
        <f t="shared" ref="F152:BS152" si="234">SUM(F153:F154)</f>
        <v>1458077</v>
      </c>
      <c r="G152" s="16">
        <f t="shared" si="234"/>
        <v>1458077</v>
      </c>
      <c r="H152" s="16">
        <f t="shared" si="234"/>
        <v>0</v>
      </c>
      <c r="I152" s="16">
        <f t="shared" si="234"/>
        <v>0</v>
      </c>
      <c r="J152" s="16">
        <f t="shared" si="234"/>
        <v>0</v>
      </c>
      <c r="K152" s="16">
        <f t="shared" si="234"/>
        <v>0</v>
      </c>
      <c r="L152" s="16">
        <f t="shared" si="234"/>
        <v>0</v>
      </c>
      <c r="M152" s="16">
        <f t="shared" si="234"/>
        <v>0</v>
      </c>
      <c r="N152" s="16">
        <f t="shared" si="234"/>
        <v>0</v>
      </c>
      <c r="O152" s="16">
        <f t="shared" si="234"/>
        <v>0</v>
      </c>
      <c r="P152" s="16">
        <f t="shared" si="234"/>
        <v>0</v>
      </c>
      <c r="Q152" s="16">
        <f t="shared" si="234"/>
        <v>0</v>
      </c>
      <c r="R152" s="16">
        <f t="shared" si="234"/>
        <v>0</v>
      </c>
      <c r="S152" s="16">
        <f t="shared" si="234"/>
        <v>0</v>
      </c>
      <c r="T152" s="16">
        <f t="shared" si="234"/>
        <v>0</v>
      </c>
      <c r="U152" s="16">
        <f t="shared" si="234"/>
        <v>0</v>
      </c>
      <c r="V152" s="16">
        <f t="shared" si="234"/>
        <v>0</v>
      </c>
      <c r="W152" s="16">
        <f t="shared" si="234"/>
        <v>0</v>
      </c>
      <c r="X152" s="16">
        <f t="shared" si="234"/>
        <v>0</v>
      </c>
      <c r="Y152" s="16">
        <f t="shared" si="234"/>
        <v>0</v>
      </c>
      <c r="Z152" s="16">
        <f t="shared" si="234"/>
        <v>0</v>
      </c>
      <c r="AA152" s="16">
        <f t="shared" si="234"/>
        <v>0</v>
      </c>
      <c r="AB152" s="16">
        <f t="shared" si="234"/>
        <v>0</v>
      </c>
      <c r="AC152" s="16">
        <f t="shared" si="234"/>
        <v>0</v>
      </c>
      <c r="AD152" s="16">
        <f t="shared" ref="AD152" si="235">SUM(AD153:AD154)</f>
        <v>0</v>
      </c>
      <c r="AE152" s="16">
        <f t="shared" si="234"/>
        <v>1458077</v>
      </c>
      <c r="AF152" s="16">
        <f t="shared" si="234"/>
        <v>0</v>
      </c>
      <c r="AG152" s="16">
        <f t="shared" si="234"/>
        <v>0</v>
      </c>
      <c r="AH152" s="16">
        <f t="shared" si="234"/>
        <v>0</v>
      </c>
      <c r="AI152" s="16">
        <f t="shared" si="234"/>
        <v>0</v>
      </c>
      <c r="AJ152" s="16">
        <f t="shared" si="234"/>
        <v>0</v>
      </c>
      <c r="AK152" s="16">
        <f t="shared" si="234"/>
        <v>0</v>
      </c>
      <c r="AL152" s="16">
        <f t="shared" si="234"/>
        <v>0</v>
      </c>
      <c r="AM152" s="16">
        <f t="shared" si="234"/>
        <v>0</v>
      </c>
      <c r="AN152" s="16">
        <f t="shared" si="234"/>
        <v>0</v>
      </c>
      <c r="AO152" s="16">
        <f t="shared" si="234"/>
        <v>0</v>
      </c>
      <c r="AP152" s="16">
        <f>SUM(AP153:AP154)</f>
        <v>0</v>
      </c>
      <c r="AQ152" s="16">
        <f t="shared" si="234"/>
        <v>0</v>
      </c>
      <c r="AR152" s="16">
        <f t="shared" si="234"/>
        <v>0</v>
      </c>
      <c r="AS152" s="16">
        <f t="shared" si="234"/>
        <v>0</v>
      </c>
      <c r="AT152" s="16">
        <f t="shared" si="234"/>
        <v>0</v>
      </c>
      <c r="AU152" s="16">
        <f t="shared" si="234"/>
        <v>0</v>
      </c>
      <c r="AV152" s="16">
        <f t="shared" si="234"/>
        <v>0</v>
      </c>
      <c r="AW152" s="16">
        <f t="shared" si="234"/>
        <v>0</v>
      </c>
      <c r="AX152" s="16">
        <f t="shared" si="234"/>
        <v>0</v>
      </c>
      <c r="AY152" s="16">
        <f t="shared" si="234"/>
        <v>0</v>
      </c>
      <c r="AZ152" s="16">
        <f t="shared" si="234"/>
        <v>1458077</v>
      </c>
      <c r="BA152" s="16">
        <f t="shared" si="234"/>
        <v>0</v>
      </c>
      <c r="BB152" s="16">
        <f t="shared" si="234"/>
        <v>0</v>
      </c>
      <c r="BC152" s="16">
        <f t="shared" si="234"/>
        <v>0</v>
      </c>
      <c r="BD152" s="16">
        <f t="shared" si="234"/>
        <v>0</v>
      </c>
      <c r="BE152" s="16">
        <f t="shared" si="234"/>
        <v>0</v>
      </c>
      <c r="BF152" s="16">
        <f t="shared" si="234"/>
        <v>0</v>
      </c>
      <c r="BG152" s="16">
        <f t="shared" si="234"/>
        <v>0</v>
      </c>
      <c r="BH152" s="16">
        <f t="shared" si="234"/>
        <v>0</v>
      </c>
      <c r="BI152" s="16">
        <f t="shared" si="234"/>
        <v>0</v>
      </c>
      <c r="BJ152" s="16">
        <f t="shared" si="234"/>
        <v>0</v>
      </c>
      <c r="BK152" s="16">
        <f t="shared" si="234"/>
        <v>0</v>
      </c>
      <c r="BL152" s="16">
        <f t="shared" si="234"/>
        <v>0</v>
      </c>
      <c r="BM152" s="16">
        <f t="shared" si="234"/>
        <v>0</v>
      </c>
      <c r="BN152" s="16">
        <f t="shared" si="234"/>
        <v>0</v>
      </c>
      <c r="BO152" s="16">
        <f t="shared" si="234"/>
        <v>0</v>
      </c>
      <c r="BP152" s="16">
        <f t="shared" si="234"/>
        <v>0</v>
      </c>
      <c r="BQ152" s="16">
        <f t="shared" si="234"/>
        <v>0</v>
      </c>
      <c r="BR152" s="16">
        <f t="shared" si="234"/>
        <v>0</v>
      </c>
      <c r="BS152" s="16">
        <f t="shared" si="234"/>
        <v>0</v>
      </c>
      <c r="BT152" s="16">
        <f t="shared" ref="BT152:CW152" si="236">SUM(BT153:BT154)</f>
        <v>0</v>
      </c>
      <c r="BU152" s="16">
        <f t="shared" si="236"/>
        <v>0</v>
      </c>
      <c r="BV152" s="16">
        <f t="shared" si="236"/>
        <v>0</v>
      </c>
      <c r="BW152" s="16">
        <f t="shared" si="236"/>
        <v>0</v>
      </c>
      <c r="BX152" s="16">
        <f t="shared" si="236"/>
        <v>0</v>
      </c>
      <c r="BY152" s="16">
        <f t="shared" si="236"/>
        <v>0</v>
      </c>
      <c r="BZ152" s="16">
        <f t="shared" si="236"/>
        <v>0</v>
      </c>
      <c r="CA152" s="16">
        <f t="shared" si="236"/>
        <v>0</v>
      </c>
      <c r="CB152" s="16">
        <f t="shared" si="236"/>
        <v>0</v>
      </c>
      <c r="CC152" s="16">
        <f t="shared" si="236"/>
        <v>0</v>
      </c>
      <c r="CD152" s="16">
        <f t="shared" si="236"/>
        <v>0</v>
      </c>
      <c r="CE152" s="16">
        <f t="shared" si="236"/>
        <v>0</v>
      </c>
      <c r="CF152" s="16">
        <f>SUM(CF153:CF154)</f>
        <v>0</v>
      </c>
      <c r="CG152" s="16">
        <f t="shared" si="236"/>
        <v>0</v>
      </c>
      <c r="CH152" s="16">
        <f t="shared" si="236"/>
        <v>0</v>
      </c>
      <c r="CI152" s="16">
        <f t="shared" si="236"/>
        <v>0</v>
      </c>
      <c r="CJ152" s="16">
        <f t="shared" ref="CJ152" si="237">SUM(CJ153:CJ154)</f>
        <v>0</v>
      </c>
      <c r="CK152" s="16">
        <f t="shared" si="236"/>
        <v>0</v>
      </c>
      <c r="CL152" s="16">
        <f t="shared" si="236"/>
        <v>0</v>
      </c>
      <c r="CM152" s="16">
        <f>SUM(CM153:CM154)</f>
        <v>0</v>
      </c>
      <c r="CN152" s="16">
        <f t="shared" si="236"/>
        <v>0</v>
      </c>
      <c r="CO152" s="16">
        <f t="shared" si="236"/>
        <v>0</v>
      </c>
      <c r="CP152" s="16">
        <f t="shared" si="236"/>
        <v>0</v>
      </c>
      <c r="CQ152" s="16">
        <f t="shared" si="236"/>
        <v>0</v>
      </c>
      <c r="CR152" s="16">
        <f t="shared" si="236"/>
        <v>0</v>
      </c>
      <c r="CS152" s="16">
        <f t="shared" si="236"/>
        <v>0</v>
      </c>
      <c r="CT152" s="16">
        <f t="shared" si="236"/>
        <v>0</v>
      </c>
      <c r="CU152" s="16">
        <f t="shared" si="236"/>
        <v>0</v>
      </c>
      <c r="CV152" s="16">
        <f t="shared" si="236"/>
        <v>0</v>
      </c>
      <c r="CW152" s="17">
        <f t="shared" si="236"/>
        <v>0</v>
      </c>
      <c r="CX152" s="40"/>
      <c r="CY152" s="40"/>
    </row>
    <row r="153" spans="1:103" ht="15.75" x14ac:dyDescent="0.25">
      <c r="A153" s="13" t="s">
        <v>1</v>
      </c>
      <c r="B153" s="14" t="s">
        <v>1</v>
      </c>
      <c r="C153" s="14" t="s">
        <v>23</v>
      </c>
      <c r="D153" s="30" t="s">
        <v>176</v>
      </c>
      <c r="E153" s="15">
        <f>SUM(F153+BY153+CT153)</f>
        <v>691924</v>
      </c>
      <c r="F153" s="16">
        <f>SUM(G153+BA153)</f>
        <v>691924</v>
      </c>
      <c r="G153" s="16">
        <f>SUM(H153+I153+J153+Q153+T153+U153+V153+AE153)</f>
        <v>691924</v>
      </c>
      <c r="H153" s="16">
        <v>0</v>
      </c>
      <c r="I153" s="16">
        <v>0</v>
      </c>
      <c r="J153" s="16">
        <f t="shared" ref="J153:J218" si="238">SUM(K153:P153)</f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6">
        <v>0</v>
      </c>
      <c r="Q153" s="16">
        <f t="shared" ref="Q153:Q218" si="239">SUM(R153:S153)</f>
        <v>0</v>
      </c>
      <c r="R153" s="16">
        <v>0</v>
      </c>
      <c r="S153" s="16">
        <v>0</v>
      </c>
      <c r="T153" s="16">
        <v>0</v>
      </c>
      <c r="U153" s="16">
        <v>0</v>
      </c>
      <c r="V153" s="16">
        <f>SUM(W153:AD153)</f>
        <v>0</v>
      </c>
      <c r="W153" s="16">
        <v>0</v>
      </c>
      <c r="X153" s="16">
        <v>0</v>
      </c>
      <c r="Y153" s="16">
        <v>0</v>
      </c>
      <c r="Z153" s="16">
        <v>0</v>
      </c>
      <c r="AA153" s="16">
        <v>0</v>
      </c>
      <c r="AB153" s="16">
        <v>0</v>
      </c>
      <c r="AC153" s="16">
        <v>0</v>
      </c>
      <c r="AD153" s="16">
        <v>0</v>
      </c>
      <c r="AE153" s="16">
        <f>SUM(AF153:AZ153)</f>
        <v>691924</v>
      </c>
      <c r="AF153" s="16">
        <v>0</v>
      </c>
      <c r="AG153" s="16">
        <v>0</v>
      </c>
      <c r="AH153" s="16">
        <v>0</v>
      </c>
      <c r="AI153" s="16">
        <v>0</v>
      </c>
      <c r="AJ153" s="16">
        <v>0</v>
      </c>
      <c r="AK153" s="16">
        <v>0</v>
      </c>
      <c r="AL153" s="16">
        <v>0</v>
      </c>
      <c r="AM153" s="16">
        <v>0</v>
      </c>
      <c r="AN153" s="16">
        <v>0</v>
      </c>
      <c r="AO153" s="16">
        <v>0</v>
      </c>
      <c r="AP153" s="16">
        <v>0</v>
      </c>
      <c r="AQ153" s="16">
        <v>0</v>
      </c>
      <c r="AR153" s="16">
        <v>0</v>
      </c>
      <c r="AS153" s="16">
        <v>0</v>
      </c>
      <c r="AT153" s="16">
        <v>0</v>
      </c>
      <c r="AU153" s="16">
        <v>0</v>
      </c>
      <c r="AV153" s="16">
        <v>0</v>
      </c>
      <c r="AW153" s="16">
        <v>0</v>
      </c>
      <c r="AX153" s="16">
        <v>0</v>
      </c>
      <c r="AY153" s="16">
        <v>0</v>
      </c>
      <c r="AZ153" s="16">
        <v>691924</v>
      </c>
      <c r="BA153" s="16">
        <f>SUM(BB153+BF153+BI153+BK153+BM153)</f>
        <v>0</v>
      </c>
      <c r="BB153" s="16">
        <f>SUM(BC153:BE153)</f>
        <v>0</v>
      </c>
      <c r="BC153" s="16">
        <v>0</v>
      </c>
      <c r="BD153" s="16">
        <v>0</v>
      </c>
      <c r="BE153" s="16">
        <v>0</v>
      </c>
      <c r="BF153" s="16">
        <f t="shared" ref="BF153:BF218" si="240">SUM(BG153:BH153)</f>
        <v>0</v>
      </c>
      <c r="BG153" s="16">
        <v>0</v>
      </c>
      <c r="BH153" s="16">
        <v>0</v>
      </c>
      <c r="BI153" s="16">
        <v>0</v>
      </c>
      <c r="BJ153" s="16">
        <v>0</v>
      </c>
      <c r="BK153" s="16">
        <f t="shared" ref="BK153:BK218" si="241">SUM(BL153)</f>
        <v>0</v>
      </c>
      <c r="BL153" s="16">
        <v>0</v>
      </c>
      <c r="BM153" s="16">
        <f t="shared" ref="BM153:BM218" si="242">SUM(BN153:BX153)</f>
        <v>0</v>
      </c>
      <c r="BN153" s="16">
        <v>0</v>
      </c>
      <c r="BO153" s="16">
        <v>0</v>
      </c>
      <c r="BP153" s="16">
        <v>0</v>
      </c>
      <c r="BQ153" s="16">
        <v>0</v>
      </c>
      <c r="BR153" s="16">
        <v>0</v>
      </c>
      <c r="BS153" s="16">
        <v>0</v>
      </c>
      <c r="BT153" s="16">
        <v>0</v>
      </c>
      <c r="BU153" s="16">
        <v>0</v>
      </c>
      <c r="BV153" s="16">
        <v>0</v>
      </c>
      <c r="BW153" s="16">
        <v>0</v>
      </c>
      <c r="BX153" s="16">
        <v>0</v>
      </c>
      <c r="BY153" s="16">
        <f>SUM(BZ153+CS153)</f>
        <v>0</v>
      </c>
      <c r="BZ153" s="16">
        <f>SUM(CA153+CD153+CK153)</f>
        <v>0</v>
      </c>
      <c r="CA153" s="16">
        <f t="shared" ref="CA153:CA218" si="243">SUM(CB153:CC153)</f>
        <v>0</v>
      </c>
      <c r="CB153" s="16">
        <v>0</v>
      </c>
      <c r="CC153" s="16">
        <v>0</v>
      </c>
      <c r="CD153" s="16">
        <f t="shared" ref="CD153:CD218" si="244">SUM(CE153:CI153)</f>
        <v>0</v>
      </c>
      <c r="CE153" s="16">
        <v>0</v>
      </c>
      <c r="CF153" s="16">
        <v>0</v>
      </c>
      <c r="CG153" s="16">
        <v>0</v>
      </c>
      <c r="CH153" s="16">
        <v>0</v>
      </c>
      <c r="CI153" s="16">
        <v>0</v>
      </c>
      <c r="CJ153" s="16">
        <v>0</v>
      </c>
      <c r="CK153" s="16">
        <f t="shared" ref="CK153:CK218" si="245">SUM(CL153:CP153)</f>
        <v>0</v>
      </c>
      <c r="CL153" s="16">
        <v>0</v>
      </c>
      <c r="CM153" s="16">
        <v>0</v>
      </c>
      <c r="CN153" s="16">
        <v>0</v>
      </c>
      <c r="CO153" s="16">
        <v>0</v>
      </c>
      <c r="CP153" s="16">
        <v>0</v>
      </c>
      <c r="CQ153" s="16">
        <v>0</v>
      </c>
      <c r="CR153" s="16">
        <v>0</v>
      </c>
      <c r="CS153" s="16">
        <v>0</v>
      </c>
      <c r="CT153" s="16">
        <f t="shared" ref="CT153:CT218" si="246">SUM(CU153)</f>
        <v>0</v>
      </c>
      <c r="CU153" s="16">
        <f t="shared" ref="CU153:CU218" si="247">SUM(CV153:CW153)</f>
        <v>0</v>
      </c>
      <c r="CV153" s="16">
        <v>0</v>
      </c>
      <c r="CW153" s="17">
        <v>0</v>
      </c>
      <c r="CX153" s="40"/>
      <c r="CY153" s="40"/>
    </row>
    <row r="154" spans="1:103" ht="15.75" x14ac:dyDescent="0.25">
      <c r="A154" s="13" t="s">
        <v>1</v>
      </c>
      <c r="B154" s="14" t="s">
        <v>1</v>
      </c>
      <c r="C154" s="14" t="s">
        <v>31</v>
      </c>
      <c r="D154" s="30" t="s">
        <v>177</v>
      </c>
      <c r="E154" s="15">
        <f>SUM(F154+BY154+CT154)</f>
        <v>766153</v>
      </c>
      <c r="F154" s="16">
        <f>SUM(G154+BA154)</f>
        <v>766153</v>
      </c>
      <c r="G154" s="16">
        <f>SUM(H154+I154+J154+Q154+T154+U154+V154+AE154)</f>
        <v>766153</v>
      </c>
      <c r="H154" s="16">
        <v>0</v>
      </c>
      <c r="I154" s="16">
        <v>0</v>
      </c>
      <c r="J154" s="16">
        <f t="shared" si="238"/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f t="shared" si="239"/>
        <v>0</v>
      </c>
      <c r="R154" s="16">
        <v>0</v>
      </c>
      <c r="S154" s="16">
        <v>0</v>
      </c>
      <c r="T154" s="16">
        <v>0</v>
      </c>
      <c r="U154" s="16">
        <v>0</v>
      </c>
      <c r="V154" s="16">
        <f>SUM(W154:AD154)</f>
        <v>0</v>
      </c>
      <c r="W154" s="16">
        <v>0</v>
      </c>
      <c r="X154" s="16">
        <v>0</v>
      </c>
      <c r="Y154" s="16">
        <v>0</v>
      </c>
      <c r="Z154" s="16">
        <v>0</v>
      </c>
      <c r="AA154" s="16">
        <v>0</v>
      </c>
      <c r="AB154" s="16">
        <v>0</v>
      </c>
      <c r="AC154" s="16">
        <v>0</v>
      </c>
      <c r="AD154" s="16">
        <v>0</v>
      </c>
      <c r="AE154" s="16">
        <f>SUM(AF154:AZ154)</f>
        <v>766153</v>
      </c>
      <c r="AF154" s="16">
        <v>0</v>
      </c>
      <c r="AG154" s="16">
        <v>0</v>
      </c>
      <c r="AH154" s="16">
        <v>0</v>
      </c>
      <c r="AI154" s="16">
        <v>0</v>
      </c>
      <c r="AJ154" s="16">
        <v>0</v>
      </c>
      <c r="AK154" s="16">
        <v>0</v>
      </c>
      <c r="AL154" s="16">
        <v>0</v>
      </c>
      <c r="AM154" s="16">
        <v>0</v>
      </c>
      <c r="AN154" s="16">
        <v>0</v>
      </c>
      <c r="AO154" s="16">
        <v>0</v>
      </c>
      <c r="AP154" s="16">
        <v>0</v>
      </c>
      <c r="AQ154" s="16">
        <v>0</v>
      </c>
      <c r="AR154" s="16">
        <v>0</v>
      </c>
      <c r="AS154" s="16">
        <v>0</v>
      </c>
      <c r="AT154" s="16">
        <v>0</v>
      </c>
      <c r="AU154" s="16">
        <v>0</v>
      </c>
      <c r="AV154" s="16">
        <v>0</v>
      </c>
      <c r="AW154" s="16">
        <v>0</v>
      </c>
      <c r="AX154" s="16">
        <v>0</v>
      </c>
      <c r="AY154" s="16">
        <v>0</v>
      </c>
      <c r="AZ154" s="16">
        <f>216153+550000</f>
        <v>766153</v>
      </c>
      <c r="BA154" s="16">
        <f>SUM(BB154+BF154+BI154+BK154+BM154)</f>
        <v>0</v>
      </c>
      <c r="BB154" s="16">
        <f>SUM(BC154:BE154)</f>
        <v>0</v>
      </c>
      <c r="BC154" s="16">
        <v>0</v>
      </c>
      <c r="BD154" s="16">
        <v>0</v>
      </c>
      <c r="BE154" s="16">
        <v>0</v>
      </c>
      <c r="BF154" s="16">
        <f t="shared" si="240"/>
        <v>0</v>
      </c>
      <c r="BG154" s="16">
        <v>0</v>
      </c>
      <c r="BH154" s="16">
        <v>0</v>
      </c>
      <c r="BI154" s="16">
        <v>0</v>
      </c>
      <c r="BJ154" s="16">
        <v>0</v>
      </c>
      <c r="BK154" s="16">
        <f t="shared" si="241"/>
        <v>0</v>
      </c>
      <c r="BL154" s="16">
        <v>0</v>
      </c>
      <c r="BM154" s="16">
        <f t="shared" si="242"/>
        <v>0</v>
      </c>
      <c r="BN154" s="16">
        <v>0</v>
      </c>
      <c r="BO154" s="16">
        <v>0</v>
      </c>
      <c r="BP154" s="16">
        <v>0</v>
      </c>
      <c r="BQ154" s="16">
        <v>0</v>
      </c>
      <c r="BR154" s="16">
        <v>0</v>
      </c>
      <c r="BS154" s="16">
        <v>0</v>
      </c>
      <c r="BT154" s="16">
        <v>0</v>
      </c>
      <c r="BU154" s="16">
        <v>0</v>
      </c>
      <c r="BV154" s="16">
        <v>0</v>
      </c>
      <c r="BW154" s="16">
        <v>0</v>
      </c>
      <c r="BX154" s="16">
        <v>0</v>
      </c>
      <c r="BY154" s="16">
        <f>SUM(BZ154+CS154)</f>
        <v>0</v>
      </c>
      <c r="BZ154" s="16">
        <f>SUM(CA154+CD154+CK154)</f>
        <v>0</v>
      </c>
      <c r="CA154" s="16">
        <f t="shared" si="243"/>
        <v>0</v>
      </c>
      <c r="CB154" s="16">
        <v>0</v>
      </c>
      <c r="CC154" s="16">
        <v>0</v>
      </c>
      <c r="CD154" s="16">
        <f t="shared" si="244"/>
        <v>0</v>
      </c>
      <c r="CE154" s="16">
        <v>0</v>
      </c>
      <c r="CF154" s="16">
        <v>0</v>
      </c>
      <c r="CG154" s="16">
        <v>0</v>
      </c>
      <c r="CH154" s="16">
        <v>0</v>
      </c>
      <c r="CI154" s="16">
        <v>0</v>
      </c>
      <c r="CJ154" s="16">
        <v>0</v>
      </c>
      <c r="CK154" s="16">
        <f t="shared" si="245"/>
        <v>0</v>
      </c>
      <c r="CL154" s="16">
        <v>0</v>
      </c>
      <c r="CM154" s="16">
        <v>0</v>
      </c>
      <c r="CN154" s="16">
        <v>0</v>
      </c>
      <c r="CO154" s="16">
        <v>0</v>
      </c>
      <c r="CP154" s="16">
        <v>0</v>
      </c>
      <c r="CQ154" s="16">
        <v>0</v>
      </c>
      <c r="CR154" s="16">
        <v>0</v>
      </c>
      <c r="CS154" s="16">
        <v>0</v>
      </c>
      <c r="CT154" s="16">
        <f t="shared" si="246"/>
        <v>0</v>
      </c>
      <c r="CU154" s="16">
        <f t="shared" si="247"/>
        <v>0</v>
      </c>
      <c r="CV154" s="16">
        <v>0</v>
      </c>
      <c r="CW154" s="17">
        <v>0</v>
      </c>
      <c r="CX154" s="40"/>
      <c r="CY154" s="40"/>
    </row>
    <row r="155" spans="1:103" ht="31.5" x14ac:dyDescent="0.25">
      <c r="A155" s="13" t="s">
        <v>171</v>
      </c>
      <c r="B155" s="14" t="s">
        <v>47</v>
      </c>
      <c r="C155" s="14" t="s">
        <v>1</v>
      </c>
      <c r="D155" s="30" t="s">
        <v>178</v>
      </c>
      <c r="E155" s="15">
        <f>SUM(E156:E160)</f>
        <v>8177039</v>
      </c>
      <c r="F155" s="16">
        <f t="shared" ref="F155:BS155" si="248">SUM(F156:F160)</f>
        <v>8089011</v>
      </c>
      <c r="G155" s="16">
        <f t="shared" si="248"/>
        <v>7576851</v>
      </c>
      <c r="H155" s="16">
        <f t="shared" si="248"/>
        <v>4155521</v>
      </c>
      <c r="I155" s="16">
        <f t="shared" si="248"/>
        <v>941748</v>
      </c>
      <c r="J155" s="16">
        <f t="shared" si="248"/>
        <v>88450</v>
      </c>
      <c r="K155" s="16">
        <f t="shared" si="248"/>
        <v>0</v>
      </c>
      <c r="L155" s="16">
        <f t="shared" si="248"/>
        <v>8000</v>
      </c>
      <c r="M155" s="16">
        <f t="shared" si="248"/>
        <v>0</v>
      </c>
      <c r="N155" s="16">
        <f t="shared" si="248"/>
        <v>0</v>
      </c>
      <c r="O155" s="16">
        <f t="shared" si="248"/>
        <v>75608</v>
      </c>
      <c r="P155" s="16">
        <f t="shared" si="248"/>
        <v>4842</v>
      </c>
      <c r="Q155" s="16">
        <f t="shared" si="248"/>
        <v>0</v>
      </c>
      <c r="R155" s="16">
        <f t="shared" si="248"/>
        <v>0</v>
      </c>
      <c r="S155" s="16">
        <f t="shared" si="248"/>
        <v>0</v>
      </c>
      <c r="T155" s="16">
        <f t="shared" si="248"/>
        <v>0</v>
      </c>
      <c r="U155" s="16">
        <f t="shared" si="248"/>
        <v>55841</v>
      </c>
      <c r="V155" s="16">
        <f t="shared" si="248"/>
        <v>68651</v>
      </c>
      <c r="W155" s="16">
        <f t="shared" si="248"/>
        <v>0</v>
      </c>
      <c r="X155" s="16">
        <f t="shared" si="248"/>
        <v>62120</v>
      </c>
      <c r="Y155" s="16">
        <f t="shared" si="248"/>
        <v>5527</v>
      </c>
      <c r="Z155" s="16">
        <f t="shared" si="248"/>
        <v>1004</v>
      </c>
      <c r="AA155" s="16">
        <f t="shared" si="248"/>
        <v>0</v>
      </c>
      <c r="AB155" s="16">
        <f t="shared" si="248"/>
        <v>0</v>
      </c>
      <c r="AC155" s="16">
        <f t="shared" si="248"/>
        <v>0</v>
      </c>
      <c r="AD155" s="16">
        <f t="shared" ref="AD155" si="249">SUM(AD156:AD160)</f>
        <v>0</v>
      </c>
      <c r="AE155" s="16">
        <f t="shared" si="248"/>
        <v>2266640</v>
      </c>
      <c r="AF155" s="16">
        <f t="shared" si="248"/>
        <v>0</v>
      </c>
      <c r="AG155" s="16">
        <f t="shared" si="248"/>
        <v>0</v>
      </c>
      <c r="AH155" s="16">
        <f t="shared" si="248"/>
        <v>12673</v>
      </c>
      <c r="AI155" s="16">
        <f t="shared" si="248"/>
        <v>0</v>
      </c>
      <c r="AJ155" s="16">
        <f t="shared" si="248"/>
        <v>6364</v>
      </c>
      <c r="AK155" s="16">
        <f t="shared" si="248"/>
        <v>0</v>
      </c>
      <c r="AL155" s="16">
        <f t="shared" si="248"/>
        <v>44015</v>
      </c>
      <c r="AM155" s="16">
        <f t="shared" si="248"/>
        <v>0</v>
      </c>
      <c r="AN155" s="16">
        <f t="shared" si="248"/>
        <v>0</v>
      </c>
      <c r="AO155" s="16">
        <f t="shared" si="248"/>
        <v>0</v>
      </c>
      <c r="AP155" s="16">
        <f>SUM(AP156:AP160)</f>
        <v>0</v>
      </c>
      <c r="AQ155" s="16">
        <f t="shared" si="248"/>
        <v>0</v>
      </c>
      <c r="AR155" s="16">
        <f t="shared" si="248"/>
        <v>0</v>
      </c>
      <c r="AS155" s="16">
        <f t="shared" si="248"/>
        <v>17000</v>
      </c>
      <c r="AT155" s="16">
        <f t="shared" si="248"/>
        <v>0</v>
      </c>
      <c r="AU155" s="16">
        <f t="shared" si="248"/>
        <v>0</v>
      </c>
      <c r="AV155" s="16">
        <f t="shared" si="248"/>
        <v>0</v>
      </c>
      <c r="AW155" s="16">
        <f t="shared" si="248"/>
        <v>0</v>
      </c>
      <c r="AX155" s="16">
        <f t="shared" si="248"/>
        <v>0</v>
      </c>
      <c r="AY155" s="16">
        <f t="shared" si="248"/>
        <v>0</v>
      </c>
      <c r="AZ155" s="16">
        <f t="shared" si="248"/>
        <v>2186588</v>
      </c>
      <c r="BA155" s="16">
        <f t="shared" si="248"/>
        <v>512160</v>
      </c>
      <c r="BB155" s="16">
        <f t="shared" si="248"/>
        <v>0</v>
      </c>
      <c r="BC155" s="16">
        <f t="shared" si="248"/>
        <v>0</v>
      </c>
      <c r="BD155" s="16">
        <f t="shared" si="248"/>
        <v>0</v>
      </c>
      <c r="BE155" s="16">
        <f t="shared" si="248"/>
        <v>0</v>
      </c>
      <c r="BF155" s="16">
        <f t="shared" si="248"/>
        <v>0</v>
      </c>
      <c r="BG155" s="16">
        <f t="shared" si="248"/>
        <v>0</v>
      </c>
      <c r="BH155" s="16">
        <f t="shared" si="248"/>
        <v>0</v>
      </c>
      <c r="BI155" s="16">
        <f t="shared" si="248"/>
        <v>0</v>
      </c>
      <c r="BJ155" s="16">
        <f t="shared" si="248"/>
        <v>0</v>
      </c>
      <c r="BK155" s="16">
        <f t="shared" si="248"/>
        <v>0</v>
      </c>
      <c r="BL155" s="16">
        <f t="shared" si="248"/>
        <v>0</v>
      </c>
      <c r="BM155" s="16">
        <f t="shared" si="248"/>
        <v>512160</v>
      </c>
      <c r="BN155" s="16">
        <f t="shared" si="248"/>
        <v>0</v>
      </c>
      <c r="BO155" s="16">
        <f t="shared" si="248"/>
        <v>0</v>
      </c>
      <c r="BP155" s="16">
        <f t="shared" si="248"/>
        <v>512160</v>
      </c>
      <c r="BQ155" s="16">
        <f t="shared" si="248"/>
        <v>0</v>
      </c>
      <c r="BR155" s="16">
        <f t="shared" si="248"/>
        <v>0</v>
      </c>
      <c r="BS155" s="16">
        <f t="shared" si="248"/>
        <v>0</v>
      </c>
      <c r="BT155" s="16">
        <f t="shared" ref="BT155:CW155" si="250">SUM(BT156:BT160)</f>
        <v>0</v>
      </c>
      <c r="BU155" s="16">
        <f t="shared" si="250"/>
        <v>0</v>
      </c>
      <c r="BV155" s="16">
        <f t="shared" si="250"/>
        <v>0</v>
      </c>
      <c r="BW155" s="16">
        <f t="shared" si="250"/>
        <v>0</v>
      </c>
      <c r="BX155" s="16">
        <f t="shared" si="250"/>
        <v>0</v>
      </c>
      <c r="BY155" s="16">
        <f t="shared" si="250"/>
        <v>88028</v>
      </c>
      <c r="BZ155" s="16">
        <f t="shared" si="250"/>
        <v>88028</v>
      </c>
      <c r="CA155" s="16">
        <f t="shared" si="250"/>
        <v>88028</v>
      </c>
      <c r="CB155" s="16">
        <f t="shared" si="250"/>
        <v>0</v>
      </c>
      <c r="CC155" s="16">
        <f t="shared" si="250"/>
        <v>88028</v>
      </c>
      <c r="CD155" s="16">
        <f t="shared" si="250"/>
        <v>0</v>
      </c>
      <c r="CE155" s="16">
        <f t="shared" si="250"/>
        <v>0</v>
      </c>
      <c r="CF155" s="16">
        <f>SUM(CF156:CF160)</f>
        <v>0</v>
      </c>
      <c r="CG155" s="16">
        <f t="shared" si="250"/>
        <v>0</v>
      </c>
      <c r="CH155" s="16">
        <f t="shared" si="250"/>
        <v>0</v>
      </c>
      <c r="CI155" s="16">
        <f t="shared" si="250"/>
        <v>0</v>
      </c>
      <c r="CJ155" s="16">
        <f t="shared" ref="CJ155" si="251">SUM(CJ156:CJ160)</f>
        <v>0</v>
      </c>
      <c r="CK155" s="16">
        <f t="shared" si="250"/>
        <v>0</v>
      </c>
      <c r="CL155" s="16">
        <f t="shared" si="250"/>
        <v>0</v>
      </c>
      <c r="CM155" s="16">
        <f>SUM(CM156:CM160)</f>
        <v>0</v>
      </c>
      <c r="CN155" s="16">
        <f t="shared" si="250"/>
        <v>0</v>
      </c>
      <c r="CO155" s="16">
        <f t="shared" si="250"/>
        <v>0</v>
      </c>
      <c r="CP155" s="16">
        <f t="shared" si="250"/>
        <v>0</v>
      </c>
      <c r="CQ155" s="16">
        <f t="shared" si="250"/>
        <v>0</v>
      </c>
      <c r="CR155" s="16">
        <f t="shared" si="250"/>
        <v>0</v>
      </c>
      <c r="CS155" s="16">
        <f t="shared" si="250"/>
        <v>0</v>
      </c>
      <c r="CT155" s="16">
        <f t="shared" si="250"/>
        <v>0</v>
      </c>
      <c r="CU155" s="16">
        <f t="shared" si="250"/>
        <v>0</v>
      </c>
      <c r="CV155" s="16">
        <f t="shared" si="250"/>
        <v>0</v>
      </c>
      <c r="CW155" s="17">
        <f t="shared" si="250"/>
        <v>0</v>
      </c>
      <c r="CX155" s="40"/>
      <c r="CY155" s="40"/>
    </row>
    <row r="156" spans="1:103" ht="15.75" x14ac:dyDescent="0.25">
      <c r="A156" s="13" t="s">
        <v>1</v>
      </c>
      <c r="B156" s="14" t="s">
        <v>1</v>
      </c>
      <c r="C156" s="14" t="s">
        <v>19</v>
      </c>
      <c r="D156" s="30" t="s">
        <v>179</v>
      </c>
      <c r="E156" s="15">
        <f>SUM(F156+BY156+CT156)</f>
        <v>1581814</v>
      </c>
      <c r="F156" s="16">
        <f>SUM(G156+BA156)</f>
        <v>1563105</v>
      </c>
      <c r="G156" s="16">
        <f>SUM(H156+I156+J156+Q156+T156+U156+V156+AE156)</f>
        <v>1050945</v>
      </c>
      <c r="H156" s="16">
        <v>745358</v>
      </c>
      <c r="I156" s="16">
        <v>152377</v>
      </c>
      <c r="J156" s="16">
        <f t="shared" si="238"/>
        <v>64151</v>
      </c>
      <c r="K156" s="16">
        <v>0</v>
      </c>
      <c r="L156" s="16">
        <v>8000</v>
      </c>
      <c r="M156" s="16">
        <v>0</v>
      </c>
      <c r="N156" s="16">
        <v>0</v>
      </c>
      <c r="O156" s="16">
        <f>52892-541</f>
        <v>52351</v>
      </c>
      <c r="P156" s="16">
        <v>3800</v>
      </c>
      <c r="Q156" s="16">
        <f t="shared" si="239"/>
        <v>0</v>
      </c>
      <c r="R156" s="16">
        <v>0</v>
      </c>
      <c r="S156" s="16">
        <v>0</v>
      </c>
      <c r="T156" s="16">
        <v>0</v>
      </c>
      <c r="U156" s="16">
        <v>15691</v>
      </c>
      <c r="V156" s="16">
        <f>SUM(W156:AD156)</f>
        <v>42278</v>
      </c>
      <c r="W156" s="16">
        <v>0</v>
      </c>
      <c r="X156" s="16">
        <f>0+41098</f>
        <v>41098</v>
      </c>
      <c r="Y156" s="16">
        <v>977</v>
      </c>
      <c r="Z156" s="16">
        <v>203</v>
      </c>
      <c r="AA156" s="16">
        <v>0</v>
      </c>
      <c r="AB156" s="16">
        <v>0</v>
      </c>
      <c r="AC156" s="16">
        <v>0</v>
      </c>
      <c r="AD156" s="16">
        <v>0</v>
      </c>
      <c r="AE156" s="16">
        <f>SUM(AF156:AZ156)</f>
        <v>31090</v>
      </c>
      <c r="AF156" s="16">
        <v>0</v>
      </c>
      <c r="AG156" s="16">
        <v>0</v>
      </c>
      <c r="AH156" s="16">
        <v>3144</v>
      </c>
      <c r="AI156" s="16">
        <v>0</v>
      </c>
      <c r="AJ156" s="16">
        <v>1591</v>
      </c>
      <c r="AK156" s="16">
        <v>0</v>
      </c>
      <c r="AL156" s="16">
        <v>9355</v>
      </c>
      <c r="AM156" s="16">
        <v>0</v>
      </c>
      <c r="AN156" s="16">
        <v>0</v>
      </c>
      <c r="AO156" s="16">
        <v>0</v>
      </c>
      <c r="AP156" s="16">
        <v>0</v>
      </c>
      <c r="AQ156" s="16">
        <v>0</v>
      </c>
      <c r="AR156" s="16">
        <v>0</v>
      </c>
      <c r="AS156" s="16">
        <v>17000</v>
      </c>
      <c r="AT156" s="16">
        <v>0</v>
      </c>
      <c r="AU156" s="16">
        <v>0</v>
      </c>
      <c r="AV156" s="16">
        <v>0</v>
      </c>
      <c r="AW156" s="16">
        <v>0</v>
      </c>
      <c r="AX156" s="16">
        <v>0</v>
      </c>
      <c r="AY156" s="16">
        <v>0</v>
      </c>
      <c r="AZ156" s="16">
        <v>0</v>
      </c>
      <c r="BA156" s="16">
        <f>SUM(BB156+BF156+BI156+BK156+BM156)</f>
        <v>512160</v>
      </c>
      <c r="BB156" s="16">
        <f>SUM(BC156:BE156)</f>
        <v>0</v>
      </c>
      <c r="BC156" s="16">
        <v>0</v>
      </c>
      <c r="BD156" s="16">
        <v>0</v>
      </c>
      <c r="BE156" s="16">
        <v>0</v>
      </c>
      <c r="BF156" s="16">
        <f t="shared" si="240"/>
        <v>0</v>
      </c>
      <c r="BG156" s="16">
        <v>0</v>
      </c>
      <c r="BH156" s="16">
        <v>0</v>
      </c>
      <c r="BI156" s="16">
        <v>0</v>
      </c>
      <c r="BJ156" s="16">
        <v>0</v>
      </c>
      <c r="BK156" s="16">
        <f t="shared" si="241"/>
        <v>0</v>
      </c>
      <c r="BL156" s="16">
        <v>0</v>
      </c>
      <c r="BM156" s="16">
        <f t="shared" si="242"/>
        <v>512160</v>
      </c>
      <c r="BN156" s="16">
        <v>0</v>
      </c>
      <c r="BO156" s="16">
        <v>0</v>
      </c>
      <c r="BP156" s="16">
        <v>512160</v>
      </c>
      <c r="BQ156" s="16">
        <v>0</v>
      </c>
      <c r="BR156" s="16">
        <v>0</v>
      </c>
      <c r="BS156" s="16">
        <v>0</v>
      </c>
      <c r="BT156" s="16">
        <v>0</v>
      </c>
      <c r="BU156" s="16">
        <v>0</v>
      </c>
      <c r="BV156" s="16">
        <v>0</v>
      </c>
      <c r="BW156" s="16">
        <v>0</v>
      </c>
      <c r="BX156" s="16">
        <v>0</v>
      </c>
      <c r="BY156" s="16">
        <f>SUM(BZ156+CS156)</f>
        <v>18709</v>
      </c>
      <c r="BZ156" s="16">
        <f>SUM(CA156+CD156+CK156)</f>
        <v>18709</v>
      </c>
      <c r="CA156" s="16">
        <f t="shared" si="243"/>
        <v>18709</v>
      </c>
      <c r="CB156" s="16">
        <v>0</v>
      </c>
      <c r="CC156" s="16">
        <v>18709</v>
      </c>
      <c r="CD156" s="16">
        <f t="shared" si="244"/>
        <v>0</v>
      </c>
      <c r="CE156" s="16">
        <v>0</v>
      </c>
      <c r="CF156" s="16">
        <v>0</v>
      </c>
      <c r="CG156" s="16">
        <v>0</v>
      </c>
      <c r="CH156" s="16">
        <v>0</v>
      </c>
      <c r="CI156" s="16">
        <v>0</v>
      </c>
      <c r="CJ156" s="16">
        <v>0</v>
      </c>
      <c r="CK156" s="16">
        <f t="shared" si="245"/>
        <v>0</v>
      </c>
      <c r="CL156" s="16">
        <v>0</v>
      </c>
      <c r="CM156" s="16">
        <v>0</v>
      </c>
      <c r="CN156" s="16">
        <v>0</v>
      </c>
      <c r="CO156" s="16">
        <v>0</v>
      </c>
      <c r="CP156" s="16">
        <v>0</v>
      </c>
      <c r="CQ156" s="16">
        <v>0</v>
      </c>
      <c r="CR156" s="16">
        <v>0</v>
      </c>
      <c r="CS156" s="16">
        <v>0</v>
      </c>
      <c r="CT156" s="16">
        <f t="shared" si="246"/>
        <v>0</v>
      </c>
      <c r="CU156" s="16">
        <f t="shared" si="247"/>
        <v>0</v>
      </c>
      <c r="CV156" s="16">
        <v>0</v>
      </c>
      <c r="CW156" s="17">
        <v>0</v>
      </c>
      <c r="CX156" s="40"/>
      <c r="CY156" s="40"/>
    </row>
    <row r="157" spans="1:103" ht="15.75" x14ac:dyDescent="0.25">
      <c r="A157" s="13" t="s">
        <v>1</v>
      </c>
      <c r="B157" s="14" t="s">
        <v>1</v>
      </c>
      <c r="C157" s="14" t="s">
        <v>31</v>
      </c>
      <c r="D157" s="30" t="s">
        <v>182</v>
      </c>
      <c r="E157" s="15">
        <f>SUM(F157+BY157+CT157)</f>
        <v>1385443</v>
      </c>
      <c r="F157" s="16">
        <f>SUM(G157+BA157)</f>
        <v>1363845</v>
      </c>
      <c r="G157" s="16">
        <f>SUM(H157+I157+J157+Q157+T157+U157+V157+AE157)</f>
        <v>1363845</v>
      </c>
      <c r="H157" s="16">
        <v>1024106</v>
      </c>
      <c r="I157" s="16">
        <v>239432</v>
      </c>
      <c r="J157" s="16">
        <f>SUM(K157:P157)</f>
        <v>23257</v>
      </c>
      <c r="K157" s="16">
        <v>0</v>
      </c>
      <c r="L157" s="16">
        <v>0</v>
      </c>
      <c r="M157" s="16">
        <v>0</v>
      </c>
      <c r="N157" s="16">
        <v>0</v>
      </c>
      <c r="O157" s="16">
        <v>23257</v>
      </c>
      <c r="P157" s="16">
        <v>0</v>
      </c>
      <c r="Q157" s="16">
        <f>SUM(R157:S157)</f>
        <v>0</v>
      </c>
      <c r="R157" s="16">
        <v>0</v>
      </c>
      <c r="S157" s="16">
        <v>0</v>
      </c>
      <c r="T157" s="16">
        <v>0</v>
      </c>
      <c r="U157" s="16">
        <v>28758</v>
      </c>
      <c r="V157" s="16">
        <f>SUM(W157:AD157)</f>
        <v>26373</v>
      </c>
      <c r="W157" s="16">
        <v>0</v>
      </c>
      <c r="X157" s="16">
        <v>21022</v>
      </c>
      <c r="Y157" s="16">
        <v>4550</v>
      </c>
      <c r="Z157" s="16">
        <v>801</v>
      </c>
      <c r="AA157" s="16">
        <v>0</v>
      </c>
      <c r="AB157" s="16">
        <v>0</v>
      </c>
      <c r="AC157" s="16">
        <v>0</v>
      </c>
      <c r="AD157" s="16">
        <v>0</v>
      </c>
      <c r="AE157" s="16">
        <f>SUM(AF157:AZ157)</f>
        <v>21919</v>
      </c>
      <c r="AF157" s="16">
        <v>0</v>
      </c>
      <c r="AG157" s="16">
        <v>0</v>
      </c>
      <c r="AH157" s="16">
        <v>9529</v>
      </c>
      <c r="AI157" s="16">
        <v>0</v>
      </c>
      <c r="AJ157" s="16">
        <v>1591</v>
      </c>
      <c r="AK157" s="16">
        <v>0</v>
      </c>
      <c r="AL157" s="16">
        <v>10799</v>
      </c>
      <c r="AM157" s="16">
        <v>0</v>
      </c>
      <c r="AN157" s="16">
        <v>0</v>
      </c>
      <c r="AO157" s="16">
        <v>0</v>
      </c>
      <c r="AP157" s="16">
        <v>0</v>
      </c>
      <c r="AQ157" s="16">
        <v>0</v>
      </c>
      <c r="AR157" s="16">
        <v>0</v>
      </c>
      <c r="AS157" s="16">
        <v>0</v>
      </c>
      <c r="AT157" s="16">
        <v>0</v>
      </c>
      <c r="AU157" s="16">
        <v>0</v>
      </c>
      <c r="AV157" s="16">
        <v>0</v>
      </c>
      <c r="AW157" s="16">
        <v>0</v>
      </c>
      <c r="AX157" s="16">
        <v>0</v>
      </c>
      <c r="AY157" s="16">
        <v>0</v>
      </c>
      <c r="AZ157" s="16">
        <v>0</v>
      </c>
      <c r="BA157" s="16">
        <f>SUM(BB157+BF157+BI157+BK157+BM157)</f>
        <v>0</v>
      </c>
      <c r="BB157" s="16">
        <f>SUM(BC157:BE157)</f>
        <v>0</v>
      </c>
      <c r="BC157" s="16">
        <v>0</v>
      </c>
      <c r="BD157" s="16">
        <v>0</v>
      </c>
      <c r="BE157" s="16">
        <v>0</v>
      </c>
      <c r="BF157" s="16">
        <f>SUM(BG157:BH157)</f>
        <v>0</v>
      </c>
      <c r="BG157" s="16">
        <v>0</v>
      </c>
      <c r="BH157" s="16">
        <v>0</v>
      </c>
      <c r="BI157" s="16">
        <v>0</v>
      </c>
      <c r="BJ157" s="16">
        <v>0</v>
      </c>
      <c r="BK157" s="16">
        <f>SUM(BL157)</f>
        <v>0</v>
      </c>
      <c r="BL157" s="16">
        <v>0</v>
      </c>
      <c r="BM157" s="16">
        <f>SUM(BN157:BX157)</f>
        <v>0</v>
      </c>
      <c r="BN157" s="16">
        <v>0</v>
      </c>
      <c r="BO157" s="16">
        <v>0</v>
      </c>
      <c r="BP157" s="16">
        <v>0</v>
      </c>
      <c r="BQ157" s="16">
        <v>0</v>
      </c>
      <c r="BR157" s="16">
        <v>0</v>
      </c>
      <c r="BS157" s="16">
        <v>0</v>
      </c>
      <c r="BT157" s="16">
        <v>0</v>
      </c>
      <c r="BU157" s="16">
        <v>0</v>
      </c>
      <c r="BV157" s="16">
        <v>0</v>
      </c>
      <c r="BW157" s="16">
        <v>0</v>
      </c>
      <c r="BX157" s="16">
        <v>0</v>
      </c>
      <c r="BY157" s="16">
        <f>SUM(BZ157+CS157)</f>
        <v>21598</v>
      </c>
      <c r="BZ157" s="16">
        <f>SUM(CA157+CD157+CK157)</f>
        <v>21598</v>
      </c>
      <c r="CA157" s="16">
        <f>SUM(CB157:CC157)</f>
        <v>21598</v>
      </c>
      <c r="CB157" s="16">
        <v>0</v>
      </c>
      <c r="CC157" s="16">
        <v>21598</v>
      </c>
      <c r="CD157" s="16">
        <f>SUM(CE157:CI157)</f>
        <v>0</v>
      </c>
      <c r="CE157" s="16">
        <v>0</v>
      </c>
      <c r="CF157" s="16">
        <v>0</v>
      </c>
      <c r="CG157" s="16">
        <v>0</v>
      </c>
      <c r="CH157" s="16">
        <v>0</v>
      </c>
      <c r="CI157" s="16">
        <v>0</v>
      </c>
      <c r="CJ157" s="16">
        <v>0</v>
      </c>
      <c r="CK157" s="16">
        <f>SUM(CL157:CP157)</f>
        <v>0</v>
      </c>
      <c r="CL157" s="16">
        <v>0</v>
      </c>
      <c r="CM157" s="16">
        <v>0</v>
      </c>
      <c r="CN157" s="16">
        <v>0</v>
      </c>
      <c r="CO157" s="16">
        <v>0</v>
      </c>
      <c r="CP157" s="16">
        <v>0</v>
      </c>
      <c r="CQ157" s="16">
        <v>0</v>
      </c>
      <c r="CR157" s="16">
        <v>0</v>
      </c>
      <c r="CS157" s="16">
        <v>0</v>
      </c>
      <c r="CT157" s="16">
        <f>SUM(CU157)</f>
        <v>0</v>
      </c>
      <c r="CU157" s="16">
        <f>SUM(CV157:CW157)</f>
        <v>0</v>
      </c>
      <c r="CV157" s="16">
        <v>0</v>
      </c>
      <c r="CW157" s="17">
        <v>0</v>
      </c>
      <c r="CX157" s="40"/>
      <c r="CY157" s="40"/>
    </row>
    <row r="158" spans="1:103" ht="15.75" x14ac:dyDescent="0.25">
      <c r="A158" s="13" t="s">
        <v>1</v>
      </c>
      <c r="B158" s="14" t="s">
        <v>1</v>
      </c>
      <c r="C158" s="14" t="s">
        <v>31</v>
      </c>
      <c r="D158" s="30" t="s">
        <v>181</v>
      </c>
      <c r="E158" s="15">
        <f>SUM(F158+BY158+CT158)</f>
        <v>2443406</v>
      </c>
      <c r="F158" s="16">
        <f>SUM(G158+BA158)</f>
        <v>2406296</v>
      </c>
      <c r="G158" s="16">
        <f>SUM(H158+I158+J158+Q158+T158+U158+V158+AE158)</f>
        <v>2406296</v>
      </c>
      <c r="H158" s="16">
        <v>1855501</v>
      </c>
      <c r="I158" s="16">
        <v>429375</v>
      </c>
      <c r="J158" s="16">
        <f t="shared" si="238"/>
        <v>1042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1042</v>
      </c>
      <c r="Q158" s="16">
        <f t="shared" si="239"/>
        <v>0</v>
      </c>
      <c r="R158" s="16">
        <v>0</v>
      </c>
      <c r="S158" s="16">
        <v>0</v>
      </c>
      <c r="T158" s="16">
        <v>0</v>
      </c>
      <c r="U158" s="16">
        <v>5765</v>
      </c>
      <c r="V158" s="16">
        <f>SUM(W158:AD158)</f>
        <v>0</v>
      </c>
      <c r="W158" s="16">
        <v>0</v>
      </c>
      <c r="X158" s="16">
        <v>0</v>
      </c>
      <c r="Y158" s="16">
        <v>0</v>
      </c>
      <c r="Z158" s="16">
        <v>0</v>
      </c>
      <c r="AA158" s="16">
        <v>0</v>
      </c>
      <c r="AB158" s="16">
        <v>0</v>
      </c>
      <c r="AC158" s="16">
        <v>0</v>
      </c>
      <c r="AD158" s="16">
        <v>0</v>
      </c>
      <c r="AE158" s="16">
        <f>SUM(AF158:AZ158)</f>
        <v>114613</v>
      </c>
      <c r="AF158" s="16">
        <v>0</v>
      </c>
      <c r="AG158" s="16">
        <v>0</v>
      </c>
      <c r="AH158" s="16">
        <v>0</v>
      </c>
      <c r="AI158" s="16">
        <v>0</v>
      </c>
      <c r="AJ158" s="16">
        <v>1591</v>
      </c>
      <c r="AK158" s="16">
        <v>0</v>
      </c>
      <c r="AL158" s="16">
        <v>18555</v>
      </c>
      <c r="AM158" s="16">
        <v>0</v>
      </c>
      <c r="AN158" s="16">
        <v>0</v>
      </c>
      <c r="AO158" s="16">
        <v>0</v>
      </c>
      <c r="AP158" s="16">
        <v>0</v>
      </c>
      <c r="AQ158" s="16">
        <v>0</v>
      </c>
      <c r="AR158" s="16">
        <v>0</v>
      </c>
      <c r="AS158" s="16">
        <v>0</v>
      </c>
      <c r="AT158" s="16">
        <v>0</v>
      </c>
      <c r="AU158" s="16">
        <v>0</v>
      </c>
      <c r="AV158" s="16">
        <v>0</v>
      </c>
      <c r="AW158" s="16">
        <v>0</v>
      </c>
      <c r="AX158" s="16">
        <v>0</v>
      </c>
      <c r="AY158" s="16">
        <v>0</v>
      </c>
      <c r="AZ158" s="16">
        <v>94467</v>
      </c>
      <c r="BA158" s="16">
        <f>SUM(BB158+BF158+BI158+BK158+BM158)</f>
        <v>0</v>
      </c>
      <c r="BB158" s="16">
        <f>SUM(BC158:BE158)</f>
        <v>0</v>
      </c>
      <c r="BC158" s="16">
        <v>0</v>
      </c>
      <c r="BD158" s="16">
        <v>0</v>
      </c>
      <c r="BE158" s="16">
        <v>0</v>
      </c>
      <c r="BF158" s="16">
        <f t="shared" si="240"/>
        <v>0</v>
      </c>
      <c r="BG158" s="16">
        <v>0</v>
      </c>
      <c r="BH158" s="16">
        <v>0</v>
      </c>
      <c r="BI158" s="16">
        <v>0</v>
      </c>
      <c r="BJ158" s="16">
        <v>0</v>
      </c>
      <c r="BK158" s="16">
        <f t="shared" si="241"/>
        <v>0</v>
      </c>
      <c r="BL158" s="16">
        <v>0</v>
      </c>
      <c r="BM158" s="16">
        <f t="shared" si="242"/>
        <v>0</v>
      </c>
      <c r="BN158" s="16">
        <v>0</v>
      </c>
      <c r="BO158" s="16">
        <v>0</v>
      </c>
      <c r="BP158" s="16">
        <v>0</v>
      </c>
      <c r="BQ158" s="16">
        <v>0</v>
      </c>
      <c r="BR158" s="16">
        <v>0</v>
      </c>
      <c r="BS158" s="16">
        <v>0</v>
      </c>
      <c r="BT158" s="16">
        <v>0</v>
      </c>
      <c r="BU158" s="16">
        <v>0</v>
      </c>
      <c r="BV158" s="16">
        <v>0</v>
      </c>
      <c r="BW158" s="16">
        <v>0</v>
      </c>
      <c r="BX158" s="16">
        <v>0</v>
      </c>
      <c r="BY158" s="16">
        <f>SUM(BZ158+CS158)</f>
        <v>37110</v>
      </c>
      <c r="BZ158" s="16">
        <f>SUM(CA158+CD158+CK158)</f>
        <v>37110</v>
      </c>
      <c r="CA158" s="16">
        <f t="shared" si="243"/>
        <v>37110</v>
      </c>
      <c r="CB158" s="16">
        <v>0</v>
      </c>
      <c r="CC158" s="16">
        <v>37110</v>
      </c>
      <c r="CD158" s="16">
        <f t="shared" si="244"/>
        <v>0</v>
      </c>
      <c r="CE158" s="16">
        <v>0</v>
      </c>
      <c r="CF158" s="16">
        <v>0</v>
      </c>
      <c r="CG158" s="16">
        <v>0</v>
      </c>
      <c r="CH158" s="16">
        <v>0</v>
      </c>
      <c r="CI158" s="16">
        <v>0</v>
      </c>
      <c r="CJ158" s="16">
        <v>0</v>
      </c>
      <c r="CK158" s="16">
        <f t="shared" si="245"/>
        <v>0</v>
      </c>
      <c r="CL158" s="16">
        <v>0</v>
      </c>
      <c r="CM158" s="16">
        <v>0</v>
      </c>
      <c r="CN158" s="16">
        <v>0</v>
      </c>
      <c r="CO158" s="16">
        <v>0</v>
      </c>
      <c r="CP158" s="16">
        <v>0</v>
      </c>
      <c r="CQ158" s="16">
        <v>0</v>
      </c>
      <c r="CR158" s="16">
        <v>0</v>
      </c>
      <c r="CS158" s="16">
        <v>0</v>
      </c>
      <c r="CT158" s="16">
        <f t="shared" si="246"/>
        <v>0</v>
      </c>
      <c r="CU158" s="16">
        <f t="shared" si="247"/>
        <v>0</v>
      </c>
      <c r="CV158" s="16">
        <v>0</v>
      </c>
      <c r="CW158" s="17">
        <v>0</v>
      </c>
      <c r="CX158" s="40"/>
      <c r="CY158" s="40"/>
    </row>
    <row r="159" spans="1:103" ht="15.75" x14ac:dyDescent="0.25">
      <c r="A159" s="13" t="s">
        <v>1</v>
      </c>
      <c r="B159" s="14" t="s">
        <v>1</v>
      </c>
      <c r="C159" s="14" t="s">
        <v>31</v>
      </c>
      <c r="D159" s="30" t="s">
        <v>180</v>
      </c>
      <c r="E159" s="15">
        <f>SUM(F159+BY159+CT159)</f>
        <v>674255</v>
      </c>
      <c r="F159" s="16">
        <f>SUM(G159+BA159)</f>
        <v>663644</v>
      </c>
      <c r="G159" s="16">
        <f>SUM(H159+I159+J159+Q159+T159+U159+V159+AE159)</f>
        <v>663644</v>
      </c>
      <c r="H159" s="16">
        <v>530556</v>
      </c>
      <c r="I159" s="16">
        <v>120564</v>
      </c>
      <c r="J159" s="16">
        <f>SUM(K159:P159)</f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6">
        <v>0</v>
      </c>
      <c r="Q159" s="16">
        <f>SUM(R159:S159)</f>
        <v>0</v>
      </c>
      <c r="R159" s="16">
        <v>0</v>
      </c>
      <c r="S159" s="16">
        <v>0</v>
      </c>
      <c r="T159" s="16">
        <v>0</v>
      </c>
      <c r="U159" s="16">
        <v>5627</v>
      </c>
      <c r="V159" s="16">
        <f>SUM(W159:AD159)</f>
        <v>0</v>
      </c>
      <c r="W159" s="16">
        <v>0</v>
      </c>
      <c r="X159" s="16">
        <v>0</v>
      </c>
      <c r="Y159" s="16">
        <v>0</v>
      </c>
      <c r="Z159" s="16">
        <v>0</v>
      </c>
      <c r="AA159" s="16">
        <v>0</v>
      </c>
      <c r="AB159" s="16">
        <v>0</v>
      </c>
      <c r="AC159" s="16">
        <v>0</v>
      </c>
      <c r="AD159" s="16">
        <v>0</v>
      </c>
      <c r="AE159" s="16">
        <f>SUM(AF159:AZ159)</f>
        <v>6897</v>
      </c>
      <c r="AF159" s="16">
        <v>0</v>
      </c>
      <c r="AG159" s="16">
        <v>0</v>
      </c>
      <c r="AH159" s="16">
        <v>0</v>
      </c>
      <c r="AI159" s="16">
        <v>0</v>
      </c>
      <c r="AJ159" s="16">
        <v>1591</v>
      </c>
      <c r="AK159" s="16">
        <v>0</v>
      </c>
      <c r="AL159" s="16">
        <v>5306</v>
      </c>
      <c r="AM159" s="16">
        <v>0</v>
      </c>
      <c r="AN159" s="16">
        <v>0</v>
      </c>
      <c r="AO159" s="16">
        <v>0</v>
      </c>
      <c r="AP159" s="16">
        <v>0</v>
      </c>
      <c r="AQ159" s="16">
        <v>0</v>
      </c>
      <c r="AR159" s="16">
        <v>0</v>
      </c>
      <c r="AS159" s="16">
        <v>0</v>
      </c>
      <c r="AT159" s="16">
        <v>0</v>
      </c>
      <c r="AU159" s="16">
        <v>0</v>
      </c>
      <c r="AV159" s="16">
        <v>0</v>
      </c>
      <c r="AW159" s="16">
        <v>0</v>
      </c>
      <c r="AX159" s="16">
        <v>0</v>
      </c>
      <c r="AY159" s="16">
        <v>0</v>
      </c>
      <c r="AZ159" s="16">
        <v>0</v>
      </c>
      <c r="BA159" s="16">
        <f>SUM(BB159+BF159+BI159+BK159+BM159)</f>
        <v>0</v>
      </c>
      <c r="BB159" s="16">
        <f>SUM(BC159:BE159)</f>
        <v>0</v>
      </c>
      <c r="BC159" s="16">
        <v>0</v>
      </c>
      <c r="BD159" s="16">
        <v>0</v>
      </c>
      <c r="BE159" s="16">
        <v>0</v>
      </c>
      <c r="BF159" s="16">
        <f>SUM(BG159:BH159)</f>
        <v>0</v>
      </c>
      <c r="BG159" s="16">
        <v>0</v>
      </c>
      <c r="BH159" s="16">
        <v>0</v>
      </c>
      <c r="BI159" s="16">
        <v>0</v>
      </c>
      <c r="BJ159" s="16">
        <v>0</v>
      </c>
      <c r="BK159" s="16">
        <f>SUM(BL159)</f>
        <v>0</v>
      </c>
      <c r="BL159" s="16">
        <v>0</v>
      </c>
      <c r="BM159" s="16">
        <f>SUM(BN159:BX159)</f>
        <v>0</v>
      </c>
      <c r="BN159" s="16">
        <v>0</v>
      </c>
      <c r="BO159" s="16">
        <v>0</v>
      </c>
      <c r="BP159" s="16">
        <v>0</v>
      </c>
      <c r="BQ159" s="16">
        <v>0</v>
      </c>
      <c r="BR159" s="16">
        <v>0</v>
      </c>
      <c r="BS159" s="16">
        <v>0</v>
      </c>
      <c r="BT159" s="16">
        <v>0</v>
      </c>
      <c r="BU159" s="16">
        <v>0</v>
      </c>
      <c r="BV159" s="16">
        <v>0</v>
      </c>
      <c r="BW159" s="16">
        <v>0</v>
      </c>
      <c r="BX159" s="16">
        <v>0</v>
      </c>
      <c r="BY159" s="16">
        <f>SUM(BZ159+CS159)</f>
        <v>10611</v>
      </c>
      <c r="BZ159" s="16">
        <f>SUM(CA159+CD159+CK159)</f>
        <v>10611</v>
      </c>
      <c r="CA159" s="16">
        <f>SUM(CB159:CC159)</f>
        <v>10611</v>
      </c>
      <c r="CB159" s="16">
        <v>0</v>
      </c>
      <c r="CC159" s="16">
        <v>10611</v>
      </c>
      <c r="CD159" s="16">
        <f>SUM(CE159:CI159)</f>
        <v>0</v>
      </c>
      <c r="CE159" s="16">
        <v>0</v>
      </c>
      <c r="CF159" s="16">
        <v>0</v>
      </c>
      <c r="CG159" s="16">
        <v>0</v>
      </c>
      <c r="CH159" s="16">
        <v>0</v>
      </c>
      <c r="CI159" s="16">
        <v>0</v>
      </c>
      <c r="CJ159" s="16">
        <v>0</v>
      </c>
      <c r="CK159" s="16">
        <f>SUM(CL159:CP159)</f>
        <v>0</v>
      </c>
      <c r="CL159" s="16">
        <v>0</v>
      </c>
      <c r="CM159" s="16">
        <v>0</v>
      </c>
      <c r="CN159" s="16">
        <v>0</v>
      </c>
      <c r="CO159" s="16">
        <v>0</v>
      </c>
      <c r="CP159" s="16">
        <v>0</v>
      </c>
      <c r="CQ159" s="16">
        <v>0</v>
      </c>
      <c r="CR159" s="16">
        <v>0</v>
      </c>
      <c r="CS159" s="16">
        <v>0</v>
      </c>
      <c r="CT159" s="16">
        <f>SUM(CU159)</f>
        <v>0</v>
      </c>
      <c r="CU159" s="16">
        <f>SUM(CV159:CW159)</f>
        <v>0</v>
      </c>
      <c r="CV159" s="16">
        <v>0</v>
      </c>
      <c r="CW159" s="17">
        <v>0</v>
      </c>
      <c r="CX159" s="40"/>
      <c r="CY159" s="40"/>
    </row>
    <row r="160" spans="1:103" ht="31.5" x14ac:dyDescent="0.25">
      <c r="A160" s="13" t="s">
        <v>1</v>
      </c>
      <c r="B160" s="14" t="s">
        <v>1</v>
      </c>
      <c r="C160" s="14" t="s">
        <v>33</v>
      </c>
      <c r="D160" s="30" t="s">
        <v>183</v>
      </c>
      <c r="E160" s="15">
        <f>SUM(F160+BY160+CT160)</f>
        <v>2092121</v>
      </c>
      <c r="F160" s="16">
        <f>SUM(G160+BA160)</f>
        <v>2092121</v>
      </c>
      <c r="G160" s="16">
        <f>SUM(H160+I160+J160+Q160+T160+U160+V160+AE160)</f>
        <v>2092121</v>
      </c>
      <c r="H160" s="16">
        <v>0</v>
      </c>
      <c r="I160" s="16">
        <v>0</v>
      </c>
      <c r="J160" s="16">
        <f t="shared" si="238"/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6">
        <v>0</v>
      </c>
      <c r="Q160" s="16">
        <f t="shared" si="239"/>
        <v>0</v>
      </c>
      <c r="R160" s="16">
        <v>0</v>
      </c>
      <c r="S160" s="16">
        <v>0</v>
      </c>
      <c r="T160" s="16">
        <v>0</v>
      </c>
      <c r="U160" s="16">
        <v>0</v>
      </c>
      <c r="V160" s="16">
        <f>SUM(W160:AD160)</f>
        <v>0</v>
      </c>
      <c r="W160" s="16">
        <v>0</v>
      </c>
      <c r="X160" s="16">
        <v>0</v>
      </c>
      <c r="Y160" s="16">
        <v>0</v>
      </c>
      <c r="Z160" s="16">
        <v>0</v>
      </c>
      <c r="AA160" s="16">
        <v>0</v>
      </c>
      <c r="AB160" s="16">
        <v>0</v>
      </c>
      <c r="AC160" s="16">
        <v>0</v>
      </c>
      <c r="AD160" s="16">
        <v>0</v>
      </c>
      <c r="AE160" s="16">
        <f>SUM(AF160:AZ160)</f>
        <v>2092121</v>
      </c>
      <c r="AF160" s="16">
        <v>0</v>
      </c>
      <c r="AG160" s="16">
        <v>0</v>
      </c>
      <c r="AH160" s="16">
        <v>0</v>
      </c>
      <c r="AI160" s="16">
        <v>0</v>
      </c>
      <c r="AJ160" s="16">
        <v>0</v>
      </c>
      <c r="AK160" s="16">
        <v>0</v>
      </c>
      <c r="AL160" s="16">
        <v>0</v>
      </c>
      <c r="AM160" s="16">
        <v>0</v>
      </c>
      <c r="AN160" s="16">
        <v>0</v>
      </c>
      <c r="AO160" s="16">
        <v>0</v>
      </c>
      <c r="AP160" s="16">
        <v>0</v>
      </c>
      <c r="AQ160" s="16">
        <v>0</v>
      </c>
      <c r="AR160" s="16">
        <v>0</v>
      </c>
      <c r="AS160" s="16">
        <v>0</v>
      </c>
      <c r="AT160" s="16">
        <v>0</v>
      </c>
      <c r="AU160" s="16">
        <v>0</v>
      </c>
      <c r="AV160" s="16">
        <v>0</v>
      </c>
      <c r="AW160" s="16">
        <v>0</v>
      </c>
      <c r="AX160" s="16">
        <v>0</v>
      </c>
      <c r="AY160" s="16">
        <v>0</v>
      </c>
      <c r="AZ160" s="16">
        <v>2092121</v>
      </c>
      <c r="BA160" s="16">
        <f>SUM(BB160+BF160+BI160+BK160+BM160)</f>
        <v>0</v>
      </c>
      <c r="BB160" s="16">
        <f>SUM(BC160:BE160)</f>
        <v>0</v>
      </c>
      <c r="BC160" s="16">
        <v>0</v>
      </c>
      <c r="BD160" s="16">
        <v>0</v>
      </c>
      <c r="BE160" s="16">
        <v>0</v>
      </c>
      <c r="BF160" s="16">
        <f t="shared" si="240"/>
        <v>0</v>
      </c>
      <c r="BG160" s="16">
        <v>0</v>
      </c>
      <c r="BH160" s="16">
        <v>0</v>
      </c>
      <c r="BI160" s="16">
        <v>0</v>
      </c>
      <c r="BJ160" s="16">
        <v>0</v>
      </c>
      <c r="BK160" s="16">
        <f t="shared" si="241"/>
        <v>0</v>
      </c>
      <c r="BL160" s="16">
        <v>0</v>
      </c>
      <c r="BM160" s="16">
        <f t="shared" si="242"/>
        <v>0</v>
      </c>
      <c r="BN160" s="16">
        <v>0</v>
      </c>
      <c r="BO160" s="16">
        <v>0</v>
      </c>
      <c r="BP160" s="16">
        <v>0</v>
      </c>
      <c r="BQ160" s="16">
        <v>0</v>
      </c>
      <c r="BR160" s="16">
        <v>0</v>
      </c>
      <c r="BS160" s="16">
        <v>0</v>
      </c>
      <c r="BT160" s="16">
        <v>0</v>
      </c>
      <c r="BU160" s="16">
        <v>0</v>
      </c>
      <c r="BV160" s="16">
        <v>0</v>
      </c>
      <c r="BW160" s="16">
        <v>0</v>
      </c>
      <c r="BX160" s="16">
        <v>0</v>
      </c>
      <c r="BY160" s="16">
        <f>SUM(BZ160+CS160)</f>
        <v>0</v>
      </c>
      <c r="BZ160" s="16">
        <f>SUM(CA160+CD160+CK160)</f>
        <v>0</v>
      </c>
      <c r="CA160" s="16">
        <f t="shared" si="243"/>
        <v>0</v>
      </c>
      <c r="CB160" s="16">
        <v>0</v>
      </c>
      <c r="CC160" s="16">
        <v>0</v>
      </c>
      <c r="CD160" s="16">
        <f t="shared" si="244"/>
        <v>0</v>
      </c>
      <c r="CE160" s="16">
        <v>0</v>
      </c>
      <c r="CF160" s="16">
        <v>0</v>
      </c>
      <c r="CG160" s="16">
        <v>0</v>
      </c>
      <c r="CH160" s="16">
        <v>0</v>
      </c>
      <c r="CI160" s="16">
        <v>0</v>
      </c>
      <c r="CJ160" s="16">
        <v>0</v>
      </c>
      <c r="CK160" s="16">
        <f t="shared" si="245"/>
        <v>0</v>
      </c>
      <c r="CL160" s="16">
        <v>0</v>
      </c>
      <c r="CM160" s="16">
        <v>0</v>
      </c>
      <c r="CN160" s="16">
        <v>0</v>
      </c>
      <c r="CO160" s="16">
        <v>0</v>
      </c>
      <c r="CP160" s="16">
        <v>0</v>
      </c>
      <c r="CQ160" s="16">
        <v>0</v>
      </c>
      <c r="CR160" s="16">
        <v>0</v>
      </c>
      <c r="CS160" s="16">
        <v>0</v>
      </c>
      <c r="CT160" s="16">
        <f t="shared" si="246"/>
        <v>0</v>
      </c>
      <c r="CU160" s="16">
        <f t="shared" si="247"/>
        <v>0</v>
      </c>
      <c r="CV160" s="16">
        <v>0</v>
      </c>
      <c r="CW160" s="17">
        <v>0</v>
      </c>
      <c r="CX160" s="40"/>
      <c r="CY160" s="40"/>
    </row>
    <row r="161" spans="1:103" ht="15.75" x14ac:dyDescent="0.25">
      <c r="A161" s="18" t="s">
        <v>184</v>
      </c>
      <c r="B161" s="19" t="s">
        <v>1</v>
      </c>
      <c r="C161" s="19" t="s">
        <v>1</v>
      </c>
      <c r="D161" s="31" t="s">
        <v>185</v>
      </c>
      <c r="E161" s="20">
        <f>SUM(E162+E165)</f>
        <v>44380361</v>
      </c>
      <c r="F161" s="21">
        <f t="shared" ref="F161:BS161" si="252">SUM(F162+F165)</f>
        <v>43963042</v>
      </c>
      <c r="G161" s="21">
        <f t="shared" si="252"/>
        <v>43963042</v>
      </c>
      <c r="H161" s="21">
        <f t="shared" si="252"/>
        <v>26681771</v>
      </c>
      <c r="I161" s="21">
        <f t="shared" si="252"/>
        <v>6384604</v>
      </c>
      <c r="J161" s="21">
        <f t="shared" si="252"/>
        <v>428827</v>
      </c>
      <c r="K161" s="21">
        <f t="shared" si="252"/>
        <v>0</v>
      </c>
      <c r="L161" s="21">
        <f t="shared" si="252"/>
        <v>0</v>
      </c>
      <c r="M161" s="21">
        <f t="shared" si="252"/>
        <v>0</v>
      </c>
      <c r="N161" s="21">
        <f t="shared" si="252"/>
        <v>0</v>
      </c>
      <c r="O161" s="21">
        <f t="shared" si="252"/>
        <v>406540</v>
      </c>
      <c r="P161" s="21">
        <f t="shared" si="252"/>
        <v>22287</v>
      </c>
      <c r="Q161" s="21">
        <f t="shared" si="252"/>
        <v>96891</v>
      </c>
      <c r="R161" s="21">
        <f t="shared" si="252"/>
        <v>6292</v>
      </c>
      <c r="S161" s="21">
        <f t="shared" si="252"/>
        <v>90599</v>
      </c>
      <c r="T161" s="21">
        <f t="shared" si="252"/>
        <v>0</v>
      </c>
      <c r="U161" s="21">
        <f t="shared" si="252"/>
        <v>196638</v>
      </c>
      <c r="V161" s="21">
        <f t="shared" si="252"/>
        <v>72385</v>
      </c>
      <c r="W161" s="21">
        <f t="shared" si="252"/>
        <v>0</v>
      </c>
      <c r="X161" s="21">
        <f t="shared" si="252"/>
        <v>0</v>
      </c>
      <c r="Y161" s="21">
        <f t="shared" si="252"/>
        <v>31981</v>
      </c>
      <c r="Z161" s="21">
        <f t="shared" si="252"/>
        <v>0</v>
      </c>
      <c r="AA161" s="21">
        <f t="shared" si="252"/>
        <v>0</v>
      </c>
      <c r="AB161" s="21">
        <f t="shared" si="252"/>
        <v>40404</v>
      </c>
      <c r="AC161" s="21">
        <f t="shared" si="252"/>
        <v>0</v>
      </c>
      <c r="AD161" s="21">
        <f t="shared" ref="AD161" si="253">SUM(AD162+AD165)</f>
        <v>0</v>
      </c>
      <c r="AE161" s="21">
        <f t="shared" si="252"/>
        <v>10101926</v>
      </c>
      <c r="AF161" s="21">
        <f t="shared" si="252"/>
        <v>0</v>
      </c>
      <c r="AG161" s="21">
        <f t="shared" si="252"/>
        <v>0</v>
      </c>
      <c r="AH161" s="21">
        <f t="shared" si="252"/>
        <v>6630</v>
      </c>
      <c r="AI161" s="21">
        <f t="shared" si="252"/>
        <v>0</v>
      </c>
      <c r="AJ161" s="21">
        <f t="shared" si="252"/>
        <v>0</v>
      </c>
      <c r="AK161" s="21">
        <f t="shared" si="252"/>
        <v>0</v>
      </c>
      <c r="AL161" s="21">
        <f t="shared" si="252"/>
        <v>235535</v>
      </c>
      <c r="AM161" s="21">
        <f t="shared" si="252"/>
        <v>1739000</v>
      </c>
      <c r="AN161" s="21">
        <f t="shared" si="252"/>
        <v>0</v>
      </c>
      <c r="AO161" s="21">
        <f t="shared" si="252"/>
        <v>0</v>
      </c>
      <c r="AP161" s="21">
        <f>SUM(AP162+AP165)</f>
        <v>0</v>
      </c>
      <c r="AQ161" s="21">
        <f t="shared" si="252"/>
        <v>0</v>
      </c>
      <c r="AR161" s="21">
        <f t="shared" si="252"/>
        <v>30733</v>
      </c>
      <c r="AS161" s="21">
        <f t="shared" si="252"/>
        <v>0</v>
      </c>
      <c r="AT161" s="21">
        <f t="shared" si="252"/>
        <v>0</v>
      </c>
      <c r="AU161" s="21">
        <f t="shared" si="252"/>
        <v>0</v>
      </c>
      <c r="AV161" s="21">
        <f t="shared" si="252"/>
        <v>0</v>
      </c>
      <c r="AW161" s="21">
        <f t="shared" si="252"/>
        <v>0</v>
      </c>
      <c r="AX161" s="21">
        <f t="shared" si="252"/>
        <v>0</v>
      </c>
      <c r="AY161" s="21">
        <f t="shared" si="252"/>
        <v>0</v>
      </c>
      <c r="AZ161" s="21">
        <f t="shared" si="252"/>
        <v>8090028</v>
      </c>
      <c r="BA161" s="21">
        <f t="shared" si="252"/>
        <v>0</v>
      </c>
      <c r="BB161" s="21">
        <f t="shared" si="252"/>
        <v>0</v>
      </c>
      <c r="BC161" s="21">
        <f t="shared" si="252"/>
        <v>0</v>
      </c>
      <c r="BD161" s="21">
        <f t="shared" si="252"/>
        <v>0</v>
      </c>
      <c r="BE161" s="21">
        <f t="shared" si="252"/>
        <v>0</v>
      </c>
      <c r="BF161" s="21">
        <f t="shared" si="252"/>
        <v>0</v>
      </c>
      <c r="BG161" s="21">
        <f t="shared" si="252"/>
        <v>0</v>
      </c>
      <c r="BH161" s="21">
        <f t="shared" si="252"/>
        <v>0</v>
      </c>
      <c r="BI161" s="21">
        <f t="shared" si="252"/>
        <v>0</v>
      </c>
      <c r="BJ161" s="21">
        <f t="shared" si="252"/>
        <v>0</v>
      </c>
      <c r="BK161" s="21">
        <f t="shared" si="252"/>
        <v>0</v>
      </c>
      <c r="BL161" s="21">
        <f t="shared" si="252"/>
        <v>0</v>
      </c>
      <c r="BM161" s="21">
        <f t="shared" si="252"/>
        <v>0</v>
      </c>
      <c r="BN161" s="21">
        <f t="shared" si="252"/>
        <v>0</v>
      </c>
      <c r="BO161" s="21">
        <f t="shared" si="252"/>
        <v>0</v>
      </c>
      <c r="BP161" s="21">
        <f t="shared" si="252"/>
        <v>0</v>
      </c>
      <c r="BQ161" s="21">
        <f t="shared" si="252"/>
        <v>0</v>
      </c>
      <c r="BR161" s="21">
        <f t="shared" si="252"/>
        <v>0</v>
      </c>
      <c r="BS161" s="21">
        <f t="shared" si="252"/>
        <v>0</v>
      </c>
      <c r="BT161" s="21">
        <f t="shared" ref="BT161:CW161" si="254">SUM(BT162+BT165)</f>
        <v>0</v>
      </c>
      <c r="BU161" s="21">
        <f t="shared" si="254"/>
        <v>0</v>
      </c>
      <c r="BV161" s="21">
        <f t="shared" si="254"/>
        <v>0</v>
      </c>
      <c r="BW161" s="21">
        <f t="shared" si="254"/>
        <v>0</v>
      </c>
      <c r="BX161" s="21">
        <f t="shared" si="254"/>
        <v>0</v>
      </c>
      <c r="BY161" s="21">
        <f t="shared" si="254"/>
        <v>417319</v>
      </c>
      <c r="BZ161" s="21">
        <f t="shared" si="254"/>
        <v>417319</v>
      </c>
      <c r="CA161" s="21">
        <f t="shared" si="254"/>
        <v>417319</v>
      </c>
      <c r="CB161" s="21">
        <f t="shared" si="254"/>
        <v>0</v>
      </c>
      <c r="CC161" s="21">
        <f t="shared" si="254"/>
        <v>417319</v>
      </c>
      <c r="CD161" s="21">
        <f t="shared" si="254"/>
        <v>0</v>
      </c>
      <c r="CE161" s="21">
        <f t="shared" si="254"/>
        <v>0</v>
      </c>
      <c r="CF161" s="21">
        <f>SUM(CF162+CF165)</f>
        <v>0</v>
      </c>
      <c r="CG161" s="21">
        <f t="shared" si="254"/>
        <v>0</v>
      </c>
      <c r="CH161" s="21">
        <f t="shared" si="254"/>
        <v>0</v>
      </c>
      <c r="CI161" s="21">
        <f t="shared" si="254"/>
        <v>0</v>
      </c>
      <c r="CJ161" s="21">
        <f t="shared" ref="CJ161" si="255">SUM(CJ162+CJ165)</f>
        <v>0</v>
      </c>
      <c r="CK161" s="21">
        <f t="shared" si="254"/>
        <v>0</v>
      </c>
      <c r="CL161" s="21">
        <f t="shared" si="254"/>
        <v>0</v>
      </c>
      <c r="CM161" s="21">
        <f>SUM(CM162+CM165)</f>
        <v>0</v>
      </c>
      <c r="CN161" s="21">
        <f t="shared" si="254"/>
        <v>0</v>
      </c>
      <c r="CO161" s="21">
        <f t="shared" si="254"/>
        <v>0</v>
      </c>
      <c r="CP161" s="21">
        <f t="shared" si="254"/>
        <v>0</v>
      </c>
      <c r="CQ161" s="21">
        <f t="shared" si="254"/>
        <v>0</v>
      </c>
      <c r="CR161" s="21">
        <f t="shared" si="254"/>
        <v>0</v>
      </c>
      <c r="CS161" s="21">
        <f t="shared" si="254"/>
        <v>0</v>
      </c>
      <c r="CT161" s="21">
        <f t="shared" si="254"/>
        <v>0</v>
      </c>
      <c r="CU161" s="21">
        <f t="shared" si="254"/>
        <v>0</v>
      </c>
      <c r="CV161" s="21">
        <f t="shared" si="254"/>
        <v>0</v>
      </c>
      <c r="CW161" s="22">
        <f t="shared" si="254"/>
        <v>0</v>
      </c>
      <c r="CX161" s="40"/>
      <c r="CY161" s="40"/>
    </row>
    <row r="162" spans="1:103" ht="15.75" x14ac:dyDescent="0.25">
      <c r="A162" s="13" t="s">
        <v>186</v>
      </c>
      <c r="B162" s="14" t="s">
        <v>3</v>
      </c>
      <c r="C162" s="14" t="s">
        <v>1</v>
      </c>
      <c r="D162" s="30" t="s">
        <v>187</v>
      </c>
      <c r="E162" s="15">
        <f>SUM(E163:E164)</f>
        <v>35332148</v>
      </c>
      <c r="F162" s="16">
        <f t="shared" ref="F162:BS162" si="256">SUM(F163:F164)</f>
        <v>34955753</v>
      </c>
      <c r="G162" s="16">
        <f t="shared" si="256"/>
        <v>34955753</v>
      </c>
      <c r="H162" s="16">
        <f t="shared" si="256"/>
        <v>20930566</v>
      </c>
      <c r="I162" s="16">
        <f t="shared" si="256"/>
        <v>5025610</v>
      </c>
      <c r="J162" s="16">
        <f t="shared" si="256"/>
        <v>371147</v>
      </c>
      <c r="K162" s="16">
        <f t="shared" si="256"/>
        <v>0</v>
      </c>
      <c r="L162" s="16">
        <f t="shared" si="256"/>
        <v>0</v>
      </c>
      <c r="M162" s="16">
        <f t="shared" si="256"/>
        <v>0</v>
      </c>
      <c r="N162" s="16">
        <f t="shared" si="256"/>
        <v>0</v>
      </c>
      <c r="O162" s="16">
        <f t="shared" si="256"/>
        <v>356078</v>
      </c>
      <c r="P162" s="16">
        <f t="shared" si="256"/>
        <v>15069</v>
      </c>
      <c r="Q162" s="16">
        <f t="shared" si="256"/>
        <v>90599</v>
      </c>
      <c r="R162" s="16">
        <f t="shared" si="256"/>
        <v>0</v>
      </c>
      <c r="S162" s="16">
        <f t="shared" si="256"/>
        <v>90599</v>
      </c>
      <c r="T162" s="16">
        <f t="shared" si="256"/>
        <v>0</v>
      </c>
      <c r="U162" s="16">
        <f t="shared" si="256"/>
        <v>149857</v>
      </c>
      <c r="V162" s="16">
        <f t="shared" si="256"/>
        <v>72385</v>
      </c>
      <c r="W162" s="16">
        <f t="shared" si="256"/>
        <v>0</v>
      </c>
      <c r="X162" s="16">
        <f t="shared" si="256"/>
        <v>0</v>
      </c>
      <c r="Y162" s="16">
        <f t="shared" si="256"/>
        <v>31981</v>
      </c>
      <c r="Z162" s="16">
        <f t="shared" si="256"/>
        <v>0</v>
      </c>
      <c r="AA162" s="16">
        <f t="shared" si="256"/>
        <v>0</v>
      </c>
      <c r="AB162" s="16">
        <f t="shared" si="256"/>
        <v>40404</v>
      </c>
      <c r="AC162" s="16">
        <f t="shared" si="256"/>
        <v>0</v>
      </c>
      <c r="AD162" s="16">
        <f t="shared" ref="AD162" si="257">SUM(AD163:AD164)</f>
        <v>0</v>
      </c>
      <c r="AE162" s="16">
        <f t="shared" si="256"/>
        <v>8315589</v>
      </c>
      <c r="AF162" s="16">
        <f t="shared" si="256"/>
        <v>0</v>
      </c>
      <c r="AG162" s="16">
        <f t="shared" si="256"/>
        <v>0</v>
      </c>
      <c r="AH162" s="16">
        <f t="shared" si="256"/>
        <v>6630</v>
      </c>
      <c r="AI162" s="16">
        <f t="shared" si="256"/>
        <v>0</v>
      </c>
      <c r="AJ162" s="16">
        <f t="shared" si="256"/>
        <v>0</v>
      </c>
      <c r="AK162" s="16">
        <f t="shared" si="256"/>
        <v>0</v>
      </c>
      <c r="AL162" s="16">
        <f t="shared" si="256"/>
        <v>188198</v>
      </c>
      <c r="AM162" s="16">
        <f t="shared" si="256"/>
        <v>0</v>
      </c>
      <c r="AN162" s="16">
        <f t="shared" si="256"/>
        <v>0</v>
      </c>
      <c r="AO162" s="16">
        <f t="shared" si="256"/>
        <v>0</v>
      </c>
      <c r="AP162" s="16">
        <f>SUM(AP163:AP164)</f>
        <v>0</v>
      </c>
      <c r="AQ162" s="16">
        <f t="shared" si="256"/>
        <v>0</v>
      </c>
      <c r="AR162" s="16">
        <f t="shared" si="256"/>
        <v>30733</v>
      </c>
      <c r="AS162" s="16">
        <f t="shared" si="256"/>
        <v>0</v>
      </c>
      <c r="AT162" s="16">
        <f t="shared" si="256"/>
        <v>0</v>
      </c>
      <c r="AU162" s="16">
        <f t="shared" si="256"/>
        <v>0</v>
      </c>
      <c r="AV162" s="16">
        <f t="shared" si="256"/>
        <v>0</v>
      </c>
      <c r="AW162" s="16">
        <f t="shared" si="256"/>
        <v>0</v>
      </c>
      <c r="AX162" s="16">
        <f t="shared" si="256"/>
        <v>0</v>
      </c>
      <c r="AY162" s="16">
        <f t="shared" si="256"/>
        <v>0</v>
      </c>
      <c r="AZ162" s="16">
        <f t="shared" si="256"/>
        <v>8090028</v>
      </c>
      <c r="BA162" s="16">
        <f t="shared" si="256"/>
        <v>0</v>
      </c>
      <c r="BB162" s="16">
        <f t="shared" si="256"/>
        <v>0</v>
      </c>
      <c r="BC162" s="16">
        <f t="shared" si="256"/>
        <v>0</v>
      </c>
      <c r="BD162" s="16">
        <f t="shared" si="256"/>
        <v>0</v>
      </c>
      <c r="BE162" s="16">
        <f t="shared" si="256"/>
        <v>0</v>
      </c>
      <c r="BF162" s="16">
        <f t="shared" si="256"/>
        <v>0</v>
      </c>
      <c r="BG162" s="16">
        <f t="shared" si="256"/>
        <v>0</v>
      </c>
      <c r="BH162" s="16">
        <f t="shared" si="256"/>
        <v>0</v>
      </c>
      <c r="BI162" s="16">
        <f t="shared" si="256"/>
        <v>0</v>
      </c>
      <c r="BJ162" s="16">
        <f t="shared" si="256"/>
        <v>0</v>
      </c>
      <c r="BK162" s="16">
        <f t="shared" si="256"/>
        <v>0</v>
      </c>
      <c r="BL162" s="16">
        <f t="shared" si="256"/>
        <v>0</v>
      </c>
      <c r="BM162" s="16">
        <f t="shared" si="256"/>
        <v>0</v>
      </c>
      <c r="BN162" s="16">
        <f t="shared" si="256"/>
        <v>0</v>
      </c>
      <c r="BO162" s="16">
        <f t="shared" si="256"/>
        <v>0</v>
      </c>
      <c r="BP162" s="16">
        <f t="shared" si="256"/>
        <v>0</v>
      </c>
      <c r="BQ162" s="16">
        <f t="shared" si="256"/>
        <v>0</v>
      </c>
      <c r="BR162" s="16">
        <f t="shared" si="256"/>
        <v>0</v>
      </c>
      <c r="BS162" s="16">
        <f t="shared" si="256"/>
        <v>0</v>
      </c>
      <c r="BT162" s="16">
        <f t="shared" ref="BT162:CW162" si="258">SUM(BT163:BT164)</f>
        <v>0</v>
      </c>
      <c r="BU162" s="16">
        <f t="shared" si="258"/>
        <v>0</v>
      </c>
      <c r="BV162" s="16">
        <f t="shared" si="258"/>
        <v>0</v>
      </c>
      <c r="BW162" s="16">
        <f t="shared" si="258"/>
        <v>0</v>
      </c>
      <c r="BX162" s="16">
        <f t="shared" si="258"/>
        <v>0</v>
      </c>
      <c r="BY162" s="16">
        <f t="shared" si="258"/>
        <v>376395</v>
      </c>
      <c r="BZ162" s="16">
        <f t="shared" si="258"/>
        <v>376395</v>
      </c>
      <c r="CA162" s="16">
        <f t="shared" si="258"/>
        <v>376395</v>
      </c>
      <c r="CB162" s="16">
        <f t="shared" si="258"/>
        <v>0</v>
      </c>
      <c r="CC162" s="16">
        <f t="shared" si="258"/>
        <v>376395</v>
      </c>
      <c r="CD162" s="16">
        <f t="shared" si="258"/>
        <v>0</v>
      </c>
      <c r="CE162" s="16">
        <f t="shared" si="258"/>
        <v>0</v>
      </c>
      <c r="CF162" s="16">
        <f>SUM(CF163:CF164)</f>
        <v>0</v>
      </c>
      <c r="CG162" s="16">
        <f t="shared" si="258"/>
        <v>0</v>
      </c>
      <c r="CH162" s="16">
        <f t="shared" si="258"/>
        <v>0</v>
      </c>
      <c r="CI162" s="16">
        <f t="shared" si="258"/>
        <v>0</v>
      </c>
      <c r="CJ162" s="16">
        <f t="shared" ref="CJ162" si="259">SUM(CJ163:CJ164)</f>
        <v>0</v>
      </c>
      <c r="CK162" s="16">
        <f t="shared" si="258"/>
        <v>0</v>
      </c>
      <c r="CL162" s="16">
        <f t="shared" si="258"/>
        <v>0</v>
      </c>
      <c r="CM162" s="16">
        <f>SUM(CM163:CM164)</f>
        <v>0</v>
      </c>
      <c r="CN162" s="16">
        <f t="shared" si="258"/>
        <v>0</v>
      </c>
      <c r="CO162" s="16">
        <f t="shared" si="258"/>
        <v>0</v>
      </c>
      <c r="CP162" s="16">
        <f t="shared" si="258"/>
        <v>0</v>
      </c>
      <c r="CQ162" s="16">
        <f t="shared" si="258"/>
        <v>0</v>
      </c>
      <c r="CR162" s="16">
        <f t="shared" si="258"/>
        <v>0</v>
      </c>
      <c r="CS162" s="16">
        <f t="shared" si="258"/>
        <v>0</v>
      </c>
      <c r="CT162" s="16">
        <f t="shared" si="258"/>
        <v>0</v>
      </c>
      <c r="CU162" s="16">
        <f t="shared" si="258"/>
        <v>0</v>
      </c>
      <c r="CV162" s="16">
        <f t="shared" si="258"/>
        <v>0</v>
      </c>
      <c r="CW162" s="17">
        <f t="shared" si="258"/>
        <v>0</v>
      </c>
      <c r="CX162" s="40"/>
      <c r="CY162" s="40"/>
    </row>
    <row r="163" spans="1:103" ht="15.75" x14ac:dyDescent="0.25">
      <c r="A163" s="13" t="s">
        <v>1</v>
      </c>
      <c r="B163" s="14" t="s">
        <v>1</v>
      </c>
      <c r="C163" s="14" t="s">
        <v>34</v>
      </c>
      <c r="D163" s="30" t="s">
        <v>188</v>
      </c>
      <c r="E163" s="15">
        <f>SUM(F163+BY163+CT163)</f>
        <v>27249649</v>
      </c>
      <c r="F163" s="16">
        <f>SUM(G163+BA163)</f>
        <v>26873254</v>
      </c>
      <c r="G163" s="16">
        <f>SUM(H163+I163+J163+Q163+T163+U163+V163+AE163)</f>
        <v>26873254</v>
      </c>
      <c r="H163" s="16">
        <v>20930566</v>
      </c>
      <c r="I163" s="16">
        <v>5025610</v>
      </c>
      <c r="J163" s="16">
        <f t="shared" si="238"/>
        <v>371147</v>
      </c>
      <c r="K163" s="16">
        <v>0</v>
      </c>
      <c r="L163" s="16">
        <v>0</v>
      </c>
      <c r="M163" s="16">
        <v>0</v>
      </c>
      <c r="N163" s="16">
        <v>0</v>
      </c>
      <c r="O163" s="16">
        <v>356078</v>
      </c>
      <c r="P163" s="16">
        <v>15069</v>
      </c>
      <c r="Q163" s="16">
        <f t="shared" si="239"/>
        <v>90599</v>
      </c>
      <c r="R163" s="16">
        <v>0</v>
      </c>
      <c r="S163" s="16">
        <v>90599</v>
      </c>
      <c r="T163" s="16">
        <v>0</v>
      </c>
      <c r="U163" s="16">
        <v>149857</v>
      </c>
      <c r="V163" s="16">
        <f>SUM(W163:AD163)</f>
        <v>72385</v>
      </c>
      <c r="W163" s="16">
        <v>0</v>
      </c>
      <c r="X163" s="16">
        <v>0</v>
      </c>
      <c r="Y163" s="16">
        <v>31981</v>
      </c>
      <c r="Z163" s="16">
        <v>0</v>
      </c>
      <c r="AA163" s="16">
        <v>0</v>
      </c>
      <c r="AB163" s="16">
        <v>40404</v>
      </c>
      <c r="AC163" s="16">
        <v>0</v>
      </c>
      <c r="AD163" s="16">
        <v>0</v>
      </c>
      <c r="AE163" s="16">
        <f>SUM(AF163:AZ163)</f>
        <v>233090</v>
      </c>
      <c r="AF163" s="16">
        <v>0</v>
      </c>
      <c r="AG163" s="16">
        <v>0</v>
      </c>
      <c r="AH163" s="16">
        <v>6630</v>
      </c>
      <c r="AI163" s="16">
        <v>0</v>
      </c>
      <c r="AJ163" s="16">
        <v>0</v>
      </c>
      <c r="AK163" s="16">
        <v>0</v>
      </c>
      <c r="AL163" s="16">
        <v>188198</v>
      </c>
      <c r="AM163" s="16">
        <v>0</v>
      </c>
      <c r="AN163" s="16">
        <v>0</v>
      </c>
      <c r="AO163" s="16">
        <v>0</v>
      </c>
      <c r="AP163" s="16">
        <v>0</v>
      </c>
      <c r="AQ163" s="16">
        <v>0</v>
      </c>
      <c r="AR163" s="16">
        <v>30733</v>
      </c>
      <c r="AS163" s="16">
        <v>0</v>
      </c>
      <c r="AT163" s="16">
        <v>0</v>
      </c>
      <c r="AU163" s="16">
        <v>0</v>
      </c>
      <c r="AV163" s="16">
        <v>0</v>
      </c>
      <c r="AW163" s="16">
        <v>0</v>
      </c>
      <c r="AX163" s="16">
        <v>0</v>
      </c>
      <c r="AY163" s="16">
        <v>0</v>
      </c>
      <c r="AZ163" s="16">
        <v>7529</v>
      </c>
      <c r="BA163" s="16">
        <f>SUM(BB163+BF163+BI163+BK163+BM163)</f>
        <v>0</v>
      </c>
      <c r="BB163" s="16">
        <f>SUM(BC163:BE163)</f>
        <v>0</v>
      </c>
      <c r="BC163" s="16">
        <v>0</v>
      </c>
      <c r="BD163" s="16">
        <v>0</v>
      </c>
      <c r="BE163" s="16">
        <v>0</v>
      </c>
      <c r="BF163" s="16">
        <f t="shared" si="240"/>
        <v>0</v>
      </c>
      <c r="BG163" s="16">
        <v>0</v>
      </c>
      <c r="BH163" s="16">
        <v>0</v>
      </c>
      <c r="BI163" s="16">
        <v>0</v>
      </c>
      <c r="BJ163" s="16">
        <v>0</v>
      </c>
      <c r="BK163" s="16">
        <f t="shared" si="241"/>
        <v>0</v>
      </c>
      <c r="BL163" s="16">
        <v>0</v>
      </c>
      <c r="BM163" s="16">
        <f t="shared" si="242"/>
        <v>0</v>
      </c>
      <c r="BN163" s="16">
        <v>0</v>
      </c>
      <c r="BO163" s="16">
        <v>0</v>
      </c>
      <c r="BP163" s="16">
        <v>0</v>
      </c>
      <c r="BQ163" s="16">
        <v>0</v>
      </c>
      <c r="BR163" s="16">
        <v>0</v>
      </c>
      <c r="BS163" s="16">
        <v>0</v>
      </c>
      <c r="BT163" s="16">
        <v>0</v>
      </c>
      <c r="BU163" s="16">
        <v>0</v>
      </c>
      <c r="BV163" s="16">
        <v>0</v>
      </c>
      <c r="BW163" s="16">
        <v>0</v>
      </c>
      <c r="BX163" s="16">
        <v>0</v>
      </c>
      <c r="BY163" s="16">
        <f>SUM(BZ163+CS163)</f>
        <v>376395</v>
      </c>
      <c r="BZ163" s="16">
        <f>SUM(CA163+CD163+CK163)</f>
        <v>376395</v>
      </c>
      <c r="CA163" s="16">
        <f t="shared" si="243"/>
        <v>376395</v>
      </c>
      <c r="CB163" s="16">
        <v>0</v>
      </c>
      <c r="CC163" s="16">
        <v>376395</v>
      </c>
      <c r="CD163" s="16">
        <f t="shared" si="244"/>
        <v>0</v>
      </c>
      <c r="CE163" s="16">
        <v>0</v>
      </c>
      <c r="CF163" s="16">
        <v>0</v>
      </c>
      <c r="CG163" s="16">
        <v>0</v>
      </c>
      <c r="CH163" s="16">
        <v>0</v>
      </c>
      <c r="CI163" s="16">
        <v>0</v>
      </c>
      <c r="CJ163" s="16">
        <v>0</v>
      </c>
      <c r="CK163" s="16">
        <f t="shared" si="245"/>
        <v>0</v>
      </c>
      <c r="CL163" s="16">
        <v>0</v>
      </c>
      <c r="CM163" s="16">
        <v>0</v>
      </c>
      <c r="CN163" s="16">
        <v>0</v>
      </c>
      <c r="CO163" s="16">
        <v>0</v>
      </c>
      <c r="CP163" s="16">
        <v>0</v>
      </c>
      <c r="CQ163" s="16">
        <v>0</v>
      </c>
      <c r="CR163" s="16">
        <v>0</v>
      </c>
      <c r="CS163" s="16">
        <v>0</v>
      </c>
      <c r="CT163" s="16">
        <f t="shared" si="246"/>
        <v>0</v>
      </c>
      <c r="CU163" s="16">
        <f t="shared" si="247"/>
        <v>0</v>
      </c>
      <c r="CV163" s="16">
        <v>0</v>
      </c>
      <c r="CW163" s="17">
        <v>0</v>
      </c>
      <c r="CX163" s="40"/>
      <c r="CY163" s="40"/>
    </row>
    <row r="164" spans="1:103" ht="15.75" x14ac:dyDescent="0.25">
      <c r="A164" s="13" t="s">
        <v>1</v>
      </c>
      <c r="B164" s="14" t="s">
        <v>1</v>
      </c>
      <c r="C164" s="14" t="s">
        <v>36</v>
      </c>
      <c r="D164" s="30" t="s">
        <v>189</v>
      </c>
      <c r="E164" s="15">
        <f>SUM(F164+BY164+CT164)</f>
        <v>8082499</v>
      </c>
      <c r="F164" s="16">
        <f>SUM(G164+BA164)</f>
        <v>8082499</v>
      </c>
      <c r="G164" s="16">
        <f>SUM(H164+I164+J164+Q164+T164+U164+V164+AE164)</f>
        <v>8082499</v>
      </c>
      <c r="H164" s="16">
        <v>0</v>
      </c>
      <c r="I164" s="16">
        <v>0</v>
      </c>
      <c r="J164" s="16">
        <f t="shared" si="238"/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f t="shared" si="239"/>
        <v>0</v>
      </c>
      <c r="R164" s="16">
        <v>0</v>
      </c>
      <c r="S164" s="16">
        <v>0</v>
      </c>
      <c r="T164" s="16">
        <v>0</v>
      </c>
      <c r="U164" s="16">
        <v>0</v>
      </c>
      <c r="V164" s="16">
        <f>SUM(W164:AD164)</f>
        <v>0</v>
      </c>
      <c r="W164" s="16">
        <v>0</v>
      </c>
      <c r="X164" s="16">
        <v>0</v>
      </c>
      <c r="Y164" s="16">
        <v>0</v>
      </c>
      <c r="Z164" s="16">
        <v>0</v>
      </c>
      <c r="AA164" s="16">
        <v>0</v>
      </c>
      <c r="AB164" s="16">
        <v>0</v>
      </c>
      <c r="AC164" s="16">
        <v>0</v>
      </c>
      <c r="AD164" s="16">
        <v>0</v>
      </c>
      <c r="AE164" s="16">
        <f>SUM(AF164:AZ164)</f>
        <v>8082499</v>
      </c>
      <c r="AF164" s="16">
        <v>0</v>
      </c>
      <c r="AG164" s="16">
        <v>0</v>
      </c>
      <c r="AH164" s="16">
        <v>0</v>
      </c>
      <c r="AI164" s="16">
        <v>0</v>
      </c>
      <c r="AJ164" s="16">
        <v>0</v>
      </c>
      <c r="AK164" s="16">
        <v>0</v>
      </c>
      <c r="AL164" s="16">
        <v>0</v>
      </c>
      <c r="AM164" s="16">
        <v>0</v>
      </c>
      <c r="AN164" s="16">
        <v>0</v>
      </c>
      <c r="AO164" s="16">
        <v>0</v>
      </c>
      <c r="AP164" s="16">
        <v>0</v>
      </c>
      <c r="AQ164" s="16">
        <v>0</v>
      </c>
      <c r="AR164" s="16">
        <v>0</v>
      </c>
      <c r="AS164" s="16">
        <v>0</v>
      </c>
      <c r="AT164" s="16">
        <v>0</v>
      </c>
      <c r="AU164" s="16">
        <v>0</v>
      </c>
      <c r="AV164" s="16">
        <v>0</v>
      </c>
      <c r="AW164" s="16">
        <v>0</v>
      </c>
      <c r="AX164" s="16">
        <v>0</v>
      </c>
      <c r="AY164" s="16">
        <v>0</v>
      </c>
      <c r="AZ164" s="16">
        <f>8000000+82499</f>
        <v>8082499</v>
      </c>
      <c r="BA164" s="16">
        <f>SUM(BB164+BF164+BI164+BK164+BM164)</f>
        <v>0</v>
      </c>
      <c r="BB164" s="16">
        <f>SUM(BC164:BE164)</f>
        <v>0</v>
      </c>
      <c r="BC164" s="16">
        <v>0</v>
      </c>
      <c r="BD164" s="16">
        <v>0</v>
      </c>
      <c r="BE164" s="16">
        <v>0</v>
      </c>
      <c r="BF164" s="16">
        <f t="shared" si="240"/>
        <v>0</v>
      </c>
      <c r="BG164" s="16">
        <v>0</v>
      </c>
      <c r="BH164" s="16">
        <v>0</v>
      </c>
      <c r="BI164" s="16">
        <v>0</v>
      </c>
      <c r="BJ164" s="16">
        <v>0</v>
      </c>
      <c r="BK164" s="16">
        <f t="shared" si="241"/>
        <v>0</v>
      </c>
      <c r="BL164" s="16">
        <v>0</v>
      </c>
      <c r="BM164" s="16">
        <f t="shared" si="242"/>
        <v>0</v>
      </c>
      <c r="BN164" s="16">
        <v>0</v>
      </c>
      <c r="BO164" s="16">
        <v>0</v>
      </c>
      <c r="BP164" s="16">
        <v>0</v>
      </c>
      <c r="BQ164" s="16">
        <v>0</v>
      </c>
      <c r="BR164" s="16">
        <v>0</v>
      </c>
      <c r="BS164" s="16">
        <v>0</v>
      </c>
      <c r="BT164" s="16">
        <v>0</v>
      </c>
      <c r="BU164" s="16">
        <v>0</v>
      </c>
      <c r="BV164" s="16">
        <v>0</v>
      </c>
      <c r="BW164" s="16">
        <v>0</v>
      </c>
      <c r="BX164" s="16">
        <v>0</v>
      </c>
      <c r="BY164" s="16">
        <f>SUM(BZ164+CS164)</f>
        <v>0</v>
      </c>
      <c r="BZ164" s="16">
        <f>SUM(CA164+CD164+CK164)</f>
        <v>0</v>
      </c>
      <c r="CA164" s="16">
        <f t="shared" si="243"/>
        <v>0</v>
      </c>
      <c r="CB164" s="16">
        <v>0</v>
      </c>
      <c r="CC164" s="16">
        <v>0</v>
      </c>
      <c r="CD164" s="16">
        <f t="shared" si="244"/>
        <v>0</v>
      </c>
      <c r="CE164" s="16">
        <v>0</v>
      </c>
      <c r="CF164" s="16">
        <v>0</v>
      </c>
      <c r="CG164" s="16">
        <v>0</v>
      </c>
      <c r="CH164" s="16">
        <v>0</v>
      </c>
      <c r="CI164" s="16">
        <v>0</v>
      </c>
      <c r="CJ164" s="16">
        <v>0</v>
      </c>
      <c r="CK164" s="16">
        <f t="shared" si="245"/>
        <v>0</v>
      </c>
      <c r="CL164" s="16">
        <v>0</v>
      </c>
      <c r="CM164" s="16">
        <v>0</v>
      </c>
      <c r="CN164" s="16">
        <v>0</v>
      </c>
      <c r="CO164" s="16">
        <v>0</v>
      </c>
      <c r="CP164" s="16">
        <v>0</v>
      </c>
      <c r="CQ164" s="16">
        <v>0</v>
      </c>
      <c r="CR164" s="16">
        <v>0</v>
      </c>
      <c r="CS164" s="16">
        <v>0</v>
      </c>
      <c r="CT164" s="16">
        <f t="shared" si="246"/>
        <v>0</v>
      </c>
      <c r="CU164" s="16">
        <f t="shared" si="247"/>
        <v>0</v>
      </c>
      <c r="CV164" s="16">
        <v>0</v>
      </c>
      <c r="CW164" s="17">
        <v>0</v>
      </c>
      <c r="CX164" s="40"/>
      <c r="CY164" s="40"/>
    </row>
    <row r="165" spans="1:103" ht="15.75" x14ac:dyDescent="0.25">
      <c r="A165" s="13" t="s">
        <v>186</v>
      </c>
      <c r="B165" s="14" t="s">
        <v>7</v>
      </c>
      <c r="C165" s="14" t="s">
        <v>1</v>
      </c>
      <c r="D165" s="30" t="s">
        <v>190</v>
      </c>
      <c r="E165" s="15">
        <f t="shared" ref="E165:AJ165" si="260">SUM(E166:E167)</f>
        <v>9048213</v>
      </c>
      <c r="F165" s="16">
        <f t="shared" si="260"/>
        <v>9007289</v>
      </c>
      <c r="G165" s="16">
        <f t="shared" si="260"/>
        <v>9007289</v>
      </c>
      <c r="H165" s="16">
        <f t="shared" si="260"/>
        <v>5751205</v>
      </c>
      <c r="I165" s="16">
        <f t="shared" si="260"/>
        <v>1358994</v>
      </c>
      <c r="J165" s="16">
        <f t="shared" si="260"/>
        <v>57680</v>
      </c>
      <c r="K165" s="16">
        <f t="shared" si="260"/>
        <v>0</v>
      </c>
      <c r="L165" s="16">
        <f t="shared" si="260"/>
        <v>0</v>
      </c>
      <c r="M165" s="16">
        <f t="shared" si="260"/>
        <v>0</v>
      </c>
      <c r="N165" s="16">
        <f t="shared" si="260"/>
        <v>0</v>
      </c>
      <c r="O165" s="16">
        <f t="shared" si="260"/>
        <v>50462</v>
      </c>
      <c r="P165" s="16">
        <f t="shared" si="260"/>
        <v>7218</v>
      </c>
      <c r="Q165" s="16">
        <f t="shared" si="260"/>
        <v>6292</v>
      </c>
      <c r="R165" s="16">
        <f t="shared" si="260"/>
        <v>6292</v>
      </c>
      <c r="S165" s="16">
        <f t="shared" si="260"/>
        <v>0</v>
      </c>
      <c r="T165" s="16">
        <f t="shared" si="260"/>
        <v>0</v>
      </c>
      <c r="U165" s="16">
        <f t="shared" si="260"/>
        <v>46781</v>
      </c>
      <c r="V165" s="16">
        <f t="shared" si="260"/>
        <v>0</v>
      </c>
      <c r="W165" s="16">
        <f t="shared" si="260"/>
        <v>0</v>
      </c>
      <c r="X165" s="16">
        <f t="shared" si="260"/>
        <v>0</v>
      </c>
      <c r="Y165" s="16">
        <f t="shared" si="260"/>
        <v>0</v>
      </c>
      <c r="Z165" s="16">
        <f t="shared" si="260"/>
        <v>0</v>
      </c>
      <c r="AA165" s="16">
        <f t="shared" si="260"/>
        <v>0</v>
      </c>
      <c r="AB165" s="16">
        <f t="shared" si="260"/>
        <v>0</v>
      </c>
      <c r="AC165" s="16">
        <f t="shared" si="260"/>
        <v>0</v>
      </c>
      <c r="AD165" s="16">
        <f t="shared" ref="AD165" si="261">SUM(AD166:AD167)</f>
        <v>0</v>
      </c>
      <c r="AE165" s="16">
        <f t="shared" si="260"/>
        <v>1786337</v>
      </c>
      <c r="AF165" s="16">
        <f t="shared" si="260"/>
        <v>0</v>
      </c>
      <c r="AG165" s="16">
        <f t="shared" si="260"/>
        <v>0</v>
      </c>
      <c r="AH165" s="16">
        <f t="shared" si="260"/>
        <v>0</v>
      </c>
      <c r="AI165" s="16">
        <f t="shared" si="260"/>
        <v>0</v>
      </c>
      <c r="AJ165" s="16">
        <f t="shared" si="260"/>
        <v>0</v>
      </c>
      <c r="AK165" s="16">
        <f t="shared" ref="AK165:BR165" si="262">SUM(AK166:AK167)</f>
        <v>0</v>
      </c>
      <c r="AL165" s="16">
        <f t="shared" si="262"/>
        <v>47337</v>
      </c>
      <c r="AM165" s="16">
        <f t="shared" si="262"/>
        <v>1739000</v>
      </c>
      <c r="AN165" s="16">
        <f t="shared" si="262"/>
        <v>0</v>
      </c>
      <c r="AO165" s="16">
        <f t="shared" si="262"/>
        <v>0</v>
      </c>
      <c r="AP165" s="16">
        <f>SUM(AP166:AP167)</f>
        <v>0</v>
      </c>
      <c r="AQ165" s="16">
        <f t="shared" si="262"/>
        <v>0</v>
      </c>
      <c r="AR165" s="16">
        <f t="shared" si="262"/>
        <v>0</v>
      </c>
      <c r="AS165" s="16">
        <f t="shared" si="262"/>
        <v>0</v>
      </c>
      <c r="AT165" s="16">
        <f t="shared" si="262"/>
        <v>0</v>
      </c>
      <c r="AU165" s="16">
        <f t="shared" si="262"/>
        <v>0</v>
      </c>
      <c r="AV165" s="16">
        <f t="shared" si="262"/>
        <v>0</v>
      </c>
      <c r="AW165" s="16">
        <f t="shared" si="262"/>
        <v>0</v>
      </c>
      <c r="AX165" s="16">
        <f t="shared" si="262"/>
        <v>0</v>
      </c>
      <c r="AY165" s="16">
        <f t="shared" si="262"/>
        <v>0</v>
      </c>
      <c r="AZ165" s="16">
        <f t="shared" si="262"/>
        <v>0</v>
      </c>
      <c r="BA165" s="16">
        <f t="shared" si="262"/>
        <v>0</v>
      </c>
      <c r="BB165" s="16">
        <f t="shared" si="262"/>
        <v>0</v>
      </c>
      <c r="BC165" s="16">
        <f t="shared" si="262"/>
        <v>0</v>
      </c>
      <c r="BD165" s="16">
        <f t="shared" si="262"/>
        <v>0</v>
      </c>
      <c r="BE165" s="16">
        <f t="shared" si="262"/>
        <v>0</v>
      </c>
      <c r="BF165" s="16">
        <f t="shared" si="262"/>
        <v>0</v>
      </c>
      <c r="BG165" s="16">
        <f t="shared" si="262"/>
        <v>0</v>
      </c>
      <c r="BH165" s="16">
        <f t="shared" si="262"/>
        <v>0</v>
      </c>
      <c r="BI165" s="16">
        <f t="shared" si="262"/>
        <v>0</v>
      </c>
      <c r="BJ165" s="16">
        <f t="shared" si="262"/>
        <v>0</v>
      </c>
      <c r="BK165" s="16">
        <f t="shared" si="262"/>
        <v>0</v>
      </c>
      <c r="BL165" s="16">
        <f t="shared" si="262"/>
        <v>0</v>
      </c>
      <c r="BM165" s="16">
        <f t="shared" si="262"/>
        <v>0</v>
      </c>
      <c r="BN165" s="16">
        <f t="shared" si="262"/>
        <v>0</v>
      </c>
      <c r="BO165" s="16">
        <f t="shared" si="262"/>
        <v>0</v>
      </c>
      <c r="BP165" s="16">
        <f t="shared" si="262"/>
        <v>0</v>
      </c>
      <c r="BQ165" s="16">
        <f t="shared" si="262"/>
        <v>0</v>
      </c>
      <c r="BR165" s="16">
        <f t="shared" si="262"/>
        <v>0</v>
      </c>
      <c r="BS165" s="16">
        <f t="shared" ref="BS165:CW165" si="263">SUM(BS166:BS167)</f>
        <v>0</v>
      </c>
      <c r="BT165" s="16">
        <f t="shared" si="263"/>
        <v>0</v>
      </c>
      <c r="BU165" s="16">
        <f t="shared" si="263"/>
        <v>0</v>
      </c>
      <c r="BV165" s="16">
        <f t="shared" si="263"/>
        <v>0</v>
      </c>
      <c r="BW165" s="16">
        <f t="shared" si="263"/>
        <v>0</v>
      </c>
      <c r="BX165" s="16">
        <f t="shared" si="263"/>
        <v>0</v>
      </c>
      <c r="BY165" s="16">
        <f t="shared" si="263"/>
        <v>40924</v>
      </c>
      <c r="BZ165" s="16">
        <f t="shared" si="263"/>
        <v>40924</v>
      </c>
      <c r="CA165" s="16">
        <f t="shared" si="263"/>
        <v>40924</v>
      </c>
      <c r="CB165" s="16">
        <f t="shared" si="263"/>
        <v>0</v>
      </c>
      <c r="CC165" s="16">
        <f t="shared" si="263"/>
        <v>40924</v>
      </c>
      <c r="CD165" s="16">
        <f t="shared" si="263"/>
        <v>0</v>
      </c>
      <c r="CE165" s="16">
        <f t="shared" si="263"/>
        <v>0</v>
      </c>
      <c r="CF165" s="16">
        <f t="shared" si="263"/>
        <v>0</v>
      </c>
      <c r="CG165" s="16">
        <f t="shared" si="263"/>
        <v>0</v>
      </c>
      <c r="CH165" s="16">
        <f t="shared" si="263"/>
        <v>0</v>
      </c>
      <c r="CI165" s="16">
        <f t="shared" si="263"/>
        <v>0</v>
      </c>
      <c r="CJ165" s="16">
        <f t="shared" ref="CJ165" si="264">SUM(CJ166:CJ167)</f>
        <v>0</v>
      </c>
      <c r="CK165" s="16">
        <f t="shared" si="263"/>
        <v>0</v>
      </c>
      <c r="CL165" s="16">
        <f t="shared" si="263"/>
        <v>0</v>
      </c>
      <c r="CM165" s="16">
        <f t="shared" si="263"/>
        <v>0</v>
      </c>
      <c r="CN165" s="16">
        <f t="shared" si="263"/>
        <v>0</v>
      </c>
      <c r="CO165" s="16">
        <f t="shared" si="263"/>
        <v>0</v>
      </c>
      <c r="CP165" s="16">
        <f t="shared" si="263"/>
        <v>0</v>
      </c>
      <c r="CQ165" s="16">
        <f t="shared" si="263"/>
        <v>0</v>
      </c>
      <c r="CR165" s="16">
        <f t="shared" si="263"/>
        <v>0</v>
      </c>
      <c r="CS165" s="16">
        <f t="shared" si="263"/>
        <v>0</v>
      </c>
      <c r="CT165" s="16">
        <f t="shared" si="263"/>
        <v>0</v>
      </c>
      <c r="CU165" s="16">
        <f t="shared" si="263"/>
        <v>0</v>
      </c>
      <c r="CV165" s="16">
        <f t="shared" si="263"/>
        <v>0</v>
      </c>
      <c r="CW165" s="17">
        <f t="shared" si="263"/>
        <v>0</v>
      </c>
      <c r="CX165" s="40"/>
      <c r="CY165" s="40"/>
    </row>
    <row r="166" spans="1:103" ht="15.75" x14ac:dyDescent="0.25">
      <c r="A166" s="13" t="s">
        <v>1</v>
      </c>
      <c r="B166" s="14" t="s">
        <v>1</v>
      </c>
      <c r="C166" s="14" t="s">
        <v>17</v>
      </c>
      <c r="D166" s="30" t="s">
        <v>191</v>
      </c>
      <c r="E166" s="15">
        <f>SUM(F166+BY166+CT166)</f>
        <v>234692</v>
      </c>
      <c r="F166" s="16">
        <f>SUM(G166+BA166)</f>
        <v>234692</v>
      </c>
      <c r="G166" s="16">
        <f>SUM(H166+I166+J166+Q166+T166+U166+V166+AE166)</f>
        <v>234692</v>
      </c>
      <c r="H166" s="16">
        <f>149367+40230</f>
        <v>189597</v>
      </c>
      <c r="I166" s="16">
        <f>35037+10058</f>
        <v>45095</v>
      </c>
      <c r="J166" s="16">
        <f t="shared" si="238"/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f t="shared" si="239"/>
        <v>0</v>
      </c>
      <c r="R166" s="16">
        <v>0</v>
      </c>
      <c r="S166" s="16">
        <v>0</v>
      </c>
      <c r="T166" s="16">
        <v>0</v>
      </c>
      <c r="U166" s="16">
        <v>0</v>
      </c>
      <c r="V166" s="16">
        <f>SUM(W166:AD166)</f>
        <v>0</v>
      </c>
      <c r="W166" s="16">
        <v>0</v>
      </c>
      <c r="X166" s="16">
        <v>0</v>
      </c>
      <c r="Y166" s="16">
        <v>0</v>
      </c>
      <c r="Z166" s="16">
        <v>0</v>
      </c>
      <c r="AA166" s="16">
        <v>0</v>
      </c>
      <c r="AB166" s="16">
        <v>0</v>
      </c>
      <c r="AC166" s="16">
        <v>0</v>
      </c>
      <c r="AD166" s="16">
        <v>0</v>
      </c>
      <c r="AE166" s="16">
        <f>SUM(AF166:AZ166)</f>
        <v>0</v>
      </c>
      <c r="AF166" s="16">
        <v>0</v>
      </c>
      <c r="AG166" s="16">
        <v>0</v>
      </c>
      <c r="AH166" s="16">
        <v>0</v>
      </c>
      <c r="AI166" s="16">
        <v>0</v>
      </c>
      <c r="AJ166" s="16">
        <v>0</v>
      </c>
      <c r="AK166" s="16">
        <v>0</v>
      </c>
      <c r="AL166" s="16">
        <v>0</v>
      </c>
      <c r="AM166" s="16">
        <v>0</v>
      </c>
      <c r="AN166" s="16">
        <v>0</v>
      </c>
      <c r="AO166" s="16">
        <v>0</v>
      </c>
      <c r="AP166" s="16">
        <v>0</v>
      </c>
      <c r="AQ166" s="16">
        <v>0</v>
      </c>
      <c r="AR166" s="16">
        <v>0</v>
      </c>
      <c r="AS166" s="16">
        <v>0</v>
      </c>
      <c r="AT166" s="16">
        <v>0</v>
      </c>
      <c r="AU166" s="16">
        <v>0</v>
      </c>
      <c r="AV166" s="16">
        <v>0</v>
      </c>
      <c r="AW166" s="16">
        <v>0</v>
      </c>
      <c r="AX166" s="16">
        <v>0</v>
      </c>
      <c r="AY166" s="16">
        <v>0</v>
      </c>
      <c r="AZ166" s="16">
        <v>0</v>
      </c>
      <c r="BA166" s="16">
        <f>SUM(BB166+BF166+BI166+BK166+BM166)</f>
        <v>0</v>
      </c>
      <c r="BB166" s="16">
        <f>SUM(BC166:BE166)</f>
        <v>0</v>
      </c>
      <c r="BC166" s="16">
        <v>0</v>
      </c>
      <c r="BD166" s="16">
        <v>0</v>
      </c>
      <c r="BE166" s="16">
        <v>0</v>
      </c>
      <c r="BF166" s="16">
        <f t="shared" si="240"/>
        <v>0</v>
      </c>
      <c r="BG166" s="16">
        <v>0</v>
      </c>
      <c r="BH166" s="16">
        <v>0</v>
      </c>
      <c r="BI166" s="16">
        <v>0</v>
      </c>
      <c r="BJ166" s="16">
        <v>0</v>
      </c>
      <c r="BK166" s="16">
        <f t="shared" si="241"/>
        <v>0</v>
      </c>
      <c r="BL166" s="16">
        <v>0</v>
      </c>
      <c r="BM166" s="16">
        <f t="shared" si="242"/>
        <v>0</v>
      </c>
      <c r="BN166" s="16">
        <v>0</v>
      </c>
      <c r="BO166" s="16">
        <v>0</v>
      </c>
      <c r="BP166" s="16">
        <v>0</v>
      </c>
      <c r="BQ166" s="16">
        <v>0</v>
      </c>
      <c r="BR166" s="16">
        <v>0</v>
      </c>
      <c r="BS166" s="16">
        <v>0</v>
      </c>
      <c r="BT166" s="16">
        <v>0</v>
      </c>
      <c r="BU166" s="16">
        <v>0</v>
      </c>
      <c r="BV166" s="16">
        <v>0</v>
      </c>
      <c r="BW166" s="16">
        <v>0</v>
      </c>
      <c r="BX166" s="16">
        <v>0</v>
      </c>
      <c r="BY166" s="16">
        <f>SUM(BZ166+CS166)</f>
        <v>0</v>
      </c>
      <c r="BZ166" s="16">
        <f>SUM(CA166+CD166+CK166)</f>
        <v>0</v>
      </c>
      <c r="CA166" s="16">
        <f t="shared" si="243"/>
        <v>0</v>
      </c>
      <c r="CB166" s="16">
        <v>0</v>
      </c>
      <c r="CC166" s="16">
        <v>0</v>
      </c>
      <c r="CD166" s="16">
        <f t="shared" si="244"/>
        <v>0</v>
      </c>
      <c r="CE166" s="16">
        <v>0</v>
      </c>
      <c r="CF166" s="16">
        <v>0</v>
      </c>
      <c r="CG166" s="16">
        <v>0</v>
      </c>
      <c r="CH166" s="16">
        <v>0</v>
      </c>
      <c r="CI166" s="16">
        <v>0</v>
      </c>
      <c r="CJ166" s="16">
        <v>0</v>
      </c>
      <c r="CK166" s="16">
        <f t="shared" si="245"/>
        <v>0</v>
      </c>
      <c r="CL166" s="16">
        <v>0</v>
      </c>
      <c r="CM166" s="16">
        <v>0</v>
      </c>
      <c r="CN166" s="16">
        <v>0</v>
      </c>
      <c r="CO166" s="16">
        <v>0</v>
      </c>
      <c r="CP166" s="16">
        <v>0</v>
      </c>
      <c r="CQ166" s="16">
        <v>0</v>
      </c>
      <c r="CR166" s="16">
        <v>0</v>
      </c>
      <c r="CS166" s="16">
        <v>0</v>
      </c>
      <c r="CT166" s="16">
        <f t="shared" si="246"/>
        <v>0</v>
      </c>
      <c r="CU166" s="16">
        <f t="shared" si="247"/>
        <v>0</v>
      </c>
      <c r="CV166" s="16">
        <v>0</v>
      </c>
      <c r="CW166" s="17">
        <v>0</v>
      </c>
      <c r="CX166" s="40"/>
      <c r="CY166" s="40"/>
    </row>
    <row r="167" spans="1:103" ht="15.75" x14ac:dyDescent="0.25">
      <c r="A167" s="13" t="s">
        <v>1</v>
      </c>
      <c r="B167" s="14" t="s">
        <v>1</v>
      </c>
      <c r="C167" s="14" t="s">
        <v>34</v>
      </c>
      <c r="D167" s="30" t="s">
        <v>192</v>
      </c>
      <c r="E167" s="15">
        <f>SUM(F167+BY167+CT167)</f>
        <v>8813521</v>
      </c>
      <c r="F167" s="16">
        <f>SUM(G167+BA167)</f>
        <v>8772597</v>
      </c>
      <c r="G167" s="16">
        <f>SUM(H167+I167+J167+Q167+T167+U167+V167+AE167)</f>
        <v>8772597</v>
      </c>
      <c r="H167" s="16">
        <v>5561608</v>
      </c>
      <c r="I167" s="16">
        <v>1313899</v>
      </c>
      <c r="J167" s="16">
        <f t="shared" si="238"/>
        <v>57680</v>
      </c>
      <c r="K167" s="16">
        <v>0</v>
      </c>
      <c r="L167" s="16">
        <v>0</v>
      </c>
      <c r="M167" s="16">
        <v>0</v>
      </c>
      <c r="N167" s="16">
        <v>0</v>
      </c>
      <c r="O167" s="16">
        <v>50462</v>
      </c>
      <c r="P167" s="16">
        <v>7218</v>
      </c>
      <c r="Q167" s="16">
        <f t="shared" si="239"/>
        <v>6292</v>
      </c>
      <c r="R167" s="16">
        <v>6292</v>
      </c>
      <c r="S167" s="16">
        <v>0</v>
      </c>
      <c r="T167" s="16">
        <v>0</v>
      </c>
      <c r="U167" s="16">
        <v>46781</v>
      </c>
      <c r="V167" s="16">
        <f>SUM(W167:AD167)</f>
        <v>0</v>
      </c>
      <c r="W167" s="16">
        <v>0</v>
      </c>
      <c r="X167" s="16">
        <v>0</v>
      </c>
      <c r="Y167" s="16">
        <v>0</v>
      </c>
      <c r="Z167" s="16">
        <v>0</v>
      </c>
      <c r="AA167" s="16">
        <v>0</v>
      </c>
      <c r="AB167" s="16">
        <v>0</v>
      </c>
      <c r="AC167" s="16">
        <v>0</v>
      </c>
      <c r="AD167" s="16">
        <v>0</v>
      </c>
      <c r="AE167" s="16">
        <f>SUM(AF167:AZ167)</f>
        <v>1786337</v>
      </c>
      <c r="AF167" s="16">
        <v>0</v>
      </c>
      <c r="AG167" s="16">
        <v>0</v>
      </c>
      <c r="AH167" s="16">
        <v>0</v>
      </c>
      <c r="AI167" s="16">
        <v>0</v>
      </c>
      <c r="AJ167" s="16">
        <v>0</v>
      </c>
      <c r="AK167" s="16">
        <v>0</v>
      </c>
      <c r="AL167" s="16">
        <v>47337</v>
      </c>
      <c r="AM167" s="16">
        <v>1739000</v>
      </c>
      <c r="AN167" s="16">
        <v>0</v>
      </c>
      <c r="AO167" s="16">
        <v>0</v>
      </c>
      <c r="AP167" s="16">
        <v>0</v>
      </c>
      <c r="AQ167" s="16">
        <v>0</v>
      </c>
      <c r="AR167" s="16">
        <v>0</v>
      </c>
      <c r="AS167" s="16">
        <v>0</v>
      </c>
      <c r="AT167" s="16">
        <v>0</v>
      </c>
      <c r="AU167" s="16">
        <v>0</v>
      </c>
      <c r="AV167" s="16">
        <v>0</v>
      </c>
      <c r="AW167" s="16">
        <v>0</v>
      </c>
      <c r="AX167" s="16">
        <v>0</v>
      </c>
      <c r="AY167" s="16">
        <v>0</v>
      </c>
      <c r="AZ167" s="16">
        <v>0</v>
      </c>
      <c r="BA167" s="16">
        <f>SUM(BB167+BF167+BI167+BK167+BM167)</f>
        <v>0</v>
      </c>
      <c r="BB167" s="16">
        <f>SUM(BC167:BE167)</f>
        <v>0</v>
      </c>
      <c r="BC167" s="16">
        <v>0</v>
      </c>
      <c r="BD167" s="16">
        <v>0</v>
      </c>
      <c r="BE167" s="16">
        <v>0</v>
      </c>
      <c r="BF167" s="16">
        <f t="shared" si="240"/>
        <v>0</v>
      </c>
      <c r="BG167" s="16">
        <v>0</v>
      </c>
      <c r="BH167" s="16">
        <v>0</v>
      </c>
      <c r="BI167" s="16">
        <v>0</v>
      </c>
      <c r="BJ167" s="16">
        <v>0</v>
      </c>
      <c r="BK167" s="16">
        <f t="shared" si="241"/>
        <v>0</v>
      </c>
      <c r="BL167" s="16">
        <v>0</v>
      </c>
      <c r="BM167" s="16">
        <f t="shared" si="242"/>
        <v>0</v>
      </c>
      <c r="BN167" s="16">
        <v>0</v>
      </c>
      <c r="BO167" s="16">
        <v>0</v>
      </c>
      <c r="BP167" s="16">
        <v>0</v>
      </c>
      <c r="BQ167" s="16">
        <v>0</v>
      </c>
      <c r="BR167" s="16">
        <v>0</v>
      </c>
      <c r="BS167" s="16">
        <v>0</v>
      </c>
      <c r="BT167" s="16">
        <v>0</v>
      </c>
      <c r="BU167" s="16">
        <v>0</v>
      </c>
      <c r="BV167" s="16">
        <v>0</v>
      </c>
      <c r="BW167" s="16">
        <v>0</v>
      </c>
      <c r="BX167" s="16">
        <v>0</v>
      </c>
      <c r="BY167" s="16">
        <f>SUM(BZ167+CS167)</f>
        <v>40924</v>
      </c>
      <c r="BZ167" s="16">
        <f>SUM(CA167+CD167+CK167)</f>
        <v>40924</v>
      </c>
      <c r="CA167" s="16">
        <f t="shared" si="243"/>
        <v>40924</v>
      </c>
      <c r="CB167" s="16">
        <v>0</v>
      </c>
      <c r="CC167" s="16">
        <v>40924</v>
      </c>
      <c r="CD167" s="16">
        <f t="shared" si="244"/>
        <v>0</v>
      </c>
      <c r="CE167" s="16">
        <v>0</v>
      </c>
      <c r="CF167" s="16">
        <v>0</v>
      </c>
      <c r="CG167" s="16">
        <v>0</v>
      </c>
      <c r="CH167" s="16">
        <v>0</v>
      </c>
      <c r="CI167" s="16">
        <v>0</v>
      </c>
      <c r="CJ167" s="16">
        <v>0</v>
      </c>
      <c r="CK167" s="16">
        <f t="shared" si="245"/>
        <v>0</v>
      </c>
      <c r="CL167" s="16">
        <v>0</v>
      </c>
      <c r="CM167" s="16">
        <v>0</v>
      </c>
      <c r="CN167" s="16">
        <v>0</v>
      </c>
      <c r="CO167" s="16">
        <v>0</v>
      </c>
      <c r="CP167" s="16">
        <v>0</v>
      </c>
      <c r="CQ167" s="16">
        <v>0</v>
      </c>
      <c r="CR167" s="16">
        <v>0</v>
      </c>
      <c r="CS167" s="16">
        <v>0</v>
      </c>
      <c r="CT167" s="16">
        <f t="shared" si="246"/>
        <v>0</v>
      </c>
      <c r="CU167" s="16">
        <f t="shared" si="247"/>
        <v>0</v>
      </c>
      <c r="CV167" s="16">
        <v>0</v>
      </c>
      <c r="CW167" s="17">
        <v>0</v>
      </c>
      <c r="CX167" s="40"/>
      <c r="CY167" s="40"/>
    </row>
    <row r="168" spans="1:103" ht="15.75" x14ac:dyDescent="0.25">
      <c r="A168" s="18" t="s">
        <v>193</v>
      </c>
      <c r="B168" s="19" t="s">
        <v>1</v>
      </c>
      <c r="C168" s="19" t="s">
        <v>1</v>
      </c>
      <c r="D168" s="31" t="s">
        <v>194</v>
      </c>
      <c r="E168" s="20">
        <f>SUM(E169+E171+E174+E177+E179)</f>
        <v>705508804</v>
      </c>
      <c r="F168" s="21">
        <f t="shared" ref="F168:BS168" si="265">SUM(F169+F171+F174+F177+F179)</f>
        <v>703286770</v>
      </c>
      <c r="G168" s="21">
        <f t="shared" si="265"/>
        <v>702978096</v>
      </c>
      <c r="H168" s="21">
        <f t="shared" si="265"/>
        <v>416588608</v>
      </c>
      <c r="I168" s="21">
        <f t="shared" si="265"/>
        <v>95404848</v>
      </c>
      <c r="J168" s="21">
        <f t="shared" si="265"/>
        <v>140278890</v>
      </c>
      <c r="K168" s="21">
        <f t="shared" si="265"/>
        <v>113522443</v>
      </c>
      <c r="L168" s="21">
        <f t="shared" si="265"/>
        <v>1576161</v>
      </c>
      <c r="M168" s="21">
        <f t="shared" si="265"/>
        <v>23040891</v>
      </c>
      <c r="N168" s="21">
        <f t="shared" si="265"/>
        <v>206301</v>
      </c>
      <c r="O168" s="21">
        <f t="shared" si="265"/>
        <v>1164340</v>
      </c>
      <c r="P168" s="21">
        <f t="shared" si="265"/>
        <v>768754</v>
      </c>
      <c r="Q168" s="21">
        <f t="shared" si="265"/>
        <v>5925</v>
      </c>
      <c r="R168" s="21">
        <f t="shared" si="265"/>
        <v>0</v>
      </c>
      <c r="S168" s="21">
        <f t="shared" si="265"/>
        <v>5925</v>
      </c>
      <c r="T168" s="21">
        <f t="shared" si="265"/>
        <v>0</v>
      </c>
      <c r="U168" s="21">
        <f t="shared" si="265"/>
        <v>2188296</v>
      </c>
      <c r="V168" s="21">
        <f t="shared" si="265"/>
        <v>15516839</v>
      </c>
      <c r="W168" s="21">
        <f t="shared" si="265"/>
        <v>5789612</v>
      </c>
      <c r="X168" s="21">
        <f t="shared" si="265"/>
        <v>4616634</v>
      </c>
      <c r="Y168" s="21">
        <f t="shared" si="265"/>
        <v>2521819</v>
      </c>
      <c r="Z168" s="21">
        <f t="shared" si="265"/>
        <v>1814235</v>
      </c>
      <c r="AA168" s="21">
        <f t="shared" si="265"/>
        <v>681163</v>
      </c>
      <c r="AB168" s="21">
        <f t="shared" si="265"/>
        <v>971</v>
      </c>
      <c r="AC168" s="21">
        <f t="shared" si="265"/>
        <v>0</v>
      </c>
      <c r="AD168" s="21">
        <f t="shared" ref="AD168" si="266">SUM(AD169+AD171+AD174+AD177+AD179)</f>
        <v>92405</v>
      </c>
      <c r="AE168" s="21">
        <f t="shared" si="265"/>
        <v>32994690</v>
      </c>
      <c r="AF168" s="21">
        <f t="shared" si="265"/>
        <v>0</v>
      </c>
      <c r="AG168" s="21">
        <f t="shared" si="265"/>
        <v>14970</v>
      </c>
      <c r="AH168" s="21">
        <f t="shared" si="265"/>
        <v>4209983</v>
      </c>
      <c r="AI168" s="21">
        <f t="shared" si="265"/>
        <v>0</v>
      </c>
      <c r="AJ168" s="21">
        <f t="shared" si="265"/>
        <v>216391</v>
      </c>
      <c r="AK168" s="21">
        <f t="shared" si="265"/>
        <v>0</v>
      </c>
      <c r="AL168" s="21">
        <f t="shared" si="265"/>
        <v>1034254</v>
      </c>
      <c r="AM168" s="21">
        <f t="shared" si="265"/>
        <v>337538</v>
      </c>
      <c r="AN168" s="21">
        <f t="shared" si="265"/>
        <v>0</v>
      </c>
      <c r="AO168" s="21">
        <f t="shared" si="265"/>
        <v>3751</v>
      </c>
      <c r="AP168" s="21">
        <f>SUM(AP169+AP171+AP174+AP177+AP179)</f>
        <v>0</v>
      </c>
      <c r="AQ168" s="21">
        <f t="shared" si="265"/>
        <v>0</v>
      </c>
      <c r="AR168" s="21">
        <f t="shared" si="265"/>
        <v>480254</v>
      </c>
      <c r="AS168" s="21">
        <f t="shared" si="265"/>
        <v>54400</v>
      </c>
      <c r="AT168" s="21">
        <f t="shared" si="265"/>
        <v>0</v>
      </c>
      <c r="AU168" s="21">
        <f t="shared" si="265"/>
        <v>4559503</v>
      </c>
      <c r="AV168" s="21">
        <f t="shared" si="265"/>
        <v>4387320</v>
      </c>
      <c r="AW168" s="21">
        <f t="shared" si="265"/>
        <v>0</v>
      </c>
      <c r="AX168" s="21">
        <f t="shared" si="265"/>
        <v>0</v>
      </c>
      <c r="AY168" s="21">
        <f t="shared" si="265"/>
        <v>0</v>
      </c>
      <c r="AZ168" s="21">
        <f t="shared" si="265"/>
        <v>17696326</v>
      </c>
      <c r="BA168" s="21">
        <f t="shared" si="265"/>
        <v>308674</v>
      </c>
      <c r="BB168" s="21">
        <f t="shared" si="265"/>
        <v>0</v>
      </c>
      <c r="BC168" s="21">
        <f t="shared" si="265"/>
        <v>0</v>
      </c>
      <c r="BD168" s="21">
        <f t="shared" si="265"/>
        <v>0</v>
      </c>
      <c r="BE168" s="21">
        <f t="shared" si="265"/>
        <v>0</v>
      </c>
      <c r="BF168" s="21">
        <f t="shared" si="265"/>
        <v>0</v>
      </c>
      <c r="BG168" s="21">
        <f t="shared" si="265"/>
        <v>0</v>
      </c>
      <c r="BH168" s="21">
        <f t="shared" si="265"/>
        <v>0</v>
      </c>
      <c r="BI168" s="21">
        <f t="shared" si="265"/>
        <v>0</v>
      </c>
      <c r="BJ168" s="21">
        <f t="shared" si="265"/>
        <v>0</v>
      </c>
      <c r="BK168" s="21">
        <f t="shared" si="265"/>
        <v>0</v>
      </c>
      <c r="BL168" s="21">
        <f t="shared" si="265"/>
        <v>0</v>
      </c>
      <c r="BM168" s="21">
        <f t="shared" si="265"/>
        <v>308674</v>
      </c>
      <c r="BN168" s="21">
        <f t="shared" si="265"/>
        <v>0</v>
      </c>
      <c r="BO168" s="21">
        <f t="shared" si="265"/>
        <v>0</v>
      </c>
      <c r="BP168" s="21">
        <f t="shared" si="265"/>
        <v>0</v>
      </c>
      <c r="BQ168" s="21">
        <f t="shared" si="265"/>
        <v>0</v>
      </c>
      <c r="BR168" s="21">
        <f t="shared" si="265"/>
        <v>0</v>
      </c>
      <c r="BS168" s="21">
        <f t="shared" si="265"/>
        <v>0</v>
      </c>
      <c r="BT168" s="21">
        <f t="shared" ref="BT168:CW168" si="267">SUM(BT169+BT171+BT174+BT177+BT179)</f>
        <v>0</v>
      </c>
      <c r="BU168" s="21">
        <f t="shared" si="267"/>
        <v>0</v>
      </c>
      <c r="BV168" s="21">
        <f t="shared" si="267"/>
        <v>0</v>
      </c>
      <c r="BW168" s="21">
        <f t="shared" si="267"/>
        <v>0</v>
      </c>
      <c r="BX168" s="21">
        <f t="shared" si="267"/>
        <v>308674</v>
      </c>
      <c r="BY168" s="21">
        <f t="shared" si="267"/>
        <v>2222034</v>
      </c>
      <c r="BZ168" s="21">
        <f t="shared" si="267"/>
        <v>2222034</v>
      </c>
      <c r="CA168" s="21">
        <f t="shared" si="267"/>
        <v>2222034</v>
      </c>
      <c r="CB168" s="21">
        <f t="shared" si="267"/>
        <v>0</v>
      </c>
      <c r="CC168" s="21">
        <f t="shared" si="267"/>
        <v>2222034</v>
      </c>
      <c r="CD168" s="21">
        <f t="shared" si="267"/>
        <v>0</v>
      </c>
      <c r="CE168" s="21">
        <f t="shared" si="267"/>
        <v>0</v>
      </c>
      <c r="CF168" s="21">
        <f>SUM(CF169+CF171+CF174+CF177+CF179)</f>
        <v>0</v>
      </c>
      <c r="CG168" s="21">
        <f t="shared" si="267"/>
        <v>0</v>
      </c>
      <c r="CH168" s="21">
        <f t="shared" si="267"/>
        <v>0</v>
      </c>
      <c r="CI168" s="21">
        <f t="shared" si="267"/>
        <v>0</v>
      </c>
      <c r="CJ168" s="21">
        <f t="shared" ref="CJ168" si="268">SUM(CJ169+CJ171+CJ174+CJ177+CJ179)</f>
        <v>0</v>
      </c>
      <c r="CK168" s="21">
        <f t="shared" si="267"/>
        <v>0</v>
      </c>
      <c r="CL168" s="21">
        <f t="shared" si="267"/>
        <v>0</v>
      </c>
      <c r="CM168" s="21">
        <f>SUM(CM169+CM171+CM174+CM177+CM179)</f>
        <v>0</v>
      </c>
      <c r="CN168" s="21">
        <f t="shared" si="267"/>
        <v>0</v>
      </c>
      <c r="CO168" s="21">
        <f t="shared" si="267"/>
        <v>0</v>
      </c>
      <c r="CP168" s="21">
        <f t="shared" si="267"/>
        <v>0</v>
      </c>
      <c r="CQ168" s="21">
        <f t="shared" si="267"/>
        <v>0</v>
      </c>
      <c r="CR168" s="21">
        <f t="shared" si="267"/>
        <v>0</v>
      </c>
      <c r="CS168" s="21">
        <f t="shared" si="267"/>
        <v>0</v>
      </c>
      <c r="CT168" s="21">
        <f t="shared" si="267"/>
        <v>0</v>
      </c>
      <c r="CU168" s="21">
        <f t="shared" si="267"/>
        <v>0</v>
      </c>
      <c r="CV168" s="21">
        <f t="shared" si="267"/>
        <v>0</v>
      </c>
      <c r="CW168" s="22">
        <f t="shared" si="267"/>
        <v>0</v>
      </c>
      <c r="CX168" s="40"/>
      <c r="CY168" s="40"/>
    </row>
    <row r="169" spans="1:103" ht="15.75" x14ac:dyDescent="0.25">
      <c r="A169" s="13" t="s">
        <v>195</v>
      </c>
      <c r="B169" s="14" t="s">
        <v>3</v>
      </c>
      <c r="C169" s="14" t="s">
        <v>1</v>
      </c>
      <c r="D169" s="30" t="s">
        <v>196</v>
      </c>
      <c r="E169" s="15">
        <f>SUM(E170)</f>
        <v>496634673</v>
      </c>
      <c r="F169" s="16">
        <f t="shared" ref="F169:BS169" si="269">SUM(F170)</f>
        <v>495385131</v>
      </c>
      <c r="G169" s="16">
        <f t="shared" si="269"/>
        <v>495281620</v>
      </c>
      <c r="H169" s="16">
        <f t="shared" si="269"/>
        <v>304161647</v>
      </c>
      <c r="I169" s="16">
        <f t="shared" si="269"/>
        <v>69073677</v>
      </c>
      <c r="J169" s="16">
        <f t="shared" si="269"/>
        <v>89127123</v>
      </c>
      <c r="K169" s="16">
        <f t="shared" si="269"/>
        <v>64183720</v>
      </c>
      <c r="L169" s="16">
        <f t="shared" si="269"/>
        <v>1228893</v>
      </c>
      <c r="M169" s="16">
        <f t="shared" si="269"/>
        <v>22493701</v>
      </c>
      <c r="N169" s="16">
        <f t="shared" si="269"/>
        <v>206301</v>
      </c>
      <c r="O169" s="16">
        <f t="shared" si="269"/>
        <v>426013</v>
      </c>
      <c r="P169" s="16">
        <f t="shared" si="269"/>
        <v>588495</v>
      </c>
      <c r="Q169" s="16">
        <f t="shared" si="269"/>
        <v>4632</v>
      </c>
      <c r="R169" s="16">
        <f t="shared" si="269"/>
        <v>0</v>
      </c>
      <c r="S169" s="16">
        <f t="shared" si="269"/>
        <v>4632</v>
      </c>
      <c r="T169" s="16">
        <f t="shared" si="269"/>
        <v>0</v>
      </c>
      <c r="U169" s="16">
        <f t="shared" si="269"/>
        <v>1446468</v>
      </c>
      <c r="V169" s="16">
        <f t="shared" si="269"/>
        <v>10748031</v>
      </c>
      <c r="W169" s="16">
        <f t="shared" si="269"/>
        <v>2407880</v>
      </c>
      <c r="X169" s="16">
        <f t="shared" si="269"/>
        <v>3821060</v>
      </c>
      <c r="Y169" s="16">
        <f t="shared" si="269"/>
        <v>2271418</v>
      </c>
      <c r="Z169" s="16">
        <f t="shared" si="269"/>
        <v>1646895</v>
      </c>
      <c r="AA169" s="16">
        <f t="shared" si="269"/>
        <v>544486</v>
      </c>
      <c r="AB169" s="16">
        <f t="shared" si="269"/>
        <v>0</v>
      </c>
      <c r="AC169" s="16">
        <f t="shared" si="269"/>
        <v>0</v>
      </c>
      <c r="AD169" s="16">
        <f t="shared" si="269"/>
        <v>56292</v>
      </c>
      <c r="AE169" s="16">
        <f t="shared" si="269"/>
        <v>20720042</v>
      </c>
      <c r="AF169" s="16">
        <f t="shared" si="269"/>
        <v>0</v>
      </c>
      <c r="AG169" s="16">
        <f t="shared" si="269"/>
        <v>13513</v>
      </c>
      <c r="AH169" s="16">
        <f t="shared" si="269"/>
        <v>3579491</v>
      </c>
      <c r="AI169" s="16">
        <f t="shared" si="269"/>
        <v>0</v>
      </c>
      <c r="AJ169" s="16">
        <f t="shared" si="269"/>
        <v>151155</v>
      </c>
      <c r="AK169" s="16">
        <f t="shared" si="269"/>
        <v>0</v>
      </c>
      <c r="AL169" s="16">
        <f t="shared" si="269"/>
        <v>739522</v>
      </c>
      <c r="AM169" s="16">
        <f t="shared" si="269"/>
        <v>270000</v>
      </c>
      <c r="AN169" s="16">
        <f t="shared" si="269"/>
        <v>0</v>
      </c>
      <c r="AO169" s="16">
        <f t="shared" si="269"/>
        <v>3535</v>
      </c>
      <c r="AP169" s="16">
        <f t="shared" si="269"/>
        <v>0</v>
      </c>
      <c r="AQ169" s="16">
        <f t="shared" si="269"/>
        <v>0</v>
      </c>
      <c r="AR169" s="16">
        <f t="shared" si="269"/>
        <v>426662</v>
      </c>
      <c r="AS169" s="16">
        <f t="shared" si="269"/>
        <v>0</v>
      </c>
      <c r="AT169" s="16">
        <f t="shared" si="269"/>
        <v>0</v>
      </c>
      <c r="AU169" s="16">
        <f t="shared" si="269"/>
        <v>3307338</v>
      </c>
      <c r="AV169" s="16">
        <f t="shared" si="269"/>
        <v>0</v>
      </c>
      <c r="AW169" s="16">
        <f t="shared" si="269"/>
        <v>0</v>
      </c>
      <c r="AX169" s="16">
        <f t="shared" si="269"/>
        <v>0</v>
      </c>
      <c r="AY169" s="16">
        <f t="shared" si="269"/>
        <v>0</v>
      </c>
      <c r="AZ169" s="16">
        <f t="shared" si="269"/>
        <v>12228826</v>
      </c>
      <c r="BA169" s="16">
        <f t="shared" si="269"/>
        <v>103511</v>
      </c>
      <c r="BB169" s="16">
        <f t="shared" si="269"/>
        <v>0</v>
      </c>
      <c r="BC169" s="16">
        <f t="shared" si="269"/>
        <v>0</v>
      </c>
      <c r="BD169" s="16">
        <f t="shared" si="269"/>
        <v>0</v>
      </c>
      <c r="BE169" s="16">
        <f t="shared" si="269"/>
        <v>0</v>
      </c>
      <c r="BF169" s="16">
        <f t="shared" si="269"/>
        <v>0</v>
      </c>
      <c r="BG169" s="16">
        <f t="shared" si="269"/>
        <v>0</v>
      </c>
      <c r="BH169" s="16">
        <f t="shared" si="269"/>
        <v>0</v>
      </c>
      <c r="BI169" s="16">
        <f t="shared" si="269"/>
        <v>0</v>
      </c>
      <c r="BJ169" s="16">
        <f t="shared" si="269"/>
        <v>0</v>
      </c>
      <c r="BK169" s="16">
        <f t="shared" si="269"/>
        <v>0</v>
      </c>
      <c r="BL169" s="16">
        <f t="shared" si="269"/>
        <v>0</v>
      </c>
      <c r="BM169" s="16">
        <f t="shared" si="269"/>
        <v>103511</v>
      </c>
      <c r="BN169" s="16">
        <f t="shared" si="269"/>
        <v>0</v>
      </c>
      <c r="BO169" s="16">
        <f t="shared" si="269"/>
        <v>0</v>
      </c>
      <c r="BP169" s="16">
        <f t="shared" si="269"/>
        <v>0</v>
      </c>
      <c r="BQ169" s="16">
        <f t="shared" si="269"/>
        <v>0</v>
      </c>
      <c r="BR169" s="16">
        <f t="shared" si="269"/>
        <v>0</v>
      </c>
      <c r="BS169" s="16">
        <f t="shared" si="269"/>
        <v>0</v>
      </c>
      <c r="BT169" s="16">
        <f t="shared" ref="BT169:CW169" si="270">SUM(BT170)</f>
        <v>0</v>
      </c>
      <c r="BU169" s="16">
        <f t="shared" si="270"/>
        <v>0</v>
      </c>
      <c r="BV169" s="16">
        <f t="shared" si="270"/>
        <v>0</v>
      </c>
      <c r="BW169" s="16">
        <f t="shared" si="270"/>
        <v>0</v>
      </c>
      <c r="BX169" s="16">
        <f t="shared" si="270"/>
        <v>103511</v>
      </c>
      <c r="BY169" s="16">
        <f t="shared" si="270"/>
        <v>1249542</v>
      </c>
      <c r="BZ169" s="16">
        <f t="shared" si="270"/>
        <v>1249542</v>
      </c>
      <c r="CA169" s="16">
        <f t="shared" si="270"/>
        <v>1249542</v>
      </c>
      <c r="CB169" s="16">
        <f t="shared" si="270"/>
        <v>0</v>
      </c>
      <c r="CC169" s="16">
        <f t="shared" si="270"/>
        <v>1249542</v>
      </c>
      <c r="CD169" s="16">
        <f t="shared" si="270"/>
        <v>0</v>
      </c>
      <c r="CE169" s="16">
        <f t="shared" si="270"/>
        <v>0</v>
      </c>
      <c r="CF169" s="16">
        <f t="shared" si="270"/>
        <v>0</v>
      </c>
      <c r="CG169" s="16">
        <f t="shared" si="270"/>
        <v>0</v>
      </c>
      <c r="CH169" s="16">
        <f t="shared" si="270"/>
        <v>0</v>
      </c>
      <c r="CI169" s="16">
        <f t="shared" si="270"/>
        <v>0</v>
      </c>
      <c r="CJ169" s="16">
        <f t="shared" si="270"/>
        <v>0</v>
      </c>
      <c r="CK169" s="16">
        <f t="shared" si="270"/>
        <v>0</v>
      </c>
      <c r="CL169" s="16">
        <f t="shared" si="270"/>
        <v>0</v>
      </c>
      <c r="CM169" s="16">
        <f t="shared" si="270"/>
        <v>0</v>
      </c>
      <c r="CN169" s="16">
        <f t="shared" si="270"/>
        <v>0</v>
      </c>
      <c r="CO169" s="16">
        <f t="shared" si="270"/>
        <v>0</v>
      </c>
      <c r="CP169" s="16">
        <f t="shared" si="270"/>
        <v>0</v>
      </c>
      <c r="CQ169" s="16">
        <f t="shared" si="270"/>
        <v>0</v>
      </c>
      <c r="CR169" s="16">
        <f t="shared" si="270"/>
        <v>0</v>
      </c>
      <c r="CS169" s="16">
        <f t="shared" si="270"/>
        <v>0</v>
      </c>
      <c r="CT169" s="16">
        <f t="shared" si="270"/>
        <v>0</v>
      </c>
      <c r="CU169" s="16">
        <f t="shared" si="270"/>
        <v>0</v>
      </c>
      <c r="CV169" s="16">
        <f t="shared" si="270"/>
        <v>0</v>
      </c>
      <c r="CW169" s="17">
        <f t="shared" si="270"/>
        <v>0</v>
      </c>
      <c r="CX169" s="40"/>
      <c r="CY169" s="40"/>
    </row>
    <row r="170" spans="1:103" ht="15.75" x14ac:dyDescent="0.25">
      <c r="A170" s="13" t="s">
        <v>1</v>
      </c>
      <c r="B170" s="14" t="s">
        <v>1</v>
      </c>
      <c r="C170" s="14" t="s">
        <v>21</v>
      </c>
      <c r="D170" s="30" t="s">
        <v>196</v>
      </c>
      <c r="E170" s="15">
        <f>SUM(F170+BY170+CT170)</f>
        <v>496634673</v>
      </c>
      <c r="F170" s="16">
        <f>SUM(G170+BA170)</f>
        <v>495385131</v>
      </c>
      <c r="G170" s="16">
        <f>SUM(H170+I170+J170+Q170+T170+U170+V170+AE170)</f>
        <v>495281620</v>
      </c>
      <c r="H170" s="16">
        <f>273424676+30736971</f>
        <v>304161647</v>
      </c>
      <c r="I170" s="16">
        <f>63371979+5701698</f>
        <v>69073677</v>
      </c>
      <c r="J170" s="16">
        <f t="shared" si="238"/>
        <v>89127123</v>
      </c>
      <c r="K170" s="16">
        <v>64183720</v>
      </c>
      <c r="L170" s="16">
        <v>1228893</v>
      </c>
      <c r="M170" s="16">
        <f>16854983+5638718</f>
        <v>22493701</v>
      </c>
      <c r="N170" s="16">
        <v>206301</v>
      </c>
      <c r="O170" s="16">
        <v>426013</v>
      </c>
      <c r="P170" s="16">
        <v>588495</v>
      </c>
      <c r="Q170" s="16">
        <f t="shared" si="239"/>
        <v>4632</v>
      </c>
      <c r="R170" s="16">
        <v>0</v>
      </c>
      <c r="S170" s="16">
        <v>4632</v>
      </c>
      <c r="T170" s="16">
        <v>0</v>
      </c>
      <c r="U170" s="16">
        <v>1446468</v>
      </c>
      <c r="V170" s="16">
        <f>SUM(W170:AD170)</f>
        <v>10748031</v>
      </c>
      <c r="W170" s="16">
        <v>2407880</v>
      </c>
      <c r="X170" s="16">
        <v>3821060</v>
      </c>
      <c r="Y170" s="16">
        <v>2271418</v>
      </c>
      <c r="Z170" s="16">
        <v>1646895</v>
      </c>
      <c r="AA170" s="16">
        <v>544486</v>
      </c>
      <c r="AB170" s="16">
        <v>0</v>
      </c>
      <c r="AC170" s="16">
        <v>0</v>
      </c>
      <c r="AD170" s="16">
        <v>56292</v>
      </c>
      <c r="AE170" s="16">
        <f>SUM(AF170:AZ170)</f>
        <v>20720042</v>
      </c>
      <c r="AF170" s="16">
        <v>0</v>
      </c>
      <c r="AG170" s="16">
        <v>13513</v>
      </c>
      <c r="AH170" s="16">
        <v>3579491</v>
      </c>
      <c r="AI170" s="16">
        <v>0</v>
      </c>
      <c r="AJ170" s="16">
        <v>151155</v>
      </c>
      <c r="AK170" s="16">
        <v>0</v>
      </c>
      <c r="AL170" s="16">
        <v>739522</v>
      </c>
      <c r="AM170" s="16">
        <v>270000</v>
      </c>
      <c r="AN170" s="16">
        <v>0</v>
      </c>
      <c r="AO170" s="16">
        <v>3535</v>
      </c>
      <c r="AP170" s="16"/>
      <c r="AQ170" s="16">
        <v>0</v>
      </c>
      <c r="AR170" s="16">
        <v>426662</v>
      </c>
      <c r="AS170" s="16">
        <v>0</v>
      </c>
      <c r="AT170" s="16">
        <v>0</v>
      </c>
      <c r="AU170" s="16">
        <v>3307338</v>
      </c>
      <c r="AV170" s="16">
        <v>0</v>
      </c>
      <c r="AW170" s="16">
        <v>0</v>
      </c>
      <c r="AX170" s="16">
        <v>0</v>
      </c>
      <c r="AY170" s="16"/>
      <c r="AZ170" s="16">
        <v>12228826</v>
      </c>
      <c r="BA170" s="16">
        <f>SUM(BB170+BF170+BI170+BK170+BM170)</f>
        <v>103511</v>
      </c>
      <c r="BB170" s="16">
        <f>SUM(BC170:BE170)</f>
        <v>0</v>
      </c>
      <c r="BC170" s="16">
        <v>0</v>
      </c>
      <c r="BD170" s="16">
        <v>0</v>
      </c>
      <c r="BE170" s="16">
        <v>0</v>
      </c>
      <c r="BF170" s="16">
        <f t="shared" si="240"/>
        <v>0</v>
      </c>
      <c r="BG170" s="16">
        <v>0</v>
      </c>
      <c r="BH170" s="16">
        <v>0</v>
      </c>
      <c r="BI170" s="16">
        <v>0</v>
      </c>
      <c r="BJ170" s="16">
        <v>0</v>
      </c>
      <c r="BK170" s="16">
        <f t="shared" si="241"/>
        <v>0</v>
      </c>
      <c r="BL170" s="16">
        <v>0</v>
      </c>
      <c r="BM170" s="16">
        <f t="shared" si="242"/>
        <v>103511</v>
      </c>
      <c r="BN170" s="16">
        <v>0</v>
      </c>
      <c r="BO170" s="16">
        <v>0</v>
      </c>
      <c r="BP170" s="16">
        <v>0</v>
      </c>
      <c r="BQ170" s="16">
        <v>0</v>
      </c>
      <c r="BR170" s="16">
        <v>0</v>
      </c>
      <c r="BS170" s="16">
        <v>0</v>
      </c>
      <c r="BT170" s="16">
        <v>0</v>
      </c>
      <c r="BU170" s="16">
        <v>0</v>
      </c>
      <c r="BV170" s="16">
        <v>0</v>
      </c>
      <c r="BW170" s="16">
        <v>0</v>
      </c>
      <c r="BX170" s="16">
        <v>103511</v>
      </c>
      <c r="BY170" s="16">
        <f>SUM(BZ170+CS170)</f>
        <v>1249542</v>
      </c>
      <c r="BZ170" s="16">
        <f>SUM(CA170+CD170+CK170)</f>
        <v>1249542</v>
      </c>
      <c r="CA170" s="16">
        <f t="shared" si="243"/>
        <v>1249542</v>
      </c>
      <c r="CB170" s="16">
        <v>0</v>
      </c>
      <c r="CC170" s="16">
        <v>1249542</v>
      </c>
      <c r="CD170" s="16">
        <f t="shared" si="244"/>
        <v>0</v>
      </c>
      <c r="CE170" s="16">
        <v>0</v>
      </c>
      <c r="CF170" s="16">
        <v>0</v>
      </c>
      <c r="CG170" s="16">
        <v>0</v>
      </c>
      <c r="CH170" s="16">
        <v>0</v>
      </c>
      <c r="CI170" s="16">
        <v>0</v>
      </c>
      <c r="CJ170" s="16">
        <v>0</v>
      </c>
      <c r="CK170" s="16">
        <f t="shared" si="245"/>
        <v>0</v>
      </c>
      <c r="CL170" s="16">
        <v>0</v>
      </c>
      <c r="CM170" s="16">
        <v>0</v>
      </c>
      <c r="CN170" s="16">
        <v>0</v>
      </c>
      <c r="CO170" s="16">
        <v>0</v>
      </c>
      <c r="CP170" s="16">
        <v>0</v>
      </c>
      <c r="CQ170" s="16"/>
      <c r="CR170" s="16"/>
      <c r="CS170" s="16">
        <v>0</v>
      </c>
      <c r="CT170" s="16">
        <f t="shared" si="246"/>
        <v>0</v>
      </c>
      <c r="CU170" s="16">
        <f t="shared" si="247"/>
        <v>0</v>
      </c>
      <c r="CV170" s="16">
        <v>0</v>
      </c>
      <c r="CW170" s="17">
        <v>0</v>
      </c>
      <c r="CX170" s="40"/>
      <c r="CY170" s="40"/>
    </row>
    <row r="171" spans="1:103" ht="31.5" x14ac:dyDescent="0.25">
      <c r="A171" s="13" t="s">
        <v>195</v>
      </c>
      <c r="B171" s="14" t="s">
        <v>7</v>
      </c>
      <c r="C171" s="14" t="s">
        <v>1</v>
      </c>
      <c r="D171" s="30" t="s">
        <v>197</v>
      </c>
      <c r="E171" s="15">
        <f>SUM(E172:E173)</f>
        <v>133947825</v>
      </c>
      <c r="F171" s="16">
        <f t="shared" ref="F171:BS171" si="271">SUM(F172:F173)</f>
        <v>133063857</v>
      </c>
      <c r="G171" s="16">
        <f t="shared" si="271"/>
        <v>133060357</v>
      </c>
      <c r="H171" s="16">
        <f t="shared" si="271"/>
        <v>91072220</v>
      </c>
      <c r="I171" s="16">
        <f t="shared" si="271"/>
        <v>21393582</v>
      </c>
      <c r="J171" s="16">
        <f t="shared" si="271"/>
        <v>8195513</v>
      </c>
      <c r="K171" s="16">
        <f t="shared" si="271"/>
        <v>7629151</v>
      </c>
      <c r="L171" s="16">
        <f t="shared" si="271"/>
        <v>132942</v>
      </c>
      <c r="M171" s="16">
        <f t="shared" si="271"/>
        <v>0</v>
      </c>
      <c r="N171" s="16">
        <f t="shared" si="271"/>
        <v>0</v>
      </c>
      <c r="O171" s="16">
        <f t="shared" si="271"/>
        <v>340287</v>
      </c>
      <c r="P171" s="16">
        <f t="shared" si="271"/>
        <v>93133</v>
      </c>
      <c r="Q171" s="16">
        <f t="shared" si="271"/>
        <v>271</v>
      </c>
      <c r="R171" s="16">
        <f t="shared" si="271"/>
        <v>0</v>
      </c>
      <c r="S171" s="16">
        <f t="shared" si="271"/>
        <v>271</v>
      </c>
      <c r="T171" s="16">
        <f t="shared" si="271"/>
        <v>0</v>
      </c>
      <c r="U171" s="16">
        <f t="shared" si="271"/>
        <v>512591</v>
      </c>
      <c r="V171" s="16">
        <f t="shared" si="271"/>
        <v>4416032</v>
      </c>
      <c r="W171" s="16">
        <f t="shared" si="271"/>
        <v>3362112</v>
      </c>
      <c r="X171" s="16">
        <f t="shared" si="271"/>
        <v>594029</v>
      </c>
      <c r="Y171" s="16">
        <f t="shared" si="271"/>
        <v>200455</v>
      </c>
      <c r="Z171" s="16">
        <f t="shared" si="271"/>
        <v>128128</v>
      </c>
      <c r="AA171" s="16">
        <f t="shared" si="271"/>
        <v>108889</v>
      </c>
      <c r="AB171" s="16">
        <f t="shared" si="271"/>
        <v>971</v>
      </c>
      <c r="AC171" s="16">
        <f t="shared" si="271"/>
        <v>0</v>
      </c>
      <c r="AD171" s="16">
        <f t="shared" ref="AD171" si="272">SUM(AD172:AD173)</f>
        <v>21448</v>
      </c>
      <c r="AE171" s="16">
        <f t="shared" si="271"/>
        <v>7470148</v>
      </c>
      <c r="AF171" s="16">
        <f t="shared" si="271"/>
        <v>0</v>
      </c>
      <c r="AG171" s="16">
        <f t="shared" si="271"/>
        <v>832</v>
      </c>
      <c r="AH171" s="16">
        <f t="shared" si="271"/>
        <v>506287</v>
      </c>
      <c r="AI171" s="16">
        <f t="shared" si="271"/>
        <v>0</v>
      </c>
      <c r="AJ171" s="16">
        <f t="shared" si="271"/>
        <v>44551</v>
      </c>
      <c r="AK171" s="16">
        <f t="shared" si="271"/>
        <v>0</v>
      </c>
      <c r="AL171" s="16">
        <f t="shared" si="271"/>
        <v>212776</v>
      </c>
      <c r="AM171" s="16">
        <f t="shared" si="271"/>
        <v>28538</v>
      </c>
      <c r="AN171" s="16">
        <f t="shared" si="271"/>
        <v>0</v>
      </c>
      <c r="AO171" s="16">
        <f t="shared" si="271"/>
        <v>216</v>
      </c>
      <c r="AP171" s="16">
        <f>SUM(AP172:AP173)</f>
        <v>0</v>
      </c>
      <c r="AQ171" s="16">
        <f t="shared" si="271"/>
        <v>0</v>
      </c>
      <c r="AR171" s="16">
        <f t="shared" si="271"/>
        <v>53592</v>
      </c>
      <c r="AS171" s="16">
        <f t="shared" si="271"/>
        <v>40000</v>
      </c>
      <c r="AT171" s="16">
        <f t="shared" si="271"/>
        <v>0</v>
      </c>
      <c r="AU171" s="16">
        <f t="shared" si="271"/>
        <v>1148381</v>
      </c>
      <c r="AV171" s="16">
        <f t="shared" si="271"/>
        <v>0</v>
      </c>
      <c r="AW171" s="16">
        <f t="shared" si="271"/>
        <v>0</v>
      </c>
      <c r="AX171" s="16">
        <f t="shared" si="271"/>
        <v>0</v>
      </c>
      <c r="AY171" s="16">
        <f t="shared" si="271"/>
        <v>0</v>
      </c>
      <c r="AZ171" s="16">
        <f t="shared" si="271"/>
        <v>5434975</v>
      </c>
      <c r="BA171" s="16">
        <f t="shared" si="271"/>
        <v>3500</v>
      </c>
      <c r="BB171" s="16">
        <f t="shared" si="271"/>
        <v>0</v>
      </c>
      <c r="BC171" s="16">
        <f t="shared" si="271"/>
        <v>0</v>
      </c>
      <c r="BD171" s="16">
        <f t="shared" si="271"/>
        <v>0</v>
      </c>
      <c r="BE171" s="16">
        <f t="shared" si="271"/>
        <v>0</v>
      </c>
      <c r="BF171" s="16">
        <f t="shared" si="271"/>
        <v>0</v>
      </c>
      <c r="BG171" s="16">
        <f t="shared" si="271"/>
        <v>0</v>
      </c>
      <c r="BH171" s="16">
        <f t="shared" si="271"/>
        <v>0</v>
      </c>
      <c r="BI171" s="16">
        <f t="shared" si="271"/>
        <v>0</v>
      </c>
      <c r="BJ171" s="16">
        <f t="shared" si="271"/>
        <v>0</v>
      </c>
      <c r="BK171" s="16">
        <f t="shared" si="271"/>
        <v>0</v>
      </c>
      <c r="BL171" s="16">
        <f t="shared" si="271"/>
        <v>0</v>
      </c>
      <c r="BM171" s="16">
        <f t="shared" si="271"/>
        <v>3500</v>
      </c>
      <c r="BN171" s="16">
        <f t="shared" si="271"/>
        <v>0</v>
      </c>
      <c r="BO171" s="16">
        <f t="shared" si="271"/>
        <v>0</v>
      </c>
      <c r="BP171" s="16">
        <f t="shared" si="271"/>
        <v>0</v>
      </c>
      <c r="BQ171" s="16">
        <f t="shared" si="271"/>
        <v>0</v>
      </c>
      <c r="BR171" s="16">
        <f t="shared" si="271"/>
        <v>0</v>
      </c>
      <c r="BS171" s="16">
        <f t="shared" si="271"/>
        <v>0</v>
      </c>
      <c r="BT171" s="16">
        <f t="shared" ref="BT171:CW171" si="273">SUM(BT172:BT173)</f>
        <v>0</v>
      </c>
      <c r="BU171" s="16">
        <f t="shared" si="273"/>
        <v>0</v>
      </c>
      <c r="BV171" s="16">
        <f t="shared" si="273"/>
        <v>0</v>
      </c>
      <c r="BW171" s="16">
        <f t="shared" si="273"/>
        <v>0</v>
      </c>
      <c r="BX171" s="16">
        <f t="shared" si="273"/>
        <v>3500</v>
      </c>
      <c r="BY171" s="16">
        <f t="shared" si="273"/>
        <v>883968</v>
      </c>
      <c r="BZ171" s="16">
        <f t="shared" si="273"/>
        <v>883968</v>
      </c>
      <c r="CA171" s="16">
        <f t="shared" si="273"/>
        <v>883968</v>
      </c>
      <c r="CB171" s="16">
        <f t="shared" si="273"/>
        <v>0</v>
      </c>
      <c r="CC171" s="16">
        <f t="shared" si="273"/>
        <v>883968</v>
      </c>
      <c r="CD171" s="16">
        <f t="shared" si="273"/>
        <v>0</v>
      </c>
      <c r="CE171" s="16">
        <f t="shared" si="273"/>
        <v>0</v>
      </c>
      <c r="CF171" s="16">
        <f>SUM(CF172:CF173)</f>
        <v>0</v>
      </c>
      <c r="CG171" s="16">
        <f t="shared" si="273"/>
        <v>0</v>
      </c>
      <c r="CH171" s="16">
        <f t="shared" si="273"/>
        <v>0</v>
      </c>
      <c r="CI171" s="16">
        <f t="shared" si="273"/>
        <v>0</v>
      </c>
      <c r="CJ171" s="16">
        <f t="shared" ref="CJ171" si="274">SUM(CJ172:CJ173)</f>
        <v>0</v>
      </c>
      <c r="CK171" s="16">
        <f t="shared" si="273"/>
        <v>0</v>
      </c>
      <c r="CL171" s="16">
        <f t="shared" si="273"/>
        <v>0</v>
      </c>
      <c r="CM171" s="16">
        <f>SUM(CM172:CM173)</f>
        <v>0</v>
      </c>
      <c r="CN171" s="16">
        <f t="shared" si="273"/>
        <v>0</v>
      </c>
      <c r="CO171" s="16">
        <f t="shared" si="273"/>
        <v>0</v>
      </c>
      <c r="CP171" s="16">
        <f t="shared" si="273"/>
        <v>0</v>
      </c>
      <c r="CQ171" s="16">
        <f t="shared" si="273"/>
        <v>0</v>
      </c>
      <c r="CR171" s="16">
        <f t="shared" si="273"/>
        <v>0</v>
      </c>
      <c r="CS171" s="16">
        <f t="shared" si="273"/>
        <v>0</v>
      </c>
      <c r="CT171" s="16">
        <f t="shared" si="273"/>
        <v>0</v>
      </c>
      <c r="CU171" s="16">
        <f t="shared" si="273"/>
        <v>0</v>
      </c>
      <c r="CV171" s="16">
        <f t="shared" si="273"/>
        <v>0</v>
      </c>
      <c r="CW171" s="17">
        <f t="shared" si="273"/>
        <v>0</v>
      </c>
      <c r="CX171" s="40"/>
      <c r="CY171" s="40"/>
    </row>
    <row r="172" spans="1:103" ht="15.75" x14ac:dyDescent="0.25">
      <c r="A172" s="13" t="s">
        <v>1</v>
      </c>
      <c r="B172" s="14" t="s">
        <v>1</v>
      </c>
      <c r="C172" s="14" t="s">
        <v>21</v>
      </c>
      <c r="D172" s="30" t="s">
        <v>198</v>
      </c>
      <c r="E172" s="15">
        <f>SUM(F172+BY172+CT172)</f>
        <v>104243278</v>
      </c>
      <c r="F172" s="16">
        <f>SUM(G172+BA172)</f>
        <v>104198004</v>
      </c>
      <c r="G172" s="16">
        <f>SUM(H172+I172+J172+Q172+T172+U172+V172+AE172)</f>
        <v>104198004</v>
      </c>
      <c r="H172" s="16">
        <f>66915844+2068835</f>
        <v>68984679</v>
      </c>
      <c r="I172" s="16">
        <f>16351069+175500</f>
        <v>16526569</v>
      </c>
      <c r="J172" s="16">
        <f t="shared" si="238"/>
        <v>6685152</v>
      </c>
      <c r="K172" s="16">
        <f>4417724+1740564</f>
        <v>6158288</v>
      </c>
      <c r="L172" s="16">
        <v>117377</v>
      </c>
      <c r="M172" s="16">
        <v>0</v>
      </c>
      <c r="N172" s="16">
        <v>0</v>
      </c>
      <c r="O172" s="16">
        <v>340287</v>
      </c>
      <c r="P172" s="16">
        <v>69200</v>
      </c>
      <c r="Q172" s="16">
        <f t="shared" si="239"/>
        <v>271</v>
      </c>
      <c r="R172" s="16">
        <v>0</v>
      </c>
      <c r="S172" s="16">
        <v>271</v>
      </c>
      <c r="T172" s="16">
        <v>0</v>
      </c>
      <c r="U172" s="16">
        <v>450444</v>
      </c>
      <c r="V172" s="16">
        <f>SUM(W172:AD172)</f>
        <v>4304872</v>
      </c>
      <c r="W172" s="16">
        <v>3362112</v>
      </c>
      <c r="X172" s="16">
        <v>542725</v>
      </c>
      <c r="Y172" s="16">
        <v>160540</v>
      </c>
      <c r="Z172" s="16">
        <v>117695</v>
      </c>
      <c r="AA172" s="16">
        <v>99381</v>
      </c>
      <c r="AB172" s="16">
        <v>971</v>
      </c>
      <c r="AC172" s="16">
        <v>0</v>
      </c>
      <c r="AD172" s="16">
        <v>21448</v>
      </c>
      <c r="AE172" s="16">
        <f>SUM(AF172:AZ172)</f>
        <v>7246017</v>
      </c>
      <c r="AF172" s="16">
        <v>0</v>
      </c>
      <c r="AG172" s="16">
        <v>0</v>
      </c>
      <c r="AH172" s="16">
        <v>487070</v>
      </c>
      <c r="AI172" s="16">
        <v>0</v>
      </c>
      <c r="AJ172" s="16">
        <v>41369</v>
      </c>
      <c r="AK172" s="16">
        <v>0</v>
      </c>
      <c r="AL172" s="16">
        <v>158278</v>
      </c>
      <c r="AM172" s="16">
        <v>0</v>
      </c>
      <c r="AN172" s="16">
        <v>0</v>
      </c>
      <c r="AO172" s="16">
        <v>216</v>
      </c>
      <c r="AP172" s="16"/>
      <c r="AQ172" s="16">
        <v>0</v>
      </c>
      <c r="AR172" s="16">
        <v>34728</v>
      </c>
      <c r="AS172" s="16">
        <v>0</v>
      </c>
      <c r="AT172" s="16">
        <v>0</v>
      </c>
      <c r="AU172" s="16">
        <v>1148381</v>
      </c>
      <c r="AV172" s="16">
        <v>0</v>
      </c>
      <c r="AW172" s="16">
        <v>0</v>
      </c>
      <c r="AX172" s="16">
        <v>0</v>
      </c>
      <c r="AY172" s="16"/>
      <c r="AZ172" s="16">
        <v>5375975</v>
      </c>
      <c r="BA172" s="16">
        <f>SUM(BB172+BF172+BI172+BK172+BM172)</f>
        <v>0</v>
      </c>
      <c r="BB172" s="16">
        <f>SUM(BC172:BE172)</f>
        <v>0</v>
      </c>
      <c r="BC172" s="16">
        <v>0</v>
      </c>
      <c r="BD172" s="16">
        <v>0</v>
      </c>
      <c r="BE172" s="16">
        <v>0</v>
      </c>
      <c r="BF172" s="16">
        <f t="shared" si="240"/>
        <v>0</v>
      </c>
      <c r="BG172" s="16">
        <v>0</v>
      </c>
      <c r="BH172" s="16">
        <v>0</v>
      </c>
      <c r="BI172" s="16">
        <v>0</v>
      </c>
      <c r="BJ172" s="16">
        <v>0</v>
      </c>
      <c r="BK172" s="16">
        <f t="shared" si="241"/>
        <v>0</v>
      </c>
      <c r="BL172" s="16">
        <v>0</v>
      </c>
      <c r="BM172" s="16">
        <f t="shared" si="242"/>
        <v>0</v>
      </c>
      <c r="BN172" s="16">
        <v>0</v>
      </c>
      <c r="BO172" s="16">
        <v>0</v>
      </c>
      <c r="BP172" s="16">
        <v>0</v>
      </c>
      <c r="BQ172" s="16">
        <v>0</v>
      </c>
      <c r="BR172" s="16">
        <v>0</v>
      </c>
      <c r="BS172" s="16">
        <v>0</v>
      </c>
      <c r="BT172" s="16">
        <v>0</v>
      </c>
      <c r="BU172" s="16">
        <v>0</v>
      </c>
      <c r="BV172" s="16">
        <v>0</v>
      </c>
      <c r="BW172" s="16">
        <v>0</v>
      </c>
      <c r="BX172" s="16">
        <v>0</v>
      </c>
      <c r="BY172" s="16">
        <f>SUM(BZ172+CS172)</f>
        <v>45274</v>
      </c>
      <c r="BZ172" s="16">
        <f>SUM(CA172+CD172+CK172)</f>
        <v>45274</v>
      </c>
      <c r="CA172" s="16">
        <f t="shared" si="243"/>
        <v>45274</v>
      </c>
      <c r="CB172" s="16">
        <v>0</v>
      </c>
      <c r="CC172" s="16">
        <f>26478+18796</f>
        <v>45274</v>
      </c>
      <c r="CD172" s="16">
        <f t="shared" si="244"/>
        <v>0</v>
      </c>
      <c r="CE172" s="16">
        <v>0</v>
      </c>
      <c r="CF172" s="16">
        <v>0</v>
      </c>
      <c r="CG172" s="16">
        <v>0</v>
      </c>
      <c r="CH172" s="16">
        <v>0</v>
      </c>
      <c r="CI172" s="16">
        <v>0</v>
      </c>
      <c r="CJ172" s="16">
        <v>0</v>
      </c>
      <c r="CK172" s="16">
        <f t="shared" si="245"/>
        <v>0</v>
      </c>
      <c r="CL172" s="16">
        <v>0</v>
      </c>
      <c r="CM172" s="16">
        <v>0</v>
      </c>
      <c r="CN172" s="16">
        <v>0</v>
      </c>
      <c r="CO172" s="16">
        <v>0</v>
      </c>
      <c r="CP172" s="16">
        <v>0</v>
      </c>
      <c r="CQ172" s="16"/>
      <c r="CR172" s="16"/>
      <c r="CS172" s="16">
        <v>0</v>
      </c>
      <c r="CT172" s="16">
        <f t="shared" si="246"/>
        <v>0</v>
      </c>
      <c r="CU172" s="16">
        <f t="shared" si="247"/>
        <v>0</v>
      </c>
      <c r="CV172" s="16">
        <v>0</v>
      </c>
      <c r="CW172" s="17">
        <v>0</v>
      </c>
      <c r="CX172" s="40"/>
      <c r="CY172" s="40"/>
    </row>
    <row r="173" spans="1:103" ht="15.75" x14ac:dyDescent="0.25">
      <c r="A173" s="13" t="s">
        <v>1</v>
      </c>
      <c r="B173" s="14" t="s">
        <v>1</v>
      </c>
      <c r="C173" s="14" t="s">
        <v>21</v>
      </c>
      <c r="D173" s="30" t="s">
        <v>199</v>
      </c>
      <c r="E173" s="15">
        <f>SUM(F173+BY173+CT173)</f>
        <v>29704547</v>
      </c>
      <c r="F173" s="16">
        <f>SUM(G173+BA173)</f>
        <v>28865853</v>
      </c>
      <c r="G173" s="16">
        <f>SUM(H173+I173+J173+Q173+T173+U173+V173+AE173)</f>
        <v>28862353</v>
      </c>
      <c r="H173" s="16">
        <f>20671741+1415800</f>
        <v>22087541</v>
      </c>
      <c r="I173" s="16">
        <v>4867013</v>
      </c>
      <c r="J173" s="16">
        <f t="shared" si="238"/>
        <v>1510361</v>
      </c>
      <c r="K173" s="16">
        <v>1470863</v>
      </c>
      <c r="L173" s="16">
        <v>15565</v>
      </c>
      <c r="M173" s="16">
        <v>0</v>
      </c>
      <c r="N173" s="16">
        <v>0</v>
      </c>
      <c r="O173" s="16">
        <v>0</v>
      </c>
      <c r="P173" s="16">
        <v>23933</v>
      </c>
      <c r="Q173" s="16">
        <f t="shared" si="239"/>
        <v>0</v>
      </c>
      <c r="R173" s="16">
        <v>0</v>
      </c>
      <c r="S173" s="16">
        <v>0</v>
      </c>
      <c r="T173" s="16">
        <v>0</v>
      </c>
      <c r="U173" s="16">
        <v>62147</v>
      </c>
      <c r="V173" s="16">
        <f>SUM(W173:AD173)</f>
        <v>111160</v>
      </c>
      <c r="W173" s="16">
        <v>0</v>
      </c>
      <c r="X173" s="16">
        <v>51304</v>
      </c>
      <c r="Y173" s="16">
        <v>39915</v>
      </c>
      <c r="Z173" s="16">
        <v>10433</v>
      </c>
      <c r="AA173" s="16">
        <f>10009-501</f>
        <v>9508</v>
      </c>
      <c r="AB173" s="16">
        <v>0</v>
      </c>
      <c r="AC173" s="16">
        <v>0</v>
      </c>
      <c r="AD173" s="16">
        <v>0</v>
      </c>
      <c r="AE173" s="16">
        <f>SUM(AF173:AZ173)</f>
        <v>224131</v>
      </c>
      <c r="AF173" s="16">
        <v>0</v>
      </c>
      <c r="AG173" s="16">
        <v>832</v>
      </c>
      <c r="AH173" s="16">
        <v>19217</v>
      </c>
      <c r="AI173" s="16">
        <v>0</v>
      </c>
      <c r="AJ173" s="16">
        <v>3182</v>
      </c>
      <c r="AK173" s="16">
        <v>0</v>
      </c>
      <c r="AL173" s="16">
        <v>54498</v>
      </c>
      <c r="AM173" s="16">
        <v>28538</v>
      </c>
      <c r="AN173" s="16">
        <v>0</v>
      </c>
      <c r="AO173" s="16">
        <v>0</v>
      </c>
      <c r="AP173" s="16">
        <v>0</v>
      </c>
      <c r="AQ173" s="16">
        <v>0</v>
      </c>
      <c r="AR173" s="16">
        <v>18864</v>
      </c>
      <c r="AS173" s="16">
        <v>40000</v>
      </c>
      <c r="AT173" s="16">
        <v>0</v>
      </c>
      <c r="AU173" s="16">
        <v>0</v>
      </c>
      <c r="AV173" s="16">
        <v>0</v>
      </c>
      <c r="AW173" s="16">
        <v>0</v>
      </c>
      <c r="AX173" s="16">
        <v>0</v>
      </c>
      <c r="AY173" s="16">
        <v>0</v>
      </c>
      <c r="AZ173" s="16">
        <v>59000</v>
      </c>
      <c r="BA173" s="16">
        <f>SUM(BB173+BF173+BI173+BK173+BM173)</f>
        <v>3500</v>
      </c>
      <c r="BB173" s="16">
        <f>SUM(BC173:BE173)</f>
        <v>0</v>
      </c>
      <c r="BC173" s="16">
        <v>0</v>
      </c>
      <c r="BD173" s="16">
        <v>0</v>
      </c>
      <c r="BE173" s="16">
        <v>0</v>
      </c>
      <c r="BF173" s="16">
        <f t="shared" si="240"/>
        <v>0</v>
      </c>
      <c r="BG173" s="16">
        <v>0</v>
      </c>
      <c r="BH173" s="16">
        <v>0</v>
      </c>
      <c r="BI173" s="16">
        <v>0</v>
      </c>
      <c r="BJ173" s="16">
        <v>0</v>
      </c>
      <c r="BK173" s="16">
        <f t="shared" si="241"/>
        <v>0</v>
      </c>
      <c r="BL173" s="16">
        <v>0</v>
      </c>
      <c r="BM173" s="16">
        <f t="shared" si="242"/>
        <v>3500</v>
      </c>
      <c r="BN173" s="16">
        <v>0</v>
      </c>
      <c r="BO173" s="16">
        <v>0</v>
      </c>
      <c r="BP173" s="16">
        <v>0</v>
      </c>
      <c r="BQ173" s="16">
        <v>0</v>
      </c>
      <c r="BR173" s="16">
        <v>0</v>
      </c>
      <c r="BS173" s="16">
        <v>0</v>
      </c>
      <c r="BT173" s="16">
        <v>0</v>
      </c>
      <c r="BU173" s="16">
        <v>0</v>
      </c>
      <c r="BV173" s="16">
        <v>0</v>
      </c>
      <c r="BW173" s="16">
        <v>0</v>
      </c>
      <c r="BX173" s="16">
        <v>3500</v>
      </c>
      <c r="BY173" s="16">
        <f>SUM(BZ173+CS173)</f>
        <v>838694</v>
      </c>
      <c r="BZ173" s="16">
        <f>SUM(CA173+CD173+CK173)</f>
        <v>838694</v>
      </c>
      <c r="CA173" s="16">
        <f t="shared" si="243"/>
        <v>838694</v>
      </c>
      <c r="CB173" s="16">
        <v>0</v>
      </c>
      <c r="CC173" s="16">
        <v>838694</v>
      </c>
      <c r="CD173" s="16">
        <f t="shared" si="244"/>
        <v>0</v>
      </c>
      <c r="CE173" s="16">
        <v>0</v>
      </c>
      <c r="CF173" s="16">
        <v>0</v>
      </c>
      <c r="CG173" s="16">
        <v>0</v>
      </c>
      <c r="CH173" s="16">
        <v>0</v>
      </c>
      <c r="CI173" s="16">
        <v>0</v>
      </c>
      <c r="CJ173" s="16">
        <v>0</v>
      </c>
      <c r="CK173" s="16">
        <f t="shared" si="245"/>
        <v>0</v>
      </c>
      <c r="CL173" s="16">
        <v>0</v>
      </c>
      <c r="CM173" s="16">
        <v>0</v>
      </c>
      <c r="CN173" s="16">
        <v>0</v>
      </c>
      <c r="CO173" s="16">
        <v>0</v>
      </c>
      <c r="CP173" s="16">
        <v>0</v>
      </c>
      <c r="CQ173" s="16">
        <v>0</v>
      </c>
      <c r="CR173" s="16">
        <v>0</v>
      </c>
      <c r="CS173" s="16">
        <v>0</v>
      </c>
      <c r="CT173" s="16">
        <f t="shared" si="246"/>
        <v>0</v>
      </c>
      <c r="CU173" s="16">
        <f t="shared" si="247"/>
        <v>0</v>
      </c>
      <c r="CV173" s="16">
        <v>0</v>
      </c>
      <c r="CW173" s="17">
        <v>0</v>
      </c>
      <c r="CX173" s="40"/>
      <c r="CY173" s="40"/>
    </row>
    <row r="174" spans="1:103" ht="31.5" x14ac:dyDescent="0.25">
      <c r="A174" s="13" t="s">
        <v>195</v>
      </c>
      <c r="B174" s="14" t="s">
        <v>15</v>
      </c>
      <c r="C174" s="14" t="s">
        <v>1</v>
      </c>
      <c r="D174" s="30" t="s">
        <v>200</v>
      </c>
      <c r="E174" s="15">
        <f t="shared" ref="E174:AJ174" si="275">SUM(E175:E176)</f>
        <v>30218495</v>
      </c>
      <c r="F174" s="16">
        <f t="shared" si="275"/>
        <v>30154023</v>
      </c>
      <c r="G174" s="16">
        <f t="shared" si="275"/>
        <v>29952360</v>
      </c>
      <c r="H174" s="16">
        <f t="shared" si="275"/>
        <v>19584944</v>
      </c>
      <c r="I174" s="16">
        <f t="shared" si="275"/>
        <v>4534264</v>
      </c>
      <c r="J174" s="16">
        <f t="shared" si="275"/>
        <v>4937298</v>
      </c>
      <c r="K174" s="16">
        <f t="shared" si="275"/>
        <v>3692635</v>
      </c>
      <c r="L174" s="16">
        <f t="shared" si="275"/>
        <v>212545</v>
      </c>
      <c r="M174" s="16">
        <f t="shared" si="275"/>
        <v>547190</v>
      </c>
      <c r="N174" s="16">
        <f t="shared" si="275"/>
        <v>0</v>
      </c>
      <c r="O174" s="16">
        <f t="shared" si="275"/>
        <v>398040</v>
      </c>
      <c r="P174" s="16">
        <f t="shared" si="275"/>
        <v>86888</v>
      </c>
      <c r="Q174" s="16">
        <f t="shared" si="275"/>
        <v>1022</v>
      </c>
      <c r="R174" s="16">
        <f t="shared" si="275"/>
        <v>0</v>
      </c>
      <c r="S174" s="16">
        <f t="shared" si="275"/>
        <v>1022</v>
      </c>
      <c r="T174" s="16">
        <f t="shared" si="275"/>
        <v>0</v>
      </c>
      <c r="U174" s="16">
        <f t="shared" si="275"/>
        <v>180102</v>
      </c>
      <c r="V174" s="16">
        <f t="shared" si="275"/>
        <v>352776</v>
      </c>
      <c r="W174" s="16">
        <f t="shared" si="275"/>
        <v>19620</v>
      </c>
      <c r="X174" s="16">
        <f t="shared" si="275"/>
        <v>201545</v>
      </c>
      <c r="Y174" s="16">
        <f t="shared" si="275"/>
        <v>49946</v>
      </c>
      <c r="Z174" s="16">
        <f t="shared" si="275"/>
        <v>39212</v>
      </c>
      <c r="AA174" s="16">
        <f t="shared" si="275"/>
        <v>27788</v>
      </c>
      <c r="AB174" s="16">
        <f t="shared" si="275"/>
        <v>0</v>
      </c>
      <c r="AC174" s="16">
        <f t="shared" si="275"/>
        <v>0</v>
      </c>
      <c r="AD174" s="16">
        <f t="shared" ref="AD174" si="276">SUM(AD175:AD176)</f>
        <v>14665</v>
      </c>
      <c r="AE174" s="16">
        <f t="shared" si="275"/>
        <v>361954</v>
      </c>
      <c r="AF174" s="16">
        <f t="shared" si="275"/>
        <v>0</v>
      </c>
      <c r="AG174" s="16">
        <f t="shared" si="275"/>
        <v>625</v>
      </c>
      <c r="AH174" s="16">
        <f t="shared" si="275"/>
        <v>120328</v>
      </c>
      <c r="AI174" s="16">
        <f t="shared" si="275"/>
        <v>0</v>
      </c>
      <c r="AJ174" s="16">
        <f t="shared" si="275"/>
        <v>12729</v>
      </c>
      <c r="AK174" s="16">
        <f t="shared" ref="AK174:BR174" si="277">SUM(AK175:AK176)</f>
        <v>0</v>
      </c>
      <c r="AL174" s="16">
        <f t="shared" si="277"/>
        <v>77563</v>
      </c>
      <c r="AM174" s="16">
        <f t="shared" si="277"/>
        <v>0</v>
      </c>
      <c r="AN174" s="16">
        <f t="shared" si="277"/>
        <v>0</v>
      </c>
      <c r="AO174" s="16">
        <f t="shared" si="277"/>
        <v>0</v>
      </c>
      <c r="AP174" s="16">
        <f>SUM(AP175:AP176)</f>
        <v>0</v>
      </c>
      <c r="AQ174" s="16">
        <f t="shared" si="277"/>
        <v>0</v>
      </c>
      <c r="AR174" s="16">
        <f t="shared" si="277"/>
        <v>0</v>
      </c>
      <c r="AS174" s="16">
        <f t="shared" si="277"/>
        <v>14400</v>
      </c>
      <c r="AT174" s="16">
        <f t="shared" si="277"/>
        <v>0</v>
      </c>
      <c r="AU174" s="16">
        <f t="shared" si="277"/>
        <v>103784</v>
      </c>
      <c r="AV174" s="16">
        <f t="shared" si="277"/>
        <v>0</v>
      </c>
      <c r="AW174" s="16">
        <f t="shared" si="277"/>
        <v>0</v>
      </c>
      <c r="AX174" s="16">
        <f t="shared" si="277"/>
        <v>0</v>
      </c>
      <c r="AY174" s="16">
        <f t="shared" si="277"/>
        <v>0</v>
      </c>
      <c r="AZ174" s="16">
        <f t="shared" si="277"/>
        <v>32525</v>
      </c>
      <c r="BA174" s="16">
        <f t="shared" si="277"/>
        <v>201663</v>
      </c>
      <c r="BB174" s="16">
        <f t="shared" si="277"/>
        <v>0</v>
      </c>
      <c r="BC174" s="16">
        <f t="shared" si="277"/>
        <v>0</v>
      </c>
      <c r="BD174" s="16">
        <f t="shared" si="277"/>
        <v>0</v>
      </c>
      <c r="BE174" s="16">
        <f t="shared" si="277"/>
        <v>0</v>
      </c>
      <c r="BF174" s="16">
        <f t="shared" si="277"/>
        <v>0</v>
      </c>
      <c r="BG174" s="16">
        <f t="shared" si="277"/>
        <v>0</v>
      </c>
      <c r="BH174" s="16">
        <f t="shared" si="277"/>
        <v>0</v>
      </c>
      <c r="BI174" s="16">
        <f t="shared" si="277"/>
        <v>0</v>
      </c>
      <c r="BJ174" s="16">
        <f t="shared" si="277"/>
        <v>0</v>
      </c>
      <c r="BK174" s="16">
        <f t="shared" si="277"/>
        <v>0</v>
      </c>
      <c r="BL174" s="16">
        <f t="shared" si="277"/>
        <v>0</v>
      </c>
      <c r="BM174" s="16">
        <f t="shared" si="277"/>
        <v>201663</v>
      </c>
      <c r="BN174" s="16">
        <f t="shared" si="277"/>
        <v>0</v>
      </c>
      <c r="BO174" s="16">
        <f t="shared" si="277"/>
        <v>0</v>
      </c>
      <c r="BP174" s="16">
        <f t="shared" si="277"/>
        <v>0</v>
      </c>
      <c r="BQ174" s="16">
        <f t="shared" si="277"/>
        <v>0</v>
      </c>
      <c r="BR174" s="16">
        <f t="shared" si="277"/>
        <v>0</v>
      </c>
      <c r="BS174" s="16">
        <f t="shared" ref="BS174:CW174" si="278">SUM(BS175:BS176)</f>
        <v>0</v>
      </c>
      <c r="BT174" s="16">
        <f t="shared" si="278"/>
        <v>0</v>
      </c>
      <c r="BU174" s="16">
        <f t="shared" si="278"/>
        <v>0</v>
      </c>
      <c r="BV174" s="16">
        <f t="shared" si="278"/>
        <v>0</v>
      </c>
      <c r="BW174" s="16">
        <f t="shared" si="278"/>
        <v>0</v>
      </c>
      <c r="BX174" s="16">
        <f t="shared" si="278"/>
        <v>201663</v>
      </c>
      <c r="BY174" s="16">
        <f t="shared" si="278"/>
        <v>64472</v>
      </c>
      <c r="BZ174" s="16">
        <f t="shared" si="278"/>
        <v>64472</v>
      </c>
      <c r="CA174" s="16">
        <f t="shared" si="278"/>
        <v>64472</v>
      </c>
      <c r="CB174" s="16">
        <f t="shared" si="278"/>
        <v>0</v>
      </c>
      <c r="CC174" s="16">
        <f t="shared" si="278"/>
        <v>64472</v>
      </c>
      <c r="CD174" s="16">
        <f t="shared" si="278"/>
        <v>0</v>
      </c>
      <c r="CE174" s="16">
        <f t="shared" si="278"/>
        <v>0</v>
      </c>
      <c r="CF174" s="16">
        <f t="shared" si="278"/>
        <v>0</v>
      </c>
      <c r="CG174" s="16">
        <f t="shared" si="278"/>
        <v>0</v>
      </c>
      <c r="CH174" s="16">
        <f t="shared" si="278"/>
        <v>0</v>
      </c>
      <c r="CI174" s="16">
        <f t="shared" si="278"/>
        <v>0</v>
      </c>
      <c r="CJ174" s="16">
        <f t="shared" ref="CJ174" si="279">SUM(CJ175:CJ176)</f>
        <v>0</v>
      </c>
      <c r="CK174" s="16">
        <f t="shared" si="278"/>
        <v>0</v>
      </c>
      <c r="CL174" s="16">
        <f t="shared" si="278"/>
        <v>0</v>
      </c>
      <c r="CM174" s="16">
        <f t="shared" si="278"/>
        <v>0</v>
      </c>
      <c r="CN174" s="16">
        <f t="shared" si="278"/>
        <v>0</v>
      </c>
      <c r="CO174" s="16">
        <f t="shared" si="278"/>
        <v>0</v>
      </c>
      <c r="CP174" s="16">
        <f t="shared" si="278"/>
        <v>0</v>
      </c>
      <c r="CQ174" s="16">
        <f t="shared" si="278"/>
        <v>0</v>
      </c>
      <c r="CR174" s="16">
        <f t="shared" si="278"/>
        <v>0</v>
      </c>
      <c r="CS174" s="16">
        <f t="shared" si="278"/>
        <v>0</v>
      </c>
      <c r="CT174" s="16">
        <f t="shared" si="278"/>
        <v>0</v>
      </c>
      <c r="CU174" s="16">
        <f t="shared" si="278"/>
        <v>0</v>
      </c>
      <c r="CV174" s="16">
        <f t="shared" si="278"/>
        <v>0</v>
      </c>
      <c r="CW174" s="17">
        <f t="shared" si="278"/>
        <v>0</v>
      </c>
      <c r="CX174" s="40"/>
      <c r="CY174" s="40"/>
    </row>
    <row r="175" spans="1:103" ht="15.75" x14ac:dyDescent="0.25">
      <c r="A175" s="13" t="s">
        <v>1</v>
      </c>
      <c r="B175" s="14" t="s">
        <v>1</v>
      </c>
      <c r="C175" s="14" t="s">
        <v>19</v>
      </c>
      <c r="D175" s="30" t="s">
        <v>201</v>
      </c>
      <c r="E175" s="15">
        <f>SUM(F175+BY175+CT175)</f>
        <v>5827895</v>
      </c>
      <c r="F175" s="16">
        <f>SUM(G175+BA175)</f>
        <v>5769922</v>
      </c>
      <c r="G175" s="16">
        <f>SUM(H175+I175+J175+Q175+T175+U175+V175+AE175)</f>
        <v>5568259</v>
      </c>
      <c r="H175" s="16">
        <v>3425414</v>
      </c>
      <c r="I175" s="16">
        <v>794609</v>
      </c>
      <c r="J175" s="16">
        <f t="shared" si="238"/>
        <v>1036281</v>
      </c>
      <c r="K175" s="16">
        <v>137700</v>
      </c>
      <c r="L175" s="16">
        <v>193450</v>
      </c>
      <c r="M175" s="16">
        <v>547190</v>
      </c>
      <c r="N175" s="16">
        <v>0</v>
      </c>
      <c r="O175" s="16">
        <v>95109</v>
      </c>
      <c r="P175" s="16">
        <v>62832</v>
      </c>
      <c r="Q175" s="16">
        <f t="shared" si="239"/>
        <v>1022</v>
      </c>
      <c r="R175" s="16">
        <v>0</v>
      </c>
      <c r="S175" s="16">
        <v>1022</v>
      </c>
      <c r="T175" s="16">
        <v>0</v>
      </c>
      <c r="U175" s="16">
        <v>13292</v>
      </c>
      <c r="V175" s="16">
        <f>SUM(W175:AD175)</f>
        <v>94258</v>
      </c>
      <c r="W175" s="16">
        <v>19620</v>
      </c>
      <c r="X175" s="16">
        <v>0</v>
      </c>
      <c r="Y175" s="16">
        <v>28948</v>
      </c>
      <c r="Z175" s="16">
        <v>25906</v>
      </c>
      <c r="AA175" s="16">
        <v>6522</v>
      </c>
      <c r="AB175" s="16">
        <v>0</v>
      </c>
      <c r="AC175" s="16">
        <v>0</v>
      </c>
      <c r="AD175" s="16">
        <v>13262</v>
      </c>
      <c r="AE175" s="16">
        <f>SUM(AF175:AZ175)</f>
        <v>203383</v>
      </c>
      <c r="AF175" s="16">
        <v>0</v>
      </c>
      <c r="AG175" s="16">
        <v>625</v>
      </c>
      <c r="AH175" s="16">
        <v>16204</v>
      </c>
      <c r="AI175" s="16">
        <v>0</v>
      </c>
      <c r="AJ175" s="16">
        <v>1591</v>
      </c>
      <c r="AK175" s="16">
        <v>0</v>
      </c>
      <c r="AL175" s="16">
        <v>34254</v>
      </c>
      <c r="AM175" s="16">
        <v>0</v>
      </c>
      <c r="AN175" s="16">
        <v>0</v>
      </c>
      <c r="AO175" s="16">
        <v>0</v>
      </c>
      <c r="AP175" s="16">
        <v>0</v>
      </c>
      <c r="AQ175" s="16">
        <v>0</v>
      </c>
      <c r="AR175" s="16">
        <v>0</v>
      </c>
      <c r="AS175" s="16">
        <v>14400</v>
      </c>
      <c r="AT175" s="16">
        <v>0</v>
      </c>
      <c r="AU175" s="16">
        <v>103784</v>
      </c>
      <c r="AV175" s="16">
        <v>0</v>
      </c>
      <c r="AW175" s="16">
        <v>0</v>
      </c>
      <c r="AX175" s="16">
        <v>0</v>
      </c>
      <c r="AY175" s="16">
        <v>0</v>
      </c>
      <c r="AZ175" s="16">
        <v>32525</v>
      </c>
      <c r="BA175" s="16">
        <f>SUM(BB175+BF175+BI175+BK175+BM175)</f>
        <v>201663</v>
      </c>
      <c r="BB175" s="16">
        <f>SUM(BC175:BE175)</f>
        <v>0</v>
      </c>
      <c r="BC175" s="16">
        <v>0</v>
      </c>
      <c r="BD175" s="16">
        <v>0</v>
      </c>
      <c r="BE175" s="16">
        <v>0</v>
      </c>
      <c r="BF175" s="16">
        <f t="shared" si="240"/>
        <v>0</v>
      </c>
      <c r="BG175" s="16">
        <v>0</v>
      </c>
      <c r="BH175" s="16">
        <v>0</v>
      </c>
      <c r="BI175" s="16">
        <v>0</v>
      </c>
      <c r="BJ175" s="16">
        <v>0</v>
      </c>
      <c r="BK175" s="16">
        <f t="shared" si="241"/>
        <v>0</v>
      </c>
      <c r="BL175" s="16">
        <v>0</v>
      </c>
      <c r="BM175" s="16">
        <f t="shared" si="242"/>
        <v>201663</v>
      </c>
      <c r="BN175" s="16">
        <v>0</v>
      </c>
      <c r="BO175" s="16">
        <v>0</v>
      </c>
      <c r="BP175" s="16">
        <v>0</v>
      </c>
      <c r="BQ175" s="16">
        <v>0</v>
      </c>
      <c r="BR175" s="16">
        <v>0</v>
      </c>
      <c r="BS175" s="16">
        <v>0</v>
      </c>
      <c r="BT175" s="16">
        <v>0</v>
      </c>
      <c r="BU175" s="16">
        <v>0</v>
      </c>
      <c r="BV175" s="16">
        <v>0</v>
      </c>
      <c r="BW175" s="16">
        <v>0</v>
      </c>
      <c r="BX175" s="16">
        <v>201663</v>
      </c>
      <c r="BY175" s="16">
        <f>SUM(BZ175+CS175)</f>
        <v>57973</v>
      </c>
      <c r="BZ175" s="16">
        <f>SUM(CA175+CD175+CK175)</f>
        <v>57973</v>
      </c>
      <c r="CA175" s="16">
        <f t="shared" si="243"/>
        <v>57973</v>
      </c>
      <c r="CB175" s="16">
        <v>0</v>
      </c>
      <c r="CC175" s="16">
        <v>57973</v>
      </c>
      <c r="CD175" s="16">
        <f t="shared" si="244"/>
        <v>0</v>
      </c>
      <c r="CE175" s="16">
        <v>0</v>
      </c>
      <c r="CF175" s="16">
        <v>0</v>
      </c>
      <c r="CG175" s="16">
        <v>0</v>
      </c>
      <c r="CH175" s="16">
        <v>0</v>
      </c>
      <c r="CI175" s="16">
        <v>0</v>
      </c>
      <c r="CJ175" s="16">
        <v>0</v>
      </c>
      <c r="CK175" s="16">
        <f t="shared" si="245"/>
        <v>0</v>
      </c>
      <c r="CL175" s="16">
        <v>0</v>
      </c>
      <c r="CM175" s="16">
        <v>0</v>
      </c>
      <c r="CN175" s="16">
        <v>0</v>
      </c>
      <c r="CO175" s="16">
        <v>0</v>
      </c>
      <c r="CP175" s="16">
        <v>0</v>
      </c>
      <c r="CQ175" s="16">
        <v>0</v>
      </c>
      <c r="CR175" s="16">
        <v>0</v>
      </c>
      <c r="CS175" s="16">
        <v>0</v>
      </c>
      <c r="CT175" s="16">
        <f t="shared" si="246"/>
        <v>0</v>
      </c>
      <c r="CU175" s="16">
        <f t="shared" si="247"/>
        <v>0</v>
      </c>
      <c r="CV175" s="16">
        <v>0</v>
      </c>
      <c r="CW175" s="17">
        <v>0</v>
      </c>
      <c r="CX175" s="40"/>
      <c r="CY175" s="40"/>
    </row>
    <row r="176" spans="1:103" ht="15.75" x14ac:dyDescent="0.25">
      <c r="A176" s="13" t="s">
        <v>1</v>
      </c>
      <c r="B176" s="14" t="s">
        <v>1</v>
      </c>
      <c r="C176" s="14" t="s">
        <v>21</v>
      </c>
      <c r="D176" s="30" t="s">
        <v>202</v>
      </c>
      <c r="E176" s="15">
        <f>SUM(F176+BY176+CT176)</f>
        <v>24390600</v>
      </c>
      <c r="F176" s="16">
        <f>SUM(G176+BA176)</f>
        <v>24384101</v>
      </c>
      <c r="G176" s="16">
        <f>SUM(H176+I176+J176+Q176+T176+U176+V176+AE176)</f>
        <v>24384101</v>
      </c>
      <c r="H176" s="16">
        <f>15812380+347150</f>
        <v>16159530</v>
      </c>
      <c r="I176" s="16">
        <v>3739655</v>
      </c>
      <c r="J176" s="16">
        <f t="shared" si="238"/>
        <v>3901017</v>
      </c>
      <c r="K176" s="16">
        <v>3554935</v>
      </c>
      <c r="L176" s="16">
        <v>19095</v>
      </c>
      <c r="M176" s="16">
        <v>0</v>
      </c>
      <c r="N176" s="16">
        <v>0</v>
      </c>
      <c r="O176" s="16">
        <v>302931</v>
      </c>
      <c r="P176" s="16">
        <v>24056</v>
      </c>
      <c r="Q176" s="16">
        <f t="shared" si="239"/>
        <v>0</v>
      </c>
      <c r="R176" s="16">
        <v>0</v>
      </c>
      <c r="S176" s="16">
        <v>0</v>
      </c>
      <c r="T176" s="16">
        <v>0</v>
      </c>
      <c r="U176" s="16">
        <v>166810</v>
      </c>
      <c r="V176" s="16">
        <f>SUM(W176:AD176)</f>
        <v>258518</v>
      </c>
      <c r="W176" s="16">
        <v>0</v>
      </c>
      <c r="X176" s="16">
        <v>201545</v>
      </c>
      <c r="Y176" s="16">
        <v>20998</v>
      </c>
      <c r="Z176" s="16">
        <v>13306</v>
      </c>
      <c r="AA176" s="16">
        <v>21266</v>
      </c>
      <c r="AB176" s="16">
        <v>0</v>
      </c>
      <c r="AC176" s="16">
        <v>0</v>
      </c>
      <c r="AD176" s="16">
        <v>1403</v>
      </c>
      <c r="AE176" s="16">
        <f>SUM(AF176:AZ176)</f>
        <v>158571</v>
      </c>
      <c r="AF176" s="16">
        <v>0</v>
      </c>
      <c r="AG176" s="16">
        <v>0</v>
      </c>
      <c r="AH176" s="16">
        <v>104124</v>
      </c>
      <c r="AI176" s="16">
        <v>0</v>
      </c>
      <c r="AJ176" s="16">
        <v>11138</v>
      </c>
      <c r="AK176" s="16">
        <v>0</v>
      </c>
      <c r="AL176" s="16">
        <v>43309</v>
      </c>
      <c r="AM176" s="16">
        <v>0</v>
      </c>
      <c r="AN176" s="16">
        <v>0</v>
      </c>
      <c r="AO176" s="16">
        <v>0</v>
      </c>
      <c r="AP176" s="16">
        <v>0</v>
      </c>
      <c r="AQ176" s="16">
        <v>0</v>
      </c>
      <c r="AR176" s="16">
        <v>0</v>
      </c>
      <c r="AS176" s="16">
        <v>0</v>
      </c>
      <c r="AT176" s="16">
        <v>0</v>
      </c>
      <c r="AU176" s="16">
        <v>0</v>
      </c>
      <c r="AV176" s="16">
        <v>0</v>
      </c>
      <c r="AW176" s="16">
        <v>0</v>
      </c>
      <c r="AX176" s="16">
        <v>0</v>
      </c>
      <c r="AY176" s="16">
        <v>0</v>
      </c>
      <c r="AZ176" s="16">
        <v>0</v>
      </c>
      <c r="BA176" s="16">
        <f>SUM(BB176+BF176+BI176+BK176+BM176)</f>
        <v>0</v>
      </c>
      <c r="BB176" s="16">
        <f>SUM(BC176:BE176)</f>
        <v>0</v>
      </c>
      <c r="BC176" s="16">
        <v>0</v>
      </c>
      <c r="BD176" s="16">
        <v>0</v>
      </c>
      <c r="BE176" s="16">
        <v>0</v>
      </c>
      <c r="BF176" s="16">
        <f t="shared" si="240"/>
        <v>0</v>
      </c>
      <c r="BG176" s="16">
        <v>0</v>
      </c>
      <c r="BH176" s="16">
        <v>0</v>
      </c>
      <c r="BI176" s="16">
        <v>0</v>
      </c>
      <c r="BJ176" s="16">
        <v>0</v>
      </c>
      <c r="BK176" s="16">
        <f t="shared" si="241"/>
        <v>0</v>
      </c>
      <c r="BL176" s="16">
        <v>0</v>
      </c>
      <c r="BM176" s="16">
        <f t="shared" si="242"/>
        <v>0</v>
      </c>
      <c r="BN176" s="16">
        <v>0</v>
      </c>
      <c r="BO176" s="16">
        <v>0</v>
      </c>
      <c r="BP176" s="16">
        <v>0</v>
      </c>
      <c r="BQ176" s="16">
        <v>0</v>
      </c>
      <c r="BR176" s="16">
        <v>0</v>
      </c>
      <c r="BS176" s="16">
        <v>0</v>
      </c>
      <c r="BT176" s="16">
        <v>0</v>
      </c>
      <c r="BU176" s="16">
        <v>0</v>
      </c>
      <c r="BV176" s="16">
        <v>0</v>
      </c>
      <c r="BW176" s="16">
        <v>0</v>
      </c>
      <c r="BX176" s="16">
        <v>0</v>
      </c>
      <c r="BY176" s="16">
        <f>SUM(BZ176+CS176)</f>
        <v>6499</v>
      </c>
      <c r="BZ176" s="16">
        <f>SUM(CA176+CD176+CK176)</f>
        <v>6499</v>
      </c>
      <c r="CA176" s="16">
        <f t="shared" si="243"/>
        <v>6499</v>
      </c>
      <c r="CB176" s="16">
        <v>0</v>
      </c>
      <c r="CC176" s="16">
        <v>6499</v>
      </c>
      <c r="CD176" s="16">
        <f t="shared" si="244"/>
        <v>0</v>
      </c>
      <c r="CE176" s="16">
        <v>0</v>
      </c>
      <c r="CF176" s="16">
        <v>0</v>
      </c>
      <c r="CG176" s="16">
        <v>0</v>
      </c>
      <c r="CH176" s="16">
        <v>0</v>
      </c>
      <c r="CI176" s="16">
        <v>0</v>
      </c>
      <c r="CJ176" s="16">
        <v>0</v>
      </c>
      <c r="CK176" s="16">
        <f t="shared" si="245"/>
        <v>0</v>
      </c>
      <c r="CL176" s="16">
        <v>0</v>
      </c>
      <c r="CM176" s="16">
        <v>0</v>
      </c>
      <c r="CN176" s="16">
        <v>0</v>
      </c>
      <c r="CO176" s="16">
        <v>0</v>
      </c>
      <c r="CP176" s="16">
        <v>0</v>
      </c>
      <c r="CQ176" s="16">
        <v>0</v>
      </c>
      <c r="CR176" s="16">
        <v>0</v>
      </c>
      <c r="CS176" s="16">
        <v>0</v>
      </c>
      <c r="CT176" s="16">
        <f t="shared" si="246"/>
        <v>0</v>
      </c>
      <c r="CU176" s="16">
        <f t="shared" si="247"/>
        <v>0</v>
      </c>
      <c r="CV176" s="16">
        <v>0</v>
      </c>
      <c r="CW176" s="17">
        <v>0</v>
      </c>
      <c r="CX176" s="40"/>
      <c r="CY176" s="40"/>
    </row>
    <row r="177" spans="1:103" ht="31.5" x14ac:dyDescent="0.25">
      <c r="A177" s="13" t="s">
        <v>195</v>
      </c>
      <c r="B177" s="14" t="s">
        <v>47</v>
      </c>
      <c r="C177" s="14" t="s">
        <v>1</v>
      </c>
      <c r="D177" s="30" t="s">
        <v>203</v>
      </c>
      <c r="E177" s="15">
        <f>SUM(E178)</f>
        <v>42404257</v>
      </c>
      <c r="F177" s="16">
        <f t="shared" ref="F177:BS177" si="280">SUM(F178)</f>
        <v>42404257</v>
      </c>
      <c r="G177" s="16">
        <f t="shared" si="280"/>
        <v>42404257</v>
      </c>
      <c r="H177" s="16">
        <f t="shared" si="280"/>
        <v>0</v>
      </c>
      <c r="I177" s="16">
        <f t="shared" si="280"/>
        <v>0</v>
      </c>
      <c r="J177" s="16">
        <f t="shared" si="280"/>
        <v>38016937</v>
      </c>
      <c r="K177" s="16">
        <f t="shared" si="280"/>
        <v>38016937</v>
      </c>
      <c r="L177" s="16">
        <f t="shared" si="280"/>
        <v>0</v>
      </c>
      <c r="M177" s="16">
        <f t="shared" si="280"/>
        <v>0</v>
      </c>
      <c r="N177" s="16">
        <f t="shared" si="280"/>
        <v>0</v>
      </c>
      <c r="O177" s="16">
        <f t="shared" si="280"/>
        <v>0</v>
      </c>
      <c r="P177" s="16">
        <f t="shared" si="280"/>
        <v>0</v>
      </c>
      <c r="Q177" s="16">
        <f t="shared" si="280"/>
        <v>0</v>
      </c>
      <c r="R177" s="16">
        <f t="shared" si="280"/>
        <v>0</v>
      </c>
      <c r="S177" s="16">
        <f t="shared" si="280"/>
        <v>0</v>
      </c>
      <c r="T177" s="16">
        <f t="shared" si="280"/>
        <v>0</v>
      </c>
      <c r="U177" s="16">
        <f t="shared" si="280"/>
        <v>0</v>
      </c>
      <c r="V177" s="16">
        <f t="shared" si="280"/>
        <v>0</v>
      </c>
      <c r="W177" s="16">
        <f t="shared" si="280"/>
        <v>0</v>
      </c>
      <c r="X177" s="16">
        <f t="shared" si="280"/>
        <v>0</v>
      </c>
      <c r="Y177" s="16">
        <f t="shared" si="280"/>
        <v>0</v>
      </c>
      <c r="Z177" s="16">
        <f t="shared" si="280"/>
        <v>0</v>
      </c>
      <c r="AA177" s="16">
        <f t="shared" si="280"/>
        <v>0</v>
      </c>
      <c r="AB177" s="16">
        <f t="shared" si="280"/>
        <v>0</v>
      </c>
      <c r="AC177" s="16">
        <f t="shared" si="280"/>
        <v>0</v>
      </c>
      <c r="AD177" s="16">
        <f t="shared" si="280"/>
        <v>0</v>
      </c>
      <c r="AE177" s="16">
        <f t="shared" si="280"/>
        <v>4387320</v>
      </c>
      <c r="AF177" s="16">
        <f t="shared" si="280"/>
        <v>0</v>
      </c>
      <c r="AG177" s="16">
        <f t="shared" si="280"/>
        <v>0</v>
      </c>
      <c r="AH177" s="16">
        <f t="shared" si="280"/>
        <v>0</v>
      </c>
      <c r="AI177" s="16">
        <f t="shared" si="280"/>
        <v>0</v>
      </c>
      <c r="AJ177" s="16">
        <f t="shared" si="280"/>
        <v>0</v>
      </c>
      <c r="AK177" s="16">
        <f t="shared" si="280"/>
        <v>0</v>
      </c>
      <c r="AL177" s="16">
        <f t="shared" si="280"/>
        <v>0</v>
      </c>
      <c r="AM177" s="16">
        <f t="shared" si="280"/>
        <v>0</v>
      </c>
      <c r="AN177" s="16">
        <f t="shared" si="280"/>
        <v>0</v>
      </c>
      <c r="AO177" s="16">
        <f t="shared" si="280"/>
        <v>0</v>
      </c>
      <c r="AP177" s="16">
        <f t="shared" si="280"/>
        <v>0</v>
      </c>
      <c r="AQ177" s="16">
        <f t="shared" si="280"/>
        <v>0</v>
      </c>
      <c r="AR177" s="16">
        <f t="shared" si="280"/>
        <v>0</v>
      </c>
      <c r="AS177" s="16">
        <f t="shared" si="280"/>
        <v>0</v>
      </c>
      <c r="AT177" s="16">
        <f t="shared" si="280"/>
        <v>0</v>
      </c>
      <c r="AU177" s="16">
        <f t="shared" si="280"/>
        <v>0</v>
      </c>
      <c r="AV177" s="16">
        <f t="shared" si="280"/>
        <v>4387320</v>
      </c>
      <c r="AW177" s="16">
        <f t="shared" si="280"/>
        <v>0</v>
      </c>
      <c r="AX177" s="16">
        <f t="shared" si="280"/>
        <v>0</v>
      </c>
      <c r="AY177" s="16">
        <f t="shared" si="280"/>
        <v>0</v>
      </c>
      <c r="AZ177" s="16">
        <f t="shared" si="280"/>
        <v>0</v>
      </c>
      <c r="BA177" s="16">
        <f t="shared" si="280"/>
        <v>0</v>
      </c>
      <c r="BB177" s="16">
        <f t="shared" si="280"/>
        <v>0</v>
      </c>
      <c r="BC177" s="16">
        <f t="shared" si="280"/>
        <v>0</v>
      </c>
      <c r="BD177" s="16">
        <f t="shared" si="280"/>
        <v>0</v>
      </c>
      <c r="BE177" s="16">
        <f t="shared" si="280"/>
        <v>0</v>
      </c>
      <c r="BF177" s="16">
        <f t="shared" si="280"/>
        <v>0</v>
      </c>
      <c r="BG177" s="16">
        <f t="shared" si="280"/>
        <v>0</v>
      </c>
      <c r="BH177" s="16">
        <f t="shared" si="280"/>
        <v>0</v>
      </c>
      <c r="BI177" s="16">
        <f t="shared" si="280"/>
        <v>0</v>
      </c>
      <c r="BJ177" s="16">
        <f t="shared" si="280"/>
        <v>0</v>
      </c>
      <c r="BK177" s="16">
        <f t="shared" si="280"/>
        <v>0</v>
      </c>
      <c r="BL177" s="16">
        <f t="shared" si="280"/>
        <v>0</v>
      </c>
      <c r="BM177" s="16">
        <f t="shared" si="280"/>
        <v>0</v>
      </c>
      <c r="BN177" s="16">
        <f t="shared" si="280"/>
        <v>0</v>
      </c>
      <c r="BO177" s="16">
        <f t="shared" si="280"/>
        <v>0</v>
      </c>
      <c r="BP177" s="16">
        <f t="shared" si="280"/>
        <v>0</v>
      </c>
      <c r="BQ177" s="16">
        <f t="shared" si="280"/>
        <v>0</v>
      </c>
      <c r="BR177" s="16">
        <f t="shared" si="280"/>
        <v>0</v>
      </c>
      <c r="BS177" s="16">
        <f t="shared" si="280"/>
        <v>0</v>
      </c>
      <c r="BT177" s="16">
        <f t="shared" ref="BT177:CW177" si="281">SUM(BT178)</f>
        <v>0</v>
      </c>
      <c r="BU177" s="16">
        <f t="shared" si="281"/>
        <v>0</v>
      </c>
      <c r="BV177" s="16">
        <f t="shared" si="281"/>
        <v>0</v>
      </c>
      <c r="BW177" s="16">
        <f t="shared" si="281"/>
        <v>0</v>
      </c>
      <c r="BX177" s="16">
        <f t="shared" si="281"/>
        <v>0</v>
      </c>
      <c r="BY177" s="16">
        <f t="shared" si="281"/>
        <v>0</v>
      </c>
      <c r="BZ177" s="16">
        <f t="shared" si="281"/>
        <v>0</v>
      </c>
      <c r="CA177" s="16">
        <f t="shared" si="281"/>
        <v>0</v>
      </c>
      <c r="CB177" s="16">
        <f t="shared" si="281"/>
        <v>0</v>
      </c>
      <c r="CC177" s="16">
        <f t="shared" si="281"/>
        <v>0</v>
      </c>
      <c r="CD177" s="16">
        <f t="shared" si="281"/>
        <v>0</v>
      </c>
      <c r="CE177" s="16">
        <f t="shared" si="281"/>
        <v>0</v>
      </c>
      <c r="CF177" s="16">
        <f t="shared" si="281"/>
        <v>0</v>
      </c>
      <c r="CG177" s="16">
        <f t="shared" si="281"/>
        <v>0</v>
      </c>
      <c r="CH177" s="16">
        <f t="shared" si="281"/>
        <v>0</v>
      </c>
      <c r="CI177" s="16">
        <f t="shared" si="281"/>
        <v>0</v>
      </c>
      <c r="CJ177" s="16">
        <f t="shared" si="281"/>
        <v>0</v>
      </c>
      <c r="CK177" s="16">
        <f t="shared" si="281"/>
        <v>0</v>
      </c>
      <c r="CL177" s="16">
        <f t="shared" si="281"/>
        <v>0</v>
      </c>
      <c r="CM177" s="16">
        <f t="shared" si="281"/>
        <v>0</v>
      </c>
      <c r="CN177" s="16">
        <f t="shared" si="281"/>
        <v>0</v>
      </c>
      <c r="CO177" s="16">
        <f t="shared" si="281"/>
        <v>0</v>
      </c>
      <c r="CP177" s="16">
        <f t="shared" si="281"/>
        <v>0</v>
      </c>
      <c r="CQ177" s="16">
        <f t="shared" si="281"/>
        <v>0</v>
      </c>
      <c r="CR177" s="16">
        <f t="shared" si="281"/>
        <v>0</v>
      </c>
      <c r="CS177" s="16">
        <f t="shared" si="281"/>
        <v>0</v>
      </c>
      <c r="CT177" s="16">
        <f t="shared" si="281"/>
        <v>0</v>
      </c>
      <c r="CU177" s="16">
        <f t="shared" si="281"/>
        <v>0</v>
      </c>
      <c r="CV177" s="16">
        <f t="shared" si="281"/>
        <v>0</v>
      </c>
      <c r="CW177" s="17">
        <f t="shared" si="281"/>
        <v>0</v>
      </c>
      <c r="CX177" s="40"/>
      <c r="CY177" s="40"/>
    </row>
    <row r="178" spans="1:103" ht="31.5" x14ac:dyDescent="0.25">
      <c r="A178" s="13" t="s">
        <v>1</v>
      </c>
      <c r="B178" s="14" t="s">
        <v>1</v>
      </c>
      <c r="C178" s="14" t="s">
        <v>21</v>
      </c>
      <c r="D178" s="30" t="s">
        <v>204</v>
      </c>
      <c r="E178" s="15">
        <f>SUM(F178+BY178+CT178)</f>
        <v>42404257</v>
      </c>
      <c r="F178" s="16">
        <f>SUM(G178+BA178)</f>
        <v>42404257</v>
      </c>
      <c r="G178" s="16">
        <f>SUM(H178+I178+J178+Q178+T178+U178+V178+AE178)</f>
        <v>42404257</v>
      </c>
      <c r="H178" s="16">
        <v>0</v>
      </c>
      <c r="I178" s="16">
        <v>0</v>
      </c>
      <c r="J178" s="16">
        <f t="shared" si="238"/>
        <v>38016937</v>
      </c>
      <c r="K178" s="16">
        <v>38016937</v>
      </c>
      <c r="L178" s="16">
        <v>0</v>
      </c>
      <c r="M178" s="16">
        <v>0</v>
      </c>
      <c r="N178" s="16">
        <v>0</v>
      </c>
      <c r="O178" s="16">
        <v>0</v>
      </c>
      <c r="P178" s="16">
        <v>0</v>
      </c>
      <c r="Q178" s="16">
        <f t="shared" si="239"/>
        <v>0</v>
      </c>
      <c r="R178" s="16">
        <v>0</v>
      </c>
      <c r="S178" s="16">
        <v>0</v>
      </c>
      <c r="T178" s="16">
        <v>0</v>
      </c>
      <c r="U178" s="16">
        <v>0</v>
      </c>
      <c r="V178" s="16">
        <f>SUM(W178:AD178)</f>
        <v>0</v>
      </c>
      <c r="W178" s="16">
        <v>0</v>
      </c>
      <c r="X178" s="16">
        <v>0</v>
      </c>
      <c r="Y178" s="16">
        <v>0</v>
      </c>
      <c r="Z178" s="16">
        <v>0</v>
      </c>
      <c r="AA178" s="16">
        <v>0</v>
      </c>
      <c r="AB178" s="16">
        <v>0</v>
      </c>
      <c r="AC178" s="16">
        <v>0</v>
      </c>
      <c r="AD178" s="16">
        <v>0</v>
      </c>
      <c r="AE178" s="16">
        <f>SUM(AF178:AZ178)</f>
        <v>4387320</v>
      </c>
      <c r="AF178" s="16">
        <v>0</v>
      </c>
      <c r="AG178" s="16">
        <v>0</v>
      </c>
      <c r="AH178" s="16">
        <v>0</v>
      </c>
      <c r="AI178" s="16">
        <v>0</v>
      </c>
      <c r="AJ178" s="16">
        <v>0</v>
      </c>
      <c r="AK178" s="16">
        <v>0</v>
      </c>
      <c r="AL178" s="16">
        <v>0</v>
      </c>
      <c r="AM178" s="16">
        <v>0</v>
      </c>
      <c r="AN178" s="16">
        <v>0</v>
      </c>
      <c r="AO178" s="16">
        <v>0</v>
      </c>
      <c r="AP178" s="16">
        <v>0</v>
      </c>
      <c r="AQ178" s="16">
        <v>0</v>
      </c>
      <c r="AR178" s="16">
        <v>0</v>
      </c>
      <c r="AS178" s="16">
        <v>0</v>
      </c>
      <c r="AT178" s="16">
        <v>0</v>
      </c>
      <c r="AU178" s="16">
        <v>0</v>
      </c>
      <c r="AV178" s="16">
        <v>4387320</v>
      </c>
      <c r="AW178" s="16">
        <v>0</v>
      </c>
      <c r="AX178" s="16">
        <v>0</v>
      </c>
      <c r="AY178" s="16">
        <v>0</v>
      </c>
      <c r="AZ178" s="16">
        <v>0</v>
      </c>
      <c r="BA178" s="16">
        <f>SUM(BB178+BF178+BI178+BK178+BM178)</f>
        <v>0</v>
      </c>
      <c r="BB178" s="16">
        <f>SUM(BC178:BE178)</f>
        <v>0</v>
      </c>
      <c r="BC178" s="16">
        <v>0</v>
      </c>
      <c r="BD178" s="16">
        <v>0</v>
      </c>
      <c r="BE178" s="16">
        <v>0</v>
      </c>
      <c r="BF178" s="16">
        <f t="shared" si="240"/>
        <v>0</v>
      </c>
      <c r="BG178" s="16">
        <v>0</v>
      </c>
      <c r="BH178" s="16">
        <v>0</v>
      </c>
      <c r="BI178" s="16">
        <v>0</v>
      </c>
      <c r="BJ178" s="16">
        <v>0</v>
      </c>
      <c r="BK178" s="16">
        <f t="shared" si="241"/>
        <v>0</v>
      </c>
      <c r="BL178" s="16">
        <v>0</v>
      </c>
      <c r="BM178" s="16">
        <f t="shared" si="242"/>
        <v>0</v>
      </c>
      <c r="BN178" s="16">
        <v>0</v>
      </c>
      <c r="BO178" s="16">
        <v>0</v>
      </c>
      <c r="BP178" s="16">
        <v>0</v>
      </c>
      <c r="BQ178" s="16">
        <v>0</v>
      </c>
      <c r="BR178" s="16">
        <v>0</v>
      </c>
      <c r="BS178" s="16">
        <v>0</v>
      </c>
      <c r="BT178" s="16">
        <v>0</v>
      </c>
      <c r="BU178" s="16">
        <v>0</v>
      </c>
      <c r="BV178" s="16">
        <v>0</v>
      </c>
      <c r="BW178" s="16">
        <v>0</v>
      </c>
      <c r="BX178" s="16">
        <v>0</v>
      </c>
      <c r="BY178" s="16">
        <f>SUM(BZ178+CS178)</f>
        <v>0</v>
      </c>
      <c r="BZ178" s="16">
        <f>SUM(CA178+CD178+CK178)</f>
        <v>0</v>
      </c>
      <c r="CA178" s="16">
        <f t="shared" si="243"/>
        <v>0</v>
      </c>
      <c r="CB178" s="16">
        <v>0</v>
      </c>
      <c r="CC178" s="16">
        <v>0</v>
      </c>
      <c r="CD178" s="16">
        <f t="shared" si="244"/>
        <v>0</v>
      </c>
      <c r="CE178" s="16">
        <v>0</v>
      </c>
      <c r="CF178" s="16">
        <v>0</v>
      </c>
      <c r="CG178" s="16">
        <v>0</v>
      </c>
      <c r="CH178" s="16">
        <v>0</v>
      </c>
      <c r="CI178" s="16">
        <v>0</v>
      </c>
      <c r="CJ178" s="16">
        <v>0</v>
      </c>
      <c r="CK178" s="16">
        <f t="shared" si="245"/>
        <v>0</v>
      </c>
      <c r="CL178" s="16">
        <v>0</v>
      </c>
      <c r="CM178" s="16">
        <v>0</v>
      </c>
      <c r="CN178" s="16">
        <v>0</v>
      </c>
      <c r="CO178" s="16">
        <v>0</v>
      </c>
      <c r="CP178" s="16">
        <v>0</v>
      </c>
      <c r="CQ178" s="16">
        <v>0</v>
      </c>
      <c r="CR178" s="16">
        <v>0</v>
      </c>
      <c r="CS178" s="16">
        <v>0</v>
      </c>
      <c r="CT178" s="16">
        <f t="shared" si="246"/>
        <v>0</v>
      </c>
      <c r="CU178" s="16">
        <f t="shared" si="247"/>
        <v>0</v>
      </c>
      <c r="CV178" s="16">
        <v>0</v>
      </c>
      <c r="CW178" s="17">
        <v>0</v>
      </c>
      <c r="CX178" s="40"/>
      <c r="CY178" s="40"/>
    </row>
    <row r="179" spans="1:103" ht="31.5" x14ac:dyDescent="0.25">
      <c r="A179" s="13" t="s">
        <v>195</v>
      </c>
      <c r="B179" s="14" t="s">
        <v>50</v>
      </c>
      <c r="C179" s="14" t="s">
        <v>1</v>
      </c>
      <c r="D179" s="30" t="s">
        <v>205</v>
      </c>
      <c r="E179" s="15">
        <f t="shared" ref="E179:AJ179" si="282">SUM(E180)</f>
        <v>2303554</v>
      </c>
      <c r="F179" s="16">
        <f t="shared" si="282"/>
        <v>2279502</v>
      </c>
      <c r="G179" s="16">
        <f t="shared" si="282"/>
        <v>2279502</v>
      </c>
      <c r="H179" s="16">
        <f t="shared" si="282"/>
        <v>1769797</v>
      </c>
      <c r="I179" s="16">
        <f t="shared" si="282"/>
        <v>403325</v>
      </c>
      <c r="J179" s="16">
        <f t="shared" si="282"/>
        <v>2019</v>
      </c>
      <c r="K179" s="16">
        <f t="shared" si="282"/>
        <v>0</v>
      </c>
      <c r="L179" s="16">
        <f t="shared" si="282"/>
        <v>1781</v>
      </c>
      <c r="M179" s="16">
        <f t="shared" si="282"/>
        <v>0</v>
      </c>
      <c r="N179" s="16">
        <f t="shared" si="282"/>
        <v>0</v>
      </c>
      <c r="O179" s="16">
        <f t="shared" si="282"/>
        <v>0</v>
      </c>
      <c r="P179" s="16">
        <f t="shared" si="282"/>
        <v>238</v>
      </c>
      <c r="Q179" s="16">
        <f t="shared" si="282"/>
        <v>0</v>
      </c>
      <c r="R179" s="16">
        <f t="shared" si="282"/>
        <v>0</v>
      </c>
      <c r="S179" s="16">
        <f t="shared" si="282"/>
        <v>0</v>
      </c>
      <c r="T179" s="16">
        <f t="shared" si="282"/>
        <v>0</v>
      </c>
      <c r="U179" s="16">
        <f t="shared" si="282"/>
        <v>49135</v>
      </c>
      <c r="V179" s="16">
        <f t="shared" si="282"/>
        <v>0</v>
      </c>
      <c r="W179" s="16">
        <f t="shared" si="282"/>
        <v>0</v>
      </c>
      <c r="X179" s="16">
        <f t="shared" si="282"/>
        <v>0</v>
      </c>
      <c r="Y179" s="16">
        <f t="shared" si="282"/>
        <v>0</v>
      </c>
      <c r="Z179" s="16">
        <f t="shared" si="282"/>
        <v>0</v>
      </c>
      <c r="AA179" s="16">
        <f t="shared" si="282"/>
        <v>0</v>
      </c>
      <c r="AB179" s="16">
        <f t="shared" si="282"/>
        <v>0</v>
      </c>
      <c r="AC179" s="16">
        <f t="shared" si="282"/>
        <v>0</v>
      </c>
      <c r="AD179" s="16">
        <f t="shared" si="282"/>
        <v>0</v>
      </c>
      <c r="AE179" s="16">
        <f t="shared" si="282"/>
        <v>55226</v>
      </c>
      <c r="AF179" s="16">
        <f t="shared" si="282"/>
        <v>0</v>
      </c>
      <c r="AG179" s="16">
        <f t="shared" si="282"/>
        <v>0</v>
      </c>
      <c r="AH179" s="16">
        <f t="shared" si="282"/>
        <v>3877</v>
      </c>
      <c r="AI179" s="16">
        <f t="shared" si="282"/>
        <v>0</v>
      </c>
      <c r="AJ179" s="16">
        <f t="shared" si="282"/>
        <v>7956</v>
      </c>
      <c r="AK179" s="16">
        <f t="shared" ref="AK179:BR179" si="283">SUM(AK180)</f>
        <v>0</v>
      </c>
      <c r="AL179" s="16">
        <f t="shared" si="283"/>
        <v>4393</v>
      </c>
      <c r="AM179" s="16">
        <f t="shared" si="283"/>
        <v>39000</v>
      </c>
      <c r="AN179" s="16">
        <f t="shared" si="283"/>
        <v>0</v>
      </c>
      <c r="AO179" s="16">
        <f t="shared" si="283"/>
        <v>0</v>
      </c>
      <c r="AP179" s="16">
        <f t="shared" si="283"/>
        <v>0</v>
      </c>
      <c r="AQ179" s="16">
        <f t="shared" si="283"/>
        <v>0</v>
      </c>
      <c r="AR179" s="16">
        <f t="shared" si="283"/>
        <v>0</v>
      </c>
      <c r="AS179" s="16">
        <f t="shared" si="283"/>
        <v>0</v>
      </c>
      <c r="AT179" s="16">
        <f t="shared" si="283"/>
        <v>0</v>
      </c>
      <c r="AU179" s="16">
        <f t="shared" si="283"/>
        <v>0</v>
      </c>
      <c r="AV179" s="16">
        <f t="shared" si="283"/>
        <v>0</v>
      </c>
      <c r="AW179" s="16">
        <f t="shared" si="283"/>
        <v>0</v>
      </c>
      <c r="AX179" s="16">
        <f t="shared" si="283"/>
        <v>0</v>
      </c>
      <c r="AY179" s="16">
        <f t="shared" si="283"/>
        <v>0</v>
      </c>
      <c r="AZ179" s="16">
        <f t="shared" si="283"/>
        <v>0</v>
      </c>
      <c r="BA179" s="16">
        <f t="shared" si="283"/>
        <v>0</v>
      </c>
      <c r="BB179" s="16">
        <f t="shared" si="283"/>
        <v>0</v>
      </c>
      <c r="BC179" s="16">
        <f t="shared" si="283"/>
        <v>0</v>
      </c>
      <c r="BD179" s="16">
        <f t="shared" si="283"/>
        <v>0</v>
      </c>
      <c r="BE179" s="16">
        <f t="shared" si="283"/>
        <v>0</v>
      </c>
      <c r="BF179" s="16">
        <f t="shared" si="283"/>
        <v>0</v>
      </c>
      <c r="BG179" s="16">
        <f t="shared" si="283"/>
        <v>0</v>
      </c>
      <c r="BH179" s="16">
        <f t="shared" si="283"/>
        <v>0</v>
      </c>
      <c r="BI179" s="16">
        <f t="shared" si="283"/>
        <v>0</v>
      </c>
      <c r="BJ179" s="16">
        <f t="shared" si="283"/>
        <v>0</v>
      </c>
      <c r="BK179" s="16">
        <f t="shared" si="283"/>
        <v>0</v>
      </c>
      <c r="BL179" s="16">
        <f t="shared" si="283"/>
        <v>0</v>
      </c>
      <c r="BM179" s="16">
        <f t="shared" si="283"/>
        <v>0</v>
      </c>
      <c r="BN179" s="16">
        <f t="shared" si="283"/>
        <v>0</v>
      </c>
      <c r="BO179" s="16">
        <f t="shared" si="283"/>
        <v>0</v>
      </c>
      <c r="BP179" s="16">
        <f t="shared" si="283"/>
        <v>0</v>
      </c>
      <c r="BQ179" s="16">
        <f t="shared" si="283"/>
        <v>0</v>
      </c>
      <c r="BR179" s="16">
        <f t="shared" si="283"/>
        <v>0</v>
      </c>
      <c r="BS179" s="16">
        <f t="shared" ref="BS179:CW179" si="284">SUM(BS180)</f>
        <v>0</v>
      </c>
      <c r="BT179" s="16">
        <f t="shared" si="284"/>
        <v>0</v>
      </c>
      <c r="BU179" s="16">
        <f t="shared" si="284"/>
        <v>0</v>
      </c>
      <c r="BV179" s="16">
        <f t="shared" si="284"/>
        <v>0</v>
      </c>
      <c r="BW179" s="16">
        <f t="shared" si="284"/>
        <v>0</v>
      </c>
      <c r="BX179" s="16">
        <f t="shared" si="284"/>
        <v>0</v>
      </c>
      <c r="BY179" s="16">
        <f t="shared" si="284"/>
        <v>24052</v>
      </c>
      <c r="BZ179" s="16">
        <f t="shared" si="284"/>
        <v>24052</v>
      </c>
      <c r="CA179" s="16">
        <f t="shared" si="284"/>
        <v>24052</v>
      </c>
      <c r="CB179" s="16">
        <f t="shared" si="284"/>
        <v>0</v>
      </c>
      <c r="CC179" s="16">
        <f t="shared" si="284"/>
        <v>24052</v>
      </c>
      <c r="CD179" s="16">
        <f t="shared" si="284"/>
        <v>0</v>
      </c>
      <c r="CE179" s="16">
        <f t="shared" si="284"/>
        <v>0</v>
      </c>
      <c r="CF179" s="16">
        <f t="shared" si="284"/>
        <v>0</v>
      </c>
      <c r="CG179" s="16">
        <f t="shared" si="284"/>
        <v>0</v>
      </c>
      <c r="CH179" s="16">
        <f t="shared" si="284"/>
        <v>0</v>
      </c>
      <c r="CI179" s="16">
        <f t="shared" si="284"/>
        <v>0</v>
      </c>
      <c r="CJ179" s="16">
        <f t="shared" si="284"/>
        <v>0</v>
      </c>
      <c r="CK179" s="16">
        <f t="shared" si="284"/>
        <v>0</v>
      </c>
      <c r="CL179" s="16">
        <f t="shared" si="284"/>
        <v>0</v>
      </c>
      <c r="CM179" s="16">
        <f t="shared" si="284"/>
        <v>0</v>
      </c>
      <c r="CN179" s="16">
        <f t="shared" si="284"/>
        <v>0</v>
      </c>
      <c r="CO179" s="16">
        <f t="shared" si="284"/>
        <v>0</v>
      </c>
      <c r="CP179" s="16">
        <f t="shared" si="284"/>
        <v>0</v>
      </c>
      <c r="CQ179" s="16">
        <f t="shared" si="284"/>
        <v>0</v>
      </c>
      <c r="CR179" s="16">
        <f t="shared" si="284"/>
        <v>0</v>
      </c>
      <c r="CS179" s="16">
        <f t="shared" si="284"/>
        <v>0</v>
      </c>
      <c r="CT179" s="16">
        <f t="shared" si="284"/>
        <v>0</v>
      </c>
      <c r="CU179" s="16">
        <f t="shared" si="284"/>
        <v>0</v>
      </c>
      <c r="CV179" s="16">
        <f t="shared" si="284"/>
        <v>0</v>
      </c>
      <c r="CW179" s="17">
        <f t="shared" si="284"/>
        <v>0</v>
      </c>
      <c r="CX179" s="40"/>
      <c r="CY179" s="40"/>
    </row>
    <row r="180" spans="1:103" ht="31.5" x14ac:dyDescent="0.25">
      <c r="A180" s="13" t="s">
        <v>1</v>
      </c>
      <c r="B180" s="14" t="s">
        <v>1</v>
      </c>
      <c r="C180" s="14" t="s">
        <v>21</v>
      </c>
      <c r="D180" s="30" t="s">
        <v>206</v>
      </c>
      <c r="E180" s="15">
        <f>SUM(F180+BY180+CT180)</f>
        <v>2303554</v>
      </c>
      <c r="F180" s="16">
        <f>SUM(G180+BA180)</f>
        <v>2279502</v>
      </c>
      <c r="G180" s="16">
        <f>SUM(H180+I180+J180+Q180+T180+U180+V180+AE180)</f>
        <v>2279502</v>
      </c>
      <c r="H180" s="16">
        <v>1769797</v>
      </c>
      <c r="I180" s="16">
        <v>403325</v>
      </c>
      <c r="J180" s="16">
        <f t="shared" si="238"/>
        <v>2019</v>
      </c>
      <c r="K180" s="16">
        <v>0</v>
      </c>
      <c r="L180" s="16">
        <v>1781</v>
      </c>
      <c r="M180" s="16">
        <v>0</v>
      </c>
      <c r="N180" s="16">
        <v>0</v>
      </c>
      <c r="O180" s="16">
        <v>0</v>
      </c>
      <c r="P180" s="16">
        <v>238</v>
      </c>
      <c r="Q180" s="16">
        <f t="shared" si="239"/>
        <v>0</v>
      </c>
      <c r="R180" s="16">
        <v>0</v>
      </c>
      <c r="S180" s="16">
        <v>0</v>
      </c>
      <c r="T180" s="16">
        <v>0</v>
      </c>
      <c r="U180" s="16">
        <v>49135</v>
      </c>
      <c r="V180" s="16">
        <f>SUM(W180:AD180)</f>
        <v>0</v>
      </c>
      <c r="W180" s="16">
        <v>0</v>
      </c>
      <c r="X180" s="16">
        <v>0</v>
      </c>
      <c r="Y180" s="16">
        <v>0</v>
      </c>
      <c r="Z180" s="16">
        <v>0</v>
      </c>
      <c r="AA180" s="16">
        <v>0</v>
      </c>
      <c r="AB180" s="16">
        <v>0</v>
      </c>
      <c r="AC180" s="16">
        <v>0</v>
      </c>
      <c r="AD180" s="16">
        <v>0</v>
      </c>
      <c r="AE180" s="16">
        <f>SUM(AF180:AZ180)</f>
        <v>55226</v>
      </c>
      <c r="AF180" s="16">
        <v>0</v>
      </c>
      <c r="AG180" s="16">
        <v>0</v>
      </c>
      <c r="AH180" s="16">
        <v>3877</v>
      </c>
      <c r="AI180" s="16">
        <v>0</v>
      </c>
      <c r="AJ180" s="16">
        <v>7956</v>
      </c>
      <c r="AK180" s="16">
        <v>0</v>
      </c>
      <c r="AL180" s="16">
        <v>4393</v>
      </c>
      <c r="AM180" s="16">
        <v>39000</v>
      </c>
      <c r="AN180" s="16">
        <v>0</v>
      </c>
      <c r="AO180" s="16">
        <v>0</v>
      </c>
      <c r="AP180" s="16">
        <v>0</v>
      </c>
      <c r="AQ180" s="16">
        <v>0</v>
      </c>
      <c r="AR180" s="16">
        <v>0</v>
      </c>
      <c r="AS180" s="16">
        <v>0</v>
      </c>
      <c r="AT180" s="16">
        <v>0</v>
      </c>
      <c r="AU180" s="16">
        <v>0</v>
      </c>
      <c r="AV180" s="16">
        <v>0</v>
      </c>
      <c r="AW180" s="16">
        <v>0</v>
      </c>
      <c r="AX180" s="16">
        <v>0</v>
      </c>
      <c r="AY180" s="16">
        <v>0</v>
      </c>
      <c r="AZ180" s="16">
        <v>0</v>
      </c>
      <c r="BA180" s="16">
        <f>SUM(BB180+BF180+BI180+BK180+BM180)</f>
        <v>0</v>
      </c>
      <c r="BB180" s="16">
        <f>SUM(BC180:BE180)</f>
        <v>0</v>
      </c>
      <c r="BC180" s="16">
        <v>0</v>
      </c>
      <c r="BD180" s="16">
        <v>0</v>
      </c>
      <c r="BE180" s="16">
        <v>0</v>
      </c>
      <c r="BF180" s="16">
        <f t="shared" si="240"/>
        <v>0</v>
      </c>
      <c r="BG180" s="16">
        <v>0</v>
      </c>
      <c r="BH180" s="16">
        <v>0</v>
      </c>
      <c r="BI180" s="16">
        <v>0</v>
      </c>
      <c r="BJ180" s="16">
        <v>0</v>
      </c>
      <c r="BK180" s="16">
        <f t="shared" si="241"/>
        <v>0</v>
      </c>
      <c r="BL180" s="16">
        <v>0</v>
      </c>
      <c r="BM180" s="16">
        <f t="shared" si="242"/>
        <v>0</v>
      </c>
      <c r="BN180" s="16">
        <v>0</v>
      </c>
      <c r="BO180" s="16">
        <v>0</v>
      </c>
      <c r="BP180" s="16">
        <v>0</v>
      </c>
      <c r="BQ180" s="16">
        <v>0</v>
      </c>
      <c r="BR180" s="16">
        <v>0</v>
      </c>
      <c r="BS180" s="16">
        <v>0</v>
      </c>
      <c r="BT180" s="16">
        <v>0</v>
      </c>
      <c r="BU180" s="16">
        <v>0</v>
      </c>
      <c r="BV180" s="16">
        <v>0</v>
      </c>
      <c r="BW180" s="16">
        <v>0</v>
      </c>
      <c r="BX180" s="16">
        <v>0</v>
      </c>
      <c r="BY180" s="16">
        <f>SUM(BZ180+CS180)</f>
        <v>24052</v>
      </c>
      <c r="BZ180" s="16">
        <f>SUM(CA180+CD180+CK180)</f>
        <v>24052</v>
      </c>
      <c r="CA180" s="16">
        <f t="shared" si="243"/>
        <v>24052</v>
      </c>
      <c r="CB180" s="16">
        <v>0</v>
      </c>
      <c r="CC180" s="16">
        <v>24052</v>
      </c>
      <c r="CD180" s="16">
        <f t="shared" si="244"/>
        <v>0</v>
      </c>
      <c r="CE180" s="16">
        <v>0</v>
      </c>
      <c r="CF180" s="16">
        <v>0</v>
      </c>
      <c r="CG180" s="16">
        <v>0</v>
      </c>
      <c r="CH180" s="16">
        <v>0</v>
      </c>
      <c r="CI180" s="16">
        <v>0</v>
      </c>
      <c r="CJ180" s="16">
        <v>0</v>
      </c>
      <c r="CK180" s="16">
        <f t="shared" si="245"/>
        <v>0</v>
      </c>
      <c r="CL180" s="16">
        <v>0</v>
      </c>
      <c r="CM180" s="16">
        <v>0</v>
      </c>
      <c r="CN180" s="16">
        <v>0</v>
      </c>
      <c r="CO180" s="16">
        <v>0</v>
      </c>
      <c r="CP180" s="16">
        <v>0</v>
      </c>
      <c r="CQ180" s="16">
        <v>0</v>
      </c>
      <c r="CR180" s="16">
        <v>0</v>
      </c>
      <c r="CS180" s="16">
        <v>0</v>
      </c>
      <c r="CT180" s="16">
        <f t="shared" si="246"/>
        <v>0</v>
      </c>
      <c r="CU180" s="16">
        <f t="shared" si="247"/>
        <v>0</v>
      </c>
      <c r="CV180" s="16">
        <v>0</v>
      </c>
      <c r="CW180" s="17">
        <v>0</v>
      </c>
      <c r="CX180" s="40"/>
      <c r="CY180" s="40"/>
    </row>
    <row r="181" spans="1:103" ht="15.75" x14ac:dyDescent="0.25">
      <c r="A181" s="18" t="s">
        <v>207</v>
      </c>
      <c r="B181" s="19" t="s">
        <v>1</v>
      </c>
      <c r="C181" s="19" t="s">
        <v>1</v>
      </c>
      <c r="D181" s="31" t="s">
        <v>208</v>
      </c>
      <c r="E181" s="20">
        <f t="shared" ref="E181:AJ181" si="285">SUM(E182+E183+E184+E188+E190+E192+E194+E196+E204)</f>
        <v>481423101</v>
      </c>
      <c r="F181" s="21">
        <f t="shared" si="285"/>
        <v>481096795</v>
      </c>
      <c r="G181" s="21">
        <f t="shared" si="285"/>
        <v>90185156</v>
      </c>
      <c r="H181" s="21">
        <f t="shared" si="285"/>
        <v>15810588</v>
      </c>
      <c r="I181" s="21">
        <f t="shared" si="285"/>
        <v>3438138</v>
      </c>
      <c r="J181" s="21">
        <f t="shared" si="285"/>
        <v>7852239</v>
      </c>
      <c r="K181" s="21">
        <f t="shared" si="285"/>
        <v>804378</v>
      </c>
      <c r="L181" s="21">
        <f t="shared" si="285"/>
        <v>1499420</v>
      </c>
      <c r="M181" s="21">
        <f t="shared" si="285"/>
        <v>4556859</v>
      </c>
      <c r="N181" s="21">
        <f t="shared" si="285"/>
        <v>0</v>
      </c>
      <c r="O181" s="21">
        <f t="shared" si="285"/>
        <v>937618</v>
      </c>
      <c r="P181" s="21">
        <f t="shared" si="285"/>
        <v>53964</v>
      </c>
      <c r="Q181" s="21">
        <f t="shared" si="285"/>
        <v>0</v>
      </c>
      <c r="R181" s="21">
        <f t="shared" si="285"/>
        <v>0</v>
      </c>
      <c r="S181" s="21">
        <f t="shared" si="285"/>
        <v>0</v>
      </c>
      <c r="T181" s="21">
        <f t="shared" si="285"/>
        <v>0</v>
      </c>
      <c r="U181" s="21">
        <f t="shared" si="285"/>
        <v>152822</v>
      </c>
      <c r="V181" s="21">
        <f t="shared" si="285"/>
        <v>62288932</v>
      </c>
      <c r="W181" s="21">
        <f t="shared" si="285"/>
        <v>66525</v>
      </c>
      <c r="X181" s="21">
        <f t="shared" si="285"/>
        <v>311975</v>
      </c>
      <c r="Y181" s="21">
        <f t="shared" si="285"/>
        <v>165990</v>
      </c>
      <c r="Z181" s="21">
        <f t="shared" si="285"/>
        <v>268733</v>
      </c>
      <c r="AA181" s="21">
        <f t="shared" si="285"/>
        <v>68943</v>
      </c>
      <c r="AB181" s="21">
        <f t="shared" si="285"/>
        <v>0</v>
      </c>
      <c r="AC181" s="21">
        <f t="shared" si="285"/>
        <v>61396038</v>
      </c>
      <c r="AD181" s="21">
        <f t="shared" ref="AD181" si="286">SUM(AD182+AD183+AD184+AD188+AD190+AD192+AD194+AD196+AD204)</f>
        <v>10728</v>
      </c>
      <c r="AE181" s="21">
        <f t="shared" si="285"/>
        <v>642437</v>
      </c>
      <c r="AF181" s="21">
        <f t="shared" si="285"/>
        <v>0</v>
      </c>
      <c r="AG181" s="21">
        <f t="shared" si="285"/>
        <v>0</v>
      </c>
      <c r="AH181" s="21">
        <f t="shared" si="285"/>
        <v>94902</v>
      </c>
      <c r="AI181" s="21">
        <f t="shared" si="285"/>
        <v>0</v>
      </c>
      <c r="AJ181" s="21">
        <f t="shared" si="285"/>
        <v>7955</v>
      </c>
      <c r="AK181" s="21">
        <f t="shared" ref="AK181:BP181" si="287">SUM(AK182+AK183+AK184+AK188+AK190+AK192+AK194+AK196+AK204)</f>
        <v>0</v>
      </c>
      <c r="AL181" s="21">
        <f t="shared" si="287"/>
        <v>165414</v>
      </c>
      <c r="AM181" s="21">
        <f t="shared" si="287"/>
        <v>0</v>
      </c>
      <c r="AN181" s="21">
        <f t="shared" si="287"/>
        <v>0</v>
      </c>
      <c r="AO181" s="21">
        <f t="shared" si="287"/>
        <v>0</v>
      </c>
      <c r="AP181" s="21">
        <f t="shared" si="287"/>
        <v>0</v>
      </c>
      <c r="AQ181" s="21">
        <f t="shared" si="287"/>
        <v>0</v>
      </c>
      <c r="AR181" s="21">
        <f t="shared" si="287"/>
        <v>30733</v>
      </c>
      <c r="AS181" s="21">
        <f t="shared" si="287"/>
        <v>145000</v>
      </c>
      <c r="AT181" s="21">
        <f t="shared" si="287"/>
        <v>0</v>
      </c>
      <c r="AU181" s="21">
        <f t="shared" si="287"/>
        <v>0</v>
      </c>
      <c r="AV181" s="21">
        <f t="shared" si="287"/>
        <v>174251</v>
      </c>
      <c r="AW181" s="21">
        <f t="shared" si="287"/>
        <v>23367</v>
      </c>
      <c r="AX181" s="21">
        <f t="shared" si="287"/>
        <v>0</v>
      </c>
      <c r="AY181" s="21">
        <f t="shared" si="287"/>
        <v>0</v>
      </c>
      <c r="AZ181" s="21">
        <f t="shared" si="287"/>
        <v>815</v>
      </c>
      <c r="BA181" s="21">
        <f t="shared" si="287"/>
        <v>390911639</v>
      </c>
      <c r="BB181" s="21">
        <f t="shared" si="287"/>
        <v>0</v>
      </c>
      <c r="BC181" s="21">
        <f t="shared" si="287"/>
        <v>0</v>
      </c>
      <c r="BD181" s="21">
        <f t="shared" si="287"/>
        <v>0</v>
      </c>
      <c r="BE181" s="21">
        <f t="shared" si="287"/>
        <v>0</v>
      </c>
      <c r="BF181" s="21">
        <f t="shared" si="287"/>
        <v>0</v>
      </c>
      <c r="BG181" s="21">
        <f t="shared" si="287"/>
        <v>0</v>
      </c>
      <c r="BH181" s="21">
        <f t="shared" si="287"/>
        <v>0</v>
      </c>
      <c r="BI181" s="21">
        <f t="shared" si="287"/>
        <v>0</v>
      </c>
      <c r="BJ181" s="21">
        <f t="shared" si="287"/>
        <v>0</v>
      </c>
      <c r="BK181" s="21">
        <f t="shared" si="287"/>
        <v>0</v>
      </c>
      <c r="BL181" s="21">
        <f t="shared" si="287"/>
        <v>0</v>
      </c>
      <c r="BM181" s="21">
        <f t="shared" si="287"/>
        <v>390911639</v>
      </c>
      <c r="BN181" s="21">
        <f t="shared" si="287"/>
        <v>59749651</v>
      </c>
      <c r="BO181" s="21">
        <f t="shared" si="287"/>
        <v>4583424</v>
      </c>
      <c r="BP181" s="21">
        <f t="shared" si="287"/>
        <v>0</v>
      </c>
      <c r="BQ181" s="21">
        <f t="shared" ref="BQ181:CW181" si="288">SUM(BQ182+BQ183+BQ184+BQ188+BQ190+BQ192+BQ194+BQ196+BQ204)</f>
        <v>14134363</v>
      </c>
      <c r="BR181" s="21">
        <f t="shared" si="288"/>
        <v>100000</v>
      </c>
      <c r="BS181" s="21">
        <f t="shared" si="288"/>
        <v>0</v>
      </c>
      <c r="BT181" s="21">
        <f t="shared" si="288"/>
        <v>167368528</v>
      </c>
      <c r="BU181" s="21">
        <f t="shared" si="288"/>
        <v>0</v>
      </c>
      <c r="BV181" s="21">
        <f t="shared" si="288"/>
        <v>230042</v>
      </c>
      <c r="BW181" s="21">
        <f t="shared" si="288"/>
        <v>125193738</v>
      </c>
      <c r="BX181" s="21">
        <f t="shared" si="288"/>
        <v>19551893</v>
      </c>
      <c r="BY181" s="21">
        <f t="shared" si="288"/>
        <v>326306</v>
      </c>
      <c r="BZ181" s="21">
        <f t="shared" si="288"/>
        <v>326306</v>
      </c>
      <c r="CA181" s="21">
        <f t="shared" si="288"/>
        <v>326306</v>
      </c>
      <c r="CB181" s="21">
        <f t="shared" si="288"/>
        <v>0</v>
      </c>
      <c r="CC181" s="21">
        <f t="shared" si="288"/>
        <v>326306</v>
      </c>
      <c r="CD181" s="21">
        <f t="shared" si="288"/>
        <v>0</v>
      </c>
      <c r="CE181" s="21">
        <f t="shared" si="288"/>
        <v>0</v>
      </c>
      <c r="CF181" s="21">
        <f t="shared" si="288"/>
        <v>0</v>
      </c>
      <c r="CG181" s="21">
        <f t="shared" si="288"/>
        <v>0</v>
      </c>
      <c r="CH181" s="21">
        <f t="shared" si="288"/>
        <v>0</v>
      </c>
      <c r="CI181" s="21">
        <f t="shared" si="288"/>
        <v>0</v>
      </c>
      <c r="CJ181" s="21">
        <f t="shared" ref="CJ181" si="289">SUM(CJ182+CJ183+CJ184+CJ188+CJ190+CJ192+CJ194+CJ196+CJ204)</f>
        <v>0</v>
      </c>
      <c r="CK181" s="21">
        <f t="shared" si="288"/>
        <v>0</v>
      </c>
      <c r="CL181" s="21">
        <f t="shared" si="288"/>
        <v>0</v>
      </c>
      <c r="CM181" s="21">
        <f t="shared" si="288"/>
        <v>0</v>
      </c>
      <c r="CN181" s="21">
        <f t="shared" si="288"/>
        <v>0</v>
      </c>
      <c r="CO181" s="21">
        <f t="shared" si="288"/>
        <v>0</v>
      </c>
      <c r="CP181" s="21">
        <f t="shared" si="288"/>
        <v>0</v>
      </c>
      <c r="CQ181" s="21">
        <f t="shared" si="288"/>
        <v>0</v>
      </c>
      <c r="CR181" s="21">
        <f t="shared" si="288"/>
        <v>0</v>
      </c>
      <c r="CS181" s="21">
        <f t="shared" si="288"/>
        <v>0</v>
      </c>
      <c r="CT181" s="21">
        <f t="shared" si="288"/>
        <v>0</v>
      </c>
      <c r="CU181" s="21">
        <f t="shared" si="288"/>
        <v>0</v>
      </c>
      <c r="CV181" s="21">
        <f t="shared" si="288"/>
        <v>0</v>
      </c>
      <c r="CW181" s="22">
        <f t="shared" si="288"/>
        <v>0</v>
      </c>
      <c r="CX181" s="40"/>
      <c r="CY181" s="40"/>
    </row>
    <row r="182" spans="1:103" ht="15.75" x14ac:dyDescent="0.25">
      <c r="A182" s="13" t="s">
        <v>209</v>
      </c>
      <c r="B182" s="14" t="s">
        <v>3</v>
      </c>
      <c r="C182" s="14" t="s">
        <v>1</v>
      </c>
      <c r="D182" s="30" t="s">
        <v>210</v>
      </c>
      <c r="E182" s="15">
        <f>SUM(F182+BY182+CT182)</f>
        <v>75295423</v>
      </c>
      <c r="F182" s="16">
        <f>SUM(G182+BA182)</f>
        <v>75295423</v>
      </c>
      <c r="G182" s="16">
        <f>SUM(H182+I182+J182+Q182+T182+U182+V182+AE182)</f>
        <v>0</v>
      </c>
      <c r="H182" s="16">
        <v>0</v>
      </c>
      <c r="I182" s="16">
        <v>0</v>
      </c>
      <c r="J182" s="16">
        <f t="shared" si="238"/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f t="shared" si="239"/>
        <v>0</v>
      </c>
      <c r="R182" s="16">
        <v>0</v>
      </c>
      <c r="S182" s="16">
        <v>0</v>
      </c>
      <c r="T182" s="16">
        <v>0</v>
      </c>
      <c r="U182" s="16">
        <v>0</v>
      </c>
      <c r="V182" s="16">
        <f>SUM(W182:AD182)</f>
        <v>0</v>
      </c>
      <c r="W182" s="16">
        <v>0</v>
      </c>
      <c r="X182" s="16">
        <v>0</v>
      </c>
      <c r="Y182" s="16">
        <v>0</v>
      </c>
      <c r="Z182" s="16">
        <v>0</v>
      </c>
      <c r="AA182" s="16">
        <v>0</v>
      </c>
      <c r="AB182" s="16">
        <v>0</v>
      </c>
      <c r="AC182" s="16">
        <v>0</v>
      </c>
      <c r="AD182" s="16">
        <v>0</v>
      </c>
      <c r="AE182" s="16">
        <f>SUM(AF182:AZ182)</f>
        <v>0</v>
      </c>
      <c r="AF182" s="16">
        <v>0</v>
      </c>
      <c r="AG182" s="16">
        <v>0</v>
      </c>
      <c r="AH182" s="16">
        <v>0</v>
      </c>
      <c r="AI182" s="16">
        <v>0</v>
      </c>
      <c r="AJ182" s="16">
        <v>0</v>
      </c>
      <c r="AK182" s="16">
        <v>0</v>
      </c>
      <c r="AL182" s="16">
        <v>0</v>
      </c>
      <c r="AM182" s="16">
        <v>0</v>
      </c>
      <c r="AN182" s="16">
        <v>0</v>
      </c>
      <c r="AO182" s="16">
        <v>0</v>
      </c>
      <c r="AP182" s="16">
        <v>0</v>
      </c>
      <c r="AQ182" s="16">
        <v>0</v>
      </c>
      <c r="AR182" s="16">
        <v>0</v>
      </c>
      <c r="AS182" s="16">
        <v>0</v>
      </c>
      <c r="AT182" s="16">
        <v>0</v>
      </c>
      <c r="AU182" s="16">
        <v>0</v>
      </c>
      <c r="AV182" s="16">
        <v>0</v>
      </c>
      <c r="AW182" s="16">
        <v>0</v>
      </c>
      <c r="AX182" s="16">
        <v>0</v>
      </c>
      <c r="AY182" s="16">
        <v>0</v>
      </c>
      <c r="AZ182" s="16">
        <v>0</v>
      </c>
      <c r="BA182" s="16">
        <f>SUM(BB182+BF182+BI182+BK182+BM182)</f>
        <v>75295423</v>
      </c>
      <c r="BB182" s="16">
        <f>SUM(BC182:BE182)</f>
        <v>0</v>
      </c>
      <c r="BC182" s="16">
        <v>0</v>
      </c>
      <c r="BD182" s="16">
        <v>0</v>
      </c>
      <c r="BE182" s="16">
        <v>0</v>
      </c>
      <c r="BF182" s="16">
        <f t="shared" si="240"/>
        <v>0</v>
      </c>
      <c r="BG182" s="16">
        <v>0</v>
      </c>
      <c r="BH182" s="16">
        <v>0</v>
      </c>
      <c r="BI182" s="16">
        <v>0</v>
      </c>
      <c r="BJ182" s="16">
        <v>0</v>
      </c>
      <c r="BK182" s="16">
        <f t="shared" si="241"/>
        <v>0</v>
      </c>
      <c r="BL182" s="16">
        <v>0</v>
      </c>
      <c r="BM182" s="16">
        <f t="shared" si="242"/>
        <v>75295423</v>
      </c>
      <c r="BN182" s="16">
        <f>58511780-12828985</f>
        <v>45682795</v>
      </c>
      <c r="BO182" s="16">
        <v>0</v>
      </c>
      <c r="BP182" s="16">
        <v>0</v>
      </c>
      <c r="BQ182" s="16">
        <v>0</v>
      </c>
      <c r="BR182" s="16">
        <v>0</v>
      </c>
      <c r="BS182" s="16">
        <v>0</v>
      </c>
      <c r="BT182" s="16">
        <v>0</v>
      </c>
      <c r="BU182" s="16">
        <v>0</v>
      </c>
      <c r="BV182" s="16">
        <v>0</v>
      </c>
      <c r="BW182" s="16">
        <f>35641937-7552558</f>
        <v>28089379</v>
      </c>
      <c r="BX182" s="16">
        <v>1523249</v>
      </c>
      <c r="BY182" s="16">
        <f>SUM(BZ182+CS182)</f>
        <v>0</v>
      </c>
      <c r="BZ182" s="16">
        <f>SUM(CA182+CD182+CK182)</f>
        <v>0</v>
      </c>
      <c r="CA182" s="16">
        <f t="shared" si="243"/>
        <v>0</v>
      </c>
      <c r="CB182" s="16">
        <v>0</v>
      </c>
      <c r="CC182" s="16">
        <v>0</v>
      </c>
      <c r="CD182" s="16">
        <f t="shared" si="244"/>
        <v>0</v>
      </c>
      <c r="CE182" s="16">
        <v>0</v>
      </c>
      <c r="CF182" s="16">
        <v>0</v>
      </c>
      <c r="CG182" s="16">
        <v>0</v>
      </c>
      <c r="CH182" s="16">
        <v>0</v>
      </c>
      <c r="CI182" s="16">
        <v>0</v>
      </c>
      <c r="CJ182" s="16">
        <v>0</v>
      </c>
      <c r="CK182" s="16">
        <f t="shared" si="245"/>
        <v>0</v>
      </c>
      <c r="CL182" s="16">
        <v>0</v>
      </c>
      <c r="CM182" s="16">
        <v>0</v>
      </c>
      <c r="CN182" s="16">
        <v>0</v>
      </c>
      <c r="CO182" s="16">
        <v>0</v>
      </c>
      <c r="CP182" s="16">
        <v>0</v>
      </c>
      <c r="CQ182" s="16">
        <v>0</v>
      </c>
      <c r="CR182" s="16">
        <v>0</v>
      </c>
      <c r="CS182" s="16">
        <v>0</v>
      </c>
      <c r="CT182" s="16">
        <f t="shared" si="246"/>
        <v>0</v>
      </c>
      <c r="CU182" s="16">
        <f t="shared" si="247"/>
        <v>0</v>
      </c>
      <c r="CV182" s="16">
        <v>0</v>
      </c>
      <c r="CW182" s="17">
        <v>0</v>
      </c>
      <c r="CX182" s="40"/>
      <c r="CY182" s="40"/>
    </row>
    <row r="183" spans="1:103" ht="31.5" x14ac:dyDescent="0.25">
      <c r="A183" s="13" t="s">
        <v>209</v>
      </c>
      <c r="B183" s="14" t="s">
        <v>7</v>
      </c>
      <c r="C183" s="14" t="s">
        <v>1</v>
      </c>
      <c r="D183" s="30" t="s">
        <v>212</v>
      </c>
      <c r="E183" s="15">
        <f>SUM(F183+BY183+CT183)</f>
        <v>14299052</v>
      </c>
      <c r="F183" s="16">
        <f>SUM(G183+BA183)</f>
        <v>14299052</v>
      </c>
      <c r="G183" s="16">
        <f>SUM(H183+I183+J183+Q183+T183+U183+V183+AE183)</f>
        <v>0</v>
      </c>
      <c r="H183" s="16">
        <v>0</v>
      </c>
      <c r="I183" s="16">
        <v>0</v>
      </c>
      <c r="J183" s="16">
        <f t="shared" si="238"/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f t="shared" si="239"/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f>SUM(W183:AD183)</f>
        <v>0</v>
      </c>
      <c r="W183" s="16">
        <v>0</v>
      </c>
      <c r="X183" s="16">
        <v>0</v>
      </c>
      <c r="Y183" s="16">
        <v>0</v>
      </c>
      <c r="Z183" s="16">
        <v>0</v>
      </c>
      <c r="AA183" s="16">
        <v>0</v>
      </c>
      <c r="AB183" s="16">
        <v>0</v>
      </c>
      <c r="AC183" s="16">
        <v>0</v>
      </c>
      <c r="AD183" s="16">
        <v>0</v>
      </c>
      <c r="AE183" s="16">
        <f>SUM(AF183:AZ183)</f>
        <v>0</v>
      </c>
      <c r="AF183" s="16">
        <v>0</v>
      </c>
      <c r="AG183" s="16">
        <v>0</v>
      </c>
      <c r="AH183" s="16">
        <v>0</v>
      </c>
      <c r="AI183" s="16">
        <v>0</v>
      </c>
      <c r="AJ183" s="16">
        <v>0</v>
      </c>
      <c r="AK183" s="16">
        <v>0</v>
      </c>
      <c r="AL183" s="16">
        <v>0</v>
      </c>
      <c r="AM183" s="16">
        <v>0</v>
      </c>
      <c r="AN183" s="16">
        <v>0</v>
      </c>
      <c r="AO183" s="16">
        <v>0</v>
      </c>
      <c r="AP183" s="16">
        <v>0</v>
      </c>
      <c r="AQ183" s="16">
        <v>0</v>
      </c>
      <c r="AR183" s="16">
        <v>0</v>
      </c>
      <c r="AS183" s="16">
        <v>0</v>
      </c>
      <c r="AT183" s="16">
        <v>0</v>
      </c>
      <c r="AU183" s="16">
        <v>0</v>
      </c>
      <c r="AV183" s="16">
        <v>0</v>
      </c>
      <c r="AW183" s="16">
        <v>0</v>
      </c>
      <c r="AX183" s="16">
        <v>0</v>
      </c>
      <c r="AY183" s="16">
        <v>0</v>
      </c>
      <c r="AZ183" s="16">
        <v>0</v>
      </c>
      <c r="BA183" s="16">
        <f>SUM(BB183+BF183+BI183+BK183+BM183)</f>
        <v>14299052</v>
      </c>
      <c r="BB183" s="16">
        <f>SUM(BC183:BE183)</f>
        <v>0</v>
      </c>
      <c r="BC183" s="16">
        <v>0</v>
      </c>
      <c r="BD183" s="16">
        <v>0</v>
      </c>
      <c r="BE183" s="16">
        <v>0</v>
      </c>
      <c r="BF183" s="16">
        <f t="shared" si="240"/>
        <v>0</v>
      </c>
      <c r="BG183" s="16">
        <v>0</v>
      </c>
      <c r="BH183" s="16">
        <v>0</v>
      </c>
      <c r="BI183" s="16">
        <v>0</v>
      </c>
      <c r="BJ183" s="16">
        <v>0</v>
      </c>
      <c r="BK183" s="16">
        <f t="shared" si="241"/>
        <v>0</v>
      </c>
      <c r="BL183" s="16">
        <v>0</v>
      </c>
      <c r="BM183" s="16">
        <f t="shared" si="242"/>
        <v>14299052</v>
      </c>
      <c r="BN183" s="16">
        <v>14066856</v>
      </c>
      <c r="BO183" s="16">
        <v>0</v>
      </c>
      <c r="BP183" s="16">
        <v>0</v>
      </c>
      <c r="BQ183" s="16">
        <v>0</v>
      </c>
      <c r="BR183" s="16">
        <v>0</v>
      </c>
      <c r="BS183" s="16">
        <v>0</v>
      </c>
      <c r="BT183" s="16">
        <v>0</v>
      </c>
      <c r="BU183" s="16">
        <v>0</v>
      </c>
      <c r="BV183" s="16">
        <v>0</v>
      </c>
      <c r="BW183" s="16">
        <v>0</v>
      </c>
      <c r="BX183" s="16">
        <v>232196</v>
      </c>
      <c r="BY183" s="16">
        <f>SUM(BZ183+CS183)</f>
        <v>0</v>
      </c>
      <c r="BZ183" s="16">
        <f>SUM(CA183+CD183+CK183)</f>
        <v>0</v>
      </c>
      <c r="CA183" s="16">
        <f t="shared" si="243"/>
        <v>0</v>
      </c>
      <c r="CB183" s="16">
        <v>0</v>
      </c>
      <c r="CC183" s="16">
        <v>0</v>
      </c>
      <c r="CD183" s="16">
        <f t="shared" si="244"/>
        <v>0</v>
      </c>
      <c r="CE183" s="16">
        <v>0</v>
      </c>
      <c r="CF183" s="16">
        <v>0</v>
      </c>
      <c r="CG183" s="16">
        <v>0</v>
      </c>
      <c r="CH183" s="16">
        <v>0</v>
      </c>
      <c r="CI183" s="16">
        <v>0</v>
      </c>
      <c r="CJ183" s="16">
        <v>0</v>
      </c>
      <c r="CK183" s="16">
        <f t="shared" si="245"/>
        <v>0</v>
      </c>
      <c r="CL183" s="16">
        <v>0</v>
      </c>
      <c r="CM183" s="16">
        <v>0</v>
      </c>
      <c r="CN183" s="16">
        <v>0</v>
      </c>
      <c r="CO183" s="16">
        <v>0</v>
      </c>
      <c r="CP183" s="16">
        <v>0</v>
      </c>
      <c r="CQ183" s="16">
        <v>0</v>
      </c>
      <c r="CR183" s="16">
        <v>0</v>
      </c>
      <c r="CS183" s="16">
        <v>0</v>
      </c>
      <c r="CT183" s="16">
        <f t="shared" si="246"/>
        <v>0</v>
      </c>
      <c r="CU183" s="16">
        <f t="shared" si="247"/>
        <v>0</v>
      </c>
      <c r="CV183" s="16">
        <v>0</v>
      </c>
      <c r="CW183" s="17">
        <v>0</v>
      </c>
      <c r="CX183" s="40"/>
      <c r="CY183" s="40"/>
    </row>
    <row r="184" spans="1:103" ht="15.75" x14ac:dyDescent="0.25">
      <c r="A184" s="13" t="s">
        <v>209</v>
      </c>
      <c r="B184" s="14" t="s">
        <v>15</v>
      </c>
      <c r="C184" s="14" t="s">
        <v>1</v>
      </c>
      <c r="D184" s="30" t="s">
        <v>213</v>
      </c>
      <c r="E184" s="15">
        <f>SUM(E185:E187)</f>
        <v>27008531</v>
      </c>
      <c r="F184" s="16">
        <f t="shared" ref="F184:BS184" si="290">SUM(F185:F187)</f>
        <v>26738261</v>
      </c>
      <c r="G184" s="16">
        <f t="shared" si="290"/>
        <v>26738261</v>
      </c>
      <c r="H184" s="16">
        <f t="shared" si="290"/>
        <v>14365233</v>
      </c>
      <c r="I184" s="16">
        <f t="shared" si="290"/>
        <v>3251499</v>
      </c>
      <c r="J184" s="16">
        <f t="shared" si="290"/>
        <v>7527587</v>
      </c>
      <c r="K184" s="16">
        <f t="shared" si="290"/>
        <v>804378</v>
      </c>
      <c r="L184" s="16">
        <f t="shared" si="290"/>
        <v>1490914</v>
      </c>
      <c r="M184" s="16">
        <f t="shared" si="290"/>
        <v>4556859</v>
      </c>
      <c r="N184" s="16">
        <f t="shared" si="290"/>
        <v>0</v>
      </c>
      <c r="O184" s="16">
        <f t="shared" si="290"/>
        <v>621472</v>
      </c>
      <c r="P184" s="16">
        <f t="shared" si="290"/>
        <v>53964</v>
      </c>
      <c r="Q184" s="16">
        <f t="shared" si="290"/>
        <v>0</v>
      </c>
      <c r="R184" s="16">
        <f t="shared" si="290"/>
        <v>0</v>
      </c>
      <c r="S184" s="16">
        <f t="shared" si="290"/>
        <v>0</v>
      </c>
      <c r="T184" s="16">
        <f t="shared" si="290"/>
        <v>0</v>
      </c>
      <c r="U184" s="16">
        <f t="shared" si="290"/>
        <v>88835</v>
      </c>
      <c r="V184" s="16">
        <f t="shared" si="290"/>
        <v>892894</v>
      </c>
      <c r="W184" s="16">
        <f t="shared" si="290"/>
        <v>66525</v>
      </c>
      <c r="X184" s="16">
        <f t="shared" si="290"/>
        <v>311975</v>
      </c>
      <c r="Y184" s="16">
        <f t="shared" si="290"/>
        <v>165990</v>
      </c>
      <c r="Z184" s="16">
        <f t="shared" si="290"/>
        <v>268733</v>
      </c>
      <c r="AA184" s="16">
        <f t="shared" si="290"/>
        <v>68943</v>
      </c>
      <c r="AB184" s="16">
        <f t="shared" si="290"/>
        <v>0</v>
      </c>
      <c r="AC184" s="16">
        <f t="shared" si="290"/>
        <v>0</v>
      </c>
      <c r="AD184" s="16">
        <f t="shared" ref="AD184" si="291">SUM(AD185:AD187)</f>
        <v>10728</v>
      </c>
      <c r="AE184" s="16">
        <f t="shared" si="290"/>
        <v>612213</v>
      </c>
      <c r="AF184" s="16">
        <f t="shared" si="290"/>
        <v>0</v>
      </c>
      <c r="AG184" s="16">
        <f t="shared" si="290"/>
        <v>0</v>
      </c>
      <c r="AH184" s="16">
        <f t="shared" si="290"/>
        <v>94902</v>
      </c>
      <c r="AI184" s="16">
        <f t="shared" si="290"/>
        <v>0</v>
      </c>
      <c r="AJ184" s="16">
        <f t="shared" si="290"/>
        <v>7955</v>
      </c>
      <c r="AK184" s="16">
        <f t="shared" si="290"/>
        <v>0</v>
      </c>
      <c r="AL184" s="16">
        <f t="shared" si="290"/>
        <v>158557</v>
      </c>
      <c r="AM184" s="16">
        <f t="shared" si="290"/>
        <v>0</v>
      </c>
      <c r="AN184" s="16">
        <f t="shared" si="290"/>
        <v>0</v>
      </c>
      <c r="AO184" s="16">
        <f t="shared" si="290"/>
        <v>0</v>
      </c>
      <c r="AP184" s="16">
        <f>SUM(AP185:AP187)</f>
        <v>0</v>
      </c>
      <c r="AQ184" s="16">
        <f t="shared" si="290"/>
        <v>0</v>
      </c>
      <c r="AR184" s="16">
        <f t="shared" si="290"/>
        <v>30733</v>
      </c>
      <c r="AS184" s="16">
        <f t="shared" si="290"/>
        <v>145000</v>
      </c>
      <c r="AT184" s="16">
        <f t="shared" si="290"/>
        <v>0</v>
      </c>
      <c r="AU184" s="16">
        <f t="shared" si="290"/>
        <v>0</v>
      </c>
      <c r="AV184" s="16">
        <f t="shared" si="290"/>
        <v>174251</v>
      </c>
      <c r="AW184" s="16">
        <f t="shared" si="290"/>
        <v>0</v>
      </c>
      <c r="AX184" s="16">
        <f t="shared" si="290"/>
        <v>0</v>
      </c>
      <c r="AY184" s="16">
        <f t="shared" si="290"/>
        <v>0</v>
      </c>
      <c r="AZ184" s="16">
        <f t="shared" si="290"/>
        <v>815</v>
      </c>
      <c r="BA184" s="16">
        <f t="shared" si="290"/>
        <v>0</v>
      </c>
      <c r="BB184" s="16">
        <f t="shared" si="290"/>
        <v>0</v>
      </c>
      <c r="BC184" s="16">
        <f t="shared" si="290"/>
        <v>0</v>
      </c>
      <c r="BD184" s="16">
        <f t="shared" si="290"/>
        <v>0</v>
      </c>
      <c r="BE184" s="16">
        <f t="shared" si="290"/>
        <v>0</v>
      </c>
      <c r="BF184" s="16">
        <f t="shared" si="290"/>
        <v>0</v>
      </c>
      <c r="BG184" s="16">
        <f t="shared" si="290"/>
        <v>0</v>
      </c>
      <c r="BH184" s="16">
        <f t="shared" si="290"/>
        <v>0</v>
      </c>
      <c r="BI184" s="16">
        <f t="shared" si="290"/>
        <v>0</v>
      </c>
      <c r="BJ184" s="16">
        <f t="shared" si="290"/>
        <v>0</v>
      </c>
      <c r="BK184" s="16">
        <f t="shared" si="290"/>
        <v>0</v>
      </c>
      <c r="BL184" s="16">
        <f t="shared" si="290"/>
        <v>0</v>
      </c>
      <c r="BM184" s="16">
        <f t="shared" si="290"/>
        <v>0</v>
      </c>
      <c r="BN184" s="16">
        <f t="shared" si="290"/>
        <v>0</v>
      </c>
      <c r="BO184" s="16">
        <f t="shared" si="290"/>
        <v>0</v>
      </c>
      <c r="BP184" s="16">
        <f t="shared" si="290"/>
        <v>0</v>
      </c>
      <c r="BQ184" s="16">
        <f t="shared" si="290"/>
        <v>0</v>
      </c>
      <c r="BR184" s="16">
        <f t="shared" si="290"/>
        <v>0</v>
      </c>
      <c r="BS184" s="16">
        <f t="shared" si="290"/>
        <v>0</v>
      </c>
      <c r="BT184" s="16">
        <f t="shared" ref="BT184:CW184" si="292">SUM(BT185:BT187)</f>
        <v>0</v>
      </c>
      <c r="BU184" s="16">
        <f t="shared" si="292"/>
        <v>0</v>
      </c>
      <c r="BV184" s="16">
        <f t="shared" si="292"/>
        <v>0</v>
      </c>
      <c r="BW184" s="16">
        <f t="shared" si="292"/>
        <v>0</v>
      </c>
      <c r="BX184" s="16">
        <f t="shared" si="292"/>
        <v>0</v>
      </c>
      <c r="BY184" s="16">
        <f t="shared" si="292"/>
        <v>270270</v>
      </c>
      <c r="BZ184" s="16">
        <f t="shared" si="292"/>
        <v>270270</v>
      </c>
      <c r="CA184" s="16">
        <f t="shared" si="292"/>
        <v>270270</v>
      </c>
      <c r="CB184" s="16">
        <f t="shared" si="292"/>
        <v>0</v>
      </c>
      <c r="CC184" s="16">
        <f t="shared" si="292"/>
        <v>270270</v>
      </c>
      <c r="CD184" s="16">
        <f t="shared" si="292"/>
        <v>0</v>
      </c>
      <c r="CE184" s="16">
        <f t="shared" si="292"/>
        <v>0</v>
      </c>
      <c r="CF184" s="16">
        <f>SUM(CF185:CF187)</f>
        <v>0</v>
      </c>
      <c r="CG184" s="16">
        <f t="shared" si="292"/>
        <v>0</v>
      </c>
      <c r="CH184" s="16">
        <f t="shared" si="292"/>
        <v>0</v>
      </c>
      <c r="CI184" s="16">
        <f t="shared" si="292"/>
        <v>0</v>
      </c>
      <c r="CJ184" s="16">
        <f t="shared" ref="CJ184" si="293">SUM(CJ185:CJ187)</f>
        <v>0</v>
      </c>
      <c r="CK184" s="16">
        <f t="shared" si="292"/>
        <v>0</v>
      </c>
      <c r="CL184" s="16">
        <f t="shared" si="292"/>
        <v>0</v>
      </c>
      <c r="CM184" s="16">
        <f>SUM(CM185:CM187)</f>
        <v>0</v>
      </c>
      <c r="CN184" s="16">
        <f t="shared" si="292"/>
        <v>0</v>
      </c>
      <c r="CO184" s="16">
        <f t="shared" si="292"/>
        <v>0</v>
      </c>
      <c r="CP184" s="16">
        <f t="shared" si="292"/>
        <v>0</v>
      </c>
      <c r="CQ184" s="16">
        <f t="shared" si="292"/>
        <v>0</v>
      </c>
      <c r="CR184" s="16">
        <f t="shared" si="292"/>
        <v>0</v>
      </c>
      <c r="CS184" s="16">
        <f t="shared" si="292"/>
        <v>0</v>
      </c>
      <c r="CT184" s="16">
        <f t="shared" si="292"/>
        <v>0</v>
      </c>
      <c r="CU184" s="16">
        <f t="shared" si="292"/>
        <v>0</v>
      </c>
      <c r="CV184" s="16">
        <f t="shared" si="292"/>
        <v>0</v>
      </c>
      <c r="CW184" s="17">
        <f t="shared" si="292"/>
        <v>0</v>
      </c>
      <c r="CX184" s="40"/>
      <c r="CY184" s="40"/>
    </row>
    <row r="185" spans="1:103" ht="15.75" x14ac:dyDescent="0.25">
      <c r="A185" s="13" t="s">
        <v>1</v>
      </c>
      <c r="B185" s="14" t="s">
        <v>1</v>
      </c>
      <c r="C185" s="14" t="s">
        <v>19</v>
      </c>
      <c r="D185" s="30" t="s">
        <v>214</v>
      </c>
      <c r="E185" s="15">
        <f>SUM(F185+BY185+CT185)</f>
        <v>4604588</v>
      </c>
      <c r="F185" s="16">
        <f>SUM(G185+BA185)</f>
        <v>4553323</v>
      </c>
      <c r="G185" s="16">
        <f>SUM(H185+I185+J185+Q185+T185+U185+V185+AE185)</f>
        <v>4553323</v>
      </c>
      <c r="H185" s="16">
        <v>2776462</v>
      </c>
      <c r="I185" s="16">
        <v>646150</v>
      </c>
      <c r="J185" s="16">
        <f t="shared" si="238"/>
        <v>925348</v>
      </c>
      <c r="K185" s="16">
        <v>88148</v>
      </c>
      <c r="L185" s="16">
        <v>87580</v>
      </c>
      <c r="M185" s="16">
        <v>607263</v>
      </c>
      <c r="N185" s="16">
        <v>0</v>
      </c>
      <c r="O185" s="16">
        <v>130196</v>
      </c>
      <c r="P185" s="16">
        <v>12161</v>
      </c>
      <c r="Q185" s="16">
        <f t="shared" si="239"/>
        <v>0</v>
      </c>
      <c r="R185" s="16">
        <v>0</v>
      </c>
      <c r="S185" s="16">
        <v>0</v>
      </c>
      <c r="T185" s="16">
        <v>0</v>
      </c>
      <c r="U185" s="16">
        <v>17869</v>
      </c>
      <c r="V185" s="16">
        <f>SUM(W185:AD185)</f>
        <v>59489</v>
      </c>
      <c r="W185" s="16">
        <v>5364</v>
      </c>
      <c r="X185" s="16">
        <v>12360</v>
      </c>
      <c r="Y185" s="16">
        <v>19773</v>
      </c>
      <c r="Z185" s="16">
        <v>11762</v>
      </c>
      <c r="AA185" s="16">
        <v>6018</v>
      </c>
      <c r="AB185" s="16">
        <v>0</v>
      </c>
      <c r="AC185" s="16">
        <v>0</v>
      </c>
      <c r="AD185" s="16">
        <v>4212</v>
      </c>
      <c r="AE185" s="16">
        <f>SUM(AF185:AZ185)</f>
        <v>128005</v>
      </c>
      <c r="AF185" s="16">
        <v>0</v>
      </c>
      <c r="AG185" s="16">
        <v>0</v>
      </c>
      <c r="AH185" s="16">
        <v>7391</v>
      </c>
      <c r="AI185" s="16">
        <v>0</v>
      </c>
      <c r="AJ185" s="16">
        <v>1591</v>
      </c>
      <c r="AK185" s="16">
        <v>0</v>
      </c>
      <c r="AL185" s="16">
        <v>30290</v>
      </c>
      <c r="AM185" s="16">
        <v>0</v>
      </c>
      <c r="AN185" s="16">
        <v>0</v>
      </c>
      <c r="AO185" s="16">
        <v>0</v>
      </c>
      <c r="AP185" s="16">
        <v>0</v>
      </c>
      <c r="AQ185" s="16">
        <v>0</v>
      </c>
      <c r="AR185" s="16">
        <v>30733</v>
      </c>
      <c r="AS185" s="16">
        <v>58000</v>
      </c>
      <c r="AT185" s="16">
        <v>0</v>
      </c>
      <c r="AU185" s="16">
        <v>0</v>
      </c>
      <c r="AV185" s="16">
        <v>0</v>
      </c>
      <c r="AW185" s="16">
        <v>0</v>
      </c>
      <c r="AX185" s="16">
        <v>0</v>
      </c>
      <c r="AY185" s="16">
        <v>0</v>
      </c>
      <c r="AZ185" s="16">
        <v>0</v>
      </c>
      <c r="BA185" s="16">
        <f>SUM(BB185+BF185+BI185+BK185+BM185)</f>
        <v>0</v>
      </c>
      <c r="BB185" s="16">
        <f>SUM(BC185:BE185)</f>
        <v>0</v>
      </c>
      <c r="BC185" s="16">
        <v>0</v>
      </c>
      <c r="BD185" s="16">
        <v>0</v>
      </c>
      <c r="BE185" s="16">
        <v>0</v>
      </c>
      <c r="BF185" s="16">
        <f t="shared" si="240"/>
        <v>0</v>
      </c>
      <c r="BG185" s="16">
        <v>0</v>
      </c>
      <c r="BH185" s="16">
        <v>0</v>
      </c>
      <c r="BI185" s="16">
        <v>0</v>
      </c>
      <c r="BJ185" s="16">
        <v>0</v>
      </c>
      <c r="BK185" s="16">
        <f t="shared" si="241"/>
        <v>0</v>
      </c>
      <c r="BL185" s="16">
        <v>0</v>
      </c>
      <c r="BM185" s="16">
        <f t="shared" si="242"/>
        <v>0</v>
      </c>
      <c r="BN185" s="16">
        <v>0</v>
      </c>
      <c r="BO185" s="16">
        <v>0</v>
      </c>
      <c r="BP185" s="16">
        <v>0</v>
      </c>
      <c r="BQ185" s="16">
        <v>0</v>
      </c>
      <c r="BR185" s="16">
        <v>0</v>
      </c>
      <c r="BS185" s="16">
        <v>0</v>
      </c>
      <c r="BT185" s="16">
        <v>0</v>
      </c>
      <c r="BU185" s="16">
        <v>0</v>
      </c>
      <c r="BV185" s="16">
        <v>0</v>
      </c>
      <c r="BW185" s="16">
        <v>0</v>
      </c>
      <c r="BX185" s="16">
        <v>0</v>
      </c>
      <c r="BY185" s="16">
        <f>SUM(BZ185+CS185)</f>
        <v>51265</v>
      </c>
      <c r="BZ185" s="16">
        <f>SUM(CA185+CD185+CK185)</f>
        <v>51265</v>
      </c>
      <c r="CA185" s="16">
        <f t="shared" si="243"/>
        <v>51265</v>
      </c>
      <c r="CB185" s="16">
        <v>0</v>
      </c>
      <c r="CC185" s="16">
        <v>51265</v>
      </c>
      <c r="CD185" s="16">
        <f t="shared" si="244"/>
        <v>0</v>
      </c>
      <c r="CE185" s="16">
        <v>0</v>
      </c>
      <c r="CF185" s="16">
        <v>0</v>
      </c>
      <c r="CG185" s="16">
        <v>0</v>
      </c>
      <c r="CH185" s="16">
        <v>0</v>
      </c>
      <c r="CI185" s="16">
        <v>0</v>
      </c>
      <c r="CJ185" s="16">
        <v>0</v>
      </c>
      <c r="CK185" s="16">
        <f t="shared" si="245"/>
        <v>0</v>
      </c>
      <c r="CL185" s="16">
        <v>0</v>
      </c>
      <c r="CM185" s="16">
        <v>0</v>
      </c>
      <c r="CN185" s="16">
        <v>0</v>
      </c>
      <c r="CO185" s="16">
        <v>0</v>
      </c>
      <c r="CP185" s="16">
        <v>0</v>
      </c>
      <c r="CQ185" s="16">
        <v>0</v>
      </c>
      <c r="CR185" s="16">
        <v>0</v>
      </c>
      <c r="CS185" s="16">
        <v>0</v>
      </c>
      <c r="CT185" s="16">
        <f t="shared" si="246"/>
        <v>0</v>
      </c>
      <c r="CU185" s="16">
        <f t="shared" si="247"/>
        <v>0</v>
      </c>
      <c r="CV185" s="16">
        <v>0</v>
      </c>
      <c r="CW185" s="17">
        <v>0</v>
      </c>
      <c r="CX185" s="40"/>
      <c r="CY185" s="40"/>
    </row>
    <row r="186" spans="1:103" ht="31.5" x14ac:dyDescent="0.25">
      <c r="A186" s="13" t="s">
        <v>1</v>
      </c>
      <c r="B186" s="14" t="s">
        <v>1</v>
      </c>
      <c r="C186" s="14" t="s">
        <v>19</v>
      </c>
      <c r="D186" s="30" t="s">
        <v>215</v>
      </c>
      <c r="E186" s="15">
        <f>SUM(F186+BY186+CT186)</f>
        <v>21680108</v>
      </c>
      <c r="F186" s="16">
        <f>SUM(G186+BA186)</f>
        <v>21473581</v>
      </c>
      <c r="G186" s="16">
        <f>SUM(H186+I186+J186+Q186+T186+U186+V186+AE186)</f>
        <v>21473581</v>
      </c>
      <c r="H186" s="16">
        <v>11060244</v>
      </c>
      <c r="I186" s="16">
        <v>2493914</v>
      </c>
      <c r="J186" s="16">
        <f t="shared" si="238"/>
        <v>6551501</v>
      </c>
      <c r="K186" s="16">
        <v>716230</v>
      </c>
      <c r="L186" s="16">
        <v>1403334</v>
      </c>
      <c r="M186" s="16">
        <v>3949596</v>
      </c>
      <c r="N186" s="16">
        <v>0</v>
      </c>
      <c r="O186" s="16">
        <v>441677</v>
      </c>
      <c r="P186" s="16">
        <v>40664</v>
      </c>
      <c r="Q186" s="16">
        <f t="shared" si="239"/>
        <v>0</v>
      </c>
      <c r="R186" s="16">
        <v>0</v>
      </c>
      <c r="S186" s="16">
        <v>0</v>
      </c>
      <c r="T186" s="16">
        <v>0</v>
      </c>
      <c r="U186" s="16">
        <v>60191</v>
      </c>
      <c r="V186" s="16">
        <f>SUM(W186:AD186)</f>
        <v>832174</v>
      </c>
      <c r="W186" s="16">
        <v>61161</v>
      </c>
      <c r="X186" s="16">
        <v>298806</v>
      </c>
      <c r="Y186" s="16">
        <v>145923</v>
      </c>
      <c r="Z186" s="16">
        <v>256843</v>
      </c>
      <c r="AA186" s="16">
        <v>62925</v>
      </c>
      <c r="AB186" s="16">
        <v>0</v>
      </c>
      <c r="AC186" s="16">
        <v>0</v>
      </c>
      <c r="AD186" s="16">
        <v>6516</v>
      </c>
      <c r="AE186" s="16">
        <f>SUM(AF186:AZ186)</f>
        <v>475557</v>
      </c>
      <c r="AF186" s="16">
        <v>0</v>
      </c>
      <c r="AG186" s="16">
        <v>0</v>
      </c>
      <c r="AH186" s="16">
        <v>86793</v>
      </c>
      <c r="AI186" s="16">
        <v>0</v>
      </c>
      <c r="AJ186" s="16">
        <v>4773</v>
      </c>
      <c r="AK186" s="16">
        <v>0</v>
      </c>
      <c r="AL186" s="16">
        <v>122028</v>
      </c>
      <c r="AM186" s="16">
        <v>0</v>
      </c>
      <c r="AN186" s="16">
        <v>0</v>
      </c>
      <c r="AO186" s="16">
        <v>0</v>
      </c>
      <c r="AP186" s="16">
        <v>0</v>
      </c>
      <c r="AQ186" s="16">
        <v>0</v>
      </c>
      <c r="AR186" s="16">
        <v>0</v>
      </c>
      <c r="AS186" s="16">
        <v>87000</v>
      </c>
      <c r="AT186" s="16">
        <v>0</v>
      </c>
      <c r="AU186" s="16">
        <v>0</v>
      </c>
      <c r="AV186" s="16">
        <v>174251</v>
      </c>
      <c r="AW186" s="16">
        <v>0</v>
      </c>
      <c r="AX186" s="16">
        <v>0</v>
      </c>
      <c r="AY186" s="16">
        <v>0</v>
      </c>
      <c r="AZ186" s="16">
        <v>712</v>
      </c>
      <c r="BA186" s="16">
        <f>SUM(BB186+BF186+BI186+BK186+BM186)</f>
        <v>0</v>
      </c>
      <c r="BB186" s="16">
        <f>SUM(BC186:BE186)</f>
        <v>0</v>
      </c>
      <c r="BC186" s="16">
        <v>0</v>
      </c>
      <c r="BD186" s="16">
        <v>0</v>
      </c>
      <c r="BE186" s="16">
        <v>0</v>
      </c>
      <c r="BF186" s="16">
        <f t="shared" si="240"/>
        <v>0</v>
      </c>
      <c r="BG186" s="16">
        <v>0</v>
      </c>
      <c r="BH186" s="16">
        <v>0</v>
      </c>
      <c r="BI186" s="16">
        <v>0</v>
      </c>
      <c r="BJ186" s="16">
        <v>0</v>
      </c>
      <c r="BK186" s="16">
        <f t="shared" si="241"/>
        <v>0</v>
      </c>
      <c r="BL186" s="16">
        <v>0</v>
      </c>
      <c r="BM186" s="16">
        <f t="shared" si="242"/>
        <v>0</v>
      </c>
      <c r="BN186" s="16">
        <v>0</v>
      </c>
      <c r="BO186" s="16">
        <v>0</v>
      </c>
      <c r="BP186" s="16">
        <v>0</v>
      </c>
      <c r="BQ186" s="16">
        <v>0</v>
      </c>
      <c r="BR186" s="16">
        <v>0</v>
      </c>
      <c r="BS186" s="16">
        <v>0</v>
      </c>
      <c r="BT186" s="16">
        <v>0</v>
      </c>
      <c r="BU186" s="16">
        <v>0</v>
      </c>
      <c r="BV186" s="16">
        <v>0</v>
      </c>
      <c r="BW186" s="16">
        <v>0</v>
      </c>
      <c r="BX186" s="16">
        <v>0</v>
      </c>
      <c r="BY186" s="16">
        <f>SUM(BZ186+CS186)</f>
        <v>206527</v>
      </c>
      <c r="BZ186" s="16">
        <f>SUM(CA186+CD186+CK186)</f>
        <v>206527</v>
      </c>
      <c r="CA186" s="16">
        <f t="shared" si="243"/>
        <v>206527</v>
      </c>
      <c r="CB186" s="16">
        <v>0</v>
      </c>
      <c r="CC186" s="16">
        <v>206527</v>
      </c>
      <c r="CD186" s="16">
        <f t="shared" si="244"/>
        <v>0</v>
      </c>
      <c r="CE186" s="16">
        <v>0</v>
      </c>
      <c r="CF186" s="16">
        <v>0</v>
      </c>
      <c r="CG186" s="16">
        <v>0</v>
      </c>
      <c r="CH186" s="16">
        <v>0</v>
      </c>
      <c r="CI186" s="16">
        <v>0</v>
      </c>
      <c r="CJ186" s="16">
        <v>0</v>
      </c>
      <c r="CK186" s="16">
        <f t="shared" si="245"/>
        <v>0</v>
      </c>
      <c r="CL186" s="16">
        <v>0</v>
      </c>
      <c r="CM186" s="16">
        <v>0</v>
      </c>
      <c r="CN186" s="16">
        <v>0</v>
      </c>
      <c r="CO186" s="16">
        <v>0</v>
      </c>
      <c r="CP186" s="16">
        <v>0</v>
      </c>
      <c r="CQ186" s="16">
        <v>0</v>
      </c>
      <c r="CR186" s="16">
        <v>0</v>
      </c>
      <c r="CS186" s="16">
        <v>0</v>
      </c>
      <c r="CT186" s="16">
        <f t="shared" si="246"/>
        <v>0</v>
      </c>
      <c r="CU186" s="16">
        <f t="shared" si="247"/>
        <v>0</v>
      </c>
      <c r="CV186" s="16">
        <v>0</v>
      </c>
      <c r="CW186" s="17">
        <v>0</v>
      </c>
      <c r="CX186" s="40"/>
      <c r="CY186" s="40"/>
    </row>
    <row r="187" spans="1:103" ht="31.5" x14ac:dyDescent="0.25">
      <c r="A187" s="13" t="s">
        <v>1</v>
      </c>
      <c r="B187" s="14" t="s">
        <v>1</v>
      </c>
      <c r="C187" s="14" t="s">
        <v>19</v>
      </c>
      <c r="D187" s="30" t="s">
        <v>216</v>
      </c>
      <c r="E187" s="15">
        <f>SUM(F187+BY187+CT187)</f>
        <v>723835</v>
      </c>
      <c r="F187" s="16">
        <f>SUM(G187+BA187)</f>
        <v>711357</v>
      </c>
      <c r="G187" s="16">
        <f>SUM(H187+I187+J187+Q187+T187+U187+V187+AE187)</f>
        <v>711357</v>
      </c>
      <c r="H187" s="16">
        <v>528527</v>
      </c>
      <c r="I187" s="16">
        <v>111435</v>
      </c>
      <c r="J187" s="16">
        <f t="shared" si="238"/>
        <v>50738</v>
      </c>
      <c r="K187" s="16">
        <v>0</v>
      </c>
      <c r="L187" s="16">
        <v>0</v>
      </c>
      <c r="M187" s="16">
        <v>0</v>
      </c>
      <c r="N187" s="16">
        <v>0</v>
      </c>
      <c r="O187" s="16">
        <v>49599</v>
      </c>
      <c r="P187" s="16">
        <v>1139</v>
      </c>
      <c r="Q187" s="16">
        <f t="shared" si="239"/>
        <v>0</v>
      </c>
      <c r="R187" s="16">
        <v>0</v>
      </c>
      <c r="S187" s="16">
        <v>0</v>
      </c>
      <c r="T187" s="16">
        <v>0</v>
      </c>
      <c r="U187" s="16">
        <v>10775</v>
      </c>
      <c r="V187" s="16">
        <f>SUM(W187:AD187)</f>
        <v>1231</v>
      </c>
      <c r="W187" s="16">
        <v>0</v>
      </c>
      <c r="X187" s="16">
        <v>809</v>
      </c>
      <c r="Y187" s="16">
        <v>294</v>
      </c>
      <c r="Z187" s="16">
        <v>128</v>
      </c>
      <c r="AA187" s="16">
        <v>0</v>
      </c>
      <c r="AB187" s="16">
        <v>0</v>
      </c>
      <c r="AC187" s="16">
        <v>0</v>
      </c>
      <c r="AD187" s="16">
        <v>0</v>
      </c>
      <c r="AE187" s="16">
        <f>SUM(AF187:AZ187)</f>
        <v>8651</v>
      </c>
      <c r="AF187" s="16">
        <v>0</v>
      </c>
      <c r="AG187" s="16">
        <v>0</v>
      </c>
      <c r="AH187" s="16">
        <v>718</v>
      </c>
      <c r="AI187" s="16">
        <v>0</v>
      </c>
      <c r="AJ187" s="16">
        <v>1591</v>
      </c>
      <c r="AK187" s="16">
        <v>0</v>
      </c>
      <c r="AL187" s="16">
        <v>6239</v>
      </c>
      <c r="AM187" s="16">
        <v>0</v>
      </c>
      <c r="AN187" s="16">
        <v>0</v>
      </c>
      <c r="AO187" s="16">
        <v>0</v>
      </c>
      <c r="AP187" s="16">
        <v>0</v>
      </c>
      <c r="AQ187" s="16">
        <v>0</v>
      </c>
      <c r="AR187" s="16">
        <v>0</v>
      </c>
      <c r="AS187" s="16">
        <v>0</v>
      </c>
      <c r="AT187" s="16">
        <v>0</v>
      </c>
      <c r="AU187" s="16">
        <v>0</v>
      </c>
      <c r="AV187" s="16">
        <v>0</v>
      </c>
      <c r="AW187" s="16">
        <v>0</v>
      </c>
      <c r="AX187" s="16">
        <v>0</v>
      </c>
      <c r="AY187" s="16">
        <v>0</v>
      </c>
      <c r="AZ187" s="16">
        <v>103</v>
      </c>
      <c r="BA187" s="16">
        <f>SUM(BB187+BF187+BI187+BK187+BM187)</f>
        <v>0</v>
      </c>
      <c r="BB187" s="16">
        <f>SUM(BC187:BE187)</f>
        <v>0</v>
      </c>
      <c r="BC187" s="16">
        <v>0</v>
      </c>
      <c r="BD187" s="16">
        <v>0</v>
      </c>
      <c r="BE187" s="16">
        <v>0</v>
      </c>
      <c r="BF187" s="16">
        <f t="shared" si="240"/>
        <v>0</v>
      </c>
      <c r="BG187" s="16">
        <v>0</v>
      </c>
      <c r="BH187" s="16">
        <v>0</v>
      </c>
      <c r="BI187" s="16">
        <v>0</v>
      </c>
      <c r="BJ187" s="16">
        <v>0</v>
      </c>
      <c r="BK187" s="16">
        <f t="shared" si="241"/>
        <v>0</v>
      </c>
      <c r="BL187" s="16">
        <v>0</v>
      </c>
      <c r="BM187" s="16">
        <f t="shared" si="242"/>
        <v>0</v>
      </c>
      <c r="BN187" s="16">
        <v>0</v>
      </c>
      <c r="BO187" s="16">
        <v>0</v>
      </c>
      <c r="BP187" s="16">
        <v>0</v>
      </c>
      <c r="BQ187" s="16">
        <v>0</v>
      </c>
      <c r="BR187" s="16">
        <v>0</v>
      </c>
      <c r="BS187" s="16">
        <v>0</v>
      </c>
      <c r="BT187" s="16">
        <v>0</v>
      </c>
      <c r="BU187" s="16">
        <v>0</v>
      </c>
      <c r="BV187" s="16">
        <v>0</v>
      </c>
      <c r="BW187" s="16">
        <v>0</v>
      </c>
      <c r="BX187" s="16">
        <v>0</v>
      </c>
      <c r="BY187" s="16">
        <f>SUM(BZ187+CS187)</f>
        <v>12478</v>
      </c>
      <c r="BZ187" s="16">
        <f>SUM(CA187+CD187+CK187)</f>
        <v>12478</v>
      </c>
      <c r="CA187" s="16">
        <f t="shared" si="243"/>
        <v>12478</v>
      </c>
      <c r="CB187" s="16">
        <v>0</v>
      </c>
      <c r="CC187" s="16">
        <v>12478</v>
      </c>
      <c r="CD187" s="16">
        <f t="shared" si="244"/>
        <v>0</v>
      </c>
      <c r="CE187" s="16">
        <v>0</v>
      </c>
      <c r="CF187" s="16">
        <v>0</v>
      </c>
      <c r="CG187" s="16">
        <v>0</v>
      </c>
      <c r="CH187" s="16">
        <v>0</v>
      </c>
      <c r="CI187" s="16">
        <v>0</v>
      </c>
      <c r="CJ187" s="16">
        <v>0</v>
      </c>
      <c r="CK187" s="16">
        <f t="shared" si="245"/>
        <v>0</v>
      </c>
      <c r="CL187" s="16">
        <v>0</v>
      </c>
      <c r="CM187" s="16">
        <v>0</v>
      </c>
      <c r="CN187" s="16">
        <v>0</v>
      </c>
      <c r="CO187" s="16">
        <v>0</v>
      </c>
      <c r="CP187" s="16">
        <v>0</v>
      </c>
      <c r="CQ187" s="16">
        <v>0</v>
      </c>
      <c r="CR187" s="16">
        <v>0</v>
      </c>
      <c r="CS187" s="16">
        <v>0</v>
      </c>
      <c r="CT187" s="16">
        <f t="shared" si="246"/>
        <v>0</v>
      </c>
      <c r="CU187" s="16">
        <f t="shared" si="247"/>
        <v>0</v>
      </c>
      <c r="CV187" s="16">
        <v>0</v>
      </c>
      <c r="CW187" s="17">
        <v>0</v>
      </c>
      <c r="CX187" s="40"/>
      <c r="CY187" s="40"/>
    </row>
    <row r="188" spans="1:103" ht="15.75" x14ac:dyDescent="0.25">
      <c r="A188" s="13" t="s">
        <v>209</v>
      </c>
      <c r="B188" s="14" t="s">
        <v>47</v>
      </c>
      <c r="C188" s="14" t="s">
        <v>1</v>
      </c>
      <c r="D188" s="30" t="s">
        <v>217</v>
      </c>
      <c r="E188" s="15">
        <f>SUM(E189)</f>
        <v>196397239</v>
      </c>
      <c r="F188" s="16">
        <f t="shared" ref="F188:BS188" si="294">SUM(F189)</f>
        <v>196397239</v>
      </c>
      <c r="G188" s="16">
        <f t="shared" si="294"/>
        <v>0</v>
      </c>
      <c r="H188" s="16">
        <f t="shared" si="294"/>
        <v>0</v>
      </c>
      <c r="I188" s="16">
        <f t="shared" si="294"/>
        <v>0</v>
      </c>
      <c r="J188" s="16">
        <f t="shared" si="294"/>
        <v>0</v>
      </c>
      <c r="K188" s="16">
        <f t="shared" si="294"/>
        <v>0</v>
      </c>
      <c r="L188" s="16">
        <f t="shared" si="294"/>
        <v>0</v>
      </c>
      <c r="M188" s="16">
        <f t="shared" si="294"/>
        <v>0</v>
      </c>
      <c r="N188" s="16">
        <f t="shared" si="294"/>
        <v>0</v>
      </c>
      <c r="O188" s="16">
        <f t="shared" si="294"/>
        <v>0</v>
      </c>
      <c r="P188" s="16">
        <f t="shared" si="294"/>
        <v>0</v>
      </c>
      <c r="Q188" s="16">
        <f t="shared" si="294"/>
        <v>0</v>
      </c>
      <c r="R188" s="16">
        <f t="shared" si="294"/>
        <v>0</v>
      </c>
      <c r="S188" s="16">
        <f t="shared" si="294"/>
        <v>0</v>
      </c>
      <c r="T188" s="16">
        <f t="shared" si="294"/>
        <v>0</v>
      </c>
      <c r="U188" s="16">
        <f t="shared" si="294"/>
        <v>0</v>
      </c>
      <c r="V188" s="16">
        <f t="shared" si="294"/>
        <v>0</v>
      </c>
      <c r="W188" s="16">
        <f t="shared" si="294"/>
        <v>0</v>
      </c>
      <c r="X188" s="16">
        <f t="shared" si="294"/>
        <v>0</v>
      </c>
      <c r="Y188" s="16">
        <f t="shared" si="294"/>
        <v>0</v>
      </c>
      <c r="Z188" s="16">
        <f t="shared" si="294"/>
        <v>0</v>
      </c>
      <c r="AA188" s="16">
        <f t="shared" si="294"/>
        <v>0</v>
      </c>
      <c r="AB188" s="16">
        <f t="shared" si="294"/>
        <v>0</v>
      </c>
      <c r="AC188" s="16">
        <f t="shared" si="294"/>
        <v>0</v>
      </c>
      <c r="AD188" s="16">
        <f t="shared" si="294"/>
        <v>0</v>
      </c>
      <c r="AE188" s="16">
        <f t="shared" si="294"/>
        <v>0</v>
      </c>
      <c r="AF188" s="16">
        <f t="shared" si="294"/>
        <v>0</v>
      </c>
      <c r="AG188" s="16">
        <f t="shared" si="294"/>
        <v>0</v>
      </c>
      <c r="AH188" s="16">
        <f t="shared" si="294"/>
        <v>0</v>
      </c>
      <c r="AI188" s="16">
        <f t="shared" si="294"/>
        <v>0</v>
      </c>
      <c r="AJ188" s="16">
        <f t="shared" si="294"/>
        <v>0</v>
      </c>
      <c r="AK188" s="16">
        <f t="shared" si="294"/>
        <v>0</v>
      </c>
      <c r="AL188" s="16">
        <f t="shared" si="294"/>
        <v>0</v>
      </c>
      <c r="AM188" s="16">
        <f t="shared" si="294"/>
        <v>0</v>
      </c>
      <c r="AN188" s="16">
        <f t="shared" si="294"/>
        <v>0</v>
      </c>
      <c r="AO188" s="16">
        <f t="shared" si="294"/>
        <v>0</v>
      </c>
      <c r="AP188" s="16">
        <f t="shared" si="294"/>
        <v>0</v>
      </c>
      <c r="AQ188" s="16">
        <f t="shared" si="294"/>
        <v>0</v>
      </c>
      <c r="AR188" s="16">
        <f t="shared" si="294"/>
        <v>0</v>
      </c>
      <c r="AS188" s="16">
        <f t="shared" si="294"/>
        <v>0</v>
      </c>
      <c r="AT188" s="16">
        <f t="shared" si="294"/>
        <v>0</v>
      </c>
      <c r="AU188" s="16">
        <f t="shared" si="294"/>
        <v>0</v>
      </c>
      <c r="AV188" s="16">
        <f t="shared" si="294"/>
        <v>0</v>
      </c>
      <c r="AW188" s="16">
        <f t="shared" si="294"/>
        <v>0</v>
      </c>
      <c r="AX188" s="16">
        <f t="shared" si="294"/>
        <v>0</v>
      </c>
      <c r="AY188" s="16">
        <f t="shared" si="294"/>
        <v>0</v>
      </c>
      <c r="AZ188" s="16">
        <f t="shared" si="294"/>
        <v>0</v>
      </c>
      <c r="BA188" s="16">
        <f t="shared" si="294"/>
        <v>196397239</v>
      </c>
      <c r="BB188" s="16">
        <f t="shared" si="294"/>
        <v>0</v>
      </c>
      <c r="BC188" s="16">
        <f t="shared" si="294"/>
        <v>0</v>
      </c>
      <c r="BD188" s="16">
        <f t="shared" si="294"/>
        <v>0</v>
      </c>
      <c r="BE188" s="16">
        <f t="shared" si="294"/>
        <v>0</v>
      </c>
      <c r="BF188" s="16">
        <f t="shared" si="294"/>
        <v>0</v>
      </c>
      <c r="BG188" s="16">
        <f t="shared" si="294"/>
        <v>0</v>
      </c>
      <c r="BH188" s="16">
        <f t="shared" si="294"/>
        <v>0</v>
      </c>
      <c r="BI188" s="16">
        <f t="shared" si="294"/>
        <v>0</v>
      </c>
      <c r="BJ188" s="16">
        <f t="shared" si="294"/>
        <v>0</v>
      </c>
      <c r="BK188" s="16">
        <f t="shared" si="294"/>
        <v>0</v>
      </c>
      <c r="BL188" s="16">
        <f t="shared" si="294"/>
        <v>0</v>
      </c>
      <c r="BM188" s="16">
        <f t="shared" si="294"/>
        <v>196397239</v>
      </c>
      <c r="BN188" s="16">
        <f t="shared" si="294"/>
        <v>0</v>
      </c>
      <c r="BO188" s="16">
        <f t="shared" si="294"/>
        <v>0</v>
      </c>
      <c r="BP188" s="16">
        <f t="shared" si="294"/>
        <v>0</v>
      </c>
      <c r="BQ188" s="16">
        <f t="shared" si="294"/>
        <v>0</v>
      </c>
      <c r="BR188" s="16">
        <f t="shared" si="294"/>
        <v>0</v>
      </c>
      <c r="BS188" s="16">
        <f t="shared" si="294"/>
        <v>0</v>
      </c>
      <c r="BT188" s="16">
        <f t="shared" ref="BT188:CW188" si="295">SUM(BT189)</f>
        <v>167368528</v>
      </c>
      <c r="BU188" s="16">
        <f t="shared" si="295"/>
        <v>0</v>
      </c>
      <c r="BV188" s="16">
        <f t="shared" si="295"/>
        <v>0</v>
      </c>
      <c r="BW188" s="16">
        <f t="shared" si="295"/>
        <v>29028711</v>
      </c>
      <c r="BX188" s="16">
        <f t="shared" si="295"/>
        <v>0</v>
      </c>
      <c r="BY188" s="16">
        <f t="shared" si="295"/>
        <v>0</v>
      </c>
      <c r="BZ188" s="16">
        <f t="shared" si="295"/>
        <v>0</v>
      </c>
      <c r="CA188" s="16">
        <f t="shared" si="295"/>
        <v>0</v>
      </c>
      <c r="CB188" s="16">
        <f t="shared" si="295"/>
        <v>0</v>
      </c>
      <c r="CC188" s="16">
        <f t="shared" si="295"/>
        <v>0</v>
      </c>
      <c r="CD188" s="16">
        <f t="shared" si="295"/>
        <v>0</v>
      </c>
      <c r="CE188" s="16">
        <f t="shared" si="295"/>
        <v>0</v>
      </c>
      <c r="CF188" s="16">
        <f t="shared" si="295"/>
        <v>0</v>
      </c>
      <c r="CG188" s="16">
        <f t="shared" si="295"/>
        <v>0</v>
      </c>
      <c r="CH188" s="16">
        <f t="shared" si="295"/>
        <v>0</v>
      </c>
      <c r="CI188" s="16">
        <f t="shared" si="295"/>
        <v>0</v>
      </c>
      <c r="CJ188" s="16">
        <f t="shared" si="295"/>
        <v>0</v>
      </c>
      <c r="CK188" s="16">
        <f t="shared" si="295"/>
        <v>0</v>
      </c>
      <c r="CL188" s="16">
        <f t="shared" si="295"/>
        <v>0</v>
      </c>
      <c r="CM188" s="16">
        <f t="shared" si="295"/>
        <v>0</v>
      </c>
      <c r="CN188" s="16">
        <f t="shared" si="295"/>
        <v>0</v>
      </c>
      <c r="CO188" s="16">
        <f t="shared" si="295"/>
        <v>0</v>
      </c>
      <c r="CP188" s="16">
        <f t="shared" si="295"/>
        <v>0</v>
      </c>
      <c r="CQ188" s="16">
        <f t="shared" si="295"/>
        <v>0</v>
      </c>
      <c r="CR188" s="16">
        <f t="shared" si="295"/>
        <v>0</v>
      </c>
      <c r="CS188" s="16">
        <f t="shared" si="295"/>
        <v>0</v>
      </c>
      <c r="CT188" s="16">
        <f t="shared" si="295"/>
        <v>0</v>
      </c>
      <c r="CU188" s="16">
        <f t="shared" si="295"/>
        <v>0</v>
      </c>
      <c r="CV188" s="16">
        <f t="shared" si="295"/>
        <v>0</v>
      </c>
      <c r="CW188" s="17">
        <f t="shared" si="295"/>
        <v>0</v>
      </c>
      <c r="CX188" s="40"/>
      <c r="CY188" s="40"/>
    </row>
    <row r="189" spans="1:103" ht="15.75" x14ac:dyDescent="0.25">
      <c r="A189" s="13" t="s">
        <v>1</v>
      </c>
      <c r="B189" s="14" t="s">
        <v>1</v>
      </c>
      <c r="C189" s="14" t="s">
        <v>19</v>
      </c>
      <c r="D189" s="30" t="s">
        <v>218</v>
      </c>
      <c r="E189" s="15">
        <f>SUM(F189+BY189+CT189)</f>
        <v>196397239</v>
      </c>
      <c r="F189" s="16">
        <f>SUM(G189+BA189)</f>
        <v>196397239</v>
      </c>
      <c r="G189" s="16">
        <f>SUM(H189+I189+J189+Q189+T189+U189+V189+AE189)</f>
        <v>0</v>
      </c>
      <c r="H189" s="16">
        <v>0</v>
      </c>
      <c r="I189" s="16">
        <v>0</v>
      </c>
      <c r="J189" s="16">
        <f t="shared" si="238"/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f t="shared" si="239"/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f>SUM(W189:AD189)</f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  <c r="AB189" s="16">
        <v>0</v>
      </c>
      <c r="AC189" s="16">
        <v>0</v>
      </c>
      <c r="AD189" s="16">
        <v>0</v>
      </c>
      <c r="AE189" s="16">
        <f>SUM(AF189:AZ189)</f>
        <v>0</v>
      </c>
      <c r="AF189" s="16">
        <v>0</v>
      </c>
      <c r="AG189" s="16">
        <v>0</v>
      </c>
      <c r="AH189" s="16">
        <v>0</v>
      </c>
      <c r="AI189" s="16">
        <v>0</v>
      </c>
      <c r="AJ189" s="16">
        <v>0</v>
      </c>
      <c r="AK189" s="16">
        <v>0</v>
      </c>
      <c r="AL189" s="16">
        <v>0</v>
      </c>
      <c r="AM189" s="16">
        <v>0</v>
      </c>
      <c r="AN189" s="16">
        <v>0</v>
      </c>
      <c r="AO189" s="16">
        <v>0</v>
      </c>
      <c r="AP189" s="16">
        <v>0</v>
      </c>
      <c r="AQ189" s="16">
        <v>0</v>
      </c>
      <c r="AR189" s="16">
        <v>0</v>
      </c>
      <c r="AS189" s="16">
        <v>0</v>
      </c>
      <c r="AT189" s="16">
        <v>0</v>
      </c>
      <c r="AU189" s="16">
        <v>0</v>
      </c>
      <c r="AV189" s="16">
        <v>0</v>
      </c>
      <c r="AW189" s="16">
        <v>0</v>
      </c>
      <c r="AX189" s="16">
        <v>0</v>
      </c>
      <c r="AY189" s="16">
        <v>0</v>
      </c>
      <c r="AZ189" s="16">
        <v>0</v>
      </c>
      <c r="BA189" s="16">
        <f>SUM(BB189+BF189+BI189+BK189+BM189)</f>
        <v>196397239</v>
      </c>
      <c r="BB189" s="16">
        <f>SUM(BC189:BE189)</f>
        <v>0</v>
      </c>
      <c r="BC189" s="16">
        <v>0</v>
      </c>
      <c r="BD189" s="16">
        <v>0</v>
      </c>
      <c r="BE189" s="16">
        <v>0</v>
      </c>
      <c r="BF189" s="16">
        <f t="shared" si="240"/>
        <v>0</v>
      </c>
      <c r="BG189" s="16">
        <v>0</v>
      </c>
      <c r="BH189" s="16">
        <v>0</v>
      </c>
      <c r="BI189" s="16">
        <v>0</v>
      </c>
      <c r="BJ189" s="16">
        <v>0</v>
      </c>
      <c r="BK189" s="16">
        <f t="shared" si="241"/>
        <v>0</v>
      </c>
      <c r="BL189" s="16">
        <v>0</v>
      </c>
      <c r="BM189" s="16">
        <f t="shared" si="242"/>
        <v>196397239</v>
      </c>
      <c r="BN189" s="16">
        <v>0</v>
      </c>
      <c r="BO189" s="16">
        <v>0</v>
      </c>
      <c r="BP189" s="16">
        <v>0</v>
      </c>
      <c r="BQ189" s="16">
        <v>0</v>
      </c>
      <c r="BR189" s="16">
        <v>0</v>
      </c>
      <c r="BS189" s="16">
        <v>0</v>
      </c>
      <c r="BT189" s="16">
        <f>187167526-19798998</f>
        <v>167368528</v>
      </c>
      <c r="BU189" s="16">
        <v>0</v>
      </c>
      <c r="BV189" s="16">
        <v>0</v>
      </c>
      <c r="BW189" s="16">
        <f>30422549-1393838</f>
        <v>29028711</v>
      </c>
      <c r="BX189" s="16">
        <v>0</v>
      </c>
      <c r="BY189" s="16">
        <f>SUM(BZ189+CS189)</f>
        <v>0</v>
      </c>
      <c r="BZ189" s="16">
        <f>SUM(CA189+CD189+CK189)</f>
        <v>0</v>
      </c>
      <c r="CA189" s="16">
        <f t="shared" si="243"/>
        <v>0</v>
      </c>
      <c r="CB189" s="16">
        <v>0</v>
      </c>
      <c r="CC189" s="16">
        <v>0</v>
      </c>
      <c r="CD189" s="16">
        <f t="shared" si="244"/>
        <v>0</v>
      </c>
      <c r="CE189" s="16">
        <v>0</v>
      </c>
      <c r="CF189" s="16">
        <v>0</v>
      </c>
      <c r="CG189" s="16">
        <v>0</v>
      </c>
      <c r="CH189" s="16">
        <v>0</v>
      </c>
      <c r="CI189" s="16">
        <v>0</v>
      </c>
      <c r="CJ189" s="16">
        <v>0</v>
      </c>
      <c r="CK189" s="16">
        <f t="shared" si="245"/>
        <v>0</v>
      </c>
      <c r="CL189" s="16">
        <v>0</v>
      </c>
      <c r="CM189" s="16">
        <v>0</v>
      </c>
      <c r="CN189" s="16">
        <v>0</v>
      </c>
      <c r="CO189" s="16">
        <v>0</v>
      </c>
      <c r="CP189" s="16">
        <v>0</v>
      </c>
      <c r="CQ189" s="16">
        <v>0</v>
      </c>
      <c r="CR189" s="16">
        <v>0</v>
      </c>
      <c r="CS189" s="16">
        <v>0</v>
      </c>
      <c r="CT189" s="16">
        <f t="shared" si="246"/>
        <v>0</v>
      </c>
      <c r="CU189" s="16">
        <f t="shared" si="247"/>
        <v>0</v>
      </c>
      <c r="CV189" s="16">
        <v>0</v>
      </c>
      <c r="CW189" s="17">
        <v>0</v>
      </c>
      <c r="CX189" s="40"/>
      <c r="CY189" s="40"/>
    </row>
    <row r="190" spans="1:103" ht="15.75" x14ac:dyDescent="0.25">
      <c r="A190" s="13" t="s">
        <v>209</v>
      </c>
      <c r="B190" s="14" t="s">
        <v>117</v>
      </c>
      <c r="C190" s="14" t="s">
        <v>1</v>
      </c>
      <c r="D190" s="30" t="s">
        <v>219</v>
      </c>
      <c r="E190" s="15">
        <f t="shared" ref="E190:AJ190" si="296">SUM(E191)</f>
        <v>14134363</v>
      </c>
      <c r="F190" s="16">
        <f t="shared" si="296"/>
        <v>14134363</v>
      </c>
      <c r="G190" s="16">
        <f t="shared" si="296"/>
        <v>0</v>
      </c>
      <c r="H190" s="16">
        <f t="shared" si="296"/>
        <v>0</v>
      </c>
      <c r="I190" s="16">
        <f t="shared" si="296"/>
        <v>0</v>
      </c>
      <c r="J190" s="16">
        <f t="shared" si="296"/>
        <v>0</v>
      </c>
      <c r="K190" s="16">
        <f t="shared" si="296"/>
        <v>0</v>
      </c>
      <c r="L190" s="16">
        <f t="shared" si="296"/>
        <v>0</v>
      </c>
      <c r="M190" s="16">
        <f t="shared" si="296"/>
        <v>0</v>
      </c>
      <c r="N190" s="16">
        <f t="shared" si="296"/>
        <v>0</v>
      </c>
      <c r="O190" s="16">
        <f t="shared" si="296"/>
        <v>0</v>
      </c>
      <c r="P190" s="16">
        <f t="shared" si="296"/>
        <v>0</v>
      </c>
      <c r="Q190" s="16">
        <f t="shared" si="296"/>
        <v>0</v>
      </c>
      <c r="R190" s="16">
        <f t="shared" si="296"/>
        <v>0</v>
      </c>
      <c r="S190" s="16">
        <f t="shared" si="296"/>
        <v>0</v>
      </c>
      <c r="T190" s="16">
        <f t="shared" si="296"/>
        <v>0</v>
      </c>
      <c r="U190" s="16">
        <f t="shared" si="296"/>
        <v>0</v>
      </c>
      <c r="V190" s="16">
        <f t="shared" si="296"/>
        <v>0</v>
      </c>
      <c r="W190" s="16">
        <f t="shared" si="296"/>
        <v>0</v>
      </c>
      <c r="X190" s="16">
        <f t="shared" si="296"/>
        <v>0</v>
      </c>
      <c r="Y190" s="16">
        <f t="shared" si="296"/>
        <v>0</v>
      </c>
      <c r="Z190" s="16">
        <f t="shared" si="296"/>
        <v>0</v>
      </c>
      <c r="AA190" s="16">
        <f t="shared" si="296"/>
        <v>0</v>
      </c>
      <c r="AB190" s="16">
        <f t="shared" si="296"/>
        <v>0</v>
      </c>
      <c r="AC190" s="16">
        <f t="shared" si="296"/>
        <v>0</v>
      </c>
      <c r="AD190" s="16">
        <f t="shared" si="296"/>
        <v>0</v>
      </c>
      <c r="AE190" s="16">
        <f t="shared" si="296"/>
        <v>0</v>
      </c>
      <c r="AF190" s="16">
        <f t="shared" si="296"/>
        <v>0</v>
      </c>
      <c r="AG190" s="16">
        <f t="shared" si="296"/>
        <v>0</v>
      </c>
      <c r="AH190" s="16">
        <f t="shared" si="296"/>
        <v>0</v>
      </c>
      <c r="AI190" s="16">
        <f t="shared" si="296"/>
        <v>0</v>
      </c>
      <c r="AJ190" s="16">
        <f t="shared" si="296"/>
        <v>0</v>
      </c>
      <c r="AK190" s="16">
        <f t="shared" ref="AK190:BR190" si="297">SUM(AK191)</f>
        <v>0</v>
      </c>
      <c r="AL190" s="16">
        <f t="shared" si="297"/>
        <v>0</v>
      </c>
      <c r="AM190" s="16">
        <f t="shared" si="297"/>
        <v>0</v>
      </c>
      <c r="AN190" s="16">
        <f t="shared" si="297"/>
        <v>0</v>
      </c>
      <c r="AO190" s="16">
        <f t="shared" si="297"/>
        <v>0</v>
      </c>
      <c r="AP190" s="16">
        <f t="shared" si="297"/>
        <v>0</v>
      </c>
      <c r="AQ190" s="16">
        <f t="shared" si="297"/>
        <v>0</v>
      </c>
      <c r="AR190" s="16">
        <f t="shared" si="297"/>
        <v>0</v>
      </c>
      <c r="AS190" s="16">
        <f t="shared" si="297"/>
        <v>0</v>
      </c>
      <c r="AT190" s="16">
        <f t="shared" si="297"/>
        <v>0</v>
      </c>
      <c r="AU190" s="16">
        <f t="shared" si="297"/>
        <v>0</v>
      </c>
      <c r="AV190" s="16">
        <f t="shared" si="297"/>
        <v>0</v>
      </c>
      <c r="AW190" s="16">
        <f t="shared" si="297"/>
        <v>0</v>
      </c>
      <c r="AX190" s="16">
        <f t="shared" si="297"/>
        <v>0</v>
      </c>
      <c r="AY190" s="16">
        <f t="shared" si="297"/>
        <v>0</v>
      </c>
      <c r="AZ190" s="16">
        <f t="shared" si="297"/>
        <v>0</v>
      </c>
      <c r="BA190" s="16">
        <f t="shared" si="297"/>
        <v>14134363</v>
      </c>
      <c r="BB190" s="16">
        <f t="shared" si="297"/>
        <v>0</v>
      </c>
      <c r="BC190" s="16">
        <f t="shared" si="297"/>
        <v>0</v>
      </c>
      <c r="BD190" s="16">
        <f t="shared" si="297"/>
        <v>0</v>
      </c>
      <c r="BE190" s="16">
        <f t="shared" si="297"/>
        <v>0</v>
      </c>
      <c r="BF190" s="16">
        <f t="shared" si="297"/>
        <v>0</v>
      </c>
      <c r="BG190" s="16">
        <f t="shared" si="297"/>
        <v>0</v>
      </c>
      <c r="BH190" s="16">
        <f t="shared" si="297"/>
        <v>0</v>
      </c>
      <c r="BI190" s="16">
        <f t="shared" si="297"/>
        <v>0</v>
      </c>
      <c r="BJ190" s="16">
        <f t="shared" si="297"/>
        <v>0</v>
      </c>
      <c r="BK190" s="16">
        <f t="shared" si="297"/>
        <v>0</v>
      </c>
      <c r="BL190" s="16">
        <f t="shared" si="297"/>
        <v>0</v>
      </c>
      <c r="BM190" s="16">
        <f t="shared" si="297"/>
        <v>14134363</v>
      </c>
      <c r="BN190" s="16">
        <f t="shared" si="297"/>
        <v>0</v>
      </c>
      <c r="BO190" s="16">
        <f t="shared" si="297"/>
        <v>0</v>
      </c>
      <c r="BP190" s="16">
        <f t="shared" si="297"/>
        <v>0</v>
      </c>
      <c r="BQ190" s="16">
        <f t="shared" si="297"/>
        <v>14134363</v>
      </c>
      <c r="BR190" s="16">
        <f t="shared" si="297"/>
        <v>0</v>
      </c>
      <c r="BS190" s="16">
        <f t="shared" ref="BS190:CW190" si="298">SUM(BS191)</f>
        <v>0</v>
      </c>
      <c r="BT190" s="16">
        <f t="shared" si="298"/>
        <v>0</v>
      </c>
      <c r="BU190" s="16">
        <f t="shared" si="298"/>
        <v>0</v>
      </c>
      <c r="BV190" s="16">
        <f t="shared" si="298"/>
        <v>0</v>
      </c>
      <c r="BW190" s="16">
        <f t="shared" si="298"/>
        <v>0</v>
      </c>
      <c r="BX190" s="16">
        <f t="shared" si="298"/>
        <v>0</v>
      </c>
      <c r="BY190" s="16">
        <f t="shared" si="298"/>
        <v>0</v>
      </c>
      <c r="BZ190" s="16">
        <f t="shared" si="298"/>
        <v>0</v>
      </c>
      <c r="CA190" s="16">
        <f t="shared" si="298"/>
        <v>0</v>
      </c>
      <c r="CB190" s="16">
        <f t="shared" si="298"/>
        <v>0</v>
      </c>
      <c r="CC190" s="16">
        <f t="shared" si="298"/>
        <v>0</v>
      </c>
      <c r="CD190" s="16">
        <f t="shared" si="298"/>
        <v>0</v>
      </c>
      <c r="CE190" s="16">
        <f t="shared" si="298"/>
        <v>0</v>
      </c>
      <c r="CF190" s="16">
        <f t="shared" si="298"/>
        <v>0</v>
      </c>
      <c r="CG190" s="16">
        <f t="shared" si="298"/>
        <v>0</v>
      </c>
      <c r="CH190" s="16">
        <f t="shared" si="298"/>
        <v>0</v>
      </c>
      <c r="CI190" s="16">
        <f t="shared" si="298"/>
        <v>0</v>
      </c>
      <c r="CJ190" s="16">
        <f t="shared" si="298"/>
        <v>0</v>
      </c>
      <c r="CK190" s="16">
        <f t="shared" si="298"/>
        <v>0</v>
      </c>
      <c r="CL190" s="16">
        <f t="shared" si="298"/>
        <v>0</v>
      </c>
      <c r="CM190" s="16">
        <f t="shared" si="298"/>
        <v>0</v>
      </c>
      <c r="CN190" s="16">
        <f t="shared" si="298"/>
        <v>0</v>
      </c>
      <c r="CO190" s="16">
        <f t="shared" si="298"/>
        <v>0</v>
      </c>
      <c r="CP190" s="16">
        <f t="shared" si="298"/>
        <v>0</v>
      </c>
      <c r="CQ190" s="16">
        <f t="shared" si="298"/>
        <v>0</v>
      </c>
      <c r="CR190" s="16">
        <f t="shared" si="298"/>
        <v>0</v>
      </c>
      <c r="CS190" s="16">
        <f t="shared" si="298"/>
        <v>0</v>
      </c>
      <c r="CT190" s="16">
        <f t="shared" si="298"/>
        <v>0</v>
      </c>
      <c r="CU190" s="16">
        <f t="shared" si="298"/>
        <v>0</v>
      </c>
      <c r="CV190" s="16">
        <f t="shared" si="298"/>
        <v>0</v>
      </c>
      <c r="CW190" s="17">
        <f t="shared" si="298"/>
        <v>0</v>
      </c>
      <c r="CX190" s="40"/>
      <c r="CY190" s="40"/>
    </row>
    <row r="191" spans="1:103" ht="15.75" x14ac:dyDescent="0.25">
      <c r="A191" s="13" t="s">
        <v>1</v>
      </c>
      <c r="B191" s="14" t="s">
        <v>1</v>
      </c>
      <c r="C191" s="14" t="s">
        <v>43</v>
      </c>
      <c r="D191" s="30" t="s">
        <v>220</v>
      </c>
      <c r="E191" s="15">
        <f>SUM(F191+BY191+CT191)</f>
        <v>14134363</v>
      </c>
      <c r="F191" s="16">
        <f>SUM(G191+BA191)</f>
        <v>14134363</v>
      </c>
      <c r="G191" s="16">
        <f>SUM(H191+I191+J191+Q191+T191+U191+V191+AE191)</f>
        <v>0</v>
      </c>
      <c r="H191" s="16">
        <v>0</v>
      </c>
      <c r="I191" s="16">
        <v>0</v>
      </c>
      <c r="J191" s="16">
        <f t="shared" si="238"/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f t="shared" si="239"/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f>SUM(W191:AD191)</f>
        <v>0</v>
      </c>
      <c r="W191" s="16">
        <v>0</v>
      </c>
      <c r="X191" s="16">
        <v>0</v>
      </c>
      <c r="Y191" s="16">
        <v>0</v>
      </c>
      <c r="Z191" s="16">
        <v>0</v>
      </c>
      <c r="AA191" s="16">
        <v>0</v>
      </c>
      <c r="AB191" s="16">
        <v>0</v>
      </c>
      <c r="AC191" s="16">
        <v>0</v>
      </c>
      <c r="AD191" s="16">
        <v>0</v>
      </c>
      <c r="AE191" s="16">
        <f>SUM(AF191:AZ191)</f>
        <v>0</v>
      </c>
      <c r="AF191" s="16">
        <v>0</v>
      </c>
      <c r="AG191" s="16">
        <v>0</v>
      </c>
      <c r="AH191" s="16">
        <v>0</v>
      </c>
      <c r="AI191" s="16">
        <v>0</v>
      </c>
      <c r="AJ191" s="16">
        <v>0</v>
      </c>
      <c r="AK191" s="16">
        <v>0</v>
      </c>
      <c r="AL191" s="16">
        <v>0</v>
      </c>
      <c r="AM191" s="16">
        <v>0</v>
      </c>
      <c r="AN191" s="16">
        <v>0</v>
      </c>
      <c r="AO191" s="16">
        <v>0</v>
      </c>
      <c r="AP191" s="16">
        <v>0</v>
      </c>
      <c r="AQ191" s="16">
        <v>0</v>
      </c>
      <c r="AR191" s="16">
        <v>0</v>
      </c>
      <c r="AS191" s="16">
        <v>0</v>
      </c>
      <c r="AT191" s="16">
        <v>0</v>
      </c>
      <c r="AU191" s="16">
        <v>0</v>
      </c>
      <c r="AV191" s="16">
        <v>0</v>
      </c>
      <c r="AW191" s="16">
        <v>0</v>
      </c>
      <c r="AX191" s="16">
        <v>0</v>
      </c>
      <c r="AY191" s="16">
        <v>0</v>
      </c>
      <c r="AZ191" s="16">
        <v>0</v>
      </c>
      <c r="BA191" s="16">
        <f>SUM(BB191+BF191+BI191+BK191+BM191)</f>
        <v>14134363</v>
      </c>
      <c r="BB191" s="16">
        <f>SUM(BC191:BE191)</f>
        <v>0</v>
      </c>
      <c r="BC191" s="16">
        <v>0</v>
      </c>
      <c r="BD191" s="16">
        <v>0</v>
      </c>
      <c r="BE191" s="16">
        <v>0</v>
      </c>
      <c r="BF191" s="16">
        <f t="shared" si="240"/>
        <v>0</v>
      </c>
      <c r="BG191" s="16">
        <v>0</v>
      </c>
      <c r="BH191" s="16">
        <v>0</v>
      </c>
      <c r="BI191" s="16">
        <v>0</v>
      </c>
      <c r="BJ191" s="16">
        <v>0</v>
      </c>
      <c r="BK191" s="16">
        <f t="shared" si="241"/>
        <v>0</v>
      </c>
      <c r="BL191" s="16">
        <v>0</v>
      </c>
      <c r="BM191" s="16">
        <f t="shared" si="242"/>
        <v>14134363</v>
      </c>
      <c r="BN191" s="16">
        <v>0</v>
      </c>
      <c r="BO191" s="16">
        <v>0</v>
      </c>
      <c r="BP191" s="16">
        <v>0</v>
      </c>
      <c r="BQ191" s="16">
        <v>14134363</v>
      </c>
      <c r="BR191" s="16">
        <v>0</v>
      </c>
      <c r="BS191" s="16">
        <v>0</v>
      </c>
      <c r="BT191" s="16">
        <v>0</v>
      </c>
      <c r="BU191" s="16">
        <v>0</v>
      </c>
      <c r="BV191" s="16">
        <v>0</v>
      </c>
      <c r="BW191" s="16">
        <v>0</v>
      </c>
      <c r="BX191" s="16">
        <v>0</v>
      </c>
      <c r="BY191" s="16">
        <f>SUM(BZ191+CS191)</f>
        <v>0</v>
      </c>
      <c r="BZ191" s="16">
        <f>SUM(CA191+CD191+CK191)</f>
        <v>0</v>
      </c>
      <c r="CA191" s="16">
        <f t="shared" si="243"/>
        <v>0</v>
      </c>
      <c r="CB191" s="16">
        <v>0</v>
      </c>
      <c r="CC191" s="16">
        <v>0</v>
      </c>
      <c r="CD191" s="16">
        <f t="shared" si="244"/>
        <v>0</v>
      </c>
      <c r="CE191" s="16">
        <v>0</v>
      </c>
      <c r="CF191" s="16">
        <v>0</v>
      </c>
      <c r="CG191" s="16">
        <v>0</v>
      </c>
      <c r="CH191" s="16">
        <v>0</v>
      </c>
      <c r="CI191" s="16">
        <v>0</v>
      </c>
      <c r="CJ191" s="16">
        <v>0</v>
      </c>
      <c r="CK191" s="16">
        <f t="shared" si="245"/>
        <v>0</v>
      </c>
      <c r="CL191" s="16">
        <v>0</v>
      </c>
      <c r="CM191" s="16">
        <v>0</v>
      </c>
      <c r="CN191" s="16">
        <v>0</v>
      </c>
      <c r="CO191" s="16">
        <v>0</v>
      </c>
      <c r="CP191" s="16">
        <v>0</v>
      </c>
      <c r="CQ191" s="16">
        <v>0</v>
      </c>
      <c r="CR191" s="16">
        <v>0</v>
      </c>
      <c r="CS191" s="16">
        <v>0</v>
      </c>
      <c r="CT191" s="16">
        <f t="shared" si="246"/>
        <v>0</v>
      </c>
      <c r="CU191" s="16">
        <f t="shared" si="247"/>
        <v>0</v>
      </c>
      <c r="CV191" s="16">
        <v>0</v>
      </c>
      <c r="CW191" s="17">
        <v>0</v>
      </c>
      <c r="CX191" s="40"/>
      <c r="CY191" s="40"/>
    </row>
    <row r="192" spans="1:103" ht="31.5" x14ac:dyDescent="0.25">
      <c r="A192" s="13" t="s">
        <v>209</v>
      </c>
      <c r="B192" s="14" t="s">
        <v>100</v>
      </c>
      <c r="C192" s="14" t="s">
        <v>1</v>
      </c>
      <c r="D192" s="30" t="s">
        <v>221</v>
      </c>
      <c r="E192" s="15">
        <f t="shared" ref="E192:AJ192" si="299">SUM(E193)</f>
        <v>100000</v>
      </c>
      <c r="F192" s="16">
        <f t="shared" si="299"/>
        <v>100000</v>
      </c>
      <c r="G192" s="16">
        <f t="shared" si="299"/>
        <v>0</v>
      </c>
      <c r="H192" s="16">
        <f t="shared" si="299"/>
        <v>0</v>
      </c>
      <c r="I192" s="16">
        <f t="shared" si="299"/>
        <v>0</v>
      </c>
      <c r="J192" s="16">
        <f t="shared" si="299"/>
        <v>0</v>
      </c>
      <c r="K192" s="16">
        <f t="shared" si="299"/>
        <v>0</v>
      </c>
      <c r="L192" s="16">
        <f t="shared" si="299"/>
        <v>0</v>
      </c>
      <c r="M192" s="16">
        <f t="shared" si="299"/>
        <v>0</v>
      </c>
      <c r="N192" s="16">
        <f t="shared" si="299"/>
        <v>0</v>
      </c>
      <c r="O192" s="16">
        <f t="shared" si="299"/>
        <v>0</v>
      </c>
      <c r="P192" s="16">
        <f t="shared" si="299"/>
        <v>0</v>
      </c>
      <c r="Q192" s="16">
        <f t="shared" si="299"/>
        <v>0</v>
      </c>
      <c r="R192" s="16">
        <f t="shared" si="299"/>
        <v>0</v>
      </c>
      <c r="S192" s="16">
        <f t="shared" si="299"/>
        <v>0</v>
      </c>
      <c r="T192" s="16">
        <f t="shared" si="299"/>
        <v>0</v>
      </c>
      <c r="U192" s="16">
        <f t="shared" si="299"/>
        <v>0</v>
      </c>
      <c r="V192" s="16">
        <f t="shared" si="299"/>
        <v>0</v>
      </c>
      <c r="W192" s="16">
        <f t="shared" si="299"/>
        <v>0</v>
      </c>
      <c r="X192" s="16">
        <f t="shared" si="299"/>
        <v>0</v>
      </c>
      <c r="Y192" s="16">
        <f t="shared" si="299"/>
        <v>0</v>
      </c>
      <c r="Z192" s="16">
        <f t="shared" si="299"/>
        <v>0</v>
      </c>
      <c r="AA192" s="16">
        <f t="shared" si="299"/>
        <v>0</v>
      </c>
      <c r="AB192" s="16">
        <f t="shared" si="299"/>
        <v>0</v>
      </c>
      <c r="AC192" s="16">
        <f t="shared" si="299"/>
        <v>0</v>
      </c>
      <c r="AD192" s="16">
        <f t="shared" si="299"/>
        <v>0</v>
      </c>
      <c r="AE192" s="16">
        <f t="shared" si="299"/>
        <v>0</v>
      </c>
      <c r="AF192" s="16">
        <f t="shared" si="299"/>
        <v>0</v>
      </c>
      <c r="AG192" s="16">
        <f t="shared" si="299"/>
        <v>0</v>
      </c>
      <c r="AH192" s="16">
        <f t="shared" si="299"/>
        <v>0</v>
      </c>
      <c r="AI192" s="16">
        <f t="shared" si="299"/>
        <v>0</v>
      </c>
      <c r="AJ192" s="16">
        <f t="shared" si="299"/>
        <v>0</v>
      </c>
      <c r="AK192" s="16">
        <f t="shared" ref="AK192:BR192" si="300">SUM(AK193)</f>
        <v>0</v>
      </c>
      <c r="AL192" s="16">
        <f t="shared" si="300"/>
        <v>0</v>
      </c>
      <c r="AM192" s="16">
        <f t="shared" si="300"/>
        <v>0</v>
      </c>
      <c r="AN192" s="16">
        <f t="shared" si="300"/>
        <v>0</v>
      </c>
      <c r="AO192" s="16">
        <f t="shared" si="300"/>
        <v>0</v>
      </c>
      <c r="AP192" s="16">
        <f t="shared" si="300"/>
        <v>0</v>
      </c>
      <c r="AQ192" s="16">
        <f t="shared" si="300"/>
        <v>0</v>
      </c>
      <c r="AR192" s="16">
        <f t="shared" si="300"/>
        <v>0</v>
      </c>
      <c r="AS192" s="16">
        <f t="shared" si="300"/>
        <v>0</v>
      </c>
      <c r="AT192" s="16">
        <f t="shared" si="300"/>
        <v>0</v>
      </c>
      <c r="AU192" s="16">
        <f t="shared" si="300"/>
        <v>0</v>
      </c>
      <c r="AV192" s="16">
        <f t="shared" si="300"/>
        <v>0</v>
      </c>
      <c r="AW192" s="16">
        <f t="shared" si="300"/>
        <v>0</v>
      </c>
      <c r="AX192" s="16">
        <f t="shared" si="300"/>
        <v>0</v>
      </c>
      <c r="AY192" s="16">
        <f t="shared" si="300"/>
        <v>0</v>
      </c>
      <c r="AZ192" s="16">
        <f t="shared" si="300"/>
        <v>0</v>
      </c>
      <c r="BA192" s="16">
        <f t="shared" si="300"/>
        <v>100000</v>
      </c>
      <c r="BB192" s="16">
        <f t="shared" si="300"/>
        <v>0</v>
      </c>
      <c r="BC192" s="16">
        <f t="shared" si="300"/>
        <v>0</v>
      </c>
      <c r="BD192" s="16">
        <f t="shared" si="300"/>
        <v>0</v>
      </c>
      <c r="BE192" s="16">
        <f t="shared" si="300"/>
        <v>0</v>
      </c>
      <c r="BF192" s="16">
        <f t="shared" si="300"/>
        <v>0</v>
      </c>
      <c r="BG192" s="16">
        <f t="shared" si="300"/>
        <v>0</v>
      </c>
      <c r="BH192" s="16">
        <f t="shared" si="300"/>
        <v>0</v>
      </c>
      <c r="BI192" s="16">
        <f t="shared" si="300"/>
        <v>0</v>
      </c>
      <c r="BJ192" s="16">
        <f t="shared" si="300"/>
        <v>0</v>
      </c>
      <c r="BK192" s="16">
        <f t="shared" si="300"/>
        <v>0</v>
      </c>
      <c r="BL192" s="16">
        <f t="shared" si="300"/>
        <v>0</v>
      </c>
      <c r="BM192" s="16">
        <f t="shared" si="300"/>
        <v>100000</v>
      </c>
      <c r="BN192" s="16">
        <f t="shared" si="300"/>
        <v>0</v>
      </c>
      <c r="BO192" s="16">
        <f t="shared" si="300"/>
        <v>0</v>
      </c>
      <c r="BP192" s="16">
        <f t="shared" si="300"/>
        <v>0</v>
      </c>
      <c r="BQ192" s="16">
        <f t="shared" si="300"/>
        <v>0</v>
      </c>
      <c r="BR192" s="16">
        <f t="shared" si="300"/>
        <v>100000</v>
      </c>
      <c r="BS192" s="16">
        <f t="shared" ref="BS192:CW192" si="301">SUM(BS193)</f>
        <v>0</v>
      </c>
      <c r="BT192" s="16">
        <f t="shared" si="301"/>
        <v>0</v>
      </c>
      <c r="BU192" s="16">
        <f t="shared" si="301"/>
        <v>0</v>
      </c>
      <c r="BV192" s="16">
        <f t="shared" si="301"/>
        <v>0</v>
      </c>
      <c r="BW192" s="16">
        <f t="shared" si="301"/>
        <v>0</v>
      </c>
      <c r="BX192" s="16">
        <f t="shared" si="301"/>
        <v>0</v>
      </c>
      <c r="BY192" s="16">
        <f t="shared" si="301"/>
        <v>0</v>
      </c>
      <c r="BZ192" s="16">
        <f t="shared" si="301"/>
        <v>0</v>
      </c>
      <c r="CA192" s="16">
        <f t="shared" si="301"/>
        <v>0</v>
      </c>
      <c r="CB192" s="16">
        <f t="shared" si="301"/>
        <v>0</v>
      </c>
      <c r="CC192" s="16">
        <f t="shared" si="301"/>
        <v>0</v>
      </c>
      <c r="CD192" s="16">
        <f t="shared" si="301"/>
        <v>0</v>
      </c>
      <c r="CE192" s="16">
        <f t="shared" si="301"/>
        <v>0</v>
      </c>
      <c r="CF192" s="16">
        <f t="shared" si="301"/>
        <v>0</v>
      </c>
      <c r="CG192" s="16">
        <f t="shared" si="301"/>
        <v>0</v>
      </c>
      <c r="CH192" s="16">
        <f t="shared" si="301"/>
        <v>0</v>
      </c>
      <c r="CI192" s="16">
        <f t="shared" si="301"/>
        <v>0</v>
      </c>
      <c r="CJ192" s="16">
        <f t="shared" si="301"/>
        <v>0</v>
      </c>
      <c r="CK192" s="16">
        <f t="shared" si="301"/>
        <v>0</v>
      </c>
      <c r="CL192" s="16">
        <f t="shared" si="301"/>
        <v>0</v>
      </c>
      <c r="CM192" s="16">
        <f t="shared" si="301"/>
        <v>0</v>
      </c>
      <c r="CN192" s="16">
        <f t="shared" si="301"/>
        <v>0</v>
      </c>
      <c r="CO192" s="16">
        <f t="shared" si="301"/>
        <v>0</v>
      </c>
      <c r="CP192" s="16">
        <f t="shared" si="301"/>
        <v>0</v>
      </c>
      <c r="CQ192" s="16">
        <f t="shared" si="301"/>
        <v>0</v>
      </c>
      <c r="CR192" s="16">
        <f t="shared" si="301"/>
        <v>0</v>
      </c>
      <c r="CS192" s="16">
        <f t="shared" si="301"/>
        <v>0</v>
      </c>
      <c r="CT192" s="16">
        <f t="shared" si="301"/>
        <v>0</v>
      </c>
      <c r="CU192" s="16">
        <f t="shared" si="301"/>
        <v>0</v>
      </c>
      <c r="CV192" s="16">
        <f t="shared" si="301"/>
        <v>0</v>
      </c>
      <c r="CW192" s="17">
        <f t="shared" si="301"/>
        <v>0</v>
      </c>
      <c r="CX192" s="40"/>
      <c r="CY192" s="40"/>
    </row>
    <row r="193" spans="1:103" ht="15.75" x14ac:dyDescent="0.25">
      <c r="A193" s="13" t="s">
        <v>1</v>
      </c>
      <c r="B193" s="14" t="s">
        <v>1</v>
      </c>
      <c r="C193" s="14" t="s">
        <v>43</v>
      </c>
      <c r="D193" s="30" t="s">
        <v>222</v>
      </c>
      <c r="E193" s="15">
        <f>SUM(F193+BY193+CT193)</f>
        <v>100000</v>
      </c>
      <c r="F193" s="16">
        <f>SUM(G193+BA193)</f>
        <v>100000</v>
      </c>
      <c r="G193" s="16">
        <f>SUM(H193+I193+J193+Q193+T193+U193+V193+AE193)</f>
        <v>0</v>
      </c>
      <c r="H193" s="16">
        <v>0</v>
      </c>
      <c r="I193" s="16">
        <v>0</v>
      </c>
      <c r="J193" s="16">
        <f t="shared" si="238"/>
        <v>0</v>
      </c>
      <c r="K193" s="16">
        <v>0</v>
      </c>
      <c r="L193" s="16">
        <v>0</v>
      </c>
      <c r="M193" s="16">
        <v>0</v>
      </c>
      <c r="N193" s="16">
        <v>0</v>
      </c>
      <c r="O193" s="16">
        <v>0</v>
      </c>
      <c r="P193" s="16">
        <v>0</v>
      </c>
      <c r="Q193" s="16">
        <f t="shared" si="239"/>
        <v>0</v>
      </c>
      <c r="R193" s="16">
        <v>0</v>
      </c>
      <c r="S193" s="16">
        <v>0</v>
      </c>
      <c r="T193" s="16">
        <v>0</v>
      </c>
      <c r="U193" s="16">
        <v>0</v>
      </c>
      <c r="V193" s="16">
        <f>SUM(W193:AD193)</f>
        <v>0</v>
      </c>
      <c r="W193" s="16">
        <v>0</v>
      </c>
      <c r="X193" s="16">
        <v>0</v>
      </c>
      <c r="Y193" s="16">
        <v>0</v>
      </c>
      <c r="Z193" s="16">
        <v>0</v>
      </c>
      <c r="AA193" s="16">
        <v>0</v>
      </c>
      <c r="AB193" s="16">
        <v>0</v>
      </c>
      <c r="AC193" s="16">
        <v>0</v>
      </c>
      <c r="AD193" s="16">
        <v>0</v>
      </c>
      <c r="AE193" s="16">
        <f>SUM(AF193:AZ193)</f>
        <v>0</v>
      </c>
      <c r="AF193" s="16">
        <v>0</v>
      </c>
      <c r="AG193" s="16">
        <v>0</v>
      </c>
      <c r="AH193" s="16">
        <v>0</v>
      </c>
      <c r="AI193" s="16">
        <v>0</v>
      </c>
      <c r="AJ193" s="16">
        <v>0</v>
      </c>
      <c r="AK193" s="16">
        <v>0</v>
      </c>
      <c r="AL193" s="16">
        <v>0</v>
      </c>
      <c r="AM193" s="16">
        <v>0</v>
      </c>
      <c r="AN193" s="16">
        <v>0</v>
      </c>
      <c r="AO193" s="16">
        <v>0</v>
      </c>
      <c r="AP193" s="16">
        <v>0</v>
      </c>
      <c r="AQ193" s="16">
        <v>0</v>
      </c>
      <c r="AR193" s="16">
        <v>0</v>
      </c>
      <c r="AS193" s="16">
        <v>0</v>
      </c>
      <c r="AT193" s="16">
        <v>0</v>
      </c>
      <c r="AU193" s="16">
        <v>0</v>
      </c>
      <c r="AV193" s="16">
        <v>0</v>
      </c>
      <c r="AW193" s="16">
        <v>0</v>
      </c>
      <c r="AX193" s="16">
        <v>0</v>
      </c>
      <c r="AY193" s="16">
        <v>0</v>
      </c>
      <c r="AZ193" s="16">
        <v>0</v>
      </c>
      <c r="BA193" s="16">
        <f>SUM(BB193+BF193+BI193+BK193+BM193)</f>
        <v>100000</v>
      </c>
      <c r="BB193" s="16">
        <f>SUM(BC193:BE193)</f>
        <v>0</v>
      </c>
      <c r="BC193" s="16">
        <v>0</v>
      </c>
      <c r="BD193" s="16">
        <v>0</v>
      </c>
      <c r="BE193" s="16">
        <v>0</v>
      </c>
      <c r="BF193" s="16">
        <f t="shared" si="240"/>
        <v>0</v>
      </c>
      <c r="BG193" s="16">
        <v>0</v>
      </c>
      <c r="BH193" s="16">
        <v>0</v>
      </c>
      <c r="BI193" s="16">
        <v>0</v>
      </c>
      <c r="BJ193" s="16">
        <v>0</v>
      </c>
      <c r="BK193" s="16">
        <f t="shared" si="241"/>
        <v>0</v>
      </c>
      <c r="BL193" s="16">
        <v>0</v>
      </c>
      <c r="BM193" s="16">
        <f t="shared" si="242"/>
        <v>100000</v>
      </c>
      <c r="BN193" s="16">
        <v>0</v>
      </c>
      <c r="BO193" s="16">
        <v>0</v>
      </c>
      <c r="BP193" s="16">
        <v>0</v>
      </c>
      <c r="BQ193" s="16">
        <v>0</v>
      </c>
      <c r="BR193" s="16">
        <v>100000</v>
      </c>
      <c r="BS193" s="16">
        <v>0</v>
      </c>
      <c r="BT193" s="16">
        <v>0</v>
      </c>
      <c r="BU193" s="16">
        <v>0</v>
      </c>
      <c r="BV193" s="16">
        <v>0</v>
      </c>
      <c r="BW193" s="16">
        <v>0</v>
      </c>
      <c r="BX193" s="16">
        <v>0</v>
      </c>
      <c r="BY193" s="16">
        <f>SUM(BZ193+CS193)</f>
        <v>0</v>
      </c>
      <c r="BZ193" s="16">
        <f>SUM(CA193+CD193+CK193)</f>
        <v>0</v>
      </c>
      <c r="CA193" s="16">
        <f t="shared" si="243"/>
        <v>0</v>
      </c>
      <c r="CB193" s="16">
        <v>0</v>
      </c>
      <c r="CC193" s="16">
        <v>0</v>
      </c>
      <c r="CD193" s="16">
        <f t="shared" si="244"/>
        <v>0</v>
      </c>
      <c r="CE193" s="16">
        <v>0</v>
      </c>
      <c r="CF193" s="16">
        <v>0</v>
      </c>
      <c r="CG193" s="16">
        <v>0</v>
      </c>
      <c r="CH193" s="16">
        <v>0</v>
      </c>
      <c r="CI193" s="16">
        <v>0</v>
      </c>
      <c r="CJ193" s="16">
        <v>0</v>
      </c>
      <c r="CK193" s="16">
        <f t="shared" si="245"/>
        <v>0</v>
      </c>
      <c r="CL193" s="16">
        <v>0</v>
      </c>
      <c r="CM193" s="16">
        <v>0</v>
      </c>
      <c r="CN193" s="16">
        <v>0</v>
      </c>
      <c r="CO193" s="16">
        <v>0</v>
      </c>
      <c r="CP193" s="16">
        <v>0</v>
      </c>
      <c r="CQ193" s="16">
        <v>0</v>
      </c>
      <c r="CR193" s="16">
        <v>0</v>
      </c>
      <c r="CS193" s="16">
        <v>0</v>
      </c>
      <c r="CT193" s="16">
        <f t="shared" si="246"/>
        <v>0</v>
      </c>
      <c r="CU193" s="16">
        <f t="shared" si="247"/>
        <v>0</v>
      </c>
      <c r="CV193" s="16">
        <v>0</v>
      </c>
      <c r="CW193" s="17">
        <v>0</v>
      </c>
      <c r="CX193" s="40"/>
      <c r="CY193" s="40"/>
    </row>
    <row r="194" spans="1:103" ht="31.5" x14ac:dyDescent="0.25">
      <c r="A194" s="13" t="s">
        <v>209</v>
      </c>
      <c r="B194" s="14" t="s">
        <v>107</v>
      </c>
      <c r="C194" s="14" t="s">
        <v>1</v>
      </c>
      <c r="D194" s="30" t="s">
        <v>223</v>
      </c>
      <c r="E194" s="15">
        <f t="shared" ref="E194:AJ194" si="302">SUM(E195)</f>
        <v>4583424</v>
      </c>
      <c r="F194" s="16">
        <f t="shared" si="302"/>
        <v>4583424</v>
      </c>
      <c r="G194" s="16">
        <f t="shared" si="302"/>
        <v>0</v>
      </c>
      <c r="H194" s="16">
        <f t="shared" si="302"/>
        <v>0</v>
      </c>
      <c r="I194" s="16">
        <f t="shared" si="302"/>
        <v>0</v>
      </c>
      <c r="J194" s="16">
        <f t="shared" si="302"/>
        <v>0</v>
      </c>
      <c r="K194" s="16">
        <f t="shared" si="302"/>
        <v>0</v>
      </c>
      <c r="L194" s="16">
        <f t="shared" si="302"/>
        <v>0</v>
      </c>
      <c r="M194" s="16">
        <f t="shared" si="302"/>
        <v>0</v>
      </c>
      <c r="N194" s="16">
        <f t="shared" si="302"/>
        <v>0</v>
      </c>
      <c r="O194" s="16">
        <f t="shared" si="302"/>
        <v>0</v>
      </c>
      <c r="P194" s="16">
        <f t="shared" si="302"/>
        <v>0</v>
      </c>
      <c r="Q194" s="16">
        <f t="shared" si="302"/>
        <v>0</v>
      </c>
      <c r="R194" s="16">
        <f t="shared" si="302"/>
        <v>0</v>
      </c>
      <c r="S194" s="16">
        <f t="shared" si="302"/>
        <v>0</v>
      </c>
      <c r="T194" s="16">
        <f t="shared" si="302"/>
        <v>0</v>
      </c>
      <c r="U194" s="16">
        <f t="shared" si="302"/>
        <v>0</v>
      </c>
      <c r="V194" s="16">
        <f t="shared" si="302"/>
        <v>0</v>
      </c>
      <c r="W194" s="16">
        <f t="shared" si="302"/>
        <v>0</v>
      </c>
      <c r="X194" s="16">
        <f t="shared" si="302"/>
        <v>0</v>
      </c>
      <c r="Y194" s="16">
        <f t="shared" si="302"/>
        <v>0</v>
      </c>
      <c r="Z194" s="16">
        <f t="shared" si="302"/>
        <v>0</v>
      </c>
      <c r="AA194" s="16">
        <f t="shared" si="302"/>
        <v>0</v>
      </c>
      <c r="AB194" s="16">
        <f t="shared" si="302"/>
        <v>0</v>
      </c>
      <c r="AC194" s="16">
        <f t="shared" si="302"/>
        <v>0</v>
      </c>
      <c r="AD194" s="16">
        <f t="shared" si="302"/>
        <v>0</v>
      </c>
      <c r="AE194" s="16">
        <f t="shared" si="302"/>
        <v>0</v>
      </c>
      <c r="AF194" s="16">
        <f t="shared" si="302"/>
        <v>0</v>
      </c>
      <c r="AG194" s="16">
        <f t="shared" si="302"/>
        <v>0</v>
      </c>
      <c r="AH194" s="16">
        <f t="shared" si="302"/>
        <v>0</v>
      </c>
      <c r="AI194" s="16">
        <f t="shared" si="302"/>
        <v>0</v>
      </c>
      <c r="AJ194" s="16">
        <f t="shared" si="302"/>
        <v>0</v>
      </c>
      <c r="AK194" s="16">
        <f t="shared" ref="AK194:BR194" si="303">SUM(AK195)</f>
        <v>0</v>
      </c>
      <c r="AL194" s="16">
        <f t="shared" si="303"/>
        <v>0</v>
      </c>
      <c r="AM194" s="16">
        <f t="shared" si="303"/>
        <v>0</v>
      </c>
      <c r="AN194" s="16">
        <f t="shared" si="303"/>
        <v>0</v>
      </c>
      <c r="AO194" s="16">
        <f t="shared" si="303"/>
        <v>0</v>
      </c>
      <c r="AP194" s="16">
        <f t="shared" si="303"/>
        <v>0</v>
      </c>
      <c r="AQ194" s="16">
        <f t="shared" si="303"/>
        <v>0</v>
      </c>
      <c r="AR194" s="16">
        <f t="shared" si="303"/>
        <v>0</v>
      </c>
      <c r="AS194" s="16">
        <f t="shared" si="303"/>
        <v>0</v>
      </c>
      <c r="AT194" s="16">
        <f t="shared" si="303"/>
        <v>0</v>
      </c>
      <c r="AU194" s="16">
        <f t="shared" si="303"/>
        <v>0</v>
      </c>
      <c r="AV194" s="16">
        <f t="shared" si="303"/>
        <v>0</v>
      </c>
      <c r="AW194" s="16">
        <f t="shared" si="303"/>
        <v>0</v>
      </c>
      <c r="AX194" s="16">
        <f t="shared" si="303"/>
        <v>0</v>
      </c>
      <c r="AY194" s="16">
        <f t="shared" si="303"/>
        <v>0</v>
      </c>
      <c r="AZ194" s="16">
        <f t="shared" si="303"/>
        <v>0</v>
      </c>
      <c r="BA194" s="16">
        <f t="shared" si="303"/>
        <v>4583424</v>
      </c>
      <c r="BB194" s="16">
        <f t="shared" si="303"/>
        <v>0</v>
      </c>
      <c r="BC194" s="16">
        <f t="shared" si="303"/>
        <v>0</v>
      </c>
      <c r="BD194" s="16">
        <f t="shared" si="303"/>
        <v>0</v>
      </c>
      <c r="BE194" s="16">
        <f t="shared" si="303"/>
        <v>0</v>
      </c>
      <c r="BF194" s="16">
        <f t="shared" si="303"/>
        <v>0</v>
      </c>
      <c r="BG194" s="16">
        <f t="shared" si="303"/>
        <v>0</v>
      </c>
      <c r="BH194" s="16">
        <f t="shared" si="303"/>
        <v>0</v>
      </c>
      <c r="BI194" s="16">
        <f t="shared" si="303"/>
        <v>0</v>
      </c>
      <c r="BJ194" s="16">
        <f t="shared" si="303"/>
        <v>0</v>
      </c>
      <c r="BK194" s="16">
        <f t="shared" si="303"/>
        <v>0</v>
      </c>
      <c r="BL194" s="16">
        <f t="shared" si="303"/>
        <v>0</v>
      </c>
      <c r="BM194" s="16">
        <f t="shared" si="303"/>
        <v>4583424</v>
      </c>
      <c r="BN194" s="16">
        <f t="shared" si="303"/>
        <v>0</v>
      </c>
      <c r="BO194" s="16">
        <f t="shared" si="303"/>
        <v>4583424</v>
      </c>
      <c r="BP194" s="16">
        <f t="shared" si="303"/>
        <v>0</v>
      </c>
      <c r="BQ194" s="16">
        <f t="shared" si="303"/>
        <v>0</v>
      </c>
      <c r="BR194" s="16">
        <f t="shared" si="303"/>
        <v>0</v>
      </c>
      <c r="BS194" s="16">
        <f t="shared" ref="BS194:CW194" si="304">SUM(BS195)</f>
        <v>0</v>
      </c>
      <c r="BT194" s="16">
        <f t="shared" si="304"/>
        <v>0</v>
      </c>
      <c r="BU194" s="16">
        <f t="shared" si="304"/>
        <v>0</v>
      </c>
      <c r="BV194" s="16">
        <f t="shared" si="304"/>
        <v>0</v>
      </c>
      <c r="BW194" s="16">
        <f t="shared" si="304"/>
        <v>0</v>
      </c>
      <c r="BX194" s="16">
        <f t="shared" si="304"/>
        <v>0</v>
      </c>
      <c r="BY194" s="16">
        <f t="shared" si="304"/>
        <v>0</v>
      </c>
      <c r="BZ194" s="16">
        <f t="shared" si="304"/>
        <v>0</v>
      </c>
      <c r="CA194" s="16">
        <f t="shared" si="304"/>
        <v>0</v>
      </c>
      <c r="CB194" s="16">
        <f t="shared" si="304"/>
        <v>0</v>
      </c>
      <c r="CC194" s="16">
        <f t="shared" si="304"/>
        <v>0</v>
      </c>
      <c r="CD194" s="16">
        <f t="shared" si="304"/>
        <v>0</v>
      </c>
      <c r="CE194" s="16">
        <f t="shared" si="304"/>
        <v>0</v>
      </c>
      <c r="CF194" s="16">
        <f t="shared" si="304"/>
        <v>0</v>
      </c>
      <c r="CG194" s="16">
        <f t="shared" si="304"/>
        <v>0</v>
      </c>
      <c r="CH194" s="16">
        <f t="shared" si="304"/>
        <v>0</v>
      </c>
      <c r="CI194" s="16">
        <f t="shared" si="304"/>
        <v>0</v>
      </c>
      <c r="CJ194" s="16">
        <f t="shared" si="304"/>
        <v>0</v>
      </c>
      <c r="CK194" s="16">
        <f t="shared" si="304"/>
        <v>0</v>
      </c>
      <c r="CL194" s="16">
        <f t="shared" si="304"/>
        <v>0</v>
      </c>
      <c r="CM194" s="16">
        <f t="shared" si="304"/>
        <v>0</v>
      </c>
      <c r="CN194" s="16">
        <f t="shared" si="304"/>
        <v>0</v>
      </c>
      <c r="CO194" s="16">
        <f t="shared" si="304"/>
        <v>0</v>
      </c>
      <c r="CP194" s="16">
        <f t="shared" si="304"/>
        <v>0</v>
      </c>
      <c r="CQ194" s="16">
        <f t="shared" si="304"/>
        <v>0</v>
      </c>
      <c r="CR194" s="16">
        <f t="shared" si="304"/>
        <v>0</v>
      </c>
      <c r="CS194" s="16">
        <f t="shared" si="304"/>
        <v>0</v>
      </c>
      <c r="CT194" s="16">
        <f t="shared" si="304"/>
        <v>0</v>
      </c>
      <c r="CU194" s="16">
        <f t="shared" si="304"/>
        <v>0</v>
      </c>
      <c r="CV194" s="16">
        <f t="shared" si="304"/>
        <v>0</v>
      </c>
      <c r="CW194" s="17">
        <f t="shared" si="304"/>
        <v>0</v>
      </c>
      <c r="CX194" s="40"/>
      <c r="CY194" s="40"/>
    </row>
    <row r="195" spans="1:103" ht="15.75" x14ac:dyDescent="0.25">
      <c r="A195" s="13" t="s">
        <v>1</v>
      </c>
      <c r="B195" s="14" t="s">
        <v>1</v>
      </c>
      <c r="C195" s="14" t="s">
        <v>19</v>
      </c>
      <c r="D195" s="30" t="s">
        <v>224</v>
      </c>
      <c r="E195" s="15">
        <f>SUM(F195+BY195+CT195)</f>
        <v>4583424</v>
      </c>
      <c r="F195" s="16">
        <f>SUM(G195+BA195)</f>
        <v>4583424</v>
      </c>
      <c r="G195" s="16">
        <f>SUM(H195+I195+J195+Q195+T195+U195+V195+AE195)</f>
        <v>0</v>
      </c>
      <c r="H195" s="16">
        <v>0</v>
      </c>
      <c r="I195" s="16">
        <v>0</v>
      </c>
      <c r="J195" s="16">
        <f t="shared" si="238"/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f t="shared" si="239"/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f>SUM(W195:AD195)</f>
        <v>0</v>
      </c>
      <c r="W195" s="16">
        <v>0</v>
      </c>
      <c r="X195" s="16">
        <v>0</v>
      </c>
      <c r="Y195" s="16">
        <v>0</v>
      </c>
      <c r="Z195" s="16">
        <v>0</v>
      </c>
      <c r="AA195" s="16">
        <v>0</v>
      </c>
      <c r="AB195" s="16">
        <v>0</v>
      </c>
      <c r="AC195" s="16">
        <v>0</v>
      </c>
      <c r="AD195" s="16">
        <v>0</v>
      </c>
      <c r="AE195" s="16">
        <f>SUM(AF195:AZ195)</f>
        <v>0</v>
      </c>
      <c r="AF195" s="16">
        <v>0</v>
      </c>
      <c r="AG195" s="16">
        <v>0</v>
      </c>
      <c r="AH195" s="16">
        <v>0</v>
      </c>
      <c r="AI195" s="16">
        <v>0</v>
      </c>
      <c r="AJ195" s="16">
        <v>0</v>
      </c>
      <c r="AK195" s="16">
        <v>0</v>
      </c>
      <c r="AL195" s="16">
        <v>0</v>
      </c>
      <c r="AM195" s="16">
        <v>0</v>
      </c>
      <c r="AN195" s="16">
        <v>0</v>
      </c>
      <c r="AO195" s="16">
        <v>0</v>
      </c>
      <c r="AP195" s="16">
        <v>0</v>
      </c>
      <c r="AQ195" s="16">
        <v>0</v>
      </c>
      <c r="AR195" s="16">
        <v>0</v>
      </c>
      <c r="AS195" s="16">
        <v>0</v>
      </c>
      <c r="AT195" s="16">
        <v>0</v>
      </c>
      <c r="AU195" s="16">
        <v>0</v>
      </c>
      <c r="AV195" s="16">
        <v>0</v>
      </c>
      <c r="AW195" s="16">
        <v>0</v>
      </c>
      <c r="AX195" s="16">
        <v>0</v>
      </c>
      <c r="AY195" s="16">
        <v>0</v>
      </c>
      <c r="AZ195" s="16">
        <v>0</v>
      </c>
      <c r="BA195" s="16">
        <f>SUM(BB195+BF195+BI195+BK195+BM195)</f>
        <v>4583424</v>
      </c>
      <c r="BB195" s="16">
        <f>SUM(BC195:BE195)</f>
        <v>0</v>
      </c>
      <c r="BC195" s="16">
        <v>0</v>
      </c>
      <c r="BD195" s="16">
        <v>0</v>
      </c>
      <c r="BE195" s="16">
        <v>0</v>
      </c>
      <c r="BF195" s="16">
        <f t="shared" si="240"/>
        <v>0</v>
      </c>
      <c r="BG195" s="16">
        <v>0</v>
      </c>
      <c r="BH195" s="16">
        <v>0</v>
      </c>
      <c r="BI195" s="16">
        <v>0</v>
      </c>
      <c r="BJ195" s="16">
        <v>0</v>
      </c>
      <c r="BK195" s="16">
        <f t="shared" si="241"/>
        <v>0</v>
      </c>
      <c r="BL195" s="16">
        <v>0</v>
      </c>
      <c r="BM195" s="16">
        <f t="shared" si="242"/>
        <v>4583424</v>
      </c>
      <c r="BN195" s="16">
        <v>0</v>
      </c>
      <c r="BO195" s="16">
        <v>4583424</v>
      </c>
      <c r="BP195" s="16">
        <v>0</v>
      </c>
      <c r="BQ195" s="16">
        <v>0</v>
      </c>
      <c r="BR195" s="16">
        <v>0</v>
      </c>
      <c r="BS195" s="16">
        <v>0</v>
      </c>
      <c r="BT195" s="16">
        <v>0</v>
      </c>
      <c r="BU195" s="16">
        <v>0</v>
      </c>
      <c r="BV195" s="16">
        <v>0</v>
      </c>
      <c r="BW195" s="16">
        <v>0</v>
      </c>
      <c r="BX195" s="16">
        <v>0</v>
      </c>
      <c r="BY195" s="16">
        <f>SUM(BZ195+CS195)</f>
        <v>0</v>
      </c>
      <c r="BZ195" s="16">
        <f>SUM(CA195+CD195+CK195)</f>
        <v>0</v>
      </c>
      <c r="CA195" s="16">
        <f t="shared" si="243"/>
        <v>0</v>
      </c>
      <c r="CB195" s="16">
        <v>0</v>
      </c>
      <c r="CC195" s="16">
        <v>0</v>
      </c>
      <c r="CD195" s="16">
        <f t="shared" si="244"/>
        <v>0</v>
      </c>
      <c r="CE195" s="16">
        <v>0</v>
      </c>
      <c r="CF195" s="16">
        <v>0</v>
      </c>
      <c r="CG195" s="16">
        <v>0</v>
      </c>
      <c r="CH195" s="16">
        <v>0</v>
      </c>
      <c r="CI195" s="16">
        <v>0</v>
      </c>
      <c r="CJ195" s="16">
        <v>0</v>
      </c>
      <c r="CK195" s="16">
        <f t="shared" si="245"/>
        <v>0</v>
      </c>
      <c r="CL195" s="16">
        <v>0</v>
      </c>
      <c r="CM195" s="16">
        <v>0</v>
      </c>
      <c r="CN195" s="16">
        <v>0</v>
      </c>
      <c r="CO195" s="16">
        <v>0</v>
      </c>
      <c r="CP195" s="16">
        <v>0</v>
      </c>
      <c r="CQ195" s="16">
        <v>0</v>
      </c>
      <c r="CR195" s="16">
        <v>0</v>
      </c>
      <c r="CS195" s="16">
        <v>0</v>
      </c>
      <c r="CT195" s="16">
        <f t="shared" si="246"/>
        <v>0</v>
      </c>
      <c r="CU195" s="16">
        <f t="shared" si="247"/>
        <v>0</v>
      </c>
      <c r="CV195" s="16">
        <v>0</v>
      </c>
      <c r="CW195" s="17">
        <v>0</v>
      </c>
      <c r="CX195" s="40"/>
      <c r="CY195" s="40"/>
    </row>
    <row r="196" spans="1:103" ht="31.5" x14ac:dyDescent="0.25">
      <c r="A196" s="13" t="s">
        <v>209</v>
      </c>
      <c r="B196" s="14" t="s">
        <v>225</v>
      </c>
      <c r="C196" s="14" t="s">
        <v>1</v>
      </c>
      <c r="D196" s="30" t="s">
        <v>226</v>
      </c>
      <c r="E196" s="15">
        <f>SUM(E197:E203)</f>
        <v>88209031</v>
      </c>
      <c r="F196" s="16">
        <f t="shared" ref="F196:BS196" si="305">SUM(F197:F203)</f>
        <v>88152995</v>
      </c>
      <c r="G196" s="16">
        <f t="shared" si="305"/>
        <v>2050857</v>
      </c>
      <c r="H196" s="16">
        <f t="shared" si="305"/>
        <v>1445355</v>
      </c>
      <c r="I196" s="16">
        <f t="shared" si="305"/>
        <v>186639</v>
      </c>
      <c r="J196" s="16">
        <f t="shared" si="305"/>
        <v>324652</v>
      </c>
      <c r="K196" s="16">
        <f t="shared" si="305"/>
        <v>0</v>
      </c>
      <c r="L196" s="16">
        <f t="shared" si="305"/>
        <v>8506</v>
      </c>
      <c r="M196" s="16">
        <f t="shared" si="305"/>
        <v>0</v>
      </c>
      <c r="N196" s="16">
        <f t="shared" si="305"/>
        <v>0</v>
      </c>
      <c r="O196" s="16">
        <f t="shared" si="305"/>
        <v>316146</v>
      </c>
      <c r="P196" s="16">
        <f t="shared" si="305"/>
        <v>0</v>
      </c>
      <c r="Q196" s="16">
        <f t="shared" si="305"/>
        <v>0</v>
      </c>
      <c r="R196" s="16">
        <f t="shared" si="305"/>
        <v>0</v>
      </c>
      <c r="S196" s="16">
        <f t="shared" si="305"/>
        <v>0</v>
      </c>
      <c r="T196" s="16">
        <f t="shared" si="305"/>
        <v>0</v>
      </c>
      <c r="U196" s="16">
        <f t="shared" si="305"/>
        <v>63987</v>
      </c>
      <c r="V196" s="16">
        <f t="shared" si="305"/>
        <v>0</v>
      </c>
      <c r="W196" s="16">
        <f t="shared" si="305"/>
        <v>0</v>
      </c>
      <c r="X196" s="16">
        <f t="shared" si="305"/>
        <v>0</v>
      </c>
      <c r="Y196" s="16">
        <f t="shared" si="305"/>
        <v>0</v>
      </c>
      <c r="Z196" s="16">
        <f t="shared" si="305"/>
        <v>0</v>
      </c>
      <c r="AA196" s="16">
        <f t="shared" si="305"/>
        <v>0</v>
      </c>
      <c r="AB196" s="16">
        <f t="shared" si="305"/>
        <v>0</v>
      </c>
      <c r="AC196" s="16">
        <f t="shared" si="305"/>
        <v>0</v>
      </c>
      <c r="AD196" s="16">
        <f t="shared" ref="AD196" si="306">SUM(AD197:AD203)</f>
        <v>0</v>
      </c>
      <c r="AE196" s="16">
        <f t="shared" si="305"/>
        <v>30224</v>
      </c>
      <c r="AF196" s="16">
        <f t="shared" si="305"/>
        <v>0</v>
      </c>
      <c r="AG196" s="16">
        <f t="shared" si="305"/>
        <v>0</v>
      </c>
      <c r="AH196" s="16">
        <f t="shared" si="305"/>
        <v>0</v>
      </c>
      <c r="AI196" s="16">
        <f t="shared" si="305"/>
        <v>0</v>
      </c>
      <c r="AJ196" s="16">
        <f t="shared" si="305"/>
        <v>0</v>
      </c>
      <c r="AK196" s="16">
        <f t="shared" si="305"/>
        <v>0</v>
      </c>
      <c r="AL196" s="16">
        <f t="shared" si="305"/>
        <v>6857</v>
      </c>
      <c r="AM196" s="16">
        <f t="shared" si="305"/>
        <v>0</v>
      </c>
      <c r="AN196" s="16">
        <f t="shared" si="305"/>
        <v>0</v>
      </c>
      <c r="AO196" s="16">
        <f t="shared" si="305"/>
        <v>0</v>
      </c>
      <c r="AP196" s="16">
        <f>SUM(AP197:AP203)</f>
        <v>0</v>
      </c>
      <c r="AQ196" s="16">
        <f t="shared" si="305"/>
        <v>0</v>
      </c>
      <c r="AR196" s="16">
        <f t="shared" si="305"/>
        <v>0</v>
      </c>
      <c r="AS196" s="16">
        <f t="shared" si="305"/>
        <v>0</v>
      </c>
      <c r="AT196" s="16">
        <f t="shared" si="305"/>
        <v>0</v>
      </c>
      <c r="AU196" s="16">
        <f t="shared" si="305"/>
        <v>0</v>
      </c>
      <c r="AV196" s="16">
        <f t="shared" si="305"/>
        <v>0</v>
      </c>
      <c r="AW196" s="16">
        <f t="shared" si="305"/>
        <v>23367</v>
      </c>
      <c r="AX196" s="16">
        <f t="shared" si="305"/>
        <v>0</v>
      </c>
      <c r="AY196" s="16">
        <f t="shared" si="305"/>
        <v>0</v>
      </c>
      <c r="AZ196" s="16">
        <f t="shared" si="305"/>
        <v>0</v>
      </c>
      <c r="BA196" s="16">
        <f t="shared" si="305"/>
        <v>86102138</v>
      </c>
      <c r="BB196" s="16">
        <f t="shared" si="305"/>
        <v>0</v>
      </c>
      <c r="BC196" s="16">
        <f t="shared" si="305"/>
        <v>0</v>
      </c>
      <c r="BD196" s="16">
        <f t="shared" si="305"/>
        <v>0</v>
      </c>
      <c r="BE196" s="16">
        <f t="shared" si="305"/>
        <v>0</v>
      </c>
      <c r="BF196" s="16">
        <f t="shared" si="305"/>
        <v>0</v>
      </c>
      <c r="BG196" s="16">
        <f t="shared" si="305"/>
        <v>0</v>
      </c>
      <c r="BH196" s="16">
        <f t="shared" si="305"/>
        <v>0</v>
      </c>
      <c r="BI196" s="16">
        <f t="shared" si="305"/>
        <v>0</v>
      </c>
      <c r="BJ196" s="16">
        <f t="shared" si="305"/>
        <v>0</v>
      </c>
      <c r="BK196" s="16">
        <f t="shared" si="305"/>
        <v>0</v>
      </c>
      <c r="BL196" s="16">
        <f t="shared" si="305"/>
        <v>0</v>
      </c>
      <c r="BM196" s="16">
        <f t="shared" si="305"/>
        <v>86102138</v>
      </c>
      <c r="BN196" s="16">
        <f t="shared" si="305"/>
        <v>0</v>
      </c>
      <c r="BO196" s="16">
        <f t="shared" si="305"/>
        <v>0</v>
      </c>
      <c r="BP196" s="16">
        <f t="shared" si="305"/>
        <v>0</v>
      </c>
      <c r="BQ196" s="16">
        <f t="shared" si="305"/>
        <v>0</v>
      </c>
      <c r="BR196" s="16">
        <f t="shared" si="305"/>
        <v>0</v>
      </c>
      <c r="BS196" s="16">
        <f t="shared" si="305"/>
        <v>0</v>
      </c>
      <c r="BT196" s="16">
        <f t="shared" ref="BT196:CW196" si="307">SUM(BT197:BT203)</f>
        <v>0</v>
      </c>
      <c r="BU196" s="16">
        <f t="shared" si="307"/>
        <v>0</v>
      </c>
      <c r="BV196" s="16">
        <f t="shared" si="307"/>
        <v>230042</v>
      </c>
      <c r="BW196" s="16">
        <f t="shared" si="307"/>
        <v>68075648</v>
      </c>
      <c r="BX196" s="16">
        <f t="shared" si="307"/>
        <v>17796448</v>
      </c>
      <c r="BY196" s="16">
        <f t="shared" si="307"/>
        <v>56036</v>
      </c>
      <c r="BZ196" s="16">
        <f t="shared" si="307"/>
        <v>56036</v>
      </c>
      <c r="CA196" s="16">
        <f t="shared" si="307"/>
        <v>56036</v>
      </c>
      <c r="CB196" s="16">
        <f t="shared" si="307"/>
        <v>0</v>
      </c>
      <c r="CC196" s="16">
        <f t="shared" si="307"/>
        <v>56036</v>
      </c>
      <c r="CD196" s="16">
        <f t="shared" si="307"/>
        <v>0</v>
      </c>
      <c r="CE196" s="16">
        <f t="shared" si="307"/>
        <v>0</v>
      </c>
      <c r="CF196" s="16">
        <f>SUM(CF197:CF203)</f>
        <v>0</v>
      </c>
      <c r="CG196" s="16">
        <f t="shared" si="307"/>
        <v>0</v>
      </c>
      <c r="CH196" s="16">
        <f t="shared" si="307"/>
        <v>0</v>
      </c>
      <c r="CI196" s="16">
        <f t="shared" si="307"/>
        <v>0</v>
      </c>
      <c r="CJ196" s="16">
        <f t="shared" ref="CJ196" si="308">SUM(CJ197:CJ203)</f>
        <v>0</v>
      </c>
      <c r="CK196" s="16">
        <f t="shared" si="307"/>
        <v>0</v>
      </c>
      <c r="CL196" s="16">
        <f t="shared" si="307"/>
        <v>0</v>
      </c>
      <c r="CM196" s="16">
        <f>SUM(CM197:CM203)</f>
        <v>0</v>
      </c>
      <c r="CN196" s="16">
        <f t="shared" si="307"/>
        <v>0</v>
      </c>
      <c r="CO196" s="16">
        <f t="shared" si="307"/>
        <v>0</v>
      </c>
      <c r="CP196" s="16">
        <f t="shared" si="307"/>
        <v>0</v>
      </c>
      <c r="CQ196" s="16">
        <f t="shared" si="307"/>
        <v>0</v>
      </c>
      <c r="CR196" s="16">
        <f t="shared" si="307"/>
        <v>0</v>
      </c>
      <c r="CS196" s="16">
        <f t="shared" si="307"/>
        <v>0</v>
      </c>
      <c r="CT196" s="16">
        <f t="shared" si="307"/>
        <v>0</v>
      </c>
      <c r="CU196" s="16">
        <f t="shared" si="307"/>
        <v>0</v>
      </c>
      <c r="CV196" s="16">
        <f t="shared" si="307"/>
        <v>0</v>
      </c>
      <c r="CW196" s="17">
        <f t="shared" si="307"/>
        <v>0</v>
      </c>
      <c r="CX196" s="40"/>
      <c r="CY196" s="40"/>
    </row>
    <row r="197" spans="1:103" ht="31.5" x14ac:dyDescent="0.25">
      <c r="A197" s="13" t="s">
        <v>1</v>
      </c>
      <c r="B197" s="14" t="s">
        <v>1</v>
      </c>
      <c r="C197" s="14" t="s">
        <v>9</v>
      </c>
      <c r="D197" s="30" t="s">
        <v>227</v>
      </c>
      <c r="E197" s="15">
        <f t="shared" ref="E197:E203" si="309">SUM(F197+BY197+CT197)</f>
        <v>981206</v>
      </c>
      <c r="F197" s="16">
        <f t="shared" ref="F197:F203" si="310">SUM(G197+BA197)</f>
        <v>981206</v>
      </c>
      <c r="G197" s="16">
        <f t="shared" ref="G197:G203" si="311">SUM(H197+I197+J197+Q197+T197+U197+V197+AE197)</f>
        <v>608795</v>
      </c>
      <c r="H197" s="16">
        <v>399440</v>
      </c>
      <c r="I197" s="16">
        <v>96010</v>
      </c>
      <c r="J197" s="16">
        <f t="shared" si="238"/>
        <v>113345</v>
      </c>
      <c r="K197" s="16">
        <v>0</v>
      </c>
      <c r="L197" s="16">
        <v>0</v>
      </c>
      <c r="M197" s="16">
        <v>0</v>
      </c>
      <c r="N197" s="16">
        <v>0</v>
      </c>
      <c r="O197" s="16">
        <v>113345</v>
      </c>
      <c r="P197" s="16">
        <v>0</v>
      </c>
      <c r="Q197" s="16">
        <f t="shared" si="239"/>
        <v>0</v>
      </c>
      <c r="R197" s="16">
        <v>0</v>
      </c>
      <c r="S197" s="16">
        <v>0</v>
      </c>
      <c r="T197" s="16">
        <v>0</v>
      </c>
      <c r="U197" s="16">
        <v>0</v>
      </c>
      <c r="V197" s="16">
        <f t="shared" ref="V197:V203" si="312">SUM(W197:AD197)</f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v>0</v>
      </c>
      <c r="AC197" s="16">
        <v>0</v>
      </c>
      <c r="AD197" s="16">
        <v>0</v>
      </c>
      <c r="AE197" s="16">
        <f t="shared" ref="AE197:AE203" si="313">SUM(AF197:AZ197)</f>
        <v>0</v>
      </c>
      <c r="AF197" s="16">
        <v>0</v>
      </c>
      <c r="AG197" s="16">
        <v>0</v>
      </c>
      <c r="AH197" s="16">
        <v>0</v>
      </c>
      <c r="AI197" s="16">
        <v>0</v>
      </c>
      <c r="AJ197" s="16">
        <v>0</v>
      </c>
      <c r="AK197" s="16">
        <v>0</v>
      </c>
      <c r="AL197" s="16">
        <v>0</v>
      </c>
      <c r="AM197" s="16">
        <v>0</v>
      </c>
      <c r="AN197" s="16">
        <v>0</v>
      </c>
      <c r="AO197" s="16">
        <v>0</v>
      </c>
      <c r="AP197" s="16">
        <v>0</v>
      </c>
      <c r="AQ197" s="16">
        <v>0</v>
      </c>
      <c r="AR197" s="16">
        <v>0</v>
      </c>
      <c r="AS197" s="16">
        <v>0</v>
      </c>
      <c r="AT197" s="16">
        <v>0</v>
      </c>
      <c r="AU197" s="16">
        <v>0</v>
      </c>
      <c r="AV197" s="16">
        <v>0</v>
      </c>
      <c r="AW197" s="16">
        <v>0</v>
      </c>
      <c r="AX197" s="16">
        <v>0</v>
      </c>
      <c r="AY197" s="16">
        <v>0</v>
      </c>
      <c r="AZ197" s="16">
        <v>0</v>
      </c>
      <c r="BA197" s="16">
        <f t="shared" ref="BA197:BA203" si="314">SUM(BB197+BF197+BI197+BK197+BM197)</f>
        <v>372411</v>
      </c>
      <c r="BB197" s="16">
        <f t="shared" ref="BB197:BB203" si="315">SUM(BC197:BE197)</f>
        <v>0</v>
      </c>
      <c r="BC197" s="16">
        <v>0</v>
      </c>
      <c r="BD197" s="16">
        <v>0</v>
      </c>
      <c r="BE197" s="16">
        <v>0</v>
      </c>
      <c r="BF197" s="16">
        <f t="shared" si="240"/>
        <v>0</v>
      </c>
      <c r="BG197" s="16">
        <v>0</v>
      </c>
      <c r="BH197" s="16">
        <v>0</v>
      </c>
      <c r="BI197" s="16">
        <v>0</v>
      </c>
      <c r="BJ197" s="16">
        <v>0</v>
      </c>
      <c r="BK197" s="16">
        <f t="shared" si="241"/>
        <v>0</v>
      </c>
      <c r="BL197" s="16">
        <v>0</v>
      </c>
      <c r="BM197" s="16">
        <f t="shared" si="242"/>
        <v>372411</v>
      </c>
      <c r="BN197" s="16">
        <v>0</v>
      </c>
      <c r="BO197" s="16">
        <v>0</v>
      </c>
      <c r="BP197" s="16">
        <v>0</v>
      </c>
      <c r="BQ197" s="16">
        <v>0</v>
      </c>
      <c r="BR197" s="16">
        <v>0</v>
      </c>
      <c r="BS197" s="16">
        <v>0</v>
      </c>
      <c r="BT197" s="16">
        <v>0</v>
      </c>
      <c r="BU197" s="16">
        <v>0</v>
      </c>
      <c r="BV197" s="16">
        <v>0</v>
      </c>
      <c r="BW197" s="16">
        <v>372411</v>
      </c>
      <c r="BX197" s="16">
        <v>0</v>
      </c>
      <c r="BY197" s="16">
        <f t="shared" ref="BY197:BY203" si="316">SUM(BZ197+CS197)</f>
        <v>0</v>
      </c>
      <c r="BZ197" s="16">
        <f t="shared" ref="BZ197:BZ203" si="317">SUM(CA197+CD197+CK197)</f>
        <v>0</v>
      </c>
      <c r="CA197" s="16">
        <f t="shared" si="243"/>
        <v>0</v>
      </c>
      <c r="CB197" s="16">
        <v>0</v>
      </c>
      <c r="CC197" s="16">
        <v>0</v>
      </c>
      <c r="CD197" s="16">
        <f t="shared" si="244"/>
        <v>0</v>
      </c>
      <c r="CE197" s="16">
        <v>0</v>
      </c>
      <c r="CF197" s="16">
        <v>0</v>
      </c>
      <c r="CG197" s="16">
        <v>0</v>
      </c>
      <c r="CH197" s="16">
        <v>0</v>
      </c>
      <c r="CI197" s="16">
        <v>0</v>
      </c>
      <c r="CJ197" s="16">
        <v>0</v>
      </c>
      <c r="CK197" s="16">
        <f t="shared" si="245"/>
        <v>0</v>
      </c>
      <c r="CL197" s="16">
        <v>0</v>
      </c>
      <c r="CM197" s="16">
        <v>0</v>
      </c>
      <c r="CN197" s="16">
        <v>0</v>
      </c>
      <c r="CO197" s="16">
        <v>0</v>
      </c>
      <c r="CP197" s="16">
        <v>0</v>
      </c>
      <c r="CQ197" s="16">
        <v>0</v>
      </c>
      <c r="CR197" s="16">
        <v>0</v>
      </c>
      <c r="CS197" s="16">
        <v>0</v>
      </c>
      <c r="CT197" s="16">
        <f t="shared" si="246"/>
        <v>0</v>
      </c>
      <c r="CU197" s="16">
        <f t="shared" si="247"/>
        <v>0</v>
      </c>
      <c r="CV197" s="16">
        <v>0</v>
      </c>
      <c r="CW197" s="17">
        <v>0</v>
      </c>
      <c r="CX197" s="40"/>
      <c r="CY197" s="40"/>
    </row>
    <row r="198" spans="1:103" ht="31.5" x14ac:dyDescent="0.25">
      <c r="A198" s="13" t="s">
        <v>1</v>
      </c>
      <c r="B198" s="14" t="s">
        <v>1</v>
      </c>
      <c r="C198" s="14" t="s">
        <v>5</v>
      </c>
      <c r="D198" s="30" t="s">
        <v>228</v>
      </c>
      <c r="E198" s="15">
        <f t="shared" si="309"/>
        <v>1567421</v>
      </c>
      <c r="F198" s="16">
        <f t="shared" si="310"/>
        <v>1525099</v>
      </c>
      <c r="G198" s="16">
        <f t="shared" si="311"/>
        <v>767257</v>
      </c>
      <c r="H198" s="16">
        <v>447538</v>
      </c>
      <c r="I198" s="16">
        <v>52931</v>
      </c>
      <c r="J198" s="16">
        <f t="shared" si="238"/>
        <v>202801</v>
      </c>
      <c r="K198" s="16">
        <v>0</v>
      </c>
      <c r="L198" s="16">
        <v>0</v>
      </c>
      <c r="M198" s="16">
        <v>0</v>
      </c>
      <c r="N198" s="16">
        <v>0</v>
      </c>
      <c r="O198" s="16">
        <v>202801</v>
      </c>
      <c r="P198" s="16">
        <v>0</v>
      </c>
      <c r="Q198" s="16">
        <f t="shared" si="239"/>
        <v>0</v>
      </c>
      <c r="R198" s="16">
        <v>0</v>
      </c>
      <c r="S198" s="16">
        <v>0</v>
      </c>
      <c r="T198" s="16">
        <v>0</v>
      </c>
      <c r="U198" s="16">
        <v>63987</v>
      </c>
      <c r="V198" s="16">
        <f t="shared" si="312"/>
        <v>0</v>
      </c>
      <c r="W198" s="16">
        <v>0</v>
      </c>
      <c r="X198" s="16">
        <v>0</v>
      </c>
      <c r="Y198" s="16">
        <v>0</v>
      </c>
      <c r="Z198" s="16">
        <v>0</v>
      </c>
      <c r="AA198" s="16">
        <v>0</v>
      </c>
      <c r="AB198" s="16">
        <v>0</v>
      </c>
      <c r="AC198" s="16">
        <v>0</v>
      </c>
      <c r="AD198" s="16">
        <v>0</v>
      </c>
      <c r="AE198" s="16">
        <f t="shared" si="313"/>
        <v>0</v>
      </c>
      <c r="AF198" s="16">
        <v>0</v>
      </c>
      <c r="AG198" s="16">
        <v>0</v>
      </c>
      <c r="AH198" s="16">
        <v>0</v>
      </c>
      <c r="AI198" s="16">
        <v>0</v>
      </c>
      <c r="AJ198" s="16">
        <v>0</v>
      </c>
      <c r="AK198" s="16">
        <v>0</v>
      </c>
      <c r="AL198" s="16">
        <v>0</v>
      </c>
      <c r="AM198" s="16">
        <v>0</v>
      </c>
      <c r="AN198" s="16">
        <v>0</v>
      </c>
      <c r="AO198" s="16">
        <v>0</v>
      </c>
      <c r="AP198" s="16">
        <v>0</v>
      </c>
      <c r="AQ198" s="16">
        <v>0</v>
      </c>
      <c r="AR198" s="16">
        <v>0</v>
      </c>
      <c r="AS198" s="16">
        <v>0</v>
      </c>
      <c r="AT198" s="16">
        <v>0</v>
      </c>
      <c r="AU198" s="16">
        <v>0</v>
      </c>
      <c r="AV198" s="16">
        <v>0</v>
      </c>
      <c r="AW198" s="16">
        <v>0</v>
      </c>
      <c r="AX198" s="16">
        <v>0</v>
      </c>
      <c r="AY198" s="16">
        <v>0</v>
      </c>
      <c r="AZ198" s="16">
        <v>0</v>
      </c>
      <c r="BA198" s="16">
        <f t="shared" si="314"/>
        <v>757842</v>
      </c>
      <c r="BB198" s="16">
        <f t="shared" si="315"/>
        <v>0</v>
      </c>
      <c r="BC198" s="16">
        <v>0</v>
      </c>
      <c r="BD198" s="16">
        <v>0</v>
      </c>
      <c r="BE198" s="16">
        <v>0</v>
      </c>
      <c r="BF198" s="16">
        <f t="shared" si="240"/>
        <v>0</v>
      </c>
      <c r="BG198" s="16">
        <v>0</v>
      </c>
      <c r="BH198" s="16">
        <v>0</v>
      </c>
      <c r="BI198" s="16">
        <v>0</v>
      </c>
      <c r="BJ198" s="16">
        <v>0</v>
      </c>
      <c r="BK198" s="16">
        <f t="shared" si="241"/>
        <v>0</v>
      </c>
      <c r="BL198" s="16">
        <v>0</v>
      </c>
      <c r="BM198" s="16">
        <f t="shared" si="242"/>
        <v>757842</v>
      </c>
      <c r="BN198" s="16">
        <v>0</v>
      </c>
      <c r="BO198" s="16">
        <v>0</v>
      </c>
      <c r="BP198" s="16">
        <v>0</v>
      </c>
      <c r="BQ198" s="16">
        <v>0</v>
      </c>
      <c r="BR198" s="16">
        <v>0</v>
      </c>
      <c r="BS198" s="16">
        <v>0</v>
      </c>
      <c r="BT198" s="16">
        <v>0</v>
      </c>
      <c r="BU198" s="16">
        <v>0</v>
      </c>
      <c r="BV198" s="16">
        <v>0</v>
      </c>
      <c r="BW198" s="16">
        <v>757842</v>
      </c>
      <c r="BX198" s="16">
        <v>0</v>
      </c>
      <c r="BY198" s="16">
        <f t="shared" si="316"/>
        <v>42322</v>
      </c>
      <c r="BZ198" s="16">
        <f t="shared" si="317"/>
        <v>42322</v>
      </c>
      <c r="CA198" s="16">
        <f t="shared" si="243"/>
        <v>42322</v>
      </c>
      <c r="CB198" s="16">
        <v>0</v>
      </c>
      <c r="CC198" s="16">
        <v>42322</v>
      </c>
      <c r="CD198" s="16">
        <f t="shared" si="244"/>
        <v>0</v>
      </c>
      <c r="CE198" s="16">
        <v>0</v>
      </c>
      <c r="CF198" s="16">
        <v>0</v>
      </c>
      <c r="CG198" s="16">
        <v>0</v>
      </c>
      <c r="CH198" s="16">
        <v>0</v>
      </c>
      <c r="CI198" s="16">
        <v>0</v>
      </c>
      <c r="CJ198" s="16">
        <v>0</v>
      </c>
      <c r="CK198" s="16">
        <f t="shared" si="245"/>
        <v>0</v>
      </c>
      <c r="CL198" s="16">
        <v>0</v>
      </c>
      <c r="CM198" s="16">
        <v>0</v>
      </c>
      <c r="CN198" s="16">
        <v>0</v>
      </c>
      <c r="CO198" s="16">
        <v>0</v>
      </c>
      <c r="CP198" s="16">
        <v>0</v>
      </c>
      <c r="CQ198" s="16">
        <v>0</v>
      </c>
      <c r="CR198" s="16">
        <v>0</v>
      </c>
      <c r="CS198" s="16">
        <v>0</v>
      </c>
      <c r="CT198" s="16">
        <f t="shared" si="246"/>
        <v>0</v>
      </c>
      <c r="CU198" s="16">
        <f t="shared" si="247"/>
        <v>0</v>
      </c>
      <c r="CV198" s="16">
        <v>0</v>
      </c>
      <c r="CW198" s="17">
        <v>0</v>
      </c>
      <c r="CX198" s="40"/>
      <c r="CY198" s="40"/>
    </row>
    <row r="199" spans="1:103" ht="31.5" x14ac:dyDescent="0.25">
      <c r="A199" s="13" t="s">
        <v>1</v>
      </c>
      <c r="B199" s="14" t="s">
        <v>1</v>
      </c>
      <c r="C199" s="14" t="s">
        <v>19</v>
      </c>
      <c r="D199" s="30" t="s">
        <v>232</v>
      </c>
      <c r="E199" s="15">
        <f t="shared" si="309"/>
        <v>23543913</v>
      </c>
      <c r="F199" s="16">
        <f t="shared" si="310"/>
        <v>23543913</v>
      </c>
      <c r="G199" s="16">
        <f t="shared" si="311"/>
        <v>0</v>
      </c>
      <c r="H199" s="16">
        <v>0</v>
      </c>
      <c r="I199" s="16">
        <v>0</v>
      </c>
      <c r="J199" s="16">
        <f>SUM(K199:P199)</f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f>SUM(R199:S199)</f>
        <v>0</v>
      </c>
      <c r="R199" s="16">
        <v>0</v>
      </c>
      <c r="S199" s="16">
        <v>0</v>
      </c>
      <c r="T199" s="16">
        <v>0</v>
      </c>
      <c r="U199" s="16">
        <v>0</v>
      </c>
      <c r="V199" s="16">
        <f t="shared" si="312"/>
        <v>0</v>
      </c>
      <c r="W199" s="16">
        <v>0</v>
      </c>
      <c r="X199" s="16">
        <v>0</v>
      </c>
      <c r="Y199" s="16">
        <v>0</v>
      </c>
      <c r="Z199" s="16">
        <v>0</v>
      </c>
      <c r="AA199" s="16">
        <v>0</v>
      </c>
      <c r="AB199" s="16">
        <v>0</v>
      </c>
      <c r="AC199" s="16">
        <v>0</v>
      </c>
      <c r="AD199" s="16">
        <v>0</v>
      </c>
      <c r="AE199" s="16">
        <f t="shared" si="313"/>
        <v>0</v>
      </c>
      <c r="AF199" s="16">
        <v>0</v>
      </c>
      <c r="AG199" s="16">
        <v>0</v>
      </c>
      <c r="AH199" s="16">
        <v>0</v>
      </c>
      <c r="AI199" s="16">
        <v>0</v>
      </c>
      <c r="AJ199" s="16">
        <v>0</v>
      </c>
      <c r="AK199" s="16">
        <v>0</v>
      </c>
      <c r="AL199" s="16">
        <v>0</v>
      </c>
      <c r="AM199" s="16">
        <v>0</v>
      </c>
      <c r="AN199" s="16">
        <v>0</v>
      </c>
      <c r="AO199" s="16">
        <v>0</v>
      </c>
      <c r="AP199" s="16">
        <v>0</v>
      </c>
      <c r="AQ199" s="16">
        <v>0</v>
      </c>
      <c r="AR199" s="16">
        <v>0</v>
      </c>
      <c r="AS199" s="16">
        <v>0</v>
      </c>
      <c r="AT199" s="16">
        <v>0</v>
      </c>
      <c r="AU199" s="16">
        <v>0</v>
      </c>
      <c r="AV199" s="16">
        <v>0</v>
      </c>
      <c r="AW199" s="16">
        <v>0</v>
      </c>
      <c r="AX199" s="16">
        <v>0</v>
      </c>
      <c r="AY199" s="16">
        <v>0</v>
      </c>
      <c r="AZ199" s="16">
        <v>0</v>
      </c>
      <c r="BA199" s="16">
        <f t="shared" si="314"/>
        <v>23543913</v>
      </c>
      <c r="BB199" s="16">
        <f t="shared" si="315"/>
        <v>0</v>
      </c>
      <c r="BC199" s="16">
        <v>0</v>
      </c>
      <c r="BD199" s="16">
        <v>0</v>
      </c>
      <c r="BE199" s="16">
        <v>0</v>
      </c>
      <c r="BF199" s="16">
        <f>SUM(BG199:BH199)</f>
        <v>0</v>
      </c>
      <c r="BG199" s="16">
        <v>0</v>
      </c>
      <c r="BH199" s="16">
        <v>0</v>
      </c>
      <c r="BI199" s="16">
        <v>0</v>
      </c>
      <c r="BJ199" s="16">
        <v>0</v>
      </c>
      <c r="BK199" s="16">
        <f>SUM(BL199)</f>
        <v>0</v>
      </c>
      <c r="BL199" s="16">
        <v>0</v>
      </c>
      <c r="BM199" s="16">
        <f>SUM(BN199:BX199)</f>
        <v>23543913</v>
      </c>
      <c r="BN199" s="16">
        <v>0</v>
      </c>
      <c r="BO199" s="16">
        <v>0</v>
      </c>
      <c r="BP199" s="16">
        <v>0</v>
      </c>
      <c r="BQ199" s="16">
        <v>0</v>
      </c>
      <c r="BR199" s="16">
        <v>0</v>
      </c>
      <c r="BS199" s="16">
        <v>0</v>
      </c>
      <c r="BT199" s="16">
        <v>0</v>
      </c>
      <c r="BU199" s="16">
        <v>0</v>
      </c>
      <c r="BV199" s="16">
        <f>262080-32038</f>
        <v>230042</v>
      </c>
      <c r="BW199" s="16">
        <f>6423146+331407-21146</f>
        <v>6733407</v>
      </c>
      <c r="BX199" s="16">
        <f>16580464</f>
        <v>16580464</v>
      </c>
      <c r="BY199" s="16">
        <f t="shared" si="316"/>
        <v>0</v>
      </c>
      <c r="BZ199" s="16">
        <f t="shared" si="317"/>
        <v>0</v>
      </c>
      <c r="CA199" s="16">
        <f>SUM(CB199:CC199)</f>
        <v>0</v>
      </c>
      <c r="CB199" s="16">
        <v>0</v>
      </c>
      <c r="CC199" s="16">
        <v>0</v>
      </c>
      <c r="CD199" s="16">
        <f>SUM(CE199:CI199)</f>
        <v>0</v>
      </c>
      <c r="CE199" s="16">
        <v>0</v>
      </c>
      <c r="CF199" s="16">
        <v>0</v>
      </c>
      <c r="CG199" s="16">
        <v>0</v>
      </c>
      <c r="CH199" s="16">
        <v>0</v>
      </c>
      <c r="CI199" s="16">
        <v>0</v>
      </c>
      <c r="CJ199" s="16">
        <v>0</v>
      </c>
      <c r="CK199" s="16">
        <f>SUM(CL199:CP199)</f>
        <v>0</v>
      </c>
      <c r="CL199" s="16">
        <v>0</v>
      </c>
      <c r="CM199" s="16">
        <v>0</v>
      </c>
      <c r="CN199" s="16">
        <v>0</v>
      </c>
      <c r="CO199" s="16">
        <v>0</v>
      </c>
      <c r="CP199" s="16">
        <v>0</v>
      </c>
      <c r="CQ199" s="16">
        <v>0</v>
      </c>
      <c r="CR199" s="16">
        <v>0</v>
      </c>
      <c r="CS199" s="16">
        <v>0</v>
      </c>
      <c r="CT199" s="16">
        <f>SUM(CU199)</f>
        <v>0</v>
      </c>
      <c r="CU199" s="16">
        <f>SUM(CV199:CW199)</f>
        <v>0</v>
      </c>
      <c r="CV199" s="16">
        <v>0</v>
      </c>
      <c r="CW199" s="17">
        <v>0</v>
      </c>
      <c r="CX199" s="40"/>
      <c r="CY199" s="40"/>
    </row>
    <row r="200" spans="1:103" ht="15.75" x14ac:dyDescent="0.25">
      <c r="A200" s="13" t="s">
        <v>1</v>
      </c>
      <c r="B200" s="14" t="s">
        <v>1</v>
      </c>
      <c r="C200" s="14" t="s">
        <v>19</v>
      </c>
      <c r="D200" s="30" t="s">
        <v>231</v>
      </c>
      <c r="E200" s="15">
        <f t="shared" si="309"/>
        <v>54383009</v>
      </c>
      <c r="F200" s="16">
        <f t="shared" si="310"/>
        <v>54383009</v>
      </c>
      <c r="G200" s="16">
        <f t="shared" si="311"/>
        <v>0</v>
      </c>
      <c r="H200" s="16">
        <v>0</v>
      </c>
      <c r="I200" s="16">
        <v>0</v>
      </c>
      <c r="J200" s="16">
        <f t="shared" si="238"/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16">
        <v>0</v>
      </c>
      <c r="Q200" s="16">
        <f t="shared" si="239"/>
        <v>0</v>
      </c>
      <c r="R200" s="16">
        <v>0</v>
      </c>
      <c r="S200" s="16">
        <v>0</v>
      </c>
      <c r="T200" s="16">
        <v>0</v>
      </c>
      <c r="U200" s="16">
        <v>0</v>
      </c>
      <c r="V200" s="16">
        <f t="shared" si="312"/>
        <v>0</v>
      </c>
      <c r="W200" s="16">
        <v>0</v>
      </c>
      <c r="X200" s="16">
        <v>0</v>
      </c>
      <c r="Y200" s="16">
        <v>0</v>
      </c>
      <c r="Z200" s="16">
        <v>0</v>
      </c>
      <c r="AA200" s="16">
        <v>0</v>
      </c>
      <c r="AB200" s="16">
        <v>0</v>
      </c>
      <c r="AC200" s="16">
        <v>0</v>
      </c>
      <c r="AD200" s="16">
        <v>0</v>
      </c>
      <c r="AE200" s="16">
        <f t="shared" si="313"/>
        <v>0</v>
      </c>
      <c r="AF200" s="16">
        <v>0</v>
      </c>
      <c r="AG200" s="16">
        <v>0</v>
      </c>
      <c r="AH200" s="16">
        <v>0</v>
      </c>
      <c r="AI200" s="16">
        <v>0</v>
      </c>
      <c r="AJ200" s="16">
        <v>0</v>
      </c>
      <c r="AK200" s="16">
        <v>0</v>
      </c>
      <c r="AL200" s="16">
        <v>0</v>
      </c>
      <c r="AM200" s="16">
        <v>0</v>
      </c>
      <c r="AN200" s="16">
        <v>0</v>
      </c>
      <c r="AO200" s="16">
        <v>0</v>
      </c>
      <c r="AP200" s="16">
        <v>0</v>
      </c>
      <c r="AQ200" s="16">
        <v>0</v>
      </c>
      <c r="AR200" s="16">
        <v>0</v>
      </c>
      <c r="AS200" s="16">
        <v>0</v>
      </c>
      <c r="AT200" s="16">
        <v>0</v>
      </c>
      <c r="AU200" s="16">
        <v>0</v>
      </c>
      <c r="AV200" s="16">
        <v>0</v>
      </c>
      <c r="AW200" s="16">
        <v>0</v>
      </c>
      <c r="AX200" s="16">
        <v>0</v>
      </c>
      <c r="AY200" s="16">
        <v>0</v>
      </c>
      <c r="AZ200" s="16">
        <v>0</v>
      </c>
      <c r="BA200" s="16">
        <f t="shared" si="314"/>
        <v>54383009</v>
      </c>
      <c r="BB200" s="16">
        <f t="shared" si="315"/>
        <v>0</v>
      </c>
      <c r="BC200" s="16">
        <v>0</v>
      </c>
      <c r="BD200" s="16">
        <v>0</v>
      </c>
      <c r="BE200" s="16">
        <v>0</v>
      </c>
      <c r="BF200" s="16">
        <f t="shared" si="240"/>
        <v>0</v>
      </c>
      <c r="BG200" s="16">
        <v>0</v>
      </c>
      <c r="BH200" s="16">
        <v>0</v>
      </c>
      <c r="BI200" s="16">
        <v>0</v>
      </c>
      <c r="BJ200" s="16">
        <v>0</v>
      </c>
      <c r="BK200" s="16">
        <f t="shared" si="241"/>
        <v>0</v>
      </c>
      <c r="BL200" s="16">
        <v>0</v>
      </c>
      <c r="BM200" s="16">
        <f t="shared" si="242"/>
        <v>54383009</v>
      </c>
      <c r="BN200" s="16">
        <v>0</v>
      </c>
      <c r="BO200" s="16">
        <v>0</v>
      </c>
      <c r="BP200" s="16">
        <v>0</v>
      </c>
      <c r="BQ200" s="16">
        <v>0</v>
      </c>
      <c r="BR200" s="16">
        <v>0</v>
      </c>
      <c r="BS200" s="16">
        <v>0</v>
      </c>
      <c r="BT200" s="16">
        <v>0</v>
      </c>
      <c r="BU200" s="16">
        <v>0</v>
      </c>
      <c r="BV200" s="16">
        <v>0</v>
      </c>
      <c r="BW200" s="16">
        <f>53922362+38907</f>
        <v>53961269</v>
      </c>
      <c r="BX200" s="16">
        <v>421740</v>
      </c>
      <c r="BY200" s="16">
        <f t="shared" si="316"/>
        <v>0</v>
      </c>
      <c r="BZ200" s="16">
        <f t="shared" si="317"/>
        <v>0</v>
      </c>
      <c r="CA200" s="16">
        <f t="shared" si="243"/>
        <v>0</v>
      </c>
      <c r="CB200" s="16">
        <v>0</v>
      </c>
      <c r="CC200" s="16">
        <v>0</v>
      </c>
      <c r="CD200" s="16">
        <f t="shared" si="244"/>
        <v>0</v>
      </c>
      <c r="CE200" s="16">
        <v>0</v>
      </c>
      <c r="CF200" s="16">
        <v>0</v>
      </c>
      <c r="CG200" s="16">
        <v>0</v>
      </c>
      <c r="CH200" s="16">
        <v>0</v>
      </c>
      <c r="CI200" s="16">
        <v>0</v>
      </c>
      <c r="CJ200" s="16">
        <v>0</v>
      </c>
      <c r="CK200" s="16">
        <f t="shared" si="245"/>
        <v>0</v>
      </c>
      <c r="CL200" s="16">
        <v>0</v>
      </c>
      <c r="CM200" s="16">
        <v>0</v>
      </c>
      <c r="CN200" s="16">
        <v>0</v>
      </c>
      <c r="CO200" s="16">
        <v>0</v>
      </c>
      <c r="CP200" s="16">
        <v>0</v>
      </c>
      <c r="CQ200" s="16">
        <v>0</v>
      </c>
      <c r="CR200" s="16">
        <v>0</v>
      </c>
      <c r="CS200" s="16">
        <v>0</v>
      </c>
      <c r="CT200" s="16">
        <f t="shared" si="246"/>
        <v>0</v>
      </c>
      <c r="CU200" s="16">
        <f t="shared" si="247"/>
        <v>0</v>
      </c>
      <c r="CV200" s="16">
        <v>0</v>
      </c>
      <c r="CW200" s="17">
        <v>0</v>
      </c>
      <c r="CX200" s="40"/>
      <c r="CY200" s="40"/>
    </row>
    <row r="201" spans="1:103" ht="31.5" x14ac:dyDescent="0.25">
      <c r="A201" s="13" t="s">
        <v>1</v>
      </c>
      <c r="B201" s="14" t="s">
        <v>1</v>
      </c>
      <c r="C201" s="14" t="s">
        <v>19</v>
      </c>
      <c r="D201" s="30" t="s">
        <v>230</v>
      </c>
      <c r="E201" s="15">
        <f t="shared" si="309"/>
        <v>6552939</v>
      </c>
      <c r="F201" s="16">
        <f t="shared" si="310"/>
        <v>6552939</v>
      </c>
      <c r="G201" s="16">
        <f t="shared" si="311"/>
        <v>0</v>
      </c>
      <c r="H201" s="16">
        <v>0</v>
      </c>
      <c r="I201" s="16">
        <v>0</v>
      </c>
      <c r="J201" s="16">
        <f>SUM(K201:P201)</f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f>SUM(R201:S201)</f>
        <v>0</v>
      </c>
      <c r="R201" s="16">
        <v>0</v>
      </c>
      <c r="S201" s="16">
        <v>0</v>
      </c>
      <c r="T201" s="16">
        <v>0</v>
      </c>
      <c r="U201" s="16">
        <v>0</v>
      </c>
      <c r="V201" s="16">
        <f t="shared" si="312"/>
        <v>0</v>
      </c>
      <c r="W201" s="16">
        <v>0</v>
      </c>
      <c r="X201" s="16">
        <v>0</v>
      </c>
      <c r="Y201" s="16">
        <v>0</v>
      </c>
      <c r="Z201" s="16">
        <v>0</v>
      </c>
      <c r="AA201" s="16">
        <v>0</v>
      </c>
      <c r="AB201" s="16">
        <v>0</v>
      </c>
      <c r="AC201" s="16">
        <v>0</v>
      </c>
      <c r="AD201" s="16">
        <v>0</v>
      </c>
      <c r="AE201" s="16">
        <f t="shared" si="313"/>
        <v>0</v>
      </c>
      <c r="AF201" s="16">
        <v>0</v>
      </c>
      <c r="AG201" s="16">
        <v>0</v>
      </c>
      <c r="AH201" s="16">
        <v>0</v>
      </c>
      <c r="AI201" s="16">
        <v>0</v>
      </c>
      <c r="AJ201" s="16">
        <v>0</v>
      </c>
      <c r="AK201" s="16">
        <v>0</v>
      </c>
      <c r="AL201" s="16">
        <v>0</v>
      </c>
      <c r="AM201" s="16">
        <v>0</v>
      </c>
      <c r="AN201" s="16">
        <v>0</v>
      </c>
      <c r="AO201" s="16">
        <v>0</v>
      </c>
      <c r="AP201" s="16">
        <v>0</v>
      </c>
      <c r="AQ201" s="16">
        <v>0</v>
      </c>
      <c r="AR201" s="16">
        <v>0</v>
      </c>
      <c r="AS201" s="16">
        <v>0</v>
      </c>
      <c r="AT201" s="16">
        <v>0</v>
      </c>
      <c r="AU201" s="16">
        <v>0</v>
      </c>
      <c r="AV201" s="16">
        <v>0</v>
      </c>
      <c r="AW201" s="16">
        <v>0</v>
      </c>
      <c r="AX201" s="16">
        <v>0</v>
      </c>
      <c r="AY201" s="16">
        <v>0</v>
      </c>
      <c r="AZ201" s="16">
        <v>0</v>
      </c>
      <c r="BA201" s="16">
        <f t="shared" si="314"/>
        <v>6552939</v>
      </c>
      <c r="BB201" s="16">
        <f t="shared" si="315"/>
        <v>0</v>
      </c>
      <c r="BC201" s="16">
        <v>0</v>
      </c>
      <c r="BD201" s="16">
        <v>0</v>
      </c>
      <c r="BE201" s="16">
        <v>0</v>
      </c>
      <c r="BF201" s="16">
        <f>SUM(BG201:BH201)</f>
        <v>0</v>
      </c>
      <c r="BG201" s="16">
        <v>0</v>
      </c>
      <c r="BH201" s="16">
        <v>0</v>
      </c>
      <c r="BI201" s="16">
        <v>0</v>
      </c>
      <c r="BJ201" s="16">
        <v>0</v>
      </c>
      <c r="BK201" s="16">
        <f>SUM(BL201)</f>
        <v>0</v>
      </c>
      <c r="BL201" s="16">
        <v>0</v>
      </c>
      <c r="BM201" s="16">
        <f>SUM(BN201:BX201)</f>
        <v>6552939</v>
      </c>
      <c r="BN201" s="16">
        <v>0</v>
      </c>
      <c r="BO201" s="16">
        <v>0</v>
      </c>
      <c r="BP201" s="16">
        <v>0</v>
      </c>
      <c r="BQ201" s="16">
        <v>0</v>
      </c>
      <c r="BR201" s="16">
        <v>0</v>
      </c>
      <c r="BS201" s="16">
        <v>0</v>
      </c>
      <c r="BT201" s="16">
        <v>0</v>
      </c>
      <c r="BU201" s="16">
        <v>0</v>
      </c>
      <c r="BV201" s="16">
        <v>0</v>
      </c>
      <c r="BW201" s="16">
        <f>7602063-1351344</f>
        <v>6250719</v>
      </c>
      <c r="BX201" s="16">
        <v>302220</v>
      </c>
      <c r="BY201" s="16">
        <f t="shared" si="316"/>
        <v>0</v>
      </c>
      <c r="BZ201" s="16">
        <f t="shared" si="317"/>
        <v>0</v>
      </c>
      <c r="CA201" s="16">
        <f>SUM(CB201:CC201)</f>
        <v>0</v>
      </c>
      <c r="CB201" s="16">
        <v>0</v>
      </c>
      <c r="CC201" s="16">
        <v>0</v>
      </c>
      <c r="CD201" s="16">
        <f>SUM(CE201:CI201)</f>
        <v>0</v>
      </c>
      <c r="CE201" s="16">
        <v>0</v>
      </c>
      <c r="CF201" s="16">
        <v>0</v>
      </c>
      <c r="CG201" s="16">
        <v>0</v>
      </c>
      <c r="CH201" s="16">
        <v>0</v>
      </c>
      <c r="CI201" s="16">
        <v>0</v>
      </c>
      <c r="CJ201" s="16">
        <v>0</v>
      </c>
      <c r="CK201" s="16">
        <f>SUM(CL201:CP201)</f>
        <v>0</v>
      </c>
      <c r="CL201" s="16">
        <v>0</v>
      </c>
      <c r="CM201" s="16">
        <v>0</v>
      </c>
      <c r="CN201" s="16">
        <v>0</v>
      </c>
      <c r="CO201" s="16">
        <v>0</v>
      </c>
      <c r="CP201" s="16">
        <v>0</v>
      </c>
      <c r="CQ201" s="16">
        <v>0</v>
      </c>
      <c r="CR201" s="16">
        <v>0</v>
      </c>
      <c r="CS201" s="16">
        <v>0</v>
      </c>
      <c r="CT201" s="16">
        <f>SUM(CU201)</f>
        <v>0</v>
      </c>
      <c r="CU201" s="16">
        <f>SUM(CV201:CW201)</f>
        <v>0</v>
      </c>
      <c r="CV201" s="16">
        <v>0</v>
      </c>
      <c r="CW201" s="17">
        <v>0</v>
      </c>
      <c r="CX201" s="40"/>
      <c r="CY201" s="40"/>
    </row>
    <row r="202" spans="1:103" ht="15.75" x14ac:dyDescent="0.25">
      <c r="A202" s="13" t="s">
        <v>1</v>
      </c>
      <c r="B202" s="14" t="s">
        <v>1</v>
      </c>
      <c r="C202" s="14" t="s">
        <v>19</v>
      </c>
      <c r="D202" s="30" t="s">
        <v>229</v>
      </c>
      <c r="E202" s="15">
        <f t="shared" si="309"/>
        <v>170976</v>
      </c>
      <c r="F202" s="16">
        <f t="shared" si="310"/>
        <v>170976</v>
      </c>
      <c r="G202" s="16">
        <f t="shared" si="311"/>
        <v>0</v>
      </c>
      <c r="H202" s="16">
        <v>0</v>
      </c>
      <c r="I202" s="16">
        <v>0</v>
      </c>
      <c r="J202" s="16">
        <f>SUM(K202:P202)</f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  <c r="Q202" s="16">
        <f>SUM(R202:S202)</f>
        <v>0</v>
      </c>
      <c r="R202" s="16">
        <v>0</v>
      </c>
      <c r="S202" s="16">
        <v>0</v>
      </c>
      <c r="T202" s="16">
        <v>0</v>
      </c>
      <c r="U202" s="16">
        <v>0</v>
      </c>
      <c r="V202" s="16">
        <f t="shared" si="312"/>
        <v>0</v>
      </c>
      <c r="W202" s="16">
        <v>0</v>
      </c>
      <c r="X202" s="16">
        <v>0</v>
      </c>
      <c r="Y202" s="16">
        <v>0</v>
      </c>
      <c r="Z202" s="16">
        <v>0</v>
      </c>
      <c r="AA202" s="16">
        <v>0</v>
      </c>
      <c r="AB202" s="16">
        <v>0</v>
      </c>
      <c r="AC202" s="16">
        <v>0</v>
      </c>
      <c r="AD202" s="16">
        <v>0</v>
      </c>
      <c r="AE202" s="16">
        <f t="shared" si="313"/>
        <v>0</v>
      </c>
      <c r="AF202" s="16">
        <v>0</v>
      </c>
      <c r="AG202" s="16">
        <v>0</v>
      </c>
      <c r="AH202" s="16">
        <v>0</v>
      </c>
      <c r="AI202" s="16">
        <v>0</v>
      </c>
      <c r="AJ202" s="16">
        <v>0</v>
      </c>
      <c r="AK202" s="16">
        <v>0</v>
      </c>
      <c r="AL202" s="16">
        <v>0</v>
      </c>
      <c r="AM202" s="16">
        <v>0</v>
      </c>
      <c r="AN202" s="16">
        <v>0</v>
      </c>
      <c r="AO202" s="16">
        <v>0</v>
      </c>
      <c r="AP202" s="16">
        <v>0</v>
      </c>
      <c r="AQ202" s="16">
        <v>0</v>
      </c>
      <c r="AR202" s="16">
        <v>0</v>
      </c>
      <c r="AS202" s="16">
        <v>0</v>
      </c>
      <c r="AT202" s="16">
        <v>0</v>
      </c>
      <c r="AU202" s="16">
        <v>0</v>
      </c>
      <c r="AV202" s="16">
        <v>0</v>
      </c>
      <c r="AW202" s="16">
        <v>0</v>
      </c>
      <c r="AX202" s="16">
        <v>0</v>
      </c>
      <c r="AY202" s="16">
        <v>0</v>
      </c>
      <c r="AZ202" s="16">
        <v>0</v>
      </c>
      <c r="BA202" s="16">
        <f t="shared" si="314"/>
        <v>170976</v>
      </c>
      <c r="BB202" s="16">
        <f t="shared" si="315"/>
        <v>0</v>
      </c>
      <c r="BC202" s="16">
        <v>0</v>
      </c>
      <c r="BD202" s="16">
        <v>0</v>
      </c>
      <c r="BE202" s="16">
        <v>0</v>
      </c>
      <c r="BF202" s="16">
        <f>SUM(BG202:BH202)</f>
        <v>0</v>
      </c>
      <c r="BG202" s="16">
        <v>0</v>
      </c>
      <c r="BH202" s="16">
        <v>0</v>
      </c>
      <c r="BI202" s="16">
        <v>0</v>
      </c>
      <c r="BJ202" s="16">
        <v>0</v>
      </c>
      <c r="BK202" s="16">
        <f>SUM(BL202)</f>
        <v>0</v>
      </c>
      <c r="BL202" s="16">
        <v>0</v>
      </c>
      <c r="BM202" s="16">
        <f>SUM(BN202:BX202)</f>
        <v>170976</v>
      </c>
      <c r="BN202" s="16">
        <v>0</v>
      </c>
      <c r="BO202" s="16">
        <v>0</v>
      </c>
      <c r="BP202" s="16">
        <v>0</v>
      </c>
      <c r="BQ202" s="16">
        <v>0</v>
      </c>
      <c r="BR202" s="16">
        <v>0</v>
      </c>
      <c r="BS202" s="16">
        <v>0</v>
      </c>
      <c r="BT202" s="16">
        <v>0</v>
      </c>
      <c r="BU202" s="16">
        <v>0</v>
      </c>
      <c r="BV202" s="16">
        <v>0</v>
      </c>
      <c r="BW202" s="16">
        <v>0</v>
      </c>
      <c r="BX202" s="16">
        <f>374694-203718</f>
        <v>170976</v>
      </c>
      <c r="BY202" s="16">
        <f t="shared" si="316"/>
        <v>0</v>
      </c>
      <c r="BZ202" s="16">
        <f t="shared" si="317"/>
        <v>0</v>
      </c>
      <c r="CA202" s="16">
        <f>SUM(CB202:CC202)</f>
        <v>0</v>
      </c>
      <c r="CB202" s="16">
        <v>0</v>
      </c>
      <c r="CC202" s="16">
        <v>0</v>
      </c>
      <c r="CD202" s="16">
        <f>SUM(CE202:CI202)</f>
        <v>0</v>
      </c>
      <c r="CE202" s="16">
        <v>0</v>
      </c>
      <c r="CF202" s="16">
        <v>0</v>
      </c>
      <c r="CG202" s="16">
        <v>0</v>
      </c>
      <c r="CH202" s="16">
        <v>0</v>
      </c>
      <c r="CI202" s="16">
        <v>0</v>
      </c>
      <c r="CJ202" s="16">
        <v>0</v>
      </c>
      <c r="CK202" s="16">
        <f>SUM(CL202:CP202)</f>
        <v>0</v>
      </c>
      <c r="CL202" s="16">
        <v>0</v>
      </c>
      <c r="CM202" s="16">
        <v>0</v>
      </c>
      <c r="CN202" s="16">
        <v>0</v>
      </c>
      <c r="CO202" s="16">
        <v>0</v>
      </c>
      <c r="CP202" s="16">
        <v>0</v>
      </c>
      <c r="CQ202" s="16">
        <v>0</v>
      </c>
      <c r="CR202" s="16">
        <v>0</v>
      </c>
      <c r="CS202" s="16">
        <v>0</v>
      </c>
      <c r="CT202" s="16">
        <f>SUM(CU202)</f>
        <v>0</v>
      </c>
      <c r="CU202" s="16">
        <f>SUM(CV202:CW202)</f>
        <v>0</v>
      </c>
      <c r="CV202" s="16">
        <v>0</v>
      </c>
      <c r="CW202" s="17">
        <v>0</v>
      </c>
      <c r="CX202" s="40"/>
      <c r="CY202" s="40"/>
    </row>
    <row r="203" spans="1:103" ht="15.75" x14ac:dyDescent="0.25">
      <c r="A203" s="13" t="s">
        <v>1</v>
      </c>
      <c r="B203" s="14" t="s">
        <v>1</v>
      </c>
      <c r="C203" s="14" t="s">
        <v>113</v>
      </c>
      <c r="D203" s="30" t="s">
        <v>548</v>
      </c>
      <c r="E203" s="15">
        <f t="shared" si="309"/>
        <v>1009567</v>
      </c>
      <c r="F203" s="16">
        <f t="shared" si="310"/>
        <v>995853</v>
      </c>
      <c r="G203" s="16">
        <f t="shared" si="311"/>
        <v>674805</v>
      </c>
      <c r="H203" s="16">
        <v>598377</v>
      </c>
      <c r="I203" s="16">
        <v>37698</v>
      </c>
      <c r="J203" s="16">
        <f t="shared" si="238"/>
        <v>8506</v>
      </c>
      <c r="K203" s="16">
        <v>0</v>
      </c>
      <c r="L203" s="16">
        <v>8506</v>
      </c>
      <c r="M203" s="16">
        <v>0</v>
      </c>
      <c r="N203" s="16">
        <v>0</v>
      </c>
      <c r="O203" s="16">
        <v>0</v>
      </c>
      <c r="P203" s="16">
        <v>0</v>
      </c>
      <c r="Q203" s="16">
        <f t="shared" si="239"/>
        <v>0</v>
      </c>
      <c r="R203" s="16">
        <v>0</v>
      </c>
      <c r="S203" s="16">
        <v>0</v>
      </c>
      <c r="T203" s="16">
        <v>0</v>
      </c>
      <c r="U203" s="16">
        <v>0</v>
      </c>
      <c r="V203" s="16">
        <f t="shared" si="312"/>
        <v>0</v>
      </c>
      <c r="W203" s="16">
        <v>0</v>
      </c>
      <c r="X203" s="16">
        <v>0</v>
      </c>
      <c r="Y203" s="16">
        <v>0</v>
      </c>
      <c r="Z203" s="16">
        <v>0</v>
      </c>
      <c r="AA203" s="16">
        <v>0</v>
      </c>
      <c r="AB203" s="16">
        <v>0</v>
      </c>
      <c r="AC203" s="16">
        <v>0</v>
      </c>
      <c r="AD203" s="16">
        <v>0</v>
      </c>
      <c r="AE203" s="16">
        <f t="shared" si="313"/>
        <v>30224</v>
      </c>
      <c r="AF203" s="16">
        <v>0</v>
      </c>
      <c r="AG203" s="16">
        <v>0</v>
      </c>
      <c r="AH203" s="16">
        <v>0</v>
      </c>
      <c r="AI203" s="16">
        <v>0</v>
      </c>
      <c r="AJ203" s="16">
        <v>0</v>
      </c>
      <c r="AK203" s="16">
        <v>0</v>
      </c>
      <c r="AL203" s="16">
        <v>6857</v>
      </c>
      <c r="AM203" s="16">
        <v>0</v>
      </c>
      <c r="AN203" s="16">
        <v>0</v>
      </c>
      <c r="AO203" s="16">
        <v>0</v>
      </c>
      <c r="AP203" s="16">
        <v>0</v>
      </c>
      <c r="AQ203" s="16">
        <v>0</v>
      </c>
      <c r="AR203" s="16">
        <v>0</v>
      </c>
      <c r="AS203" s="16">
        <v>0</v>
      </c>
      <c r="AT203" s="16">
        <v>0</v>
      </c>
      <c r="AU203" s="16">
        <v>0</v>
      </c>
      <c r="AV203" s="16">
        <v>0</v>
      </c>
      <c r="AW203" s="16">
        <v>23367</v>
      </c>
      <c r="AX203" s="16">
        <v>0</v>
      </c>
      <c r="AY203" s="16">
        <v>0</v>
      </c>
      <c r="AZ203" s="16">
        <v>0</v>
      </c>
      <c r="BA203" s="16">
        <f t="shared" si="314"/>
        <v>321048</v>
      </c>
      <c r="BB203" s="16">
        <f t="shared" si="315"/>
        <v>0</v>
      </c>
      <c r="BC203" s="16">
        <v>0</v>
      </c>
      <c r="BD203" s="16">
        <v>0</v>
      </c>
      <c r="BE203" s="16">
        <v>0</v>
      </c>
      <c r="BF203" s="16">
        <f t="shared" si="240"/>
        <v>0</v>
      </c>
      <c r="BG203" s="16">
        <v>0</v>
      </c>
      <c r="BH203" s="16">
        <v>0</v>
      </c>
      <c r="BI203" s="16">
        <v>0</v>
      </c>
      <c r="BJ203" s="16">
        <v>0</v>
      </c>
      <c r="BK203" s="16">
        <f t="shared" si="241"/>
        <v>0</v>
      </c>
      <c r="BL203" s="16">
        <v>0</v>
      </c>
      <c r="BM203" s="16">
        <f t="shared" si="242"/>
        <v>321048</v>
      </c>
      <c r="BN203" s="16">
        <v>0</v>
      </c>
      <c r="BO203" s="16">
        <v>0</v>
      </c>
      <c r="BP203" s="16">
        <v>0</v>
      </c>
      <c r="BQ203" s="16">
        <v>0</v>
      </c>
      <c r="BR203" s="16">
        <v>0</v>
      </c>
      <c r="BS203" s="16">
        <v>0</v>
      </c>
      <c r="BT203" s="16">
        <v>0</v>
      </c>
      <c r="BU203" s="16">
        <v>0</v>
      </c>
      <c r="BV203" s="16">
        <v>0</v>
      </c>
      <c r="BW203" s="16">
        <v>0</v>
      </c>
      <c r="BX203" s="16">
        <v>321048</v>
      </c>
      <c r="BY203" s="16">
        <f t="shared" si="316"/>
        <v>13714</v>
      </c>
      <c r="BZ203" s="16">
        <f t="shared" si="317"/>
        <v>13714</v>
      </c>
      <c r="CA203" s="16">
        <f t="shared" si="243"/>
        <v>13714</v>
      </c>
      <c r="CB203" s="16">
        <v>0</v>
      </c>
      <c r="CC203" s="16">
        <v>13714</v>
      </c>
      <c r="CD203" s="16">
        <f t="shared" si="244"/>
        <v>0</v>
      </c>
      <c r="CE203" s="16">
        <v>0</v>
      </c>
      <c r="CF203" s="16">
        <v>0</v>
      </c>
      <c r="CG203" s="16">
        <v>0</v>
      </c>
      <c r="CH203" s="16">
        <v>0</v>
      </c>
      <c r="CI203" s="16">
        <v>0</v>
      </c>
      <c r="CJ203" s="16">
        <v>0</v>
      </c>
      <c r="CK203" s="16">
        <f t="shared" si="245"/>
        <v>0</v>
      </c>
      <c r="CL203" s="16">
        <v>0</v>
      </c>
      <c r="CM203" s="16">
        <v>0</v>
      </c>
      <c r="CN203" s="16">
        <v>0</v>
      </c>
      <c r="CO203" s="16">
        <v>0</v>
      </c>
      <c r="CP203" s="16">
        <v>0</v>
      </c>
      <c r="CQ203" s="16">
        <v>0</v>
      </c>
      <c r="CR203" s="16">
        <v>0</v>
      </c>
      <c r="CS203" s="16">
        <v>0</v>
      </c>
      <c r="CT203" s="16">
        <f t="shared" si="246"/>
        <v>0</v>
      </c>
      <c r="CU203" s="16">
        <f t="shared" si="247"/>
        <v>0</v>
      </c>
      <c r="CV203" s="16">
        <v>0</v>
      </c>
      <c r="CW203" s="17">
        <v>0</v>
      </c>
      <c r="CX203" s="40"/>
      <c r="CY203" s="40"/>
    </row>
    <row r="204" spans="1:103" ht="31.5" x14ac:dyDescent="0.25">
      <c r="A204" s="13" t="s">
        <v>209</v>
      </c>
      <c r="B204" s="14" t="s">
        <v>233</v>
      </c>
      <c r="C204" s="14" t="s">
        <v>1</v>
      </c>
      <c r="D204" s="30" t="s">
        <v>234</v>
      </c>
      <c r="E204" s="15">
        <f t="shared" ref="E204:AJ204" si="318">SUM(E205)</f>
        <v>61396038</v>
      </c>
      <c r="F204" s="16">
        <f t="shared" si="318"/>
        <v>61396038</v>
      </c>
      <c r="G204" s="16">
        <f t="shared" si="318"/>
        <v>61396038</v>
      </c>
      <c r="H204" s="16">
        <f t="shared" si="318"/>
        <v>0</v>
      </c>
      <c r="I204" s="16">
        <f t="shared" si="318"/>
        <v>0</v>
      </c>
      <c r="J204" s="16">
        <f t="shared" si="318"/>
        <v>0</v>
      </c>
      <c r="K204" s="16">
        <f t="shared" si="318"/>
        <v>0</v>
      </c>
      <c r="L204" s="16">
        <f t="shared" si="318"/>
        <v>0</v>
      </c>
      <c r="M204" s="16">
        <f t="shared" si="318"/>
        <v>0</v>
      </c>
      <c r="N204" s="16">
        <f t="shared" si="318"/>
        <v>0</v>
      </c>
      <c r="O204" s="16">
        <f t="shared" si="318"/>
        <v>0</v>
      </c>
      <c r="P204" s="16">
        <f t="shared" si="318"/>
        <v>0</v>
      </c>
      <c r="Q204" s="16">
        <f t="shared" si="318"/>
        <v>0</v>
      </c>
      <c r="R204" s="16">
        <f t="shared" si="318"/>
        <v>0</v>
      </c>
      <c r="S204" s="16">
        <f t="shared" si="318"/>
        <v>0</v>
      </c>
      <c r="T204" s="16">
        <f t="shared" si="318"/>
        <v>0</v>
      </c>
      <c r="U204" s="16">
        <f t="shared" si="318"/>
        <v>0</v>
      </c>
      <c r="V204" s="16">
        <f t="shared" si="318"/>
        <v>61396038</v>
      </c>
      <c r="W204" s="16">
        <f t="shared" si="318"/>
        <v>0</v>
      </c>
      <c r="X204" s="16">
        <f t="shared" si="318"/>
        <v>0</v>
      </c>
      <c r="Y204" s="16">
        <f t="shared" si="318"/>
        <v>0</v>
      </c>
      <c r="Z204" s="16">
        <f t="shared" si="318"/>
        <v>0</v>
      </c>
      <c r="AA204" s="16">
        <f t="shared" si="318"/>
        <v>0</v>
      </c>
      <c r="AB204" s="16">
        <f t="shared" si="318"/>
        <v>0</v>
      </c>
      <c r="AC204" s="16">
        <f t="shared" si="318"/>
        <v>61396038</v>
      </c>
      <c r="AD204" s="16">
        <f t="shared" si="318"/>
        <v>0</v>
      </c>
      <c r="AE204" s="16">
        <f t="shared" si="318"/>
        <v>0</v>
      </c>
      <c r="AF204" s="16">
        <f t="shared" si="318"/>
        <v>0</v>
      </c>
      <c r="AG204" s="16">
        <f t="shared" si="318"/>
        <v>0</v>
      </c>
      <c r="AH204" s="16">
        <f t="shared" si="318"/>
        <v>0</v>
      </c>
      <c r="AI204" s="16">
        <f t="shared" si="318"/>
        <v>0</v>
      </c>
      <c r="AJ204" s="16">
        <f t="shared" si="318"/>
        <v>0</v>
      </c>
      <c r="AK204" s="16">
        <f t="shared" ref="AK204:BR204" si="319">SUM(AK205)</f>
        <v>0</v>
      </c>
      <c r="AL204" s="16">
        <f t="shared" si="319"/>
        <v>0</v>
      </c>
      <c r="AM204" s="16">
        <f t="shared" si="319"/>
        <v>0</v>
      </c>
      <c r="AN204" s="16">
        <f t="shared" si="319"/>
        <v>0</v>
      </c>
      <c r="AO204" s="16">
        <f t="shared" si="319"/>
        <v>0</v>
      </c>
      <c r="AP204" s="16">
        <f t="shared" si="319"/>
        <v>0</v>
      </c>
      <c r="AQ204" s="16">
        <f t="shared" si="319"/>
        <v>0</v>
      </c>
      <c r="AR204" s="16">
        <f t="shared" si="319"/>
        <v>0</v>
      </c>
      <c r="AS204" s="16">
        <f t="shared" si="319"/>
        <v>0</v>
      </c>
      <c r="AT204" s="16">
        <f t="shared" si="319"/>
        <v>0</v>
      </c>
      <c r="AU204" s="16">
        <f t="shared" si="319"/>
        <v>0</v>
      </c>
      <c r="AV204" s="16">
        <f t="shared" si="319"/>
        <v>0</v>
      </c>
      <c r="AW204" s="16">
        <f t="shared" si="319"/>
        <v>0</v>
      </c>
      <c r="AX204" s="16">
        <f t="shared" si="319"/>
        <v>0</v>
      </c>
      <c r="AY204" s="16">
        <f t="shared" si="319"/>
        <v>0</v>
      </c>
      <c r="AZ204" s="16">
        <f t="shared" si="319"/>
        <v>0</v>
      </c>
      <c r="BA204" s="16">
        <f t="shared" si="319"/>
        <v>0</v>
      </c>
      <c r="BB204" s="16">
        <f t="shared" si="319"/>
        <v>0</v>
      </c>
      <c r="BC204" s="16">
        <f t="shared" si="319"/>
        <v>0</v>
      </c>
      <c r="BD204" s="16">
        <f t="shared" si="319"/>
        <v>0</v>
      </c>
      <c r="BE204" s="16">
        <f t="shared" si="319"/>
        <v>0</v>
      </c>
      <c r="BF204" s="16">
        <f t="shared" si="319"/>
        <v>0</v>
      </c>
      <c r="BG204" s="16">
        <f t="shared" si="319"/>
        <v>0</v>
      </c>
      <c r="BH204" s="16">
        <f t="shared" si="319"/>
        <v>0</v>
      </c>
      <c r="BI204" s="16">
        <f t="shared" si="319"/>
        <v>0</v>
      </c>
      <c r="BJ204" s="16">
        <f t="shared" si="319"/>
        <v>0</v>
      </c>
      <c r="BK204" s="16">
        <f t="shared" si="319"/>
        <v>0</v>
      </c>
      <c r="BL204" s="16">
        <f t="shared" si="319"/>
        <v>0</v>
      </c>
      <c r="BM204" s="16">
        <f t="shared" si="319"/>
        <v>0</v>
      </c>
      <c r="BN204" s="16">
        <f t="shared" si="319"/>
        <v>0</v>
      </c>
      <c r="BO204" s="16">
        <f t="shared" si="319"/>
        <v>0</v>
      </c>
      <c r="BP204" s="16">
        <f t="shared" si="319"/>
        <v>0</v>
      </c>
      <c r="BQ204" s="16">
        <f t="shared" si="319"/>
        <v>0</v>
      </c>
      <c r="BR204" s="16">
        <f t="shared" si="319"/>
        <v>0</v>
      </c>
      <c r="BS204" s="16">
        <f t="shared" ref="BS204:CW204" si="320">SUM(BS205)</f>
        <v>0</v>
      </c>
      <c r="BT204" s="16">
        <f t="shared" si="320"/>
        <v>0</v>
      </c>
      <c r="BU204" s="16">
        <f t="shared" si="320"/>
        <v>0</v>
      </c>
      <c r="BV204" s="16">
        <f t="shared" si="320"/>
        <v>0</v>
      </c>
      <c r="BW204" s="16">
        <f t="shared" si="320"/>
        <v>0</v>
      </c>
      <c r="BX204" s="16">
        <f t="shared" si="320"/>
        <v>0</v>
      </c>
      <c r="BY204" s="16">
        <f t="shared" si="320"/>
        <v>0</v>
      </c>
      <c r="BZ204" s="16">
        <f t="shared" si="320"/>
        <v>0</v>
      </c>
      <c r="CA204" s="16">
        <f t="shared" si="320"/>
        <v>0</v>
      </c>
      <c r="CB204" s="16">
        <f t="shared" si="320"/>
        <v>0</v>
      </c>
      <c r="CC204" s="16">
        <f t="shared" si="320"/>
        <v>0</v>
      </c>
      <c r="CD204" s="16">
        <f t="shared" si="320"/>
        <v>0</v>
      </c>
      <c r="CE204" s="16">
        <f t="shared" si="320"/>
        <v>0</v>
      </c>
      <c r="CF204" s="16">
        <f t="shared" si="320"/>
        <v>0</v>
      </c>
      <c r="CG204" s="16">
        <f t="shared" si="320"/>
        <v>0</v>
      </c>
      <c r="CH204" s="16">
        <f t="shared" si="320"/>
        <v>0</v>
      </c>
      <c r="CI204" s="16">
        <f t="shared" si="320"/>
        <v>0</v>
      </c>
      <c r="CJ204" s="16">
        <f t="shared" si="320"/>
        <v>0</v>
      </c>
      <c r="CK204" s="16">
        <f t="shared" si="320"/>
        <v>0</v>
      </c>
      <c r="CL204" s="16">
        <f t="shared" si="320"/>
        <v>0</v>
      </c>
      <c r="CM204" s="16">
        <f t="shared" si="320"/>
        <v>0</v>
      </c>
      <c r="CN204" s="16">
        <f t="shared" si="320"/>
        <v>0</v>
      </c>
      <c r="CO204" s="16">
        <f t="shared" si="320"/>
        <v>0</v>
      </c>
      <c r="CP204" s="16">
        <f t="shared" si="320"/>
        <v>0</v>
      </c>
      <c r="CQ204" s="16">
        <f t="shared" si="320"/>
        <v>0</v>
      </c>
      <c r="CR204" s="16">
        <f t="shared" si="320"/>
        <v>0</v>
      </c>
      <c r="CS204" s="16">
        <f t="shared" si="320"/>
        <v>0</v>
      </c>
      <c r="CT204" s="16">
        <f t="shared" si="320"/>
        <v>0</v>
      </c>
      <c r="CU204" s="16">
        <f t="shared" si="320"/>
        <v>0</v>
      </c>
      <c r="CV204" s="16">
        <f t="shared" si="320"/>
        <v>0</v>
      </c>
      <c r="CW204" s="17">
        <f t="shared" si="320"/>
        <v>0</v>
      </c>
      <c r="CX204" s="40"/>
      <c r="CY204" s="40"/>
    </row>
    <row r="205" spans="1:103" ht="31.5" x14ac:dyDescent="0.25">
      <c r="A205" s="13" t="s">
        <v>1</v>
      </c>
      <c r="B205" s="14" t="s">
        <v>1</v>
      </c>
      <c r="C205" s="14" t="s">
        <v>43</v>
      </c>
      <c r="D205" s="30" t="s">
        <v>234</v>
      </c>
      <c r="E205" s="15">
        <f>SUM(F205+BY205+CT205)</f>
        <v>61396038</v>
      </c>
      <c r="F205" s="16">
        <f>SUM(G205+BA205)</f>
        <v>61396038</v>
      </c>
      <c r="G205" s="16">
        <f>SUM(H205+I205+J205+Q205+T205+U205+V205+AE205)</f>
        <v>61396038</v>
      </c>
      <c r="H205" s="16">
        <v>0</v>
      </c>
      <c r="I205" s="16">
        <v>0</v>
      </c>
      <c r="J205" s="16">
        <f t="shared" si="238"/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f t="shared" si="239"/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f>SUM(W205:AD205)</f>
        <v>61396038</v>
      </c>
      <c r="W205" s="16">
        <v>0</v>
      </c>
      <c r="X205" s="16">
        <v>0</v>
      </c>
      <c r="Y205" s="16">
        <v>0</v>
      </c>
      <c r="Z205" s="16">
        <v>0</v>
      </c>
      <c r="AA205" s="16">
        <v>0</v>
      </c>
      <c r="AB205" s="16">
        <v>0</v>
      </c>
      <c r="AC205" s="16">
        <v>61396038</v>
      </c>
      <c r="AD205" s="16">
        <v>0</v>
      </c>
      <c r="AE205" s="16">
        <f>SUM(AF205:AZ205)</f>
        <v>0</v>
      </c>
      <c r="AF205" s="16">
        <v>0</v>
      </c>
      <c r="AG205" s="16">
        <v>0</v>
      </c>
      <c r="AH205" s="16">
        <v>0</v>
      </c>
      <c r="AI205" s="16">
        <v>0</v>
      </c>
      <c r="AJ205" s="16">
        <v>0</v>
      </c>
      <c r="AK205" s="16">
        <v>0</v>
      </c>
      <c r="AL205" s="16">
        <v>0</v>
      </c>
      <c r="AM205" s="16">
        <v>0</v>
      </c>
      <c r="AN205" s="16">
        <v>0</v>
      </c>
      <c r="AO205" s="16">
        <v>0</v>
      </c>
      <c r="AP205" s="16">
        <v>0</v>
      </c>
      <c r="AQ205" s="16">
        <v>0</v>
      </c>
      <c r="AR205" s="16">
        <v>0</v>
      </c>
      <c r="AS205" s="16">
        <v>0</v>
      </c>
      <c r="AT205" s="16">
        <v>0</v>
      </c>
      <c r="AU205" s="16">
        <v>0</v>
      </c>
      <c r="AV205" s="16">
        <v>0</v>
      </c>
      <c r="AW205" s="16">
        <v>0</v>
      </c>
      <c r="AX205" s="16">
        <v>0</v>
      </c>
      <c r="AY205" s="16">
        <v>0</v>
      </c>
      <c r="AZ205" s="16">
        <v>0</v>
      </c>
      <c r="BA205" s="16">
        <f>SUM(BB205+BF205+BI205+BK205+BM205)</f>
        <v>0</v>
      </c>
      <c r="BB205" s="16">
        <f>SUM(BC205:BE205)</f>
        <v>0</v>
      </c>
      <c r="BC205" s="16">
        <v>0</v>
      </c>
      <c r="BD205" s="16">
        <v>0</v>
      </c>
      <c r="BE205" s="16">
        <v>0</v>
      </c>
      <c r="BF205" s="16">
        <f t="shared" si="240"/>
        <v>0</v>
      </c>
      <c r="BG205" s="16">
        <v>0</v>
      </c>
      <c r="BH205" s="16">
        <v>0</v>
      </c>
      <c r="BI205" s="16">
        <v>0</v>
      </c>
      <c r="BJ205" s="16">
        <v>0</v>
      </c>
      <c r="BK205" s="16">
        <f t="shared" si="241"/>
        <v>0</v>
      </c>
      <c r="BL205" s="16">
        <v>0</v>
      </c>
      <c r="BM205" s="16">
        <f t="shared" si="242"/>
        <v>0</v>
      </c>
      <c r="BN205" s="16">
        <v>0</v>
      </c>
      <c r="BO205" s="16">
        <v>0</v>
      </c>
      <c r="BP205" s="16">
        <v>0</v>
      </c>
      <c r="BQ205" s="16">
        <v>0</v>
      </c>
      <c r="BR205" s="16">
        <v>0</v>
      </c>
      <c r="BS205" s="16">
        <v>0</v>
      </c>
      <c r="BT205" s="16">
        <v>0</v>
      </c>
      <c r="BU205" s="16">
        <v>0</v>
      </c>
      <c r="BV205" s="16">
        <v>0</v>
      </c>
      <c r="BW205" s="16">
        <v>0</v>
      </c>
      <c r="BX205" s="16">
        <v>0</v>
      </c>
      <c r="BY205" s="16">
        <f>SUM(BZ205+CS205)</f>
        <v>0</v>
      </c>
      <c r="BZ205" s="16">
        <f>SUM(CA205+CD205+CK205)</f>
        <v>0</v>
      </c>
      <c r="CA205" s="16">
        <f t="shared" si="243"/>
        <v>0</v>
      </c>
      <c r="CB205" s="16">
        <v>0</v>
      </c>
      <c r="CC205" s="16">
        <v>0</v>
      </c>
      <c r="CD205" s="16">
        <f t="shared" si="244"/>
        <v>0</v>
      </c>
      <c r="CE205" s="16">
        <v>0</v>
      </c>
      <c r="CF205" s="16">
        <v>0</v>
      </c>
      <c r="CG205" s="16">
        <v>0</v>
      </c>
      <c r="CH205" s="16">
        <v>0</v>
      </c>
      <c r="CI205" s="16">
        <v>0</v>
      </c>
      <c r="CJ205" s="16">
        <v>0</v>
      </c>
      <c r="CK205" s="16">
        <f t="shared" si="245"/>
        <v>0</v>
      </c>
      <c r="CL205" s="16">
        <v>0</v>
      </c>
      <c r="CM205" s="16">
        <v>0</v>
      </c>
      <c r="CN205" s="16">
        <v>0</v>
      </c>
      <c r="CO205" s="16">
        <v>0</v>
      </c>
      <c r="CP205" s="16">
        <v>0</v>
      </c>
      <c r="CQ205" s="16">
        <v>0</v>
      </c>
      <c r="CR205" s="16">
        <v>0</v>
      </c>
      <c r="CS205" s="16">
        <v>0</v>
      </c>
      <c r="CT205" s="16">
        <f t="shared" si="246"/>
        <v>0</v>
      </c>
      <c r="CU205" s="16">
        <f t="shared" si="247"/>
        <v>0</v>
      </c>
      <c r="CV205" s="16">
        <v>0</v>
      </c>
      <c r="CW205" s="17">
        <v>0</v>
      </c>
      <c r="CX205" s="40"/>
      <c r="CY205" s="40"/>
    </row>
    <row r="206" spans="1:103" ht="31.5" x14ac:dyDescent="0.25">
      <c r="A206" s="18" t="s">
        <v>235</v>
      </c>
      <c r="B206" s="19" t="s">
        <v>1</v>
      </c>
      <c r="C206" s="19" t="s">
        <v>1</v>
      </c>
      <c r="D206" s="31" t="s">
        <v>236</v>
      </c>
      <c r="E206" s="20">
        <f>SUM(E207)</f>
        <v>34500</v>
      </c>
      <c r="F206" s="21">
        <f t="shared" ref="F206:BS210" si="321">SUM(F207)</f>
        <v>0</v>
      </c>
      <c r="G206" s="21">
        <f t="shared" si="321"/>
        <v>0</v>
      </c>
      <c r="H206" s="21">
        <f t="shared" si="321"/>
        <v>0</v>
      </c>
      <c r="I206" s="21">
        <f t="shared" si="321"/>
        <v>0</v>
      </c>
      <c r="J206" s="21">
        <f t="shared" si="321"/>
        <v>0</v>
      </c>
      <c r="K206" s="21">
        <f t="shared" si="321"/>
        <v>0</v>
      </c>
      <c r="L206" s="21">
        <f t="shared" si="321"/>
        <v>0</v>
      </c>
      <c r="M206" s="21">
        <f t="shared" si="321"/>
        <v>0</v>
      </c>
      <c r="N206" s="21">
        <f t="shared" si="321"/>
        <v>0</v>
      </c>
      <c r="O206" s="21">
        <f t="shared" si="321"/>
        <v>0</v>
      </c>
      <c r="P206" s="21">
        <f t="shared" si="321"/>
        <v>0</v>
      </c>
      <c r="Q206" s="21">
        <f t="shared" si="321"/>
        <v>0</v>
      </c>
      <c r="R206" s="21">
        <f t="shared" si="321"/>
        <v>0</v>
      </c>
      <c r="S206" s="21">
        <f t="shared" si="321"/>
        <v>0</v>
      </c>
      <c r="T206" s="21">
        <f t="shared" si="321"/>
        <v>0</v>
      </c>
      <c r="U206" s="21">
        <f t="shared" si="321"/>
        <v>0</v>
      </c>
      <c r="V206" s="21">
        <f t="shared" si="321"/>
        <v>0</v>
      </c>
      <c r="W206" s="21">
        <f t="shared" si="321"/>
        <v>0</v>
      </c>
      <c r="X206" s="21">
        <f t="shared" si="321"/>
        <v>0</v>
      </c>
      <c r="Y206" s="21">
        <f t="shared" si="321"/>
        <v>0</v>
      </c>
      <c r="Z206" s="21">
        <f t="shared" si="321"/>
        <v>0</v>
      </c>
      <c r="AA206" s="21">
        <f t="shared" si="321"/>
        <v>0</v>
      </c>
      <c r="AB206" s="21">
        <f t="shared" si="321"/>
        <v>0</v>
      </c>
      <c r="AC206" s="21">
        <f t="shared" si="321"/>
        <v>0</v>
      </c>
      <c r="AD206" s="21">
        <f t="shared" ref="AD206:AD210" si="322">SUM(AD207)</f>
        <v>0</v>
      </c>
      <c r="AE206" s="21">
        <f t="shared" si="321"/>
        <v>0</v>
      </c>
      <c r="AF206" s="21">
        <f t="shared" si="321"/>
        <v>0</v>
      </c>
      <c r="AG206" s="21">
        <f t="shared" si="321"/>
        <v>0</v>
      </c>
      <c r="AH206" s="21">
        <f t="shared" si="321"/>
        <v>0</v>
      </c>
      <c r="AI206" s="21">
        <f t="shared" si="321"/>
        <v>0</v>
      </c>
      <c r="AJ206" s="21">
        <f t="shared" si="321"/>
        <v>0</v>
      </c>
      <c r="AK206" s="21">
        <f t="shared" si="321"/>
        <v>0</v>
      </c>
      <c r="AL206" s="21">
        <f t="shared" si="321"/>
        <v>0</v>
      </c>
      <c r="AM206" s="21">
        <f t="shared" si="321"/>
        <v>0</v>
      </c>
      <c r="AN206" s="21">
        <f t="shared" si="321"/>
        <v>0</v>
      </c>
      <c r="AO206" s="21">
        <f t="shared" si="321"/>
        <v>0</v>
      </c>
      <c r="AP206" s="21">
        <f>SUM(AP207)</f>
        <v>0</v>
      </c>
      <c r="AQ206" s="21">
        <f t="shared" si="321"/>
        <v>0</v>
      </c>
      <c r="AR206" s="21">
        <f t="shared" si="321"/>
        <v>0</v>
      </c>
      <c r="AS206" s="21">
        <f t="shared" si="321"/>
        <v>0</v>
      </c>
      <c r="AT206" s="21">
        <f t="shared" si="321"/>
        <v>0</v>
      </c>
      <c r="AU206" s="21">
        <f t="shared" si="321"/>
        <v>0</v>
      </c>
      <c r="AV206" s="21">
        <f t="shared" si="321"/>
        <v>0</v>
      </c>
      <c r="AW206" s="21">
        <f t="shared" si="321"/>
        <v>0</v>
      </c>
      <c r="AX206" s="21">
        <f t="shared" si="321"/>
        <v>0</v>
      </c>
      <c r="AY206" s="21">
        <f>SUM(AY207)</f>
        <v>0</v>
      </c>
      <c r="AZ206" s="21">
        <f t="shared" si="321"/>
        <v>0</v>
      </c>
      <c r="BA206" s="21">
        <f t="shared" si="321"/>
        <v>0</v>
      </c>
      <c r="BB206" s="21">
        <f t="shared" si="321"/>
        <v>0</v>
      </c>
      <c r="BC206" s="21">
        <f t="shared" si="321"/>
        <v>0</v>
      </c>
      <c r="BD206" s="21">
        <f t="shared" si="321"/>
        <v>0</v>
      </c>
      <c r="BE206" s="21">
        <f t="shared" si="321"/>
        <v>0</v>
      </c>
      <c r="BF206" s="21">
        <f t="shared" si="321"/>
        <v>0</v>
      </c>
      <c r="BG206" s="21">
        <f t="shared" si="321"/>
        <v>0</v>
      </c>
      <c r="BH206" s="21">
        <f t="shared" si="321"/>
        <v>0</v>
      </c>
      <c r="BI206" s="21">
        <f t="shared" si="321"/>
        <v>0</v>
      </c>
      <c r="BJ206" s="21">
        <f t="shared" si="321"/>
        <v>0</v>
      </c>
      <c r="BK206" s="21">
        <f t="shared" si="321"/>
        <v>0</v>
      </c>
      <c r="BL206" s="21">
        <f t="shared" si="321"/>
        <v>0</v>
      </c>
      <c r="BM206" s="21">
        <f t="shared" si="321"/>
        <v>0</v>
      </c>
      <c r="BN206" s="21">
        <f t="shared" si="321"/>
        <v>0</v>
      </c>
      <c r="BO206" s="21">
        <f t="shared" si="321"/>
        <v>0</v>
      </c>
      <c r="BP206" s="21">
        <f t="shared" si="321"/>
        <v>0</v>
      </c>
      <c r="BQ206" s="21">
        <f t="shared" si="321"/>
        <v>0</v>
      </c>
      <c r="BR206" s="21">
        <f t="shared" si="321"/>
        <v>0</v>
      </c>
      <c r="BS206" s="21">
        <f t="shared" si="321"/>
        <v>0</v>
      </c>
      <c r="BT206" s="21">
        <f t="shared" ref="BT206:CW210" si="323">SUM(BT207)</f>
        <v>0</v>
      </c>
      <c r="BU206" s="21">
        <f t="shared" si="323"/>
        <v>0</v>
      </c>
      <c r="BV206" s="21">
        <f t="shared" si="323"/>
        <v>0</v>
      </c>
      <c r="BW206" s="21">
        <f t="shared" si="323"/>
        <v>0</v>
      </c>
      <c r="BX206" s="21">
        <f t="shared" si="323"/>
        <v>0</v>
      </c>
      <c r="BY206" s="21">
        <f t="shared" si="323"/>
        <v>0</v>
      </c>
      <c r="BZ206" s="21">
        <f t="shared" si="323"/>
        <v>0</v>
      </c>
      <c r="CA206" s="21">
        <f t="shared" si="323"/>
        <v>0</v>
      </c>
      <c r="CB206" s="21">
        <f t="shared" si="323"/>
        <v>0</v>
      </c>
      <c r="CC206" s="21">
        <f t="shared" si="323"/>
        <v>0</v>
      </c>
      <c r="CD206" s="21">
        <f t="shared" si="323"/>
        <v>0</v>
      </c>
      <c r="CE206" s="21">
        <f t="shared" si="323"/>
        <v>0</v>
      </c>
      <c r="CF206" s="21">
        <f t="shared" si="323"/>
        <v>0</v>
      </c>
      <c r="CG206" s="21">
        <f t="shared" si="323"/>
        <v>0</v>
      </c>
      <c r="CH206" s="21">
        <f t="shared" si="323"/>
        <v>0</v>
      </c>
      <c r="CI206" s="21">
        <f t="shared" si="323"/>
        <v>0</v>
      </c>
      <c r="CJ206" s="21">
        <f t="shared" si="323"/>
        <v>0</v>
      </c>
      <c r="CK206" s="21">
        <f t="shared" si="323"/>
        <v>0</v>
      </c>
      <c r="CL206" s="21">
        <f t="shared" si="323"/>
        <v>0</v>
      </c>
      <c r="CM206" s="21">
        <f t="shared" si="323"/>
        <v>0</v>
      </c>
      <c r="CN206" s="21">
        <f t="shared" si="323"/>
        <v>0</v>
      </c>
      <c r="CO206" s="21">
        <f t="shared" si="323"/>
        <v>0</v>
      </c>
      <c r="CP206" s="21">
        <f t="shared" si="323"/>
        <v>0</v>
      </c>
      <c r="CQ206" s="21">
        <f t="shared" si="323"/>
        <v>0</v>
      </c>
      <c r="CR206" s="21">
        <f t="shared" si="323"/>
        <v>0</v>
      </c>
      <c r="CS206" s="21">
        <f t="shared" si="323"/>
        <v>0</v>
      </c>
      <c r="CT206" s="21">
        <f t="shared" si="323"/>
        <v>34500</v>
      </c>
      <c r="CU206" s="21">
        <f t="shared" si="323"/>
        <v>34500</v>
      </c>
      <c r="CV206" s="21">
        <f t="shared" si="323"/>
        <v>34500</v>
      </c>
      <c r="CW206" s="22">
        <f t="shared" si="323"/>
        <v>0</v>
      </c>
      <c r="CX206" s="40"/>
      <c r="CY206" s="40"/>
    </row>
    <row r="207" spans="1:103" ht="15.75" x14ac:dyDescent="0.25">
      <c r="A207" s="13" t="s">
        <v>237</v>
      </c>
      <c r="B207" s="14" t="s">
        <v>3</v>
      </c>
      <c r="C207" s="14" t="s">
        <v>1</v>
      </c>
      <c r="D207" s="30" t="s">
        <v>238</v>
      </c>
      <c r="E207" s="15">
        <f>SUM(E208)</f>
        <v>34500</v>
      </c>
      <c r="F207" s="16">
        <f t="shared" si="321"/>
        <v>0</v>
      </c>
      <c r="G207" s="16">
        <f t="shared" si="321"/>
        <v>0</v>
      </c>
      <c r="H207" s="16">
        <f t="shared" si="321"/>
        <v>0</v>
      </c>
      <c r="I207" s="16">
        <f t="shared" si="321"/>
        <v>0</v>
      </c>
      <c r="J207" s="16">
        <f t="shared" si="321"/>
        <v>0</v>
      </c>
      <c r="K207" s="16">
        <f t="shared" si="321"/>
        <v>0</v>
      </c>
      <c r="L207" s="16">
        <f t="shared" si="321"/>
        <v>0</v>
      </c>
      <c r="M207" s="16">
        <f t="shared" si="321"/>
        <v>0</v>
      </c>
      <c r="N207" s="16">
        <f t="shared" si="321"/>
        <v>0</v>
      </c>
      <c r="O207" s="16">
        <f t="shared" si="321"/>
        <v>0</v>
      </c>
      <c r="P207" s="16">
        <f t="shared" si="321"/>
        <v>0</v>
      </c>
      <c r="Q207" s="16">
        <f t="shared" si="321"/>
        <v>0</v>
      </c>
      <c r="R207" s="16">
        <f t="shared" si="321"/>
        <v>0</v>
      </c>
      <c r="S207" s="16">
        <f t="shared" si="321"/>
        <v>0</v>
      </c>
      <c r="T207" s="16">
        <f t="shared" si="321"/>
        <v>0</v>
      </c>
      <c r="U207" s="16">
        <f t="shared" si="321"/>
        <v>0</v>
      </c>
      <c r="V207" s="16">
        <f t="shared" si="321"/>
        <v>0</v>
      </c>
      <c r="W207" s="16">
        <f t="shared" si="321"/>
        <v>0</v>
      </c>
      <c r="X207" s="16">
        <f t="shared" si="321"/>
        <v>0</v>
      </c>
      <c r="Y207" s="16">
        <f t="shared" si="321"/>
        <v>0</v>
      </c>
      <c r="Z207" s="16">
        <f t="shared" si="321"/>
        <v>0</v>
      </c>
      <c r="AA207" s="16">
        <f t="shared" si="321"/>
        <v>0</v>
      </c>
      <c r="AB207" s="16">
        <f t="shared" si="321"/>
        <v>0</v>
      </c>
      <c r="AC207" s="16">
        <f t="shared" si="321"/>
        <v>0</v>
      </c>
      <c r="AD207" s="16">
        <f t="shared" si="322"/>
        <v>0</v>
      </c>
      <c r="AE207" s="16">
        <f t="shared" si="321"/>
        <v>0</v>
      </c>
      <c r="AF207" s="16">
        <f t="shared" si="321"/>
        <v>0</v>
      </c>
      <c r="AG207" s="16">
        <f t="shared" si="321"/>
        <v>0</v>
      </c>
      <c r="AH207" s="16">
        <f t="shared" si="321"/>
        <v>0</v>
      </c>
      <c r="AI207" s="16">
        <f t="shared" si="321"/>
        <v>0</v>
      </c>
      <c r="AJ207" s="16">
        <f t="shared" si="321"/>
        <v>0</v>
      </c>
      <c r="AK207" s="16">
        <f t="shared" si="321"/>
        <v>0</v>
      </c>
      <c r="AL207" s="16">
        <f t="shared" si="321"/>
        <v>0</v>
      </c>
      <c r="AM207" s="16">
        <f t="shared" si="321"/>
        <v>0</v>
      </c>
      <c r="AN207" s="16">
        <f t="shared" si="321"/>
        <v>0</v>
      </c>
      <c r="AO207" s="16">
        <f t="shared" si="321"/>
        <v>0</v>
      </c>
      <c r="AP207" s="16">
        <f>SUM(AP208)</f>
        <v>0</v>
      </c>
      <c r="AQ207" s="16">
        <f t="shared" si="321"/>
        <v>0</v>
      </c>
      <c r="AR207" s="16">
        <f t="shared" si="321"/>
        <v>0</v>
      </c>
      <c r="AS207" s="16">
        <f t="shared" si="321"/>
        <v>0</v>
      </c>
      <c r="AT207" s="16">
        <f t="shared" si="321"/>
        <v>0</v>
      </c>
      <c r="AU207" s="16">
        <f t="shared" si="321"/>
        <v>0</v>
      </c>
      <c r="AV207" s="16">
        <f t="shared" si="321"/>
        <v>0</v>
      </c>
      <c r="AW207" s="16">
        <f t="shared" si="321"/>
        <v>0</v>
      </c>
      <c r="AX207" s="16">
        <f t="shared" si="321"/>
        <v>0</v>
      </c>
      <c r="AY207" s="16">
        <f>SUM(AY208)</f>
        <v>0</v>
      </c>
      <c r="AZ207" s="16">
        <f t="shared" si="321"/>
        <v>0</v>
      </c>
      <c r="BA207" s="16">
        <f t="shared" si="321"/>
        <v>0</v>
      </c>
      <c r="BB207" s="16">
        <f t="shared" si="321"/>
        <v>0</v>
      </c>
      <c r="BC207" s="16">
        <f t="shared" si="321"/>
        <v>0</v>
      </c>
      <c r="BD207" s="16">
        <f t="shared" si="321"/>
        <v>0</v>
      </c>
      <c r="BE207" s="16">
        <f t="shared" si="321"/>
        <v>0</v>
      </c>
      <c r="BF207" s="16">
        <f t="shared" si="321"/>
        <v>0</v>
      </c>
      <c r="BG207" s="16">
        <f t="shared" si="321"/>
        <v>0</v>
      </c>
      <c r="BH207" s="16">
        <f t="shared" si="321"/>
        <v>0</v>
      </c>
      <c r="BI207" s="16">
        <f t="shared" si="321"/>
        <v>0</v>
      </c>
      <c r="BJ207" s="16">
        <f t="shared" si="321"/>
        <v>0</v>
      </c>
      <c r="BK207" s="16">
        <f t="shared" si="321"/>
        <v>0</v>
      </c>
      <c r="BL207" s="16">
        <f t="shared" si="321"/>
        <v>0</v>
      </c>
      <c r="BM207" s="16">
        <f t="shared" si="321"/>
        <v>0</v>
      </c>
      <c r="BN207" s="16">
        <f t="shared" si="321"/>
        <v>0</v>
      </c>
      <c r="BO207" s="16">
        <f t="shared" si="321"/>
        <v>0</v>
      </c>
      <c r="BP207" s="16">
        <f t="shared" si="321"/>
        <v>0</v>
      </c>
      <c r="BQ207" s="16">
        <f t="shared" si="321"/>
        <v>0</v>
      </c>
      <c r="BR207" s="16">
        <f t="shared" si="321"/>
        <v>0</v>
      </c>
      <c r="BS207" s="16">
        <f t="shared" si="321"/>
        <v>0</v>
      </c>
      <c r="BT207" s="16">
        <f t="shared" si="323"/>
        <v>0</v>
      </c>
      <c r="BU207" s="16">
        <f t="shared" si="323"/>
        <v>0</v>
      </c>
      <c r="BV207" s="16">
        <f t="shared" si="323"/>
        <v>0</v>
      </c>
      <c r="BW207" s="16">
        <f t="shared" si="323"/>
        <v>0</v>
      </c>
      <c r="BX207" s="16">
        <f t="shared" si="323"/>
        <v>0</v>
      </c>
      <c r="BY207" s="16">
        <f t="shared" si="323"/>
        <v>0</v>
      </c>
      <c r="BZ207" s="16">
        <f t="shared" si="323"/>
        <v>0</v>
      </c>
      <c r="CA207" s="16">
        <f t="shared" si="323"/>
        <v>0</v>
      </c>
      <c r="CB207" s="16">
        <f t="shared" si="323"/>
        <v>0</v>
      </c>
      <c r="CC207" s="16">
        <f t="shared" si="323"/>
        <v>0</v>
      </c>
      <c r="CD207" s="16">
        <f t="shared" si="323"/>
        <v>0</v>
      </c>
      <c r="CE207" s="16">
        <f t="shared" si="323"/>
        <v>0</v>
      </c>
      <c r="CF207" s="16">
        <f t="shared" si="323"/>
        <v>0</v>
      </c>
      <c r="CG207" s="16">
        <f t="shared" si="323"/>
        <v>0</v>
      </c>
      <c r="CH207" s="16">
        <f t="shared" si="323"/>
        <v>0</v>
      </c>
      <c r="CI207" s="16">
        <f t="shared" si="323"/>
        <v>0</v>
      </c>
      <c r="CJ207" s="16">
        <f t="shared" si="323"/>
        <v>0</v>
      </c>
      <c r="CK207" s="16">
        <f t="shared" si="323"/>
        <v>0</v>
      </c>
      <c r="CL207" s="16">
        <f t="shared" si="323"/>
        <v>0</v>
      </c>
      <c r="CM207" s="16">
        <f t="shared" si="323"/>
        <v>0</v>
      </c>
      <c r="CN207" s="16">
        <f t="shared" si="323"/>
        <v>0</v>
      </c>
      <c r="CO207" s="16">
        <f t="shared" si="323"/>
        <v>0</v>
      </c>
      <c r="CP207" s="16">
        <f t="shared" si="323"/>
        <v>0</v>
      </c>
      <c r="CQ207" s="16">
        <f t="shared" si="323"/>
        <v>0</v>
      </c>
      <c r="CR207" s="16">
        <f t="shared" si="323"/>
        <v>0</v>
      </c>
      <c r="CS207" s="16">
        <f t="shared" si="323"/>
        <v>0</v>
      </c>
      <c r="CT207" s="16">
        <f t="shared" si="323"/>
        <v>34500</v>
      </c>
      <c r="CU207" s="16">
        <f t="shared" si="323"/>
        <v>34500</v>
      </c>
      <c r="CV207" s="16">
        <f t="shared" si="323"/>
        <v>34500</v>
      </c>
      <c r="CW207" s="17">
        <f t="shared" si="323"/>
        <v>0</v>
      </c>
      <c r="CX207" s="40"/>
      <c r="CY207" s="40"/>
    </row>
    <row r="208" spans="1:103" ht="15.75" x14ac:dyDescent="0.25">
      <c r="A208" s="13" t="s">
        <v>1</v>
      </c>
      <c r="B208" s="14" t="s">
        <v>1</v>
      </c>
      <c r="C208" s="14" t="s">
        <v>43</v>
      </c>
      <c r="D208" s="30" t="s">
        <v>238</v>
      </c>
      <c r="E208" s="15">
        <f>SUM(F208+BY208+CT208)</f>
        <v>34500</v>
      </c>
      <c r="F208" s="16">
        <f>SUM(G208+BA208)</f>
        <v>0</v>
      </c>
      <c r="G208" s="16">
        <f>SUM(H208+I208+J208+Q208+T208+U208+V208+AE208)</f>
        <v>0</v>
      </c>
      <c r="H208" s="16">
        <v>0</v>
      </c>
      <c r="I208" s="16">
        <v>0</v>
      </c>
      <c r="J208" s="16">
        <f t="shared" si="238"/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f t="shared" si="239"/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f>SUM(W208:AD208)</f>
        <v>0</v>
      </c>
      <c r="W208" s="16">
        <v>0</v>
      </c>
      <c r="X208" s="16">
        <v>0</v>
      </c>
      <c r="Y208" s="16">
        <v>0</v>
      </c>
      <c r="Z208" s="16">
        <v>0</v>
      </c>
      <c r="AA208" s="16">
        <v>0</v>
      </c>
      <c r="AB208" s="16">
        <v>0</v>
      </c>
      <c r="AC208" s="16">
        <v>0</v>
      </c>
      <c r="AD208" s="16">
        <v>0</v>
      </c>
      <c r="AE208" s="16">
        <f>SUM(AF208:AZ208)</f>
        <v>0</v>
      </c>
      <c r="AF208" s="16">
        <v>0</v>
      </c>
      <c r="AG208" s="16">
        <v>0</v>
      </c>
      <c r="AH208" s="16">
        <v>0</v>
      </c>
      <c r="AI208" s="16">
        <v>0</v>
      </c>
      <c r="AJ208" s="16">
        <v>0</v>
      </c>
      <c r="AK208" s="16">
        <v>0</v>
      </c>
      <c r="AL208" s="16">
        <v>0</v>
      </c>
      <c r="AM208" s="16">
        <v>0</v>
      </c>
      <c r="AN208" s="16">
        <v>0</v>
      </c>
      <c r="AO208" s="16">
        <v>0</v>
      </c>
      <c r="AP208" s="16">
        <v>0</v>
      </c>
      <c r="AQ208" s="16">
        <v>0</v>
      </c>
      <c r="AR208" s="16">
        <v>0</v>
      </c>
      <c r="AS208" s="16">
        <v>0</v>
      </c>
      <c r="AT208" s="16">
        <v>0</v>
      </c>
      <c r="AU208" s="16">
        <v>0</v>
      </c>
      <c r="AV208" s="16">
        <v>0</v>
      </c>
      <c r="AW208" s="16">
        <v>0</v>
      </c>
      <c r="AX208" s="16">
        <v>0</v>
      </c>
      <c r="AY208" s="16">
        <v>0</v>
      </c>
      <c r="AZ208" s="16">
        <v>0</v>
      </c>
      <c r="BA208" s="16">
        <f>SUM(BB208+BF208+BI208+BK208+BM208)</f>
        <v>0</v>
      </c>
      <c r="BB208" s="16">
        <f>SUM(BC208:BE208)</f>
        <v>0</v>
      </c>
      <c r="BC208" s="16">
        <v>0</v>
      </c>
      <c r="BD208" s="16">
        <v>0</v>
      </c>
      <c r="BE208" s="16">
        <v>0</v>
      </c>
      <c r="BF208" s="16">
        <f t="shared" si="240"/>
        <v>0</v>
      </c>
      <c r="BG208" s="16">
        <v>0</v>
      </c>
      <c r="BH208" s="16">
        <v>0</v>
      </c>
      <c r="BI208" s="16">
        <v>0</v>
      </c>
      <c r="BJ208" s="16">
        <v>0</v>
      </c>
      <c r="BK208" s="16">
        <f t="shared" si="241"/>
        <v>0</v>
      </c>
      <c r="BL208" s="16">
        <v>0</v>
      </c>
      <c r="BM208" s="16">
        <f t="shared" si="242"/>
        <v>0</v>
      </c>
      <c r="BN208" s="16">
        <v>0</v>
      </c>
      <c r="BO208" s="16">
        <v>0</v>
      </c>
      <c r="BP208" s="16">
        <v>0</v>
      </c>
      <c r="BQ208" s="16">
        <v>0</v>
      </c>
      <c r="BR208" s="16">
        <v>0</v>
      </c>
      <c r="BS208" s="16">
        <v>0</v>
      </c>
      <c r="BT208" s="16">
        <v>0</v>
      </c>
      <c r="BU208" s="16">
        <v>0</v>
      </c>
      <c r="BV208" s="16">
        <v>0</v>
      </c>
      <c r="BW208" s="16">
        <v>0</v>
      </c>
      <c r="BX208" s="16">
        <v>0</v>
      </c>
      <c r="BY208" s="16">
        <f>SUM(BZ208+CS208)</f>
        <v>0</v>
      </c>
      <c r="BZ208" s="16">
        <f>SUM(CA208+CD208+CK208)</f>
        <v>0</v>
      </c>
      <c r="CA208" s="16">
        <f t="shared" si="243"/>
        <v>0</v>
      </c>
      <c r="CB208" s="16">
        <v>0</v>
      </c>
      <c r="CC208" s="16">
        <v>0</v>
      </c>
      <c r="CD208" s="16">
        <f t="shared" si="244"/>
        <v>0</v>
      </c>
      <c r="CE208" s="16">
        <v>0</v>
      </c>
      <c r="CF208" s="16">
        <v>0</v>
      </c>
      <c r="CG208" s="16">
        <v>0</v>
      </c>
      <c r="CH208" s="16">
        <v>0</v>
      </c>
      <c r="CI208" s="16">
        <v>0</v>
      </c>
      <c r="CJ208" s="16">
        <v>0</v>
      </c>
      <c r="CK208" s="16">
        <f t="shared" si="245"/>
        <v>0</v>
      </c>
      <c r="CL208" s="16">
        <v>0</v>
      </c>
      <c r="CM208" s="16">
        <v>0</v>
      </c>
      <c r="CN208" s="16">
        <v>0</v>
      </c>
      <c r="CO208" s="16">
        <v>0</v>
      </c>
      <c r="CP208" s="16">
        <v>0</v>
      </c>
      <c r="CQ208" s="16">
        <v>0</v>
      </c>
      <c r="CR208" s="16">
        <v>0</v>
      </c>
      <c r="CS208" s="16">
        <v>0</v>
      </c>
      <c r="CT208" s="16">
        <f t="shared" si="246"/>
        <v>34500</v>
      </c>
      <c r="CU208" s="16">
        <f t="shared" si="247"/>
        <v>34500</v>
      </c>
      <c r="CV208" s="16">
        <v>34500</v>
      </c>
      <c r="CW208" s="17">
        <v>0</v>
      </c>
      <c r="CX208" s="40"/>
      <c r="CY208" s="40"/>
    </row>
    <row r="209" spans="1:103" ht="31.5" x14ac:dyDescent="0.25">
      <c r="A209" s="18" t="s">
        <v>522</v>
      </c>
      <c r="B209" s="19" t="s">
        <v>1</v>
      </c>
      <c r="C209" s="19" t="s">
        <v>1</v>
      </c>
      <c r="D209" s="31" t="s">
        <v>525</v>
      </c>
      <c r="E209" s="20">
        <f>SUM(E210)</f>
        <v>3875517</v>
      </c>
      <c r="F209" s="21">
        <f t="shared" si="321"/>
        <v>0</v>
      </c>
      <c r="G209" s="21">
        <f t="shared" si="321"/>
        <v>0</v>
      </c>
      <c r="H209" s="21">
        <f t="shared" si="321"/>
        <v>0</v>
      </c>
      <c r="I209" s="21">
        <f t="shared" si="321"/>
        <v>0</v>
      </c>
      <c r="J209" s="21">
        <f t="shared" si="321"/>
        <v>0</v>
      </c>
      <c r="K209" s="21">
        <f t="shared" si="321"/>
        <v>0</v>
      </c>
      <c r="L209" s="21">
        <f t="shared" si="321"/>
        <v>0</v>
      </c>
      <c r="M209" s="21">
        <f t="shared" si="321"/>
        <v>0</v>
      </c>
      <c r="N209" s="21">
        <f t="shared" si="321"/>
        <v>0</v>
      </c>
      <c r="O209" s="21">
        <f t="shared" si="321"/>
        <v>0</v>
      </c>
      <c r="P209" s="21">
        <f t="shared" si="321"/>
        <v>0</v>
      </c>
      <c r="Q209" s="21">
        <f t="shared" si="321"/>
        <v>0</v>
      </c>
      <c r="R209" s="21">
        <f t="shared" si="321"/>
        <v>0</v>
      </c>
      <c r="S209" s="21">
        <f t="shared" si="321"/>
        <v>0</v>
      </c>
      <c r="T209" s="21">
        <f t="shared" si="321"/>
        <v>0</v>
      </c>
      <c r="U209" s="21">
        <f t="shared" si="321"/>
        <v>0</v>
      </c>
      <c r="V209" s="21">
        <f t="shared" si="321"/>
        <v>0</v>
      </c>
      <c r="W209" s="21">
        <f t="shared" si="321"/>
        <v>0</v>
      </c>
      <c r="X209" s="21">
        <f t="shared" si="321"/>
        <v>0</v>
      </c>
      <c r="Y209" s="21">
        <f t="shared" si="321"/>
        <v>0</v>
      </c>
      <c r="Z209" s="21">
        <f t="shared" si="321"/>
        <v>0</v>
      </c>
      <c r="AA209" s="21">
        <f t="shared" si="321"/>
        <v>0</v>
      </c>
      <c r="AB209" s="21">
        <f t="shared" si="321"/>
        <v>0</v>
      </c>
      <c r="AC209" s="21">
        <f t="shared" si="321"/>
        <v>0</v>
      </c>
      <c r="AD209" s="21">
        <f t="shared" si="322"/>
        <v>0</v>
      </c>
      <c r="AE209" s="21">
        <f t="shared" si="321"/>
        <v>0</v>
      </c>
      <c r="AF209" s="21">
        <f t="shared" si="321"/>
        <v>0</v>
      </c>
      <c r="AG209" s="21">
        <f t="shared" si="321"/>
        <v>0</v>
      </c>
      <c r="AH209" s="21">
        <f t="shared" si="321"/>
        <v>0</v>
      </c>
      <c r="AI209" s="21">
        <f t="shared" si="321"/>
        <v>0</v>
      </c>
      <c r="AJ209" s="21">
        <f t="shared" si="321"/>
        <v>0</v>
      </c>
      <c r="AK209" s="21">
        <f t="shared" si="321"/>
        <v>0</v>
      </c>
      <c r="AL209" s="21">
        <f t="shared" si="321"/>
        <v>0</v>
      </c>
      <c r="AM209" s="21">
        <f t="shared" si="321"/>
        <v>0</v>
      </c>
      <c r="AN209" s="21">
        <f t="shared" si="321"/>
        <v>0</v>
      </c>
      <c r="AO209" s="21">
        <f t="shared" si="321"/>
        <v>0</v>
      </c>
      <c r="AP209" s="21">
        <f>SUM(AP210)</f>
        <v>0</v>
      </c>
      <c r="AQ209" s="21">
        <f t="shared" si="321"/>
        <v>0</v>
      </c>
      <c r="AR209" s="21">
        <f t="shared" si="321"/>
        <v>0</v>
      </c>
      <c r="AS209" s="21">
        <f t="shared" si="321"/>
        <v>0</v>
      </c>
      <c r="AT209" s="21">
        <f t="shared" si="321"/>
        <v>0</v>
      </c>
      <c r="AU209" s="21">
        <f t="shared" si="321"/>
        <v>0</v>
      </c>
      <c r="AV209" s="21">
        <f t="shared" si="321"/>
        <v>0</v>
      </c>
      <c r="AW209" s="21">
        <f t="shared" si="321"/>
        <v>0</v>
      </c>
      <c r="AX209" s="21">
        <f t="shared" si="321"/>
        <v>0</v>
      </c>
      <c r="AY209" s="21">
        <f>SUM(AY210)</f>
        <v>0</v>
      </c>
      <c r="AZ209" s="21">
        <f t="shared" si="321"/>
        <v>0</v>
      </c>
      <c r="BA209" s="21">
        <f t="shared" si="321"/>
        <v>0</v>
      </c>
      <c r="BB209" s="21">
        <f t="shared" si="321"/>
        <v>0</v>
      </c>
      <c r="BC209" s="21">
        <f t="shared" si="321"/>
        <v>0</v>
      </c>
      <c r="BD209" s="21">
        <f t="shared" si="321"/>
        <v>0</v>
      </c>
      <c r="BE209" s="21">
        <f t="shared" si="321"/>
        <v>0</v>
      </c>
      <c r="BF209" s="21">
        <f t="shared" si="321"/>
        <v>0</v>
      </c>
      <c r="BG209" s="21">
        <f t="shared" si="321"/>
        <v>0</v>
      </c>
      <c r="BH209" s="21">
        <f t="shared" si="321"/>
        <v>0</v>
      </c>
      <c r="BI209" s="21">
        <f t="shared" si="321"/>
        <v>0</v>
      </c>
      <c r="BJ209" s="21">
        <f t="shared" si="321"/>
        <v>0</v>
      </c>
      <c r="BK209" s="21">
        <f t="shared" si="321"/>
        <v>0</v>
      </c>
      <c r="BL209" s="21">
        <f t="shared" si="321"/>
        <v>0</v>
      </c>
      <c r="BM209" s="21">
        <f t="shared" si="321"/>
        <v>0</v>
      </c>
      <c r="BN209" s="21">
        <f t="shared" si="321"/>
        <v>0</v>
      </c>
      <c r="BO209" s="21">
        <f t="shared" si="321"/>
        <v>0</v>
      </c>
      <c r="BP209" s="21">
        <f t="shared" si="321"/>
        <v>0</v>
      </c>
      <c r="BQ209" s="21">
        <f t="shared" si="321"/>
        <v>0</v>
      </c>
      <c r="BR209" s="21">
        <f t="shared" si="321"/>
        <v>0</v>
      </c>
      <c r="BS209" s="21">
        <f t="shared" si="321"/>
        <v>0</v>
      </c>
      <c r="BT209" s="21">
        <f t="shared" si="323"/>
        <v>0</v>
      </c>
      <c r="BU209" s="21">
        <f t="shared" si="323"/>
        <v>0</v>
      </c>
      <c r="BV209" s="21">
        <f t="shared" si="323"/>
        <v>0</v>
      </c>
      <c r="BW209" s="21">
        <f t="shared" si="323"/>
        <v>0</v>
      </c>
      <c r="BX209" s="21">
        <f t="shared" si="323"/>
        <v>0</v>
      </c>
      <c r="BY209" s="21">
        <f t="shared" si="323"/>
        <v>3875517</v>
      </c>
      <c r="BZ209" s="21">
        <f t="shared" si="323"/>
        <v>0</v>
      </c>
      <c r="CA209" s="21">
        <f t="shared" si="323"/>
        <v>0</v>
      </c>
      <c r="CB209" s="21">
        <f t="shared" si="323"/>
        <v>0</v>
      </c>
      <c r="CC209" s="21">
        <f t="shared" si="323"/>
        <v>0</v>
      </c>
      <c r="CD209" s="21">
        <f t="shared" si="323"/>
        <v>0</v>
      </c>
      <c r="CE209" s="21">
        <f t="shared" si="323"/>
        <v>0</v>
      </c>
      <c r="CF209" s="21">
        <f t="shared" si="323"/>
        <v>0</v>
      </c>
      <c r="CG209" s="21">
        <f t="shared" si="323"/>
        <v>0</v>
      </c>
      <c r="CH209" s="21">
        <f t="shared" si="323"/>
        <v>0</v>
      </c>
      <c r="CI209" s="21">
        <f t="shared" si="323"/>
        <v>0</v>
      </c>
      <c r="CJ209" s="21">
        <f t="shared" si="323"/>
        <v>0</v>
      </c>
      <c r="CK209" s="21">
        <f t="shared" si="323"/>
        <v>0</v>
      </c>
      <c r="CL209" s="21">
        <f t="shared" si="323"/>
        <v>0</v>
      </c>
      <c r="CM209" s="21">
        <f t="shared" si="323"/>
        <v>0</v>
      </c>
      <c r="CN209" s="21">
        <f t="shared" si="323"/>
        <v>0</v>
      </c>
      <c r="CO209" s="21">
        <f t="shared" si="323"/>
        <v>0</v>
      </c>
      <c r="CP209" s="21">
        <f t="shared" si="323"/>
        <v>0</v>
      </c>
      <c r="CQ209" s="21">
        <f t="shared" si="323"/>
        <v>3875517</v>
      </c>
      <c r="CR209" s="21">
        <f t="shared" si="323"/>
        <v>3875517</v>
      </c>
      <c r="CS209" s="21">
        <f t="shared" si="323"/>
        <v>0</v>
      </c>
      <c r="CT209" s="21">
        <f t="shared" si="323"/>
        <v>0</v>
      </c>
      <c r="CU209" s="21">
        <f t="shared" si="323"/>
        <v>0</v>
      </c>
      <c r="CV209" s="21">
        <f t="shared" si="323"/>
        <v>0</v>
      </c>
      <c r="CW209" s="22">
        <f t="shared" si="323"/>
        <v>0</v>
      </c>
      <c r="CX209" s="40"/>
      <c r="CY209" s="40"/>
    </row>
    <row r="210" spans="1:103" ht="15.75" x14ac:dyDescent="0.25">
      <c r="A210" s="13" t="s">
        <v>523</v>
      </c>
      <c r="B210" s="14" t="s">
        <v>15</v>
      </c>
      <c r="C210" s="14" t="s">
        <v>1</v>
      </c>
      <c r="D210" s="30" t="s">
        <v>524</v>
      </c>
      <c r="E210" s="15">
        <f>SUM(E211)</f>
        <v>3875517</v>
      </c>
      <c r="F210" s="16">
        <f t="shared" si="321"/>
        <v>0</v>
      </c>
      <c r="G210" s="16">
        <f t="shared" si="321"/>
        <v>0</v>
      </c>
      <c r="H210" s="16">
        <f t="shared" si="321"/>
        <v>0</v>
      </c>
      <c r="I210" s="16">
        <f t="shared" si="321"/>
        <v>0</v>
      </c>
      <c r="J210" s="16">
        <f t="shared" si="321"/>
        <v>0</v>
      </c>
      <c r="K210" s="16">
        <f t="shared" si="321"/>
        <v>0</v>
      </c>
      <c r="L210" s="16">
        <f t="shared" si="321"/>
        <v>0</v>
      </c>
      <c r="M210" s="16">
        <f t="shared" si="321"/>
        <v>0</v>
      </c>
      <c r="N210" s="16">
        <f t="shared" si="321"/>
        <v>0</v>
      </c>
      <c r="O210" s="16">
        <f t="shared" si="321"/>
        <v>0</v>
      </c>
      <c r="P210" s="16">
        <f t="shared" si="321"/>
        <v>0</v>
      </c>
      <c r="Q210" s="16">
        <f t="shared" si="321"/>
        <v>0</v>
      </c>
      <c r="R210" s="16">
        <f t="shared" si="321"/>
        <v>0</v>
      </c>
      <c r="S210" s="16">
        <f t="shared" si="321"/>
        <v>0</v>
      </c>
      <c r="T210" s="16">
        <f t="shared" si="321"/>
        <v>0</v>
      </c>
      <c r="U210" s="16">
        <f t="shared" si="321"/>
        <v>0</v>
      </c>
      <c r="V210" s="16">
        <f t="shared" si="321"/>
        <v>0</v>
      </c>
      <c r="W210" s="16">
        <f t="shared" si="321"/>
        <v>0</v>
      </c>
      <c r="X210" s="16">
        <f t="shared" si="321"/>
        <v>0</v>
      </c>
      <c r="Y210" s="16">
        <f t="shared" si="321"/>
        <v>0</v>
      </c>
      <c r="Z210" s="16">
        <f t="shared" si="321"/>
        <v>0</v>
      </c>
      <c r="AA210" s="16">
        <f t="shared" si="321"/>
        <v>0</v>
      </c>
      <c r="AB210" s="16">
        <f t="shared" si="321"/>
        <v>0</v>
      </c>
      <c r="AC210" s="16">
        <f t="shared" si="321"/>
        <v>0</v>
      </c>
      <c r="AD210" s="16">
        <f t="shared" si="322"/>
        <v>0</v>
      </c>
      <c r="AE210" s="16">
        <f t="shared" si="321"/>
        <v>0</v>
      </c>
      <c r="AF210" s="16">
        <f t="shared" si="321"/>
        <v>0</v>
      </c>
      <c r="AG210" s="16">
        <f t="shared" si="321"/>
        <v>0</v>
      </c>
      <c r="AH210" s="16">
        <f t="shared" si="321"/>
        <v>0</v>
      </c>
      <c r="AI210" s="16">
        <f t="shared" si="321"/>
        <v>0</v>
      </c>
      <c r="AJ210" s="16">
        <f t="shared" si="321"/>
        <v>0</v>
      </c>
      <c r="AK210" s="16">
        <f t="shared" si="321"/>
        <v>0</v>
      </c>
      <c r="AL210" s="16">
        <f t="shared" si="321"/>
        <v>0</v>
      </c>
      <c r="AM210" s="16">
        <f t="shared" si="321"/>
        <v>0</v>
      </c>
      <c r="AN210" s="16">
        <f t="shared" si="321"/>
        <v>0</v>
      </c>
      <c r="AO210" s="16">
        <f t="shared" si="321"/>
        <v>0</v>
      </c>
      <c r="AP210" s="16">
        <f>SUM(AP211)</f>
        <v>0</v>
      </c>
      <c r="AQ210" s="16">
        <f t="shared" si="321"/>
        <v>0</v>
      </c>
      <c r="AR210" s="16">
        <f t="shared" si="321"/>
        <v>0</v>
      </c>
      <c r="AS210" s="16">
        <f t="shared" si="321"/>
        <v>0</v>
      </c>
      <c r="AT210" s="16">
        <f t="shared" si="321"/>
        <v>0</v>
      </c>
      <c r="AU210" s="16">
        <f t="shared" si="321"/>
        <v>0</v>
      </c>
      <c r="AV210" s="16">
        <f t="shared" si="321"/>
        <v>0</v>
      </c>
      <c r="AW210" s="16">
        <f t="shared" si="321"/>
        <v>0</v>
      </c>
      <c r="AX210" s="16">
        <f t="shared" si="321"/>
        <v>0</v>
      </c>
      <c r="AY210" s="16">
        <f>SUM(AY211)</f>
        <v>0</v>
      </c>
      <c r="AZ210" s="16">
        <f t="shared" si="321"/>
        <v>0</v>
      </c>
      <c r="BA210" s="16">
        <f t="shared" si="321"/>
        <v>0</v>
      </c>
      <c r="BB210" s="16">
        <f t="shared" si="321"/>
        <v>0</v>
      </c>
      <c r="BC210" s="16">
        <f t="shared" si="321"/>
        <v>0</v>
      </c>
      <c r="BD210" s="16">
        <f t="shared" si="321"/>
        <v>0</v>
      </c>
      <c r="BE210" s="16">
        <f t="shared" si="321"/>
        <v>0</v>
      </c>
      <c r="BF210" s="16">
        <f t="shared" si="321"/>
        <v>0</v>
      </c>
      <c r="BG210" s="16">
        <f t="shared" si="321"/>
        <v>0</v>
      </c>
      <c r="BH210" s="16">
        <f t="shared" si="321"/>
        <v>0</v>
      </c>
      <c r="BI210" s="16">
        <f t="shared" si="321"/>
        <v>0</v>
      </c>
      <c r="BJ210" s="16">
        <f t="shared" si="321"/>
        <v>0</v>
      </c>
      <c r="BK210" s="16">
        <f t="shared" si="321"/>
        <v>0</v>
      </c>
      <c r="BL210" s="16">
        <f t="shared" si="321"/>
        <v>0</v>
      </c>
      <c r="BM210" s="16">
        <f t="shared" si="321"/>
        <v>0</v>
      </c>
      <c r="BN210" s="16">
        <f t="shared" si="321"/>
        <v>0</v>
      </c>
      <c r="BO210" s="16">
        <f t="shared" si="321"/>
        <v>0</v>
      </c>
      <c r="BP210" s="16">
        <f t="shared" si="321"/>
        <v>0</v>
      </c>
      <c r="BQ210" s="16">
        <f t="shared" si="321"/>
        <v>0</v>
      </c>
      <c r="BR210" s="16">
        <f t="shared" si="321"/>
        <v>0</v>
      </c>
      <c r="BS210" s="16">
        <f>SUM(BS211)</f>
        <v>0</v>
      </c>
      <c r="BT210" s="16">
        <f t="shared" si="323"/>
        <v>0</v>
      </c>
      <c r="BU210" s="16">
        <f t="shared" si="323"/>
        <v>0</v>
      </c>
      <c r="BV210" s="16">
        <f t="shared" si="323"/>
        <v>0</v>
      </c>
      <c r="BW210" s="16">
        <f t="shared" si="323"/>
        <v>0</v>
      </c>
      <c r="BX210" s="16">
        <f t="shared" si="323"/>
        <v>0</v>
      </c>
      <c r="BY210" s="16">
        <f t="shared" si="323"/>
        <v>3875517</v>
      </c>
      <c r="BZ210" s="16">
        <f t="shared" si="323"/>
        <v>0</v>
      </c>
      <c r="CA210" s="16">
        <f t="shared" si="323"/>
        <v>0</v>
      </c>
      <c r="CB210" s="16">
        <f t="shared" si="323"/>
        <v>0</v>
      </c>
      <c r="CC210" s="16">
        <f t="shared" si="323"/>
        <v>0</v>
      </c>
      <c r="CD210" s="16">
        <f t="shared" si="323"/>
        <v>0</v>
      </c>
      <c r="CE210" s="16">
        <f t="shared" si="323"/>
        <v>0</v>
      </c>
      <c r="CF210" s="16">
        <f t="shared" si="323"/>
        <v>0</v>
      </c>
      <c r="CG210" s="16">
        <f t="shared" si="323"/>
        <v>0</v>
      </c>
      <c r="CH210" s="16">
        <f t="shared" si="323"/>
        <v>0</v>
      </c>
      <c r="CI210" s="16">
        <f t="shared" si="323"/>
        <v>0</v>
      </c>
      <c r="CJ210" s="16">
        <f t="shared" si="323"/>
        <v>0</v>
      </c>
      <c r="CK210" s="16">
        <f t="shared" si="323"/>
        <v>0</v>
      </c>
      <c r="CL210" s="16">
        <f t="shared" si="323"/>
        <v>0</v>
      </c>
      <c r="CM210" s="16">
        <f t="shared" si="323"/>
        <v>0</v>
      </c>
      <c r="CN210" s="16">
        <f t="shared" si="323"/>
        <v>0</v>
      </c>
      <c r="CO210" s="16">
        <f t="shared" si="323"/>
        <v>0</v>
      </c>
      <c r="CP210" s="16">
        <f t="shared" si="323"/>
        <v>0</v>
      </c>
      <c r="CQ210" s="16">
        <f t="shared" si="323"/>
        <v>3875517</v>
      </c>
      <c r="CR210" s="16">
        <f t="shared" si="323"/>
        <v>3875517</v>
      </c>
      <c r="CS210" s="16">
        <f t="shared" si="323"/>
        <v>0</v>
      </c>
      <c r="CT210" s="16">
        <f t="shared" si="323"/>
        <v>0</v>
      </c>
      <c r="CU210" s="16">
        <f t="shared" si="323"/>
        <v>0</v>
      </c>
      <c r="CV210" s="16">
        <f t="shared" si="323"/>
        <v>0</v>
      </c>
      <c r="CW210" s="17">
        <f t="shared" si="323"/>
        <v>0</v>
      </c>
      <c r="CX210" s="40"/>
      <c r="CY210" s="40"/>
    </row>
    <row r="211" spans="1:103" ht="15.75" x14ac:dyDescent="0.25">
      <c r="A211" s="13" t="s">
        <v>1</v>
      </c>
      <c r="B211" s="14" t="s">
        <v>1</v>
      </c>
      <c r="C211" s="14" t="s">
        <v>41</v>
      </c>
      <c r="D211" s="30" t="s">
        <v>524</v>
      </c>
      <c r="E211" s="15">
        <f>SUM(F211+BY211+CT211)</f>
        <v>3875517</v>
      </c>
      <c r="F211" s="16">
        <f>SUM(G211+BA211)</f>
        <v>0</v>
      </c>
      <c r="G211" s="16">
        <f>SUM(H211+I211+J211+Q211+T211+U211+V211+AE211)</f>
        <v>0</v>
      </c>
      <c r="H211" s="16">
        <v>0</v>
      </c>
      <c r="I211" s="16">
        <v>0</v>
      </c>
      <c r="J211" s="16">
        <f>SUM(K211:P211)</f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f>SUM(R211:S211)</f>
        <v>0</v>
      </c>
      <c r="R211" s="16">
        <v>0</v>
      </c>
      <c r="S211" s="16">
        <v>0</v>
      </c>
      <c r="T211" s="16">
        <v>0</v>
      </c>
      <c r="U211" s="16">
        <v>0</v>
      </c>
      <c r="V211" s="16">
        <f>SUM(W211:AD211)</f>
        <v>0</v>
      </c>
      <c r="W211" s="16">
        <v>0</v>
      </c>
      <c r="X211" s="16">
        <v>0</v>
      </c>
      <c r="Y211" s="16">
        <v>0</v>
      </c>
      <c r="Z211" s="16">
        <v>0</v>
      </c>
      <c r="AA211" s="16">
        <v>0</v>
      </c>
      <c r="AB211" s="16">
        <v>0</v>
      </c>
      <c r="AC211" s="16">
        <v>0</v>
      </c>
      <c r="AD211" s="16">
        <v>0</v>
      </c>
      <c r="AE211" s="16">
        <f>SUM(AF211:AZ211)</f>
        <v>0</v>
      </c>
      <c r="AF211" s="16">
        <v>0</v>
      </c>
      <c r="AG211" s="16">
        <v>0</v>
      </c>
      <c r="AH211" s="16">
        <v>0</v>
      </c>
      <c r="AI211" s="16">
        <v>0</v>
      </c>
      <c r="AJ211" s="16">
        <v>0</v>
      </c>
      <c r="AK211" s="16">
        <v>0</v>
      </c>
      <c r="AL211" s="16">
        <v>0</v>
      </c>
      <c r="AM211" s="16">
        <v>0</v>
      </c>
      <c r="AN211" s="16">
        <v>0</v>
      </c>
      <c r="AO211" s="16">
        <v>0</v>
      </c>
      <c r="AP211" s="16">
        <v>0</v>
      </c>
      <c r="AQ211" s="16">
        <v>0</v>
      </c>
      <c r="AR211" s="16">
        <v>0</v>
      </c>
      <c r="AS211" s="16">
        <v>0</v>
      </c>
      <c r="AT211" s="16">
        <v>0</v>
      </c>
      <c r="AU211" s="16">
        <v>0</v>
      </c>
      <c r="AV211" s="16">
        <v>0</v>
      </c>
      <c r="AW211" s="16">
        <v>0</v>
      </c>
      <c r="AX211" s="16">
        <v>0</v>
      </c>
      <c r="AY211" s="16">
        <v>0</v>
      </c>
      <c r="AZ211" s="16"/>
      <c r="BA211" s="16">
        <f>SUM(BB211+BF211+BI211+BK211+BM211)</f>
        <v>0</v>
      </c>
      <c r="BB211" s="16">
        <f>SUM(BC211:BE211)</f>
        <v>0</v>
      </c>
      <c r="BC211" s="16">
        <v>0</v>
      </c>
      <c r="BD211" s="16">
        <v>0</v>
      </c>
      <c r="BE211" s="16">
        <v>0</v>
      </c>
      <c r="BF211" s="16">
        <f>SUM(BG211:BH211)</f>
        <v>0</v>
      </c>
      <c r="BG211" s="16">
        <v>0</v>
      </c>
      <c r="BH211" s="16">
        <v>0</v>
      </c>
      <c r="BI211" s="16">
        <v>0</v>
      </c>
      <c r="BJ211" s="16">
        <v>0</v>
      </c>
      <c r="BK211" s="16">
        <f>SUM(BL211)</f>
        <v>0</v>
      </c>
      <c r="BL211" s="16">
        <v>0</v>
      </c>
      <c r="BM211" s="16">
        <f>SUM(BN211:BX211)</f>
        <v>0</v>
      </c>
      <c r="BN211" s="16">
        <v>0</v>
      </c>
      <c r="BO211" s="16">
        <v>0</v>
      </c>
      <c r="BP211" s="16">
        <v>0</v>
      </c>
      <c r="BQ211" s="16">
        <v>0</v>
      </c>
      <c r="BR211" s="16">
        <v>0</v>
      </c>
      <c r="BS211" s="16">
        <v>0</v>
      </c>
      <c r="BT211" s="16">
        <v>0</v>
      </c>
      <c r="BU211" s="16">
        <v>0</v>
      </c>
      <c r="BV211" s="16">
        <v>0</v>
      </c>
      <c r="BW211" s="16">
        <v>0</v>
      </c>
      <c r="BX211" s="16">
        <v>0</v>
      </c>
      <c r="BY211" s="16">
        <f>SUM(BZ211+CS211+CQ211)</f>
        <v>3875517</v>
      </c>
      <c r="BZ211" s="16">
        <f>SUM(CA211+CD211+CK211)</f>
        <v>0</v>
      </c>
      <c r="CA211" s="16">
        <f>SUM(CB211:CC211)</f>
        <v>0</v>
      </c>
      <c r="CB211" s="16">
        <v>0</v>
      </c>
      <c r="CC211" s="16">
        <v>0</v>
      </c>
      <c r="CD211" s="16">
        <f>SUM(CE211:CI211)</f>
        <v>0</v>
      </c>
      <c r="CE211" s="16">
        <v>0</v>
      </c>
      <c r="CF211" s="16">
        <v>0</v>
      </c>
      <c r="CG211" s="16">
        <v>0</v>
      </c>
      <c r="CH211" s="16">
        <v>0</v>
      </c>
      <c r="CI211" s="16">
        <v>0</v>
      </c>
      <c r="CJ211" s="16">
        <v>0</v>
      </c>
      <c r="CK211" s="16">
        <f>SUM(CL211:CP211)</f>
        <v>0</v>
      </c>
      <c r="CL211" s="16">
        <v>0</v>
      </c>
      <c r="CM211" s="16">
        <v>0</v>
      </c>
      <c r="CN211" s="16">
        <v>0</v>
      </c>
      <c r="CO211" s="16">
        <v>0</v>
      </c>
      <c r="CP211" s="16">
        <v>0</v>
      </c>
      <c r="CQ211" s="16">
        <f>SUM(CR211)</f>
        <v>3875517</v>
      </c>
      <c r="CR211" s="16">
        <f>20110000+3875517-20110000</f>
        <v>3875517</v>
      </c>
      <c r="CS211" s="16">
        <v>0</v>
      </c>
      <c r="CT211" s="16">
        <f>SUM(CU211)</f>
        <v>0</v>
      </c>
      <c r="CU211" s="16">
        <f>SUM(CV211:CW211)</f>
        <v>0</v>
      </c>
      <c r="CV211" s="16"/>
      <c r="CW211" s="17">
        <v>0</v>
      </c>
      <c r="CX211" s="40"/>
      <c r="CY211" s="40"/>
    </row>
    <row r="212" spans="1:103" ht="31.5" x14ac:dyDescent="0.25">
      <c r="A212" s="18" t="s">
        <v>239</v>
      </c>
      <c r="B212" s="19" t="s">
        <v>1</v>
      </c>
      <c r="C212" s="19" t="s">
        <v>1</v>
      </c>
      <c r="D212" s="31" t="s">
        <v>240</v>
      </c>
      <c r="E212" s="20">
        <f>SUM(E213)</f>
        <v>177113890</v>
      </c>
      <c r="F212" s="21">
        <f t="shared" ref="F212:BS212" si="324">SUM(F213)</f>
        <v>177113890</v>
      </c>
      <c r="G212" s="21">
        <f t="shared" si="324"/>
        <v>0</v>
      </c>
      <c r="H212" s="21">
        <f t="shared" si="324"/>
        <v>0</v>
      </c>
      <c r="I212" s="21">
        <f t="shared" si="324"/>
        <v>0</v>
      </c>
      <c r="J212" s="21">
        <f t="shared" si="324"/>
        <v>0</v>
      </c>
      <c r="K212" s="21">
        <f t="shared" si="324"/>
        <v>0</v>
      </c>
      <c r="L212" s="21">
        <f t="shared" si="324"/>
        <v>0</v>
      </c>
      <c r="M212" s="21">
        <f t="shared" si="324"/>
        <v>0</v>
      </c>
      <c r="N212" s="21">
        <f t="shared" si="324"/>
        <v>0</v>
      </c>
      <c r="O212" s="21">
        <f t="shared" si="324"/>
        <v>0</v>
      </c>
      <c r="P212" s="21">
        <f t="shared" si="324"/>
        <v>0</v>
      </c>
      <c r="Q212" s="21">
        <f t="shared" si="324"/>
        <v>0</v>
      </c>
      <c r="R212" s="21">
        <f t="shared" si="324"/>
        <v>0</v>
      </c>
      <c r="S212" s="21">
        <f t="shared" si="324"/>
        <v>0</v>
      </c>
      <c r="T212" s="21">
        <f t="shared" si="324"/>
        <v>0</v>
      </c>
      <c r="U212" s="21">
        <f t="shared" si="324"/>
        <v>0</v>
      </c>
      <c r="V212" s="21">
        <f t="shared" si="324"/>
        <v>0</v>
      </c>
      <c r="W212" s="21">
        <f t="shared" si="324"/>
        <v>0</v>
      </c>
      <c r="X212" s="21">
        <f t="shared" si="324"/>
        <v>0</v>
      </c>
      <c r="Y212" s="21">
        <f t="shared" si="324"/>
        <v>0</v>
      </c>
      <c r="Z212" s="21">
        <f t="shared" si="324"/>
        <v>0</v>
      </c>
      <c r="AA212" s="21">
        <f t="shared" si="324"/>
        <v>0</v>
      </c>
      <c r="AB212" s="21">
        <f t="shared" si="324"/>
        <v>0</v>
      </c>
      <c r="AC212" s="21">
        <f t="shared" si="324"/>
        <v>0</v>
      </c>
      <c r="AD212" s="21">
        <f t="shared" si="324"/>
        <v>0</v>
      </c>
      <c r="AE212" s="21">
        <f t="shared" si="324"/>
        <v>0</v>
      </c>
      <c r="AF212" s="21">
        <f t="shared" si="324"/>
        <v>0</v>
      </c>
      <c r="AG212" s="21">
        <f t="shared" si="324"/>
        <v>0</v>
      </c>
      <c r="AH212" s="21">
        <f t="shared" si="324"/>
        <v>0</v>
      </c>
      <c r="AI212" s="21">
        <f t="shared" si="324"/>
        <v>0</v>
      </c>
      <c r="AJ212" s="21">
        <f t="shared" si="324"/>
        <v>0</v>
      </c>
      <c r="AK212" s="21">
        <f t="shared" si="324"/>
        <v>0</v>
      </c>
      <c r="AL212" s="21">
        <f t="shared" si="324"/>
        <v>0</v>
      </c>
      <c r="AM212" s="21">
        <f t="shared" si="324"/>
        <v>0</v>
      </c>
      <c r="AN212" s="21">
        <f t="shared" si="324"/>
        <v>0</v>
      </c>
      <c r="AO212" s="21">
        <f t="shared" si="324"/>
        <v>0</v>
      </c>
      <c r="AP212" s="21">
        <f t="shared" si="324"/>
        <v>0</v>
      </c>
      <c r="AQ212" s="21">
        <f t="shared" si="324"/>
        <v>0</v>
      </c>
      <c r="AR212" s="21">
        <f t="shared" si="324"/>
        <v>0</v>
      </c>
      <c r="AS212" s="21">
        <f t="shared" si="324"/>
        <v>0</v>
      </c>
      <c r="AT212" s="21">
        <f t="shared" si="324"/>
        <v>0</v>
      </c>
      <c r="AU212" s="21">
        <f t="shared" si="324"/>
        <v>0</v>
      </c>
      <c r="AV212" s="21">
        <f t="shared" si="324"/>
        <v>0</v>
      </c>
      <c r="AW212" s="21">
        <f t="shared" si="324"/>
        <v>0</v>
      </c>
      <c r="AX212" s="21">
        <f t="shared" si="324"/>
        <v>0</v>
      </c>
      <c r="AY212" s="21">
        <f t="shared" si="324"/>
        <v>0</v>
      </c>
      <c r="AZ212" s="21">
        <f t="shared" si="324"/>
        <v>0</v>
      </c>
      <c r="BA212" s="21">
        <f t="shared" si="324"/>
        <v>177113890</v>
      </c>
      <c r="BB212" s="21">
        <f t="shared" si="324"/>
        <v>737394</v>
      </c>
      <c r="BC212" s="21">
        <f t="shared" si="324"/>
        <v>737394</v>
      </c>
      <c r="BD212" s="21">
        <f t="shared" si="324"/>
        <v>0</v>
      </c>
      <c r="BE212" s="21">
        <f t="shared" si="324"/>
        <v>0</v>
      </c>
      <c r="BF212" s="21">
        <f t="shared" si="324"/>
        <v>0</v>
      </c>
      <c r="BG212" s="21">
        <f t="shared" si="324"/>
        <v>0</v>
      </c>
      <c r="BH212" s="21">
        <f t="shared" si="324"/>
        <v>0</v>
      </c>
      <c r="BI212" s="21">
        <f t="shared" si="324"/>
        <v>176376496</v>
      </c>
      <c r="BJ212" s="21">
        <f t="shared" si="324"/>
        <v>0</v>
      </c>
      <c r="BK212" s="21">
        <f t="shared" si="324"/>
        <v>0</v>
      </c>
      <c r="BL212" s="21">
        <f t="shared" si="324"/>
        <v>0</v>
      </c>
      <c r="BM212" s="21">
        <f t="shared" si="324"/>
        <v>0</v>
      </c>
      <c r="BN212" s="21">
        <f t="shared" si="324"/>
        <v>0</v>
      </c>
      <c r="BO212" s="21">
        <f t="shared" si="324"/>
        <v>0</v>
      </c>
      <c r="BP212" s="21">
        <f t="shared" si="324"/>
        <v>0</v>
      </c>
      <c r="BQ212" s="21">
        <f t="shared" si="324"/>
        <v>0</v>
      </c>
      <c r="BR212" s="21">
        <f t="shared" si="324"/>
        <v>0</v>
      </c>
      <c r="BS212" s="21">
        <f t="shared" si="324"/>
        <v>0</v>
      </c>
      <c r="BT212" s="21">
        <f t="shared" ref="BT212:CW212" si="325">SUM(BT213)</f>
        <v>0</v>
      </c>
      <c r="BU212" s="21">
        <f t="shared" si="325"/>
        <v>0</v>
      </c>
      <c r="BV212" s="21">
        <f t="shared" si="325"/>
        <v>0</v>
      </c>
      <c r="BW212" s="21">
        <f t="shared" si="325"/>
        <v>0</v>
      </c>
      <c r="BX212" s="21">
        <f t="shared" si="325"/>
        <v>0</v>
      </c>
      <c r="BY212" s="21">
        <f t="shared" si="325"/>
        <v>0</v>
      </c>
      <c r="BZ212" s="21">
        <f t="shared" si="325"/>
        <v>0</v>
      </c>
      <c r="CA212" s="21">
        <f t="shared" si="325"/>
        <v>0</v>
      </c>
      <c r="CB212" s="21">
        <f t="shared" si="325"/>
        <v>0</v>
      </c>
      <c r="CC212" s="21">
        <f t="shared" si="325"/>
        <v>0</v>
      </c>
      <c r="CD212" s="21">
        <f t="shared" si="325"/>
        <v>0</v>
      </c>
      <c r="CE212" s="21">
        <f t="shared" si="325"/>
        <v>0</v>
      </c>
      <c r="CF212" s="21">
        <f t="shared" si="325"/>
        <v>0</v>
      </c>
      <c r="CG212" s="21">
        <f t="shared" si="325"/>
        <v>0</v>
      </c>
      <c r="CH212" s="21">
        <f t="shared" si="325"/>
        <v>0</v>
      </c>
      <c r="CI212" s="21">
        <f t="shared" si="325"/>
        <v>0</v>
      </c>
      <c r="CJ212" s="21">
        <f t="shared" si="325"/>
        <v>0</v>
      </c>
      <c r="CK212" s="21">
        <f t="shared" si="325"/>
        <v>0</v>
      </c>
      <c r="CL212" s="21">
        <f t="shared" si="325"/>
        <v>0</v>
      </c>
      <c r="CM212" s="21">
        <f t="shared" si="325"/>
        <v>0</v>
      </c>
      <c r="CN212" s="21">
        <f t="shared" si="325"/>
        <v>0</v>
      </c>
      <c r="CO212" s="21">
        <f t="shared" si="325"/>
        <v>0</v>
      </c>
      <c r="CP212" s="21">
        <f t="shared" si="325"/>
        <v>0</v>
      </c>
      <c r="CQ212" s="21">
        <f t="shared" si="325"/>
        <v>0</v>
      </c>
      <c r="CR212" s="21">
        <f t="shared" si="325"/>
        <v>0</v>
      </c>
      <c r="CS212" s="21">
        <f t="shared" si="325"/>
        <v>0</v>
      </c>
      <c r="CT212" s="21">
        <f t="shared" si="325"/>
        <v>0</v>
      </c>
      <c r="CU212" s="21">
        <f t="shared" si="325"/>
        <v>0</v>
      </c>
      <c r="CV212" s="21">
        <f t="shared" si="325"/>
        <v>0</v>
      </c>
      <c r="CW212" s="22">
        <f t="shared" si="325"/>
        <v>0</v>
      </c>
      <c r="CX212" s="40"/>
      <c r="CY212" s="40"/>
    </row>
    <row r="213" spans="1:103" ht="15.75" x14ac:dyDescent="0.25">
      <c r="A213" s="13" t="s">
        <v>241</v>
      </c>
      <c r="B213" s="14" t="s">
        <v>3</v>
      </c>
      <c r="C213" s="14" t="s">
        <v>1</v>
      </c>
      <c r="D213" s="30" t="s">
        <v>242</v>
      </c>
      <c r="E213" s="15">
        <f>SUM(E214:E215)</f>
        <v>177113890</v>
      </c>
      <c r="F213" s="16">
        <f t="shared" ref="F213:BS213" si="326">SUM(F214:F215)</f>
        <v>177113890</v>
      </c>
      <c r="G213" s="16">
        <f t="shared" si="326"/>
        <v>0</v>
      </c>
      <c r="H213" s="16">
        <f t="shared" si="326"/>
        <v>0</v>
      </c>
      <c r="I213" s="16">
        <f t="shared" si="326"/>
        <v>0</v>
      </c>
      <c r="J213" s="16">
        <f t="shared" si="326"/>
        <v>0</v>
      </c>
      <c r="K213" s="16">
        <f t="shared" si="326"/>
        <v>0</v>
      </c>
      <c r="L213" s="16">
        <f t="shared" si="326"/>
        <v>0</v>
      </c>
      <c r="M213" s="16">
        <f t="shared" si="326"/>
        <v>0</v>
      </c>
      <c r="N213" s="16">
        <f t="shared" si="326"/>
        <v>0</v>
      </c>
      <c r="O213" s="16">
        <f t="shared" si="326"/>
        <v>0</v>
      </c>
      <c r="P213" s="16">
        <f t="shared" si="326"/>
        <v>0</v>
      </c>
      <c r="Q213" s="16">
        <f t="shared" si="326"/>
        <v>0</v>
      </c>
      <c r="R213" s="16">
        <f t="shared" si="326"/>
        <v>0</v>
      </c>
      <c r="S213" s="16">
        <f t="shared" si="326"/>
        <v>0</v>
      </c>
      <c r="T213" s="16">
        <f t="shared" si="326"/>
        <v>0</v>
      </c>
      <c r="U213" s="16">
        <f t="shared" si="326"/>
        <v>0</v>
      </c>
      <c r="V213" s="16">
        <f t="shared" si="326"/>
        <v>0</v>
      </c>
      <c r="W213" s="16">
        <f t="shared" si="326"/>
        <v>0</v>
      </c>
      <c r="X213" s="16">
        <f t="shared" si="326"/>
        <v>0</v>
      </c>
      <c r="Y213" s="16">
        <f t="shared" si="326"/>
        <v>0</v>
      </c>
      <c r="Z213" s="16">
        <f t="shared" si="326"/>
        <v>0</v>
      </c>
      <c r="AA213" s="16">
        <f t="shared" si="326"/>
        <v>0</v>
      </c>
      <c r="AB213" s="16">
        <f t="shared" si="326"/>
        <v>0</v>
      </c>
      <c r="AC213" s="16">
        <f t="shared" si="326"/>
        <v>0</v>
      </c>
      <c r="AD213" s="16">
        <f t="shared" ref="AD213" si="327">SUM(AD214:AD215)</f>
        <v>0</v>
      </c>
      <c r="AE213" s="16">
        <f t="shared" si="326"/>
        <v>0</v>
      </c>
      <c r="AF213" s="16">
        <f t="shared" si="326"/>
        <v>0</v>
      </c>
      <c r="AG213" s="16">
        <f t="shared" si="326"/>
        <v>0</v>
      </c>
      <c r="AH213" s="16">
        <f t="shared" si="326"/>
        <v>0</v>
      </c>
      <c r="AI213" s="16">
        <f t="shared" si="326"/>
        <v>0</v>
      </c>
      <c r="AJ213" s="16">
        <f t="shared" si="326"/>
        <v>0</v>
      </c>
      <c r="AK213" s="16">
        <f t="shared" si="326"/>
        <v>0</v>
      </c>
      <c r="AL213" s="16">
        <f t="shared" si="326"/>
        <v>0</v>
      </c>
      <c r="AM213" s="16">
        <f t="shared" si="326"/>
        <v>0</v>
      </c>
      <c r="AN213" s="16">
        <f t="shared" si="326"/>
        <v>0</v>
      </c>
      <c r="AO213" s="16">
        <f t="shared" si="326"/>
        <v>0</v>
      </c>
      <c r="AP213" s="16">
        <f>SUM(AP214:AP215)</f>
        <v>0</v>
      </c>
      <c r="AQ213" s="16">
        <f t="shared" si="326"/>
        <v>0</v>
      </c>
      <c r="AR213" s="16">
        <f t="shared" si="326"/>
        <v>0</v>
      </c>
      <c r="AS213" s="16">
        <f t="shared" si="326"/>
        <v>0</v>
      </c>
      <c r="AT213" s="16">
        <f t="shared" si="326"/>
        <v>0</v>
      </c>
      <c r="AU213" s="16">
        <f t="shared" si="326"/>
        <v>0</v>
      </c>
      <c r="AV213" s="16">
        <f t="shared" si="326"/>
        <v>0</v>
      </c>
      <c r="AW213" s="16">
        <f t="shared" si="326"/>
        <v>0</v>
      </c>
      <c r="AX213" s="16">
        <f t="shared" si="326"/>
        <v>0</v>
      </c>
      <c r="AY213" s="16">
        <f t="shared" si="326"/>
        <v>0</v>
      </c>
      <c r="AZ213" s="16">
        <f t="shared" si="326"/>
        <v>0</v>
      </c>
      <c r="BA213" s="16">
        <f t="shared" si="326"/>
        <v>177113890</v>
      </c>
      <c r="BB213" s="16">
        <f t="shared" si="326"/>
        <v>737394</v>
      </c>
      <c r="BC213" s="16">
        <f t="shared" si="326"/>
        <v>737394</v>
      </c>
      <c r="BD213" s="16">
        <f t="shared" si="326"/>
        <v>0</v>
      </c>
      <c r="BE213" s="16">
        <f t="shared" si="326"/>
        <v>0</v>
      </c>
      <c r="BF213" s="16">
        <f t="shared" si="326"/>
        <v>0</v>
      </c>
      <c r="BG213" s="16">
        <f t="shared" si="326"/>
        <v>0</v>
      </c>
      <c r="BH213" s="16">
        <f t="shared" si="326"/>
        <v>0</v>
      </c>
      <c r="BI213" s="16">
        <f t="shared" si="326"/>
        <v>176376496</v>
      </c>
      <c r="BJ213" s="16">
        <f t="shared" si="326"/>
        <v>0</v>
      </c>
      <c r="BK213" s="16">
        <f t="shared" si="326"/>
        <v>0</v>
      </c>
      <c r="BL213" s="16">
        <f t="shared" si="326"/>
        <v>0</v>
      </c>
      <c r="BM213" s="16">
        <f t="shared" si="326"/>
        <v>0</v>
      </c>
      <c r="BN213" s="16">
        <f t="shared" si="326"/>
        <v>0</v>
      </c>
      <c r="BO213" s="16">
        <f t="shared" si="326"/>
        <v>0</v>
      </c>
      <c r="BP213" s="16">
        <f t="shared" si="326"/>
        <v>0</v>
      </c>
      <c r="BQ213" s="16">
        <f t="shared" si="326"/>
        <v>0</v>
      </c>
      <c r="BR213" s="16">
        <f t="shared" si="326"/>
        <v>0</v>
      </c>
      <c r="BS213" s="16">
        <f t="shared" si="326"/>
        <v>0</v>
      </c>
      <c r="BT213" s="16">
        <f t="shared" ref="BT213:CW213" si="328">SUM(BT214:BT215)</f>
        <v>0</v>
      </c>
      <c r="BU213" s="16">
        <f t="shared" si="328"/>
        <v>0</v>
      </c>
      <c r="BV213" s="16">
        <f t="shared" si="328"/>
        <v>0</v>
      </c>
      <c r="BW213" s="16">
        <f t="shared" si="328"/>
        <v>0</v>
      </c>
      <c r="BX213" s="16">
        <f t="shared" si="328"/>
        <v>0</v>
      </c>
      <c r="BY213" s="16">
        <f t="shared" si="328"/>
        <v>0</v>
      </c>
      <c r="BZ213" s="16">
        <f t="shared" si="328"/>
        <v>0</v>
      </c>
      <c r="CA213" s="16">
        <f t="shared" si="328"/>
        <v>0</v>
      </c>
      <c r="CB213" s="16">
        <f t="shared" si="328"/>
        <v>0</v>
      </c>
      <c r="CC213" s="16">
        <f t="shared" si="328"/>
        <v>0</v>
      </c>
      <c r="CD213" s="16">
        <f t="shared" si="328"/>
        <v>0</v>
      </c>
      <c r="CE213" s="16">
        <f t="shared" si="328"/>
        <v>0</v>
      </c>
      <c r="CF213" s="16">
        <f>SUM(CF214:CF215)</f>
        <v>0</v>
      </c>
      <c r="CG213" s="16">
        <f t="shared" si="328"/>
        <v>0</v>
      </c>
      <c r="CH213" s="16">
        <f t="shared" si="328"/>
        <v>0</v>
      </c>
      <c r="CI213" s="16">
        <f t="shared" si="328"/>
        <v>0</v>
      </c>
      <c r="CJ213" s="16">
        <f t="shared" ref="CJ213" si="329">SUM(CJ214:CJ215)</f>
        <v>0</v>
      </c>
      <c r="CK213" s="16">
        <f t="shared" si="328"/>
        <v>0</v>
      </c>
      <c r="CL213" s="16">
        <f t="shared" si="328"/>
        <v>0</v>
      </c>
      <c r="CM213" s="16">
        <f>SUM(CM214:CM215)</f>
        <v>0</v>
      </c>
      <c r="CN213" s="16">
        <f t="shared" si="328"/>
        <v>0</v>
      </c>
      <c r="CO213" s="16">
        <f t="shared" si="328"/>
        <v>0</v>
      </c>
      <c r="CP213" s="16">
        <f t="shared" si="328"/>
        <v>0</v>
      </c>
      <c r="CQ213" s="16">
        <f t="shared" si="328"/>
        <v>0</v>
      </c>
      <c r="CR213" s="16">
        <f t="shared" si="328"/>
        <v>0</v>
      </c>
      <c r="CS213" s="16">
        <f t="shared" si="328"/>
        <v>0</v>
      </c>
      <c r="CT213" s="16">
        <f t="shared" si="328"/>
        <v>0</v>
      </c>
      <c r="CU213" s="16">
        <f t="shared" si="328"/>
        <v>0</v>
      </c>
      <c r="CV213" s="16">
        <f t="shared" si="328"/>
        <v>0</v>
      </c>
      <c r="CW213" s="17">
        <f t="shared" si="328"/>
        <v>0</v>
      </c>
      <c r="CX213" s="40"/>
      <c r="CY213" s="40"/>
    </row>
    <row r="214" spans="1:103" ht="31.5" x14ac:dyDescent="0.25">
      <c r="A214" s="13" t="s">
        <v>1</v>
      </c>
      <c r="B214" s="14" t="s">
        <v>1</v>
      </c>
      <c r="C214" s="14" t="s">
        <v>43</v>
      </c>
      <c r="D214" s="30" t="s">
        <v>243</v>
      </c>
      <c r="E214" s="15">
        <f>SUM(F214+BY214+CT214)</f>
        <v>176376496</v>
      </c>
      <c r="F214" s="16">
        <f>SUM(G214+BA214)</f>
        <v>176376496</v>
      </c>
      <c r="G214" s="16">
        <f>SUM(H214+I214+J214+Q214+T214+U214+V214+AE214)</f>
        <v>0</v>
      </c>
      <c r="H214" s="16">
        <v>0</v>
      </c>
      <c r="I214" s="16">
        <v>0</v>
      </c>
      <c r="J214" s="16">
        <f t="shared" si="238"/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f t="shared" si="239"/>
        <v>0</v>
      </c>
      <c r="R214" s="16">
        <v>0</v>
      </c>
      <c r="S214" s="16">
        <v>0</v>
      </c>
      <c r="T214" s="16">
        <v>0</v>
      </c>
      <c r="U214" s="16">
        <v>0</v>
      </c>
      <c r="V214" s="16">
        <f>SUM(W214:AD214)</f>
        <v>0</v>
      </c>
      <c r="W214" s="16">
        <v>0</v>
      </c>
      <c r="X214" s="16">
        <v>0</v>
      </c>
      <c r="Y214" s="16">
        <v>0</v>
      </c>
      <c r="Z214" s="16">
        <v>0</v>
      </c>
      <c r="AA214" s="16">
        <v>0</v>
      </c>
      <c r="AB214" s="16">
        <v>0</v>
      </c>
      <c r="AC214" s="16">
        <v>0</v>
      </c>
      <c r="AD214" s="16">
        <v>0</v>
      </c>
      <c r="AE214" s="16">
        <f>SUM(AF214:AZ214)</f>
        <v>0</v>
      </c>
      <c r="AF214" s="16">
        <v>0</v>
      </c>
      <c r="AG214" s="16">
        <v>0</v>
      </c>
      <c r="AH214" s="16">
        <v>0</v>
      </c>
      <c r="AI214" s="16">
        <v>0</v>
      </c>
      <c r="AJ214" s="16">
        <v>0</v>
      </c>
      <c r="AK214" s="16">
        <v>0</v>
      </c>
      <c r="AL214" s="16">
        <v>0</v>
      </c>
      <c r="AM214" s="16">
        <v>0</v>
      </c>
      <c r="AN214" s="16">
        <v>0</v>
      </c>
      <c r="AO214" s="16">
        <v>0</v>
      </c>
      <c r="AP214" s="16">
        <v>0</v>
      </c>
      <c r="AQ214" s="16">
        <v>0</v>
      </c>
      <c r="AR214" s="16">
        <v>0</v>
      </c>
      <c r="AS214" s="16">
        <v>0</v>
      </c>
      <c r="AT214" s="16">
        <v>0</v>
      </c>
      <c r="AU214" s="16">
        <v>0</v>
      </c>
      <c r="AV214" s="16">
        <v>0</v>
      </c>
      <c r="AW214" s="16">
        <v>0</v>
      </c>
      <c r="AX214" s="16">
        <v>0</v>
      </c>
      <c r="AY214" s="16">
        <v>0</v>
      </c>
      <c r="AZ214" s="16">
        <v>0</v>
      </c>
      <c r="BA214" s="16">
        <f>SUM(BB214+BF214+BI214+BK214+BM214)</f>
        <v>176376496</v>
      </c>
      <c r="BB214" s="16">
        <f>SUM(BC214:BE214)</f>
        <v>0</v>
      </c>
      <c r="BC214" s="16">
        <v>0</v>
      </c>
      <c r="BD214" s="16">
        <v>0</v>
      </c>
      <c r="BE214" s="16">
        <v>0</v>
      </c>
      <c r="BF214" s="16">
        <f t="shared" si="240"/>
        <v>0</v>
      </c>
      <c r="BG214" s="16">
        <v>0</v>
      </c>
      <c r="BH214" s="16">
        <v>0</v>
      </c>
      <c r="BI214" s="16">
        <f>136083958+505829+39786709</f>
        <v>176376496</v>
      </c>
      <c r="BJ214" s="16">
        <v>0</v>
      </c>
      <c r="BK214" s="16">
        <f t="shared" si="241"/>
        <v>0</v>
      </c>
      <c r="BL214" s="16">
        <v>0</v>
      </c>
      <c r="BM214" s="16">
        <f t="shared" si="242"/>
        <v>0</v>
      </c>
      <c r="BN214" s="16">
        <v>0</v>
      </c>
      <c r="BO214" s="16">
        <v>0</v>
      </c>
      <c r="BP214" s="16">
        <v>0</v>
      </c>
      <c r="BQ214" s="16">
        <v>0</v>
      </c>
      <c r="BR214" s="16">
        <v>0</v>
      </c>
      <c r="BS214" s="16">
        <v>0</v>
      </c>
      <c r="BT214" s="16">
        <v>0</v>
      </c>
      <c r="BU214" s="16">
        <v>0</v>
      </c>
      <c r="BV214" s="16">
        <v>0</v>
      </c>
      <c r="BW214" s="16">
        <v>0</v>
      </c>
      <c r="BX214" s="16">
        <v>0</v>
      </c>
      <c r="BY214" s="16">
        <f>SUM(BZ214+CS214)</f>
        <v>0</v>
      </c>
      <c r="BZ214" s="16">
        <f>SUM(CA214+CD214+CK214)</f>
        <v>0</v>
      </c>
      <c r="CA214" s="16">
        <f t="shared" si="243"/>
        <v>0</v>
      </c>
      <c r="CB214" s="16">
        <v>0</v>
      </c>
      <c r="CC214" s="16">
        <v>0</v>
      </c>
      <c r="CD214" s="16">
        <f t="shared" si="244"/>
        <v>0</v>
      </c>
      <c r="CE214" s="16">
        <v>0</v>
      </c>
      <c r="CF214" s="16">
        <v>0</v>
      </c>
      <c r="CG214" s="16">
        <v>0</v>
      </c>
      <c r="CH214" s="16">
        <v>0</v>
      </c>
      <c r="CI214" s="16">
        <v>0</v>
      </c>
      <c r="CJ214" s="16">
        <v>0</v>
      </c>
      <c r="CK214" s="16">
        <f t="shared" si="245"/>
        <v>0</v>
      </c>
      <c r="CL214" s="16">
        <v>0</v>
      </c>
      <c r="CM214" s="16">
        <v>0</v>
      </c>
      <c r="CN214" s="16">
        <v>0</v>
      </c>
      <c r="CO214" s="16">
        <v>0</v>
      </c>
      <c r="CP214" s="16">
        <v>0</v>
      </c>
      <c r="CQ214" s="16">
        <v>0</v>
      </c>
      <c r="CR214" s="16">
        <v>0</v>
      </c>
      <c r="CS214" s="16">
        <v>0</v>
      </c>
      <c r="CT214" s="16">
        <f t="shared" si="246"/>
        <v>0</v>
      </c>
      <c r="CU214" s="16">
        <f t="shared" si="247"/>
        <v>0</v>
      </c>
      <c r="CV214" s="16">
        <v>0</v>
      </c>
      <c r="CW214" s="17">
        <v>0</v>
      </c>
      <c r="CX214" s="40"/>
      <c r="CY214" s="40"/>
    </row>
    <row r="215" spans="1:103" ht="31.5" x14ac:dyDescent="0.25">
      <c r="A215" s="13" t="s">
        <v>1</v>
      </c>
      <c r="B215" s="14" t="s">
        <v>1</v>
      </c>
      <c r="C215" s="14" t="s">
        <v>43</v>
      </c>
      <c r="D215" s="30" t="s">
        <v>244</v>
      </c>
      <c r="E215" s="15">
        <f>SUM(F215+BY215+CT215)</f>
        <v>737394</v>
      </c>
      <c r="F215" s="16">
        <f>SUM(G215+BA215)</f>
        <v>737394</v>
      </c>
      <c r="G215" s="16">
        <f>SUM(H215+I215+J215+Q215+T215+U215+V215+AE215)</f>
        <v>0</v>
      </c>
      <c r="H215" s="16">
        <v>0</v>
      </c>
      <c r="I215" s="16">
        <v>0</v>
      </c>
      <c r="J215" s="16">
        <f t="shared" si="238"/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>
        <f t="shared" si="239"/>
        <v>0</v>
      </c>
      <c r="R215" s="16">
        <v>0</v>
      </c>
      <c r="S215" s="16">
        <v>0</v>
      </c>
      <c r="T215" s="16">
        <v>0</v>
      </c>
      <c r="U215" s="16">
        <v>0</v>
      </c>
      <c r="V215" s="16">
        <f>SUM(W215:AD215)</f>
        <v>0</v>
      </c>
      <c r="W215" s="16">
        <v>0</v>
      </c>
      <c r="X215" s="16">
        <v>0</v>
      </c>
      <c r="Y215" s="16">
        <v>0</v>
      </c>
      <c r="Z215" s="16">
        <v>0</v>
      </c>
      <c r="AA215" s="16">
        <v>0</v>
      </c>
      <c r="AB215" s="16">
        <v>0</v>
      </c>
      <c r="AC215" s="16">
        <v>0</v>
      </c>
      <c r="AD215" s="16">
        <v>0</v>
      </c>
      <c r="AE215" s="16">
        <f>SUM(AF215:AZ215)</f>
        <v>0</v>
      </c>
      <c r="AF215" s="16">
        <v>0</v>
      </c>
      <c r="AG215" s="16">
        <v>0</v>
      </c>
      <c r="AH215" s="16">
        <v>0</v>
      </c>
      <c r="AI215" s="16">
        <v>0</v>
      </c>
      <c r="AJ215" s="16">
        <v>0</v>
      </c>
      <c r="AK215" s="16">
        <v>0</v>
      </c>
      <c r="AL215" s="16">
        <v>0</v>
      </c>
      <c r="AM215" s="16">
        <v>0</v>
      </c>
      <c r="AN215" s="16">
        <v>0</v>
      </c>
      <c r="AO215" s="16">
        <v>0</v>
      </c>
      <c r="AP215" s="16">
        <v>0</v>
      </c>
      <c r="AQ215" s="16">
        <v>0</v>
      </c>
      <c r="AR215" s="16">
        <v>0</v>
      </c>
      <c r="AS215" s="16">
        <v>0</v>
      </c>
      <c r="AT215" s="16">
        <v>0</v>
      </c>
      <c r="AU215" s="16">
        <v>0</v>
      </c>
      <c r="AV215" s="16">
        <v>0</v>
      </c>
      <c r="AW215" s="16">
        <v>0</v>
      </c>
      <c r="AX215" s="16">
        <v>0</v>
      </c>
      <c r="AY215" s="16">
        <v>0</v>
      </c>
      <c r="AZ215" s="16">
        <v>0</v>
      </c>
      <c r="BA215" s="16">
        <f>SUM(BB215+BF215+BI215+BK215+BM215)</f>
        <v>737394</v>
      </c>
      <c r="BB215" s="16">
        <f>SUM(BC215:BE215)</f>
        <v>737394</v>
      </c>
      <c r="BC215" s="16">
        <v>737394</v>
      </c>
      <c r="BD215" s="16">
        <v>0</v>
      </c>
      <c r="BE215" s="16">
        <v>0</v>
      </c>
      <c r="BF215" s="16">
        <f t="shared" si="240"/>
        <v>0</v>
      </c>
      <c r="BG215" s="16">
        <v>0</v>
      </c>
      <c r="BH215" s="16">
        <v>0</v>
      </c>
      <c r="BI215" s="16">
        <v>0</v>
      </c>
      <c r="BJ215" s="16">
        <v>0</v>
      </c>
      <c r="BK215" s="16">
        <f t="shared" si="241"/>
        <v>0</v>
      </c>
      <c r="BL215" s="16">
        <v>0</v>
      </c>
      <c r="BM215" s="16">
        <f t="shared" si="242"/>
        <v>0</v>
      </c>
      <c r="BN215" s="16">
        <v>0</v>
      </c>
      <c r="BO215" s="16">
        <v>0</v>
      </c>
      <c r="BP215" s="16">
        <v>0</v>
      </c>
      <c r="BQ215" s="16">
        <v>0</v>
      </c>
      <c r="BR215" s="16">
        <v>0</v>
      </c>
      <c r="BS215" s="16">
        <v>0</v>
      </c>
      <c r="BT215" s="16">
        <v>0</v>
      </c>
      <c r="BU215" s="16">
        <v>0</v>
      </c>
      <c r="BV215" s="16">
        <v>0</v>
      </c>
      <c r="BW215" s="16">
        <v>0</v>
      </c>
      <c r="BX215" s="16">
        <v>0</v>
      </c>
      <c r="BY215" s="16">
        <f>SUM(BZ215+CS215)</f>
        <v>0</v>
      </c>
      <c r="BZ215" s="16">
        <f>SUM(CA215+CD215+CK215)</f>
        <v>0</v>
      </c>
      <c r="CA215" s="16">
        <f t="shared" si="243"/>
        <v>0</v>
      </c>
      <c r="CB215" s="16">
        <v>0</v>
      </c>
      <c r="CC215" s="16">
        <v>0</v>
      </c>
      <c r="CD215" s="16">
        <f t="shared" si="244"/>
        <v>0</v>
      </c>
      <c r="CE215" s="16">
        <v>0</v>
      </c>
      <c r="CF215" s="16">
        <v>0</v>
      </c>
      <c r="CG215" s="16">
        <v>0</v>
      </c>
      <c r="CH215" s="16">
        <v>0</v>
      </c>
      <c r="CI215" s="16">
        <v>0</v>
      </c>
      <c r="CJ215" s="16">
        <v>0</v>
      </c>
      <c r="CK215" s="16">
        <f t="shared" si="245"/>
        <v>0</v>
      </c>
      <c r="CL215" s="16">
        <v>0</v>
      </c>
      <c r="CM215" s="16">
        <v>0</v>
      </c>
      <c r="CN215" s="16">
        <v>0</v>
      </c>
      <c r="CO215" s="16">
        <v>0</v>
      </c>
      <c r="CP215" s="16">
        <v>0</v>
      </c>
      <c r="CQ215" s="16">
        <v>0</v>
      </c>
      <c r="CR215" s="16">
        <v>0</v>
      </c>
      <c r="CS215" s="16">
        <v>0</v>
      </c>
      <c r="CT215" s="16">
        <f t="shared" si="246"/>
        <v>0</v>
      </c>
      <c r="CU215" s="16">
        <f t="shared" si="247"/>
        <v>0</v>
      </c>
      <c r="CV215" s="16">
        <v>0</v>
      </c>
      <c r="CW215" s="17">
        <v>0</v>
      </c>
      <c r="CX215" s="40"/>
      <c r="CY215" s="40"/>
    </row>
    <row r="216" spans="1:103" ht="15.75" x14ac:dyDescent="0.25">
      <c r="A216" s="18" t="s">
        <v>245</v>
      </c>
      <c r="B216" s="19" t="s">
        <v>1</v>
      </c>
      <c r="C216" s="19" t="s">
        <v>1</v>
      </c>
      <c r="D216" s="31" t="s">
        <v>246</v>
      </c>
      <c r="E216" s="20">
        <f t="shared" ref="E216:AJ216" si="330">SUM(E217+E219+E222+E270+E284)</f>
        <v>570343698</v>
      </c>
      <c r="F216" s="21">
        <f t="shared" si="330"/>
        <v>441345413</v>
      </c>
      <c r="G216" s="21">
        <f t="shared" si="330"/>
        <v>281501222</v>
      </c>
      <c r="H216" s="21">
        <f t="shared" si="330"/>
        <v>97548499</v>
      </c>
      <c r="I216" s="21">
        <f t="shared" si="330"/>
        <v>19413417</v>
      </c>
      <c r="J216" s="21">
        <f t="shared" si="330"/>
        <v>47863920</v>
      </c>
      <c r="K216" s="21">
        <f t="shared" si="330"/>
        <v>15016346</v>
      </c>
      <c r="L216" s="21">
        <f t="shared" si="330"/>
        <v>2697489</v>
      </c>
      <c r="M216" s="21">
        <f t="shared" si="330"/>
        <v>4245236</v>
      </c>
      <c r="N216" s="21">
        <f t="shared" si="330"/>
        <v>4013</v>
      </c>
      <c r="O216" s="21">
        <f t="shared" si="330"/>
        <v>10043622</v>
      </c>
      <c r="P216" s="21">
        <f t="shared" si="330"/>
        <v>15857214</v>
      </c>
      <c r="Q216" s="21">
        <f t="shared" si="330"/>
        <v>801174</v>
      </c>
      <c r="R216" s="21">
        <f t="shared" si="330"/>
        <v>157396</v>
      </c>
      <c r="S216" s="21">
        <f t="shared" si="330"/>
        <v>643778</v>
      </c>
      <c r="T216" s="21">
        <f t="shared" si="330"/>
        <v>308024</v>
      </c>
      <c r="U216" s="21">
        <f t="shared" si="330"/>
        <v>1937389</v>
      </c>
      <c r="V216" s="21">
        <f t="shared" si="330"/>
        <v>20164868</v>
      </c>
      <c r="W216" s="21">
        <f t="shared" si="330"/>
        <v>2276448</v>
      </c>
      <c r="X216" s="21">
        <f t="shared" si="330"/>
        <v>4091651</v>
      </c>
      <c r="Y216" s="21">
        <f t="shared" si="330"/>
        <v>11476750</v>
      </c>
      <c r="Z216" s="21">
        <f t="shared" si="330"/>
        <v>1098771</v>
      </c>
      <c r="AA216" s="21">
        <f t="shared" si="330"/>
        <v>741987</v>
      </c>
      <c r="AB216" s="21">
        <f t="shared" si="330"/>
        <v>302713</v>
      </c>
      <c r="AC216" s="21">
        <f t="shared" si="330"/>
        <v>0</v>
      </c>
      <c r="AD216" s="21">
        <f t="shared" ref="AD216" si="331">SUM(AD217+AD219+AD222+AD270+AD284)</f>
        <v>176548</v>
      </c>
      <c r="AE216" s="21">
        <f t="shared" si="330"/>
        <v>93463931</v>
      </c>
      <c r="AF216" s="21">
        <f t="shared" si="330"/>
        <v>339000</v>
      </c>
      <c r="AG216" s="21">
        <f t="shared" si="330"/>
        <v>3515289</v>
      </c>
      <c r="AH216" s="21">
        <f t="shared" si="330"/>
        <v>8179210</v>
      </c>
      <c r="AI216" s="21">
        <f t="shared" si="330"/>
        <v>865379</v>
      </c>
      <c r="AJ216" s="21">
        <f t="shared" si="330"/>
        <v>1914243</v>
      </c>
      <c r="AK216" s="21">
        <f t="shared" ref="AK216:BP216" si="332">SUM(AK217+AK219+AK222+AK270+AK284)</f>
        <v>15380</v>
      </c>
      <c r="AL216" s="21">
        <f t="shared" si="332"/>
        <v>523848</v>
      </c>
      <c r="AM216" s="21">
        <f t="shared" si="332"/>
        <v>2843983</v>
      </c>
      <c r="AN216" s="21">
        <f t="shared" si="332"/>
        <v>21833</v>
      </c>
      <c r="AO216" s="21">
        <f t="shared" si="332"/>
        <v>22635</v>
      </c>
      <c r="AP216" s="21">
        <f t="shared" si="332"/>
        <v>974849</v>
      </c>
      <c r="AQ216" s="21">
        <f t="shared" si="332"/>
        <v>8055897</v>
      </c>
      <c r="AR216" s="21">
        <f t="shared" si="332"/>
        <v>816120</v>
      </c>
      <c r="AS216" s="21">
        <f t="shared" si="332"/>
        <v>426875</v>
      </c>
      <c r="AT216" s="21">
        <f t="shared" si="332"/>
        <v>0</v>
      </c>
      <c r="AU216" s="21">
        <f t="shared" si="332"/>
        <v>5888</v>
      </c>
      <c r="AV216" s="21">
        <f t="shared" si="332"/>
        <v>61706</v>
      </c>
      <c r="AW216" s="21">
        <f t="shared" si="332"/>
        <v>1600375</v>
      </c>
      <c r="AX216" s="21">
        <f t="shared" si="332"/>
        <v>0</v>
      </c>
      <c r="AY216" s="21">
        <f t="shared" si="332"/>
        <v>0</v>
      </c>
      <c r="AZ216" s="21">
        <f t="shared" si="332"/>
        <v>63281421</v>
      </c>
      <c r="BA216" s="21">
        <f t="shared" si="332"/>
        <v>159844191</v>
      </c>
      <c r="BB216" s="21">
        <f t="shared" si="332"/>
        <v>0</v>
      </c>
      <c r="BC216" s="21">
        <f t="shared" si="332"/>
        <v>0</v>
      </c>
      <c r="BD216" s="21">
        <f t="shared" si="332"/>
        <v>0</v>
      </c>
      <c r="BE216" s="21">
        <f t="shared" si="332"/>
        <v>0</v>
      </c>
      <c r="BF216" s="21">
        <f t="shared" si="332"/>
        <v>0</v>
      </c>
      <c r="BG216" s="21">
        <f t="shared" si="332"/>
        <v>0</v>
      </c>
      <c r="BH216" s="21">
        <f t="shared" si="332"/>
        <v>0</v>
      </c>
      <c r="BI216" s="21">
        <f t="shared" si="332"/>
        <v>159835357</v>
      </c>
      <c r="BJ216" s="21">
        <f t="shared" si="332"/>
        <v>4214513</v>
      </c>
      <c r="BK216" s="21">
        <f t="shared" si="332"/>
        <v>0</v>
      </c>
      <c r="BL216" s="21">
        <f t="shared" si="332"/>
        <v>0</v>
      </c>
      <c r="BM216" s="21">
        <f t="shared" si="332"/>
        <v>8834</v>
      </c>
      <c r="BN216" s="21">
        <f t="shared" si="332"/>
        <v>0</v>
      </c>
      <c r="BO216" s="21">
        <f t="shared" si="332"/>
        <v>0</v>
      </c>
      <c r="BP216" s="21">
        <f t="shared" si="332"/>
        <v>5000</v>
      </c>
      <c r="BQ216" s="21">
        <f t="shared" ref="BQ216:CV216" si="333">SUM(BQ217+BQ219+BQ222+BQ270+BQ284)</f>
        <v>0</v>
      </c>
      <c r="BR216" s="21">
        <f t="shared" si="333"/>
        <v>0</v>
      </c>
      <c r="BS216" s="21">
        <f t="shared" si="333"/>
        <v>0</v>
      </c>
      <c r="BT216" s="21">
        <f t="shared" si="333"/>
        <v>0</v>
      </c>
      <c r="BU216" s="21">
        <f t="shared" si="333"/>
        <v>0</v>
      </c>
      <c r="BV216" s="21">
        <f t="shared" si="333"/>
        <v>0</v>
      </c>
      <c r="BW216" s="21">
        <f t="shared" si="333"/>
        <v>3834</v>
      </c>
      <c r="BX216" s="21">
        <f t="shared" si="333"/>
        <v>0</v>
      </c>
      <c r="BY216" s="21">
        <f t="shared" si="333"/>
        <v>128998285</v>
      </c>
      <c r="BZ216" s="21">
        <f t="shared" si="333"/>
        <v>22321655</v>
      </c>
      <c r="CA216" s="21">
        <f t="shared" si="333"/>
        <v>16303396</v>
      </c>
      <c r="CB216" s="21">
        <f t="shared" si="333"/>
        <v>1988565</v>
      </c>
      <c r="CC216" s="21">
        <f t="shared" si="333"/>
        <v>14314831</v>
      </c>
      <c r="CD216" s="21">
        <f t="shared" si="333"/>
        <v>800000</v>
      </c>
      <c r="CE216" s="21">
        <f t="shared" si="333"/>
        <v>0</v>
      </c>
      <c r="CF216" s="21">
        <f t="shared" si="333"/>
        <v>0</v>
      </c>
      <c r="CG216" s="21">
        <f t="shared" si="333"/>
        <v>0</v>
      </c>
      <c r="CH216" s="21">
        <f t="shared" si="333"/>
        <v>800000</v>
      </c>
      <c r="CI216" s="21">
        <f t="shared" si="333"/>
        <v>0</v>
      </c>
      <c r="CJ216" s="21">
        <f t="shared" si="333"/>
        <v>0</v>
      </c>
      <c r="CK216" s="21">
        <f t="shared" si="333"/>
        <v>5218259</v>
      </c>
      <c r="CL216" s="21">
        <f t="shared" si="333"/>
        <v>0</v>
      </c>
      <c r="CM216" s="21">
        <f t="shared" si="333"/>
        <v>0</v>
      </c>
      <c r="CN216" s="21">
        <f t="shared" si="333"/>
        <v>4243137</v>
      </c>
      <c r="CO216" s="21">
        <f t="shared" si="333"/>
        <v>975122</v>
      </c>
      <c r="CP216" s="21">
        <f t="shared" si="333"/>
        <v>0</v>
      </c>
      <c r="CQ216" s="21">
        <f t="shared" si="333"/>
        <v>0</v>
      </c>
      <c r="CR216" s="21">
        <f t="shared" si="333"/>
        <v>0</v>
      </c>
      <c r="CS216" s="21">
        <f t="shared" si="333"/>
        <v>106676630</v>
      </c>
      <c r="CT216" s="21">
        <f t="shared" si="333"/>
        <v>0</v>
      </c>
      <c r="CU216" s="21">
        <f t="shared" si="333"/>
        <v>0</v>
      </c>
      <c r="CV216" s="21">
        <f t="shared" si="333"/>
        <v>0</v>
      </c>
      <c r="CW216" s="22">
        <f t="shared" ref="CW216" si="334">SUM(CW217+CW219+CW222+CW270+CW284)</f>
        <v>0</v>
      </c>
      <c r="CX216" s="40"/>
      <c r="CY216" s="40"/>
    </row>
    <row r="217" spans="1:103" ht="15.75" x14ac:dyDescent="0.25">
      <c r="A217" s="13" t="s">
        <v>247</v>
      </c>
      <c r="B217" s="14" t="s">
        <v>3</v>
      </c>
      <c r="C217" s="14" t="s">
        <v>1</v>
      </c>
      <c r="D217" s="30" t="s">
        <v>248</v>
      </c>
      <c r="E217" s="15">
        <f>SUM(E218)</f>
        <v>5508573</v>
      </c>
      <c r="F217" s="16">
        <f t="shared" ref="F217:BS217" si="335">SUM(F218)</f>
        <v>0</v>
      </c>
      <c r="G217" s="16">
        <f t="shared" si="335"/>
        <v>0</v>
      </c>
      <c r="H217" s="16">
        <f t="shared" si="335"/>
        <v>0</v>
      </c>
      <c r="I217" s="16">
        <f t="shared" si="335"/>
        <v>0</v>
      </c>
      <c r="J217" s="16">
        <f t="shared" si="335"/>
        <v>0</v>
      </c>
      <c r="K217" s="16">
        <f t="shared" si="335"/>
        <v>0</v>
      </c>
      <c r="L217" s="16">
        <f t="shared" si="335"/>
        <v>0</v>
      </c>
      <c r="M217" s="16">
        <f t="shared" si="335"/>
        <v>0</v>
      </c>
      <c r="N217" s="16">
        <f t="shared" si="335"/>
        <v>0</v>
      </c>
      <c r="O217" s="16">
        <f t="shared" si="335"/>
        <v>0</v>
      </c>
      <c r="P217" s="16">
        <f t="shared" si="335"/>
        <v>0</v>
      </c>
      <c r="Q217" s="16">
        <f t="shared" si="335"/>
        <v>0</v>
      </c>
      <c r="R217" s="16">
        <f t="shared" si="335"/>
        <v>0</v>
      </c>
      <c r="S217" s="16">
        <f t="shared" si="335"/>
        <v>0</v>
      </c>
      <c r="T217" s="16">
        <f t="shared" si="335"/>
        <v>0</v>
      </c>
      <c r="U217" s="16">
        <f t="shared" si="335"/>
        <v>0</v>
      </c>
      <c r="V217" s="16">
        <f t="shared" si="335"/>
        <v>0</v>
      </c>
      <c r="W217" s="16">
        <f t="shared" si="335"/>
        <v>0</v>
      </c>
      <c r="X217" s="16">
        <f t="shared" si="335"/>
        <v>0</v>
      </c>
      <c r="Y217" s="16">
        <f t="shared" si="335"/>
        <v>0</v>
      </c>
      <c r="Z217" s="16">
        <f t="shared" si="335"/>
        <v>0</v>
      </c>
      <c r="AA217" s="16">
        <f t="shared" si="335"/>
        <v>0</v>
      </c>
      <c r="AB217" s="16">
        <f t="shared" si="335"/>
        <v>0</v>
      </c>
      <c r="AC217" s="16">
        <f t="shared" si="335"/>
        <v>0</v>
      </c>
      <c r="AD217" s="16">
        <f t="shared" si="335"/>
        <v>0</v>
      </c>
      <c r="AE217" s="16">
        <f t="shared" si="335"/>
        <v>0</v>
      </c>
      <c r="AF217" s="16">
        <f t="shared" si="335"/>
        <v>0</v>
      </c>
      <c r="AG217" s="16">
        <f t="shared" si="335"/>
        <v>0</v>
      </c>
      <c r="AH217" s="16">
        <f t="shared" si="335"/>
        <v>0</v>
      </c>
      <c r="AI217" s="16">
        <f t="shared" si="335"/>
        <v>0</v>
      </c>
      <c r="AJ217" s="16">
        <f t="shared" si="335"/>
        <v>0</v>
      </c>
      <c r="AK217" s="16">
        <f t="shared" si="335"/>
        <v>0</v>
      </c>
      <c r="AL217" s="16">
        <f t="shared" si="335"/>
        <v>0</v>
      </c>
      <c r="AM217" s="16">
        <f t="shared" si="335"/>
        <v>0</v>
      </c>
      <c r="AN217" s="16">
        <f t="shared" si="335"/>
        <v>0</v>
      </c>
      <c r="AO217" s="16">
        <f t="shared" si="335"/>
        <v>0</v>
      </c>
      <c r="AP217" s="16">
        <f t="shared" si="335"/>
        <v>0</v>
      </c>
      <c r="AQ217" s="16">
        <f t="shared" si="335"/>
        <v>0</v>
      </c>
      <c r="AR217" s="16">
        <f t="shared" si="335"/>
        <v>0</v>
      </c>
      <c r="AS217" s="16">
        <f t="shared" si="335"/>
        <v>0</v>
      </c>
      <c r="AT217" s="16">
        <f t="shared" si="335"/>
        <v>0</v>
      </c>
      <c r="AU217" s="16">
        <f t="shared" si="335"/>
        <v>0</v>
      </c>
      <c r="AV217" s="16">
        <f t="shared" si="335"/>
        <v>0</v>
      </c>
      <c r="AW217" s="16">
        <f t="shared" si="335"/>
        <v>0</v>
      </c>
      <c r="AX217" s="16">
        <f t="shared" si="335"/>
        <v>0</v>
      </c>
      <c r="AY217" s="16">
        <f t="shared" si="335"/>
        <v>0</v>
      </c>
      <c r="AZ217" s="16">
        <f t="shared" si="335"/>
        <v>0</v>
      </c>
      <c r="BA217" s="16">
        <f t="shared" si="335"/>
        <v>0</v>
      </c>
      <c r="BB217" s="16">
        <f t="shared" si="335"/>
        <v>0</v>
      </c>
      <c r="BC217" s="16">
        <f t="shared" si="335"/>
        <v>0</v>
      </c>
      <c r="BD217" s="16">
        <f t="shared" si="335"/>
        <v>0</v>
      </c>
      <c r="BE217" s="16">
        <f t="shared" si="335"/>
        <v>0</v>
      </c>
      <c r="BF217" s="16">
        <f t="shared" si="335"/>
        <v>0</v>
      </c>
      <c r="BG217" s="16">
        <f t="shared" si="335"/>
        <v>0</v>
      </c>
      <c r="BH217" s="16">
        <f t="shared" si="335"/>
        <v>0</v>
      </c>
      <c r="BI217" s="16">
        <f t="shared" si="335"/>
        <v>0</v>
      </c>
      <c r="BJ217" s="16">
        <f t="shared" si="335"/>
        <v>0</v>
      </c>
      <c r="BK217" s="16">
        <f t="shared" si="335"/>
        <v>0</v>
      </c>
      <c r="BL217" s="16">
        <f t="shared" si="335"/>
        <v>0</v>
      </c>
      <c r="BM217" s="16">
        <f t="shared" si="335"/>
        <v>0</v>
      </c>
      <c r="BN217" s="16">
        <f t="shared" si="335"/>
        <v>0</v>
      </c>
      <c r="BO217" s="16">
        <f t="shared" si="335"/>
        <v>0</v>
      </c>
      <c r="BP217" s="16">
        <f t="shared" si="335"/>
        <v>0</v>
      </c>
      <c r="BQ217" s="16">
        <f t="shared" si="335"/>
        <v>0</v>
      </c>
      <c r="BR217" s="16">
        <f t="shared" si="335"/>
        <v>0</v>
      </c>
      <c r="BS217" s="16">
        <f t="shared" si="335"/>
        <v>0</v>
      </c>
      <c r="BT217" s="16">
        <f t="shared" ref="BT217:CW217" si="336">SUM(BT218)</f>
        <v>0</v>
      </c>
      <c r="BU217" s="16">
        <f t="shared" si="336"/>
        <v>0</v>
      </c>
      <c r="BV217" s="16">
        <f t="shared" si="336"/>
        <v>0</v>
      </c>
      <c r="BW217" s="16">
        <f t="shared" si="336"/>
        <v>0</v>
      </c>
      <c r="BX217" s="16">
        <f t="shared" si="336"/>
        <v>0</v>
      </c>
      <c r="BY217" s="16">
        <f t="shared" si="336"/>
        <v>5508573</v>
      </c>
      <c r="BZ217" s="16">
        <f t="shared" si="336"/>
        <v>0</v>
      </c>
      <c r="CA217" s="16">
        <f t="shared" si="336"/>
        <v>0</v>
      </c>
      <c r="CB217" s="16">
        <f t="shared" si="336"/>
        <v>0</v>
      </c>
      <c r="CC217" s="16">
        <f t="shared" si="336"/>
        <v>0</v>
      </c>
      <c r="CD217" s="16">
        <f t="shared" si="336"/>
        <v>0</v>
      </c>
      <c r="CE217" s="16">
        <f t="shared" si="336"/>
        <v>0</v>
      </c>
      <c r="CF217" s="16">
        <f t="shared" si="336"/>
        <v>0</v>
      </c>
      <c r="CG217" s="16">
        <f t="shared" si="336"/>
        <v>0</v>
      </c>
      <c r="CH217" s="16">
        <f t="shared" si="336"/>
        <v>0</v>
      </c>
      <c r="CI217" s="16">
        <f t="shared" si="336"/>
        <v>0</v>
      </c>
      <c r="CJ217" s="16">
        <f t="shared" si="336"/>
        <v>0</v>
      </c>
      <c r="CK217" s="16">
        <f t="shared" si="336"/>
        <v>0</v>
      </c>
      <c r="CL217" s="16">
        <f t="shared" si="336"/>
        <v>0</v>
      </c>
      <c r="CM217" s="16">
        <f t="shared" si="336"/>
        <v>0</v>
      </c>
      <c r="CN217" s="16">
        <f t="shared" si="336"/>
        <v>0</v>
      </c>
      <c r="CO217" s="16">
        <f t="shared" si="336"/>
        <v>0</v>
      </c>
      <c r="CP217" s="16">
        <f t="shared" si="336"/>
        <v>0</v>
      </c>
      <c r="CQ217" s="16">
        <f t="shared" si="336"/>
        <v>0</v>
      </c>
      <c r="CR217" s="16">
        <f t="shared" si="336"/>
        <v>0</v>
      </c>
      <c r="CS217" s="16">
        <f t="shared" si="336"/>
        <v>5508573</v>
      </c>
      <c r="CT217" s="16">
        <f t="shared" si="336"/>
        <v>0</v>
      </c>
      <c r="CU217" s="16">
        <f t="shared" si="336"/>
        <v>0</v>
      </c>
      <c r="CV217" s="16">
        <f t="shared" si="336"/>
        <v>0</v>
      </c>
      <c r="CW217" s="17">
        <f t="shared" si="336"/>
        <v>0</v>
      </c>
      <c r="CX217" s="40"/>
      <c r="CY217" s="40"/>
    </row>
    <row r="218" spans="1:103" ht="15.75" x14ac:dyDescent="0.25">
      <c r="A218" s="13" t="s">
        <v>1</v>
      </c>
      <c r="B218" s="14" t="s">
        <v>1</v>
      </c>
      <c r="C218" s="14" t="s">
        <v>249</v>
      </c>
      <c r="D218" s="30" t="s">
        <v>248</v>
      </c>
      <c r="E218" s="15">
        <f>SUM(F218+BY218+CT218)</f>
        <v>5508573</v>
      </c>
      <c r="F218" s="16">
        <f>SUM(G218+BA218)</f>
        <v>0</v>
      </c>
      <c r="G218" s="16">
        <f>SUM(H218+I218+J218+Q218+T218+U218+V218+AE218)</f>
        <v>0</v>
      </c>
      <c r="H218" s="16">
        <v>0</v>
      </c>
      <c r="I218" s="16">
        <v>0</v>
      </c>
      <c r="J218" s="16">
        <f t="shared" si="238"/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f t="shared" si="239"/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f>SUM(W218:AD218)</f>
        <v>0</v>
      </c>
      <c r="W218" s="16">
        <v>0</v>
      </c>
      <c r="X218" s="16">
        <v>0</v>
      </c>
      <c r="Y218" s="16">
        <v>0</v>
      </c>
      <c r="Z218" s="16">
        <v>0</v>
      </c>
      <c r="AA218" s="16">
        <v>0</v>
      </c>
      <c r="AB218" s="16">
        <v>0</v>
      </c>
      <c r="AC218" s="16">
        <v>0</v>
      </c>
      <c r="AD218" s="16">
        <v>0</v>
      </c>
      <c r="AE218" s="16">
        <f>SUM(AF218:AZ218)</f>
        <v>0</v>
      </c>
      <c r="AF218" s="16">
        <v>0</v>
      </c>
      <c r="AG218" s="16">
        <v>0</v>
      </c>
      <c r="AH218" s="16">
        <v>0</v>
      </c>
      <c r="AI218" s="16">
        <v>0</v>
      </c>
      <c r="AJ218" s="16">
        <v>0</v>
      </c>
      <c r="AK218" s="16">
        <v>0</v>
      </c>
      <c r="AL218" s="16">
        <v>0</v>
      </c>
      <c r="AM218" s="16">
        <v>0</v>
      </c>
      <c r="AN218" s="16">
        <v>0</v>
      </c>
      <c r="AO218" s="16">
        <v>0</v>
      </c>
      <c r="AP218" s="16">
        <v>0</v>
      </c>
      <c r="AQ218" s="16">
        <v>0</v>
      </c>
      <c r="AR218" s="16">
        <v>0</v>
      </c>
      <c r="AS218" s="16">
        <v>0</v>
      </c>
      <c r="AT218" s="16">
        <v>0</v>
      </c>
      <c r="AU218" s="16">
        <v>0</v>
      </c>
      <c r="AV218" s="16">
        <v>0</v>
      </c>
      <c r="AW218" s="16">
        <v>0</v>
      </c>
      <c r="AX218" s="16">
        <v>0</v>
      </c>
      <c r="AY218" s="16">
        <v>0</v>
      </c>
      <c r="AZ218" s="16">
        <v>0</v>
      </c>
      <c r="BA218" s="16">
        <f>SUM(BB218+BF218+BI218+BK218+BM218)</f>
        <v>0</v>
      </c>
      <c r="BB218" s="16">
        <f>SUM(BC218:BE218)</f>
        <v>0</v>
      </c>
      <c r="BC218" s="16">
        <v>0</v>
      </c>
      <c r="BD218" s="16">
        <v>0</v>
      </c>
      <c r="BE218" s="16">
        <v>0</v>
      </c>
      <c r="BF218" s="16">
        <f t="shared" si="240"/>
        <v>0</v>
      </c>
      <c r="BG218" s="16">
        <v>0</v>
      </c>
      <c r="BH218" s="16">
        <v>0</v>
      </c>
      <c r="BI218" s="16">
        <v>0</v>
      </c>
      <c r="BJ218" s="16">
        <v>0</v>
      </c>
      <c r="BK218" s="16">
        <f t="shared" si="241"/>
        <v>0</v>
      </c>
      <c r="BL218" s="16">
        <v>0</v>
      </c>
      <c r="BM218" s="16">
        <f t="shared" si="242"/>
        <v>0</v>
      </c>
      <c r="BN218" s="16">
        <v>0</v>
      </c>
      <c r="BO218" s="16">
        <v>0</v>
      </c>
      <c r="BP218" s="16">
        <v>0</v>
      </c>
      <c r="BQ218" s="16">
        <v>0</v>
      </c>
      <c r="BR218" s="16">
        <v>0</v>
      </c>
      <c r="BS218" s="16">
        <v>0</v>
      </c>
      <c r="BT218" s="16">
        <v>0</v>
      </c>
      <c r="BU218" s="16">
        <v>0</v>
      </c>
      <c r="BV218" s="16">
        <v>0</v>
      </c>
      <c r="BW218" s="16">
        <v>0</v>
      </c>
      <c r="BX218" s="16">
        <v>0</v>
      </c>
      <c r="BY218" s="16">
        <f>SUM(BZ218+CS218)</f>
        <v>5508573</v>
      </c>
      <c r="BZ218" s="16">
        <f>SUM(CA218+CD218+CK218)</f>
        <v>0</v>
      </c>
      <c r="CA218" s="16">
        <f t="shared" si="243"/>
        <v>0</v>
      </c>
      <c r="CB218" s="16">
        <v>0</v>
      </c>
      <c r="CC218" s="16">
        <v>0</v>
      </c>
      <c r="CD218" s="16">
        <f t="shared" si="244"/>
        <v>0</v>
      </c>
      <c r="CE218" s="16">
        <v>0</v>
      </c>
      <c r="CF218" s="16">
        <v>0</v>
      </c>
      <c r="CG218" s="16">
        <v>0</v>
      </c>
      <c r="CH218" s="16">
        <v>0</v>
      </c>
      <c r="CI218" s="16">
        <v>0</v>
      </c>
      <c r="CJ218" s="16">
        <v>0</v>
      </c>
      <c r="CK218" s="16">
        <f t="shared" si="245"/>
        <v>0</v>
      </c>
      <c r="CL218" s="16">
        <v>0</v>
      </c>
      <c r="CM218" s="16">
        <v>0</v>
      </c>
      <c r="CN218" s="16">
        <v>0</v>
      </c>
      <c r="CO218" s="16">
        <v>0</v>
      </c>
      <c r="CP218" s="16">
        <v>0</v>
      </c>
      <c r="CQ218" s="16">
        <v>0</v>
      </c>
      <c r="CR218" s="16">
        <v>0</v>
      </c>
      <c r="CS218" s="16">
        <f>6000000-1160-490267</f>
        <v>5508573</v>
      </c>
      <c r="CT218" s="16">
        <f t="shared" si="246"/>
        <v>0</v>
      </c>
      <c r="CU218" s="16">
        <f t="shared" si="247"/>
        <v>0</v>
      </c>
      <c r="CV218" s="16">
        <v>0</v>
      </c>
      <c r="CW218" s="17">
        <v>0</v>
      </c>
      <c r="CX218" s="40"/>
      <c r="CY218" s="40"/>
    </row>
    <row r="219" spans="1:103" ht="15.75" x14ac:dyDescent="0.25">
      <c r="A219" s="13" t="s">
        <v>247</v>
      </c>
      <c r="B219" s="14" t="s">
        <v>50</v>
      </c>
      <c r="C219" s="14" t="s">
        <v>1</v>
      </c>
      <c r="D219" s="30" t="s">
        <v>250</v>
      </c>
      <c r="E219" s="15">
        <f>SUM(E220:E221)</f>
        <v>10695390</v>
      </c>
      <c r="F219" s="16">
        <f t="shared" ref="F219:BS219" si="337">SUM(F220:F221)</f>
        <v>10632464</v>
      </c>
      <c r="G219" s="16">
        <f t="shared" si="337"/>
        <v>10628630</v>
      </c>
      <c r="H219" s="16">
        <f t="shared" si="337"/>
        <v>723925</v>
      </c>
      <c r="I219" s="16">
        <f t="shared" si="337"/>
        <v>173320</v>
      </c>
      <c r="J219" s="16">
        <f t="shared" si="337"/>
        <v>87655</v>
      </c>
      <c r="K219" s="16">
        <f t="shared" si="337"/>
        <v>0</v>
      </c>
      <c r="L219" s="16">
        <f t="shared" si="337"/>
        <v>0</v>
      </c>
      <c r="M219" s="16">
        <f t="shared" si="337"/>
        <v>0</v>
      </c>
      <c r="N219" s="16">
        <f t="shared" si="337"/>
        <v>0</v>
      </c>
      <c r="O219" s="16">
        <f t="shared" si="337"/>
        <v>80300</v>
      </c>
      <c r="P219" s="16">
        <f t="shared" si="337"/>
        <v>7355</v>
      </c>
      <c r="Q219" s="16">
        <f t="shared" si="337"/>
        <v>16246</v>
      </c>
      <c r="R219" s="16">
        <f t="shared" si="337"/>
        <v>0</v>
      </c>
      <c r="S219" s="16">
        <f t="shared" si="337"/>
        <v>16246</v>
      </c>
      <c r="T219" s="16">
        <f t="shared" si="337"/>
        <v>0</v>
      </c>
      <c r="U219" s="16">
        <f t="shared" si="337"/>
        <v>31943</v>
      </c>
      <c r="V219" s="16">
        <f t="shared" si="337"/>
        <v>17790</v>
      </c>
      <c r="W219" s="16">
        <f t="shared" si="337"/>
        <v>0</v>
      </c>
      <c r="X219" s="16">
        <f t="shared" si="337"/>
        <v>13068</v>
      </c>
      <c r="Y219" s="16">
        <f t="shared" si="337"/>
        <v>4117</v>
      </c>
      <c r="Z219" s="16">
        <f t="shared" si="337"/>
        <v>605</v>
      </c>
      <c r="AA219" s="16">
        <f t="shared" si="337"/>
        <v>0</v>
      </c>
      <c r="AB219" s="16">
        <f t="shared" si="337"/>
        <v>0</v>
      </c>
      <c r="AC219" s="16">
        <f t="shared" si="337"/>
        <v>0</v>
      </c>
      <c r="AD219" s="16">
        <f t="shared" ref="AD219" si="338">SUM(AD220:AD221)</f>
        <v>0</v>
      </c>
      <c r="AE219" s="16">
        <f t="shared" si="337"/>
        <v>9577751</v>
      </c>
      <c r="AF219" s="16">
        <f t="shared" si="337"/>
        <v>0</v>
      </c>
      <c r="AG219" s="16">
        <f t="shared" si="337"/>
        <v>1616</v>
      </c>
      <c r="AH219" s="16">
        <f t="shared" si="337"/>
        <v>3854</v>
      </c>
      <c r="AI219" s="16">
        <f t="shared" si="337"/>
        <v>0</v>
      </c>
      <c r="AJ219" s="16">
        <f t="shared" si="337"/>
        <v>1591</v>
      </c>
      <c r="AK219" s="16">
        <f t="shared" si="337"/>
        <v>0</v>
      </c>
      <c r="AL219" s="16">
        <f t="shared" si="337"/>
        <v>6358</v>
      </c>
      <c r="AM219" s="16">
        <f t="shared" si="337"/>
        <v>0</v>
      </c>
      <c r="AN219" s="16">
        <f t="shared" si="337"/>
        <v>6833</v>
      </c>
      <c r="AO219" s="16">
        <f t="shared" si="337"/>
        <v>0</v>
      </c>
      <c r="AP219" s="16">
        <f>SUM(AP220:AP221)</f>
        <v>0</v>
      </c>
      <c r="AQ219" s="16">
        <f t="shared" si="337"/>
        <v>0</v>
      </c>
      <c r="AR219" s="16">
        <f t="shared" si="337"/>
        <v>84873</v>
      </c>
      <c r="AS219" s="16">
        <f t="shared" si="337"/>
        <v>1760</v>
      </c>
      <c r="AT219" s="16">
        <f t="shared" si="337"/>
        <v>0</v>
      </c>
      <c r="AU219" s="16">
        <f t="shared" si="337"/>
        <v>0</v>
      </c>
      <c r="AV219" s="16">
        <f t="shared" si="337"/>
        <v>0</v>
      </c>
      <c r="AW219" s="16">
        <f t="shared" si="337"/>
        <v>0</v>
      </c>
      <c r="AX219" s="16">
        <f t="shared" si="337"/>
        <v>0</v>
      </c>
      <c r="AY219" s="16">
        <f t="shared" si="337"/>
        <v>0</v>
      </c>
      <c r="AZ219" s="16">
        <f t="shared" si="337"/>
        <v>9470866</v>
      </c>
      <c r="BA219" s="16">
        <f t="shared" si="337"/>
        <v>3834</v>
      </c>
      <c r="BB219" s="16">
        <f t="shared" si="337"/>
        <v>0</v>
      </c>
      <c r="BC219" s="16">
        <f t="shared" si="337"/>
        <v>0</v>
      </c>
      <c r="BD219" s="16">
        <f t="shared" si="337"/>
        <v>0</v>
      </c>
      <c r="BE219" s="16">
        <f t="shared" si="337"/>
        <v>0</v>
      </c>
      <c r="BF219" s="16">
        <f t="shared" si="337"/>
        <v>0</v>
      </c>
      <c r="BG219" s="16">
        <f t="shared" si="337"/>
        <v>0</v>
      </c>
      <c r="BH219" s="16">
        <f t="shared" si="337"/>
        <v>0</v>
      </c>
      <c r="BI219" s="16">
        <f t="shared" si="337"/>
        <v>0</v>
      </c>
      <c r="BJ219" s="16">
        <f t="shared" si="337"/>
        <v>0</v>
      </c>
      <c r="BK219" s="16">
        <f t="shared" si="337"/>
        <v>0</v>
      </c>
      <c r="BL219" s="16">
        <f t="shared" si="337"/>
        <v>0</v>
      </c>
      <c r="BM219" s="16">
        <f t="shared" si="337"/>
        <v>3834</v>
      </c>
      <c r="BN219" s="16">
        <f t="shared" si="337"/>
        <v>0</v>
      </c>
      <c r="BO219" s="16">
        <f t="shared" si="337"/>
        <v>0</v>
      </c>
      <c r="BP219" s="16">
        <f t="shared" si="337"/>
        <v>0</v>
      </c>
      <c r="BQ219" s="16">
        <f t="shared" si="337"/>
        <v>0</v>
      </c>
      <c r="BR219" s="16">
        <f t="shared" si="337"/>
        <v>0</v>
      </c>
      <c r="BS219" s="16">
        <f t="shared" si="337"/>
        <v>0</v>
      </c>
      <c r="BT219" s="16">
        <f t="shared" ref="BT219:CW219" si="339">SUM(BT220:BT221)</f>
        <v>0</v>
      </c>
      <c r="BU219" s="16">
        <f t="shared" si="339"/>
        <v>0</v>
      </c>
      <c r="BV219" s="16">
        <f t="shared" si="339"/>
        <v>0</v>
      </c>
      <c r="BW219" s="16">
        <f t="shared" si="339"/>
        <v>3834</v>
      </c>
      <c r="BX219" s="16">
        <f t="shared" si="339"/>
        <v>0</v>
      </c>
      <c r="BY219" s="16">
        <f t="shared" si="339"/>
        <v>62926</v>
      </c>
      <c r="BZ219" s="16">
        <f t="shared" si="339"/>
        <v>62926</v>
      </c>
      <c r="CA219" s="16">
        <f t="shared" si="339"/>
        <v>62926</v>
      </c>
      <c r="CB219" s="16">
        <f t="shared" si="339"/>
        <v>0</v>
      </c>
      <c r="CC219" s="16">
        <f t="shared" si="339"/>
        <v>62926</v>
      </c>
      <c r="CD219" s="16">
        <f t="shared" si="339"/>
        <v>0</v>
      </c>
      <c r="CE219" s="16">
        <f t="shared" si="339"/>
        <v>0</v>
      </c>
      <c r="CF219" s="16">
        <f>SUM(CF220:CF221)</f>
        <v>0</v>
      </c>
      <c r="CG219" s="16">
        <f t="shared" si="339"/>
        <v>0</v>
      </c>
      <c r="CH219" s="16">
        <f t="shared" si="339"/>
        <v>0</v>
      </c>
      <c r="CI219" s="16">
        <f t="shared" si="339"/>
        <v>0</v>
      </c>
      <c r="CJ219" s="16">
        <f t="shared" ref="CJ219" si="340">SUM(CJ220:CJ221)</f>
        <v>0</v>
      </c>
      <c r="CK219" s="16">
        <f t="shared" si="339"/>
        <v>0</v>
      </c>
      <c r="CL219" s="16">
        <f t="shared" si="339"/>
        <v>0</v>
      </c>
      <c r="CM219" s="16">
        <f>SUM(CM220:CM221)</f>
        <v>0</v>
      </c>
      <c r="CN219" s="16">
        <f t="shared" si="339"/>
        <v>0</v>
      </c>
      <c r="CO219" s="16">
        <f t="shared" si="339"/>
        <v>0</v>
      </c>
      <c r="CP219" s="16">
        <f t="shared" si="339"/>
        <v>0</v>
      </c>
      <c r="CQ219" s="16">
        <f t="shared" si="339"/>
        <v>0</v>
      </c>
      <c r="CR219" s="16">
        <f t="shared" si="339"/>
        <v>0</v>
      </c>
      <c r="CS219" s="16">
        <f t="shared" si="339"/>
        <v>0</v>
      </c>
      <c r="CT219" s="16">
        <f t="shared" si="339"/>
        <v>0</v>
      </c>
      <c r="CU219" s="16">
        <f t="shared" si="339"/>
        <v>0</v>
      </c>
      <c r="CV219" s="16">
        <f t="shared" si="339"/>
        <v>0</v>
      </c>
      <c r="CW219" s="17">
        <f t="shared" si="339"/>
        <v>0</v>
      </c>
      <c r="CX219" s="40"/>
      <c r="CY219" s="40"/>
    </row>
    <row r="220" spans="1:103" ht="15.75" x14ac:dyDescent="0.25">
      <c r="A220" s="13" t="s">
        <v>1</v>
      </c>
      <c r="B220" s="14" t="s">
        <v>1</v>
      </c>
      <c r="C220" s="14" t="s">
        <v>251</v>
      </c>
      <c r="D220" s="30" t="s">
        <v>252</v>
      </c>
      <c r="E220" s="15">
        <f>SUM(F220+BY220+CT220)</f>
        <v>9470468</v>
      </c>
      <c r="F220" s="16">
        <f>SUM(G220+BA220)</f>
        <v>9470468</v>
      </c>
      <c r="G220" s="16">
        <f>SUM(H220+I220+J220+Q220+T220+U220+V220+AE220)</f>
        <v>9470468</v>
      </c>
      <c r="H220" s="16">
        <v>0</v>
      </c>
      <c r="I220" s="16">
        <v>0</v>
      </c>
      <c r="J220" s="16">
        <f t="shared" ref="J220:J288" si="341">SUM(K220:P220)</f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f t="shared" ref="Q220:Q288" si="342">SUM(R220:S220)</f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f>SUM(W220:AD220)</f>
        <v>0</v>
      </c>
      <c r="W220" s="16">
        <v>0</v>
      </c>
      <c r="X220" s="16">
        <v>0</v>
      </c>
      <c r="Y220" s="16">
        <v>0</v>
      </c>
      <c r="Z220" s="16">
        <v>0</v>
      </c>
      <c r="AA220" s="16">
        <v>0</v>
      </c>
      <c r="AB220" s="16">
        <v>0</v>
      </c>
      <c r="AC220" s="16">
        <v>0</v>
      </c>
      <c r="AD220" s="16">
        <v>0</v>
      </c>
      <c r="AE220" s="16">
        <f>SUM(AF220:AZ220)</f>
        <v>9470468</v>
      </c>
      <c r="AF220" s="16">
        <v>0</v>
      </c>
      <c r="AG220" s="16">
        <v>0</v>
      </c>
      <c r="AH220" s="16">
        <v>0</v>
      </c>
      <c r="AI220" s="16">
        <v>0</v>
      </c>
      <c r="AJ220" s="16">
        <v>0</v>
      </c>
      <c r="AK220" s="16">
        <v>0</v>
      </c>
      <c r="AL220" s="16">
        <v>0</v>
      </c>
      <c r="AM220" s="16">
        <v>0</v>
      </c>
      <c r="AN220" s="16">
        <v>0</v>
      </c>
      <c r="AO220" s="16">
        <v>0</v>
      </c>
      <c r="AP220" s="16">
        <v>0</v>
      </c>
      <c r="AQ220" s="16">
        <v>0</v>
      </c>
      <c r="AR220" s="16">
        <v>0</v>
      </c>
      <c r="AS220" s="16">
        <v>0</v>
      </c>
      <c r="AT220" s="16">
        <v>0</v>
      </c>
      <c r="AU220" s="16">
        <v>0</v>
      </c>
      <c r="AV220" s="16">
        <v>0</v>
      </c>
      <c r="AW220" s="16">
        <v>0</v>
      </c>
      <c r="AX220" s="16">
        <v>0</v>
      </c>
      <c r="AY220" s="16">
        <v>0</v>
      </c>
      <c r="AZ220" s="16">
        <v>9470468</v>
      </c>
      <c r="BA220" s="16">
        <f>SUM(BB220+BF220+BI220+BK220+BM220)</f>
        <v>0</v>
      </c>
      <c r="BB220" s="16">
        <f>SUM(BC220:BE220)</f>
        <v>0</v>
      </c>
      <c r="BC220" s="16">
        <v>0</v>
      </c>
      <c r="BD220" s="16">
        <v>0</v>
      </c>
      <c r="BE220" s="16">
        <v>0</v>
      </c>
      <c r="BF220" s="16">
        <f t="shared" ref="BF220:BF288" si="343">SUM(BG220:BH220)</f>
        <v>0</v>
      </c>
      <c r="BG220" s="16">
        <v>0</v>
      </c>
      <c r="BH220" s="16">
        <v>0</v>
      </c>
      <c r="BI220" s="16">
        <v>0</v>
      </c>
      <c r="BJ220" s="16">
        <v>0</v>
      </c>
      <c r="BK220" s="16">
        <f t="shared" ref="BK220:BK288" si="344">SUM(BL220)</f>
        <v>0</v>
      </c>
      <c r="BL220" s="16">
        <v>0</v>
      </c>
      <c r="BM220" s="16">
        <f t="shared" ref="BM220:BM288" si="345">SUM(BN220:BX220)</f>
        <v>0</v>
      </c>
      <c r="BN220" s="16">
        <v>0</v>
      </c>
      <c r="BO220" s="16">
        <v>0</v>
      </c>
      <c r="BP220" s="16">
        <v>0</v>
      </c>
      <c r="BQ220" s="16">
        <v>0</v>
      </c>
      <c r="BR220" s="16">
        <v>0</v>
      </c>
      <c r="BS220" s="16">
        <v>0</v>
      </c>
      <c r="BT220" s="16">
        <v>0</v>
      </c>
      <c r="BU220" s="16">
        <v>0</v>
      </c>
      <c r="BV220" s="16">
        <v>0</v>
      </c>
      <c r="BW220" s="16">
        <v>0</v>
      </c>
      <c r="BX220" s="16">
        <v>0</v>
      </c>
      <c r="BY220" s="16">
        <f>SUM(BZ220+CS220)</f>
        <v>0</v>
      </c>
      <c r="BZ220" s="16">
        <f>SUM(CA220+CD220+CK220)</f>
        <v>0</v>
      </c>
      <c r="CA220" s="16">
        <f t="shared" ref="CA220:CA288" si="346">SUM(CB220:CC220)</f>
        <v>0</v>
      </c>
      <c r="CB220" s="16">
        <v>0</v>
      </c>
      <c r="CC220" s="16">
        <v>0</v>
      </c>
      <c r="CD220" s="16">
        <f t="shared" ref="CD220:CD288" si="347">SUM(CE220:CI220)</f>
        <v>0</v>
      </c>
      <c r="CE220" s="16">
        <v>0</v>
      </c>
      <c r="CF220" s="16">
        <v>0</v>
      </c>
      <c r="CG220" s="16">
        <v>0</v>
      </c>
      <c r="CH220" s="16">
        <v>0</v>
      </c>
      <c r="CI220" s="16">
        <v>0</v>
      </c>
      <c r="CJ220" s="16">
        <v>0</v>
      </c>
      <c r="CK220" s="16">
        <f t="shared" ref="CK220:CK288" si="348">SUM(CL220:CP220)</f>
        <v>0</v>
      </c>
      <c r="CL220" s="16">
        <v>0</v>
      </c>
      <c r="CM220" s="16">
        <v>0</v>
      </c>
      <c r="CN220" s="16">
        <v>0</v>
      </c>
      <c r="CO220" s="16">
        <v>0</v>
      </c>
      <c r="CP220" s="16">
        <v>0</v>
      </c>
      <c r="CQ220" s="16">
        <v>0</v>
      </c>
      <c r="CR220" s="16">
        <v>0</v>
      </c>
      <c r="CS220" s="16">
        <v>0</v>
      </c>
      <c r="CT220" s="16">
        <f t="shared" ref="CT220:CT288" si="349">SUM(CU220)</f>
        <v>0</v>
      </c>
      <c r="CU220" s="16">
        <f t="shared" ref="CU220:CU288" si="350">SUM(CV220:CW220)</f>
        <v>0</v>
      </c>
      <c r="CV220" s="16">
        <v>0</v>
      </c>
      <c r="CW220" s="17">
        <v>0</v>
      </c>
      <c r="CX220" s="40"/>
      <c r="CY220" s="40"/>
    </row>
    <row r="221" spans="1:103" ht="15.75" x14ac:dyDescent="0.25">
      <c r="A221" s="13" t="s">
        <v>1</v>
      </c>
      <c r="B221" s="14" t="s">
        <v>1</v>
      </c>
      <c r="C221" s="14" t="s">
        <v>251</v>
      </c>
      <c r="D221" s="30" t="s">
        <v>253</v>
      </c>
      <c r="E221" s="15">
        <f>SUM(F221+BY221+CT221)</f>
        <v>1224922</v>
      </c>
      <c r="F221" s="16">
        <f>SUM(G221+BA221)</f>
        <v>1161996</v>
      </c>
      <c r="G221" s="16">
        <f>SUM(H221+I221+J221+Q221+T221+U221+V221+AE221)</f>
        <v>1158162</v>
      </c>
      <c r="H221" s="16">
        <v>723925</v>
      </c>
      <c r="I221" s="16">
        <v>173320</v>
      </c>
      <c r="J221" s="16">
        <f t="shared" si="341"/>
        <v>87655</v>
      </c>
      <c r="K221" s="16">
        <v>0</v>
      </c>
      <c r="L221" s="16">
        <v>0</v>
      </c>
      <c r="M221" s="16">
        <v>0</v>
      </c>
      <c r="N221" s="16">
        <v>0</v>
      </c>
      <c r="O221" s="16">
        <v>80300</v>
      </c>
      <c r="P221" s="16">
        <v>7355</v>
      </c>
      <c r="Q221" s="16">
        <f t="shared" si="342"/>
        <v>16246</v>
      </c>
      <c r="R221" s="16">
        <v>0</v>
      </c>
      <c r="S221" s="16">
        <v>16246</v>
      </c>
      <c r="T221" s="16">
        <v>0</v>
      </c>
      <c r="U221" s="16">
        <v>31943</v>
      </c>
      <c r="V221" s="16">
        <f>SUM(W221:AD221)</f>
        <v>17790</v>
      </c>
      <c r="W221" s="16">
        <v>0</v>
      </c>
      <c r="X221" s="16">
        <v>13068</v>
      </c>
      <c r="Y221" s="16">
        <f>3069+1048</f>
        <v>4117</v>
      </c>
      <c r="Z221" s="16">
        <v>605</v>
      </c>
      <c r="AA221" s="16">
        <v>0</v>
      </c>
      <c r="AB221" s="16">
        <v>0</v>
      </c>
      <c r="AC221" s="16">
        <v>0</v>
      </c>
      <c r="AD221" s="16">
        <v>0</v>
      </c>
      <c r="AE221" s="16">
        <f>SUM(AF221:AZ221)</f>
        <v>107283</v>
      </c>
      <c r="AF221" s="16">
        <v>0</v>
      </c>
      <c r="AG221" s="16">
        <v>1616</v>
      </c>
      <c r="AH221" s="16">
        <v>3854</v>
      </c>
      <c r="AI221" s="16">
        <v>0</v>
      </c>
      <c r="AJ221" s="16">
        <v>1591</v>
      </c>
      <c r="AK221" s="16">
        <v>0</v>
      </c>
      <c r="AL221" s="16">
        <v>6358</v>
      </c>
      <c r="AM221" s="16">
        <v>0</v>
      </c>
      <c r="AN221" s="16">
        <v>6833</v>
      </c>
      <c r="AO221" s="16">
        <v>0</v>
      </c>
      <c r="AP221" s="16">
        <v>0</v>
      </c>
      <c r="AQ221" s="16">
        <v>0</v>
      </c>
      <c r="AR221" s="41">
        <f>56196+28677</f>
        <v>84873</v>
      </c>
      <c r="AS221" s="41">
        <v>1760</v>
      </c>
      <c r="AT221" s="41">
        <v>0</v>
      </c>
      <c r="AU221" s="41">
        <v>0</v>
      </c>
      <c r="AV221" s="41">
        <v>0</v>
      </c>
      <c r="AW221" s="41">
        <f>0</f>
        <v>0</v>
      </c>
      <c r="AX221" s="16">
        <v>0</v>
      </c>
      <c r="AY221" s="16">
        <v>0</v>
      </c>
      <c r="AZ221" s="16">
        <v>398</v>
      </c>
      <c r="BA221" s="16">
        <f>SUM(BB221+BF221+BI221+BK221+BM221)</f>
        <v>3834</v>
      </c>
      <c r="BB221" s="16">
        <f>SUM(BC221:BE221)</f>
        <v>0</v>
      </c>
      <c r="BC221" s="16">
        <v>0</v>
      </c>
      <c r="BD221" s="16">
        <v>0</v>
      </c>
      <c r="BE221" s="16">
        <v>0</v>
      </c>
      <c r="BF221" s="16">
        <f t="shared" si="343"/>
        <v>0</v>
      </c>
      <c r="BG221" s="16">
        <v>0</v>
      </c>
      <c r="BH221" s="16">
        <v>0</v>
      </c>
      <c r="BI221" s="16">
        <v>0</v>
      </c>
      <c r="BJ221" s="16">
        <v>0</v>
      </c>
      <c r="BK221" s="16">
        <f t="shared" si="344"/>
        <v>0</v>
      </c>
      <c r="BL221" s="16">
        <v>0</v>
      </c>
      <c r="BM221" s="16">
        <f t="shared" si="345"/>
        <v>3834</v>
      </c>
      <c r="BN221" s="16">
        <v>0</v>
      </c>
      <c r="BO221" s="16">
        <v>0</v>
      </c>
      <c r="BP221" s="16">
        <v>0</v>
      </c>
      <c r="BQ221" s="16">
        <v>0</v>
      </c>
      <c r="BR221" s="16">
        <v>0</v>
      </c>
      <c r="BS221" s="16">
        <v>0</v>
      </c>
      <c r="BT221" s="16">
        <v>0</v>
      </c>
      <c r="BU221" s="16">
        <v>0</v>
      </c>
      <c r="BV221" s="16">
        <v>0</v>
      </c>
      <c r="BW221" s="16">
        <v>3834</v>
      </c>
      <c r="BX221" s="16">
        <v>0</v>
      </c>
      <c r="BY221" s="16">
        <f>SUM(BZ221+CS221)</f>
        <v>62926</v>
      </c>
      <c r="BZ221" s="16">
        <f>SUM(CA221+CD221+CK221)</f>
        <v>62926</v>
      </c>
      <c r="CA221" s="16">
        <f t="shared" si="346"/>
        <v>62926</v>
      </c>
      <c r="CB221" s="16">
        <v>0</v>
      </c>
      <c r="CC221" s="16">
        <v>62926</v>
      </c>
      <c r="CD221" s="16">
        <f t="shared" si="347"/>
        <v>0</v>
      </c>
      <c r="CE221" s="16">
        <v>0</v>
      </c>
      <c r="CF221" s="16">
        <v>0</v>
      </c>
      <c r="CG221" s="16">
        <v>0</v>
      </c>
      <c r="CH221" s="16">
        <v>0</v>
      </c>
      <c r="CI221" s="16">
        <v>0</v>
      </c>
      <c r="CJ221" s="16">
        <v>0</v>
      </c>
      <c r="CK221" s="16">
        <f t="shared" si="348"/>
        <v>0</v>
      </c>
      <c r="CL221" s="16">
        <v>0</v>
      </c>
      <c r="CM221" s="16">
        <v>0</v>
      </c>
      <c r="CN221" s="16">
        <v>0</v>
      </c>
      <c r="CO221" s="16">
        <v>0</v>
      </c>
      <c r="CP221" s="16">
        <v>0</v>
      </c>
      <c r="CQ221" s="16">
        <v>0</v>
      </c>
      <c r="CR221" s="16">
        <v>0</v>
      </c>
      <c r="CS221" s="16">
        <v>0</v>
      </c>
      <c r="CT221" s="16">
        <f t="shared" si="349"/>
        <v>0</v>
      </c>
      <c r="CU221" s="16">
        <f t="shared" si="350"/>
        <v>0</v>
      </c>
      <c r="CV221" s="16">
        <v>0</v>
      </c>
      <c r="CW221" s="17">
        <v>0</v>
      </c>
      <c r="CX221" s="40"/>
      <c r="CY221" s="40"/>
    </row>
    <row r="222" spans="1:103" ht="15.75" x14ac:dyDescent="0.25">
      <c r="A222" s="13" t="s">
        <v>247</v>
      </c>
      <c r="B222" s="14" t="s">
        <v>100</v>
      </c>
      <c r="C222" s="14" t="s">
        <v>1</v>
      </c>
      <c r="D222" s="30" t="s">
        <v>254</v>
      </c>
      <c r="E222" s="15">
        <f t="shared" ref="E222:AJ222" si="351">SUM(E223:E242)</f>
        <v>451625378</v>
      </c>
      <c r="F222" s="16">
        <f t="shared" si="351"/>
        <v>429366649</v>
      </c>
      <c r="G222" s="16">
        <f t="shared" si="351"/>
        <v>269526292</v>
      </c>
      <c r="H222" s="16">
        <f t="shared" si="351"/>
        <v>96824574</v>
      </c>
      <c r="I222" s="16">
        <f t="shared" si="351"/>
        <v>19240097</v>
      </c>
      <c r="J222" s="16">
        <f t="shared" si="351"/>
        <v>47776265</v>
      </c>
      <c r="K222" s="16">
        <f t="shared" si="351"/>
        <v>15016346</v>
      </c>
      <c r="L222" s="16">
        <f t="shared" si="351"/>
        <v>2697489</v>
      </c>
      <c r="M222" s="16">
        <f t="shared" si="351"/>
        <v>4245236</v>
      </c>
      <c r="N222" s="16">
        <f t="shared" si="351"/>
        <v>4013</v>
      </c>
      <c r="O222" s="16">
        <f t="shared" si="351"/>
        <v>9963322</v>
      </c>
      <c r="P222" s="16">
        <f t="shared" si="351"/>
        <v>15849859</v>
      </c>
      <c r="Q222" s="16">
        <f t="shared" si="351"/>
        <v>784928</v>
      </c>
      <c r="R222" s="16">
        <f t="shared" si="351"/>
        <v>157396</v>
      </c>
      <c r="S222" s="16">
        <f t="shared" si="351"/>
        <v>627532</v>
      </c>
      <c r="T222" s="16">
        <f t="shared" si="351"/>
        <v>308024</v>
      </c>
      <c r="U222" s="16">
        <f t="shared" si="351"/>
        <v>1905446</v>
      </c>
      <c r="V222" s="16">
        <f t="shared" si="351"/>
        <v>20147078</v>
      </c>
      <c r="W222" s="16">
        <f t="shared" si="351"/>
        <v>2276448</v>
      </c>
      <c r="X222" s="16">
        <f t="shared" si="351"/>
        <v>4078583</v>
      </c>
      <c r="Y222" s="16">
        <f t="shared" si="351"/>
        <v>11472633</v>
      </c>
      <c r="Z222" s="16">
        <f t="shared" si="351"/>
        <v>1098166</v>
      </c>
      <c r="AA222" s="16">
        <f t="shared" si="351"/>
        <v>741987</v>
      </c>
      <c r="AB222" s="16">
        <f t="shared" si="351"/>
        <v>302713</v>
      </c>
      <c r="AC222" s="16">
        <f t="shared" si="351"/>
        <v>0</v>
      </c>
      <c r="AD222" s="16">
        <f t="shared" ref="AD222" si="352">SUM(AD223:AD242)</f>
        <v>176548</v>
      </c>
      <c r="AE222" s="16">
        <f t="shared" si="351"/>
        <v>82539880</v>
      </c>
      <c r="AF222" s="16">
        <f t="shared" si="351"/>
        <v>339000</v>
      </c>
      <c r="AG222" s="16">
        <f t="shared" si="351"/>
        <v>3513673</v>
      </c>
      <c r="AH222" s="16">
        <f t="shared" si="351"/>
        <v>8175356</v>
      </c>
      <c r="AI222" s="16">
        <f t="shared" si="351"/>
        <v>865379</v>
      </c>
      <c r="AJ222" s="16">
        <f t="shared" si="351"/>
        <v>1912652</v>
      </c>
      <c r="AK222" s="16">
        <f t="shared" ref="AK222:BP222" si="353">SUM(AK223:AK242)</f>
        <v>15380</v>
      </c>
      <c r="AL222" s="16">
        <f t="shared" si="353"/>
        <v>517490</v>
      </c>
      <c r="AM222" s="16">
        <f t="shared" si="353"/>
        <v>2843983</v>
      </c>
      <c r="AN222" s="16">
        <f t="shared" si="353"/>
        <v>15000</v>
      </c>
      <c r="AO222" s="16">
        <f t="shared" si="353"/>
        <v>22635</v>
      </c>
      <c r="AP222" s="16">
        <f t="shared" si="353"/>
        <v>974849</v>
      </c>
      <c r="AQ222" s="16">
        <f t="shared" si="353"/>
        <v>8055897</v>
      </c>
      <c r="AR222" s="16">
        <f t="shared" si="353"/>
        <v>731247</v>
      </c>
      <c r="AS222" s="16">
        <f t="shared" si="353"/>
        <v>425115</v>
      </c>
      <c r="AT222" s="16">
        <f t="shared" si="353"/>
        <v>0</v>
      </c>
      <c r="AU222" s="16">
        <f t="shared" si="353"/>
        <v>5888</v>
      </c>
      <c r="AV222" s="16">
        <f t="shared" si="353"/>
        <v>61706</v>
      </c>
      <c r="AW222" s="16">
        <f t="shared" si="353"/>
        <v>1600375</v>
      </c>
      <c r="AX222" s="16">
        <f t="shared" si="353"/>
        <v>0</v>
      </c>
      <c r="AY222" s="16">
        <f t="shared" si="353"/>
        <v>0</v>
      </c>
      <c r="AZ222" s="16">
        <f t="shared" si="353"/>
        <v>52464255</v>
      </c>
      <c r="BA222" s="16">
        <f t="shared" si="353"/>
        <v>159840357</v>
      </c>
      <c r="BB222" s="16">
        <f t="shared" si="353"/>
        <v>0</v>
      </c>
      <c r="BC222" s="16">
        <f t="shared" si="353"/>
        <v>0</v>
      </c>
      <c r="BD222" s="16">
        <f t="shared" si="353"/>
        <v>0</v>
      </c>
      <c r="BE222" s="16">
        <f t="shared" si="353"/>
        <v>0</v>
      </c>
      <c r="BF222" s="16">
        <f t="shared" si="353"/>
        <v>0</v>
      </c>
      <c r="BG222" s="16">
        <f t="shared" si="353"/>
        <v>0</v>
      </c>
      <c r="BH222" s="16">
        <f t="shared" si="353"/>
        <v>0</v>
      </c>
      <c r="BI222" s="16">
        <f t="shared" si="353"/>
        <v>159835357</v>
      </c>
      <c r="BJ222" s="16">
        <f t="shared" si="353"/>
        <v>4214513</v>
      </c>
      <c r="BK222" s="16">
        <f t="shared" si="353"/>
        <v>0</v>
      </c>
      <c r="BL222" s="16">
        <f t="shared" si="353"/>
        <v>0</v>
      </c>
      <c r="BM222" s="16">
        <f t="shared" si="353"/>
        <v>5000</v>
      </c>
      <c r="BN222" s="16">
        <f t="shared" si="353"/>
        <v>0</v>
      </c>
      <c r="BO222" s="16">
        <f t="shared" si="353"/>
        <v>0</v>
      </c>
      <c r="BP222" s="16">
        <f t="shared" si="353"/>
        <v>5000</v>
      </c>
      <c r="BQ222" s="16">
        <f t="shared" ref="BQ222:CV222" si="354">SUM(BQ223:BQ242)</f>
        <v>0</v>
      </c>
      <c r="BR222" s="16">
        <f t="shared" si="354"/>
        <v>0</v>
      </c>
      <c r="BS222" s="16">
        <f t="shared" si="354"/>
        <v>0</v>
      </c>
      <c r="BT222" s="16">
        <f t="shared" si="354"/>
        <v>0</v>
      </c>
      <c r="BU222" s="16">
        <f t="shared" si="354"/>
        <v>0</v>
      </c>
      <c r="BV222" s="16">
        <f t="shared" si="354"/>
        <v>0</v>
      </c>
      <c r="BW222" s="16">
        <f t="shared" si="354"/>
        <v>0</v>
      </c>
      <c r="BX222" s="16">
        <f t="shared" si="354"/>
        <v>0</v>
      </c>
      <c r="BY222" s="16">
        <f t="shared" si="354"/>
        <v>22258729</v>
      </c>
      <c r="BZ222" s="16">
        <f t="shared" si="354"/>
        <v>22258729</v>
      </c>
      <c r="CA222" s="16">
        <f t="shared" si="354"/>
        <v>16240470</v>
      </c>
      <c r="CB222" s="16">
        <f t="shared" si="354"/>
        <v>1988565</v>
      </c>
      <c r="CC222" s="16">
        <f t="shared" si="354"/>
        <v>14251905</v>
      </c>
      <c r="CD222" s="16">
        <f t="shared" si="354"/>
        <v>800000</v>
      </c>
      <c r="CE222" s="16">
        <f t="shared" si="354"/>
        <v>0</v>
      </c>
      <c r="CF222" s="16">
        <f t="shared" si="354"/>
        <v>0</v>
      </c>
      <c r="CG222" s="16">
        <f t="shared" si="354"/>
        <v>0</v>
      </c>
      <c r="CH222" s="16">
        <f t="shared" si="354"/>
        <v>800000</v>
      </c>
      <c r="CI222" s="16">
        <f t="shared" si="354"/>
        <v>0</v>
      </c>
      <c r="CJ222" s="16">
        <f t="shared" si="354"/>
        <v>0</v>
      </c>
      <c r="CK222" s="16">
        <f t="shared" si="354"/>
        <v>5218259</v>
      </c>
      <c r="CL222" s="16">
        <f t="shared" si="354"/>
        <v>0</v>
      </c>
      <c r="CM222" s="16">
        <f t="shared" si="354"/>
        <v>0</v>
      </c>
      <c r="CN222" s="16">
        <f t="shared" si="354"/>
        <v>4243137</v>
      </c>
      <c r="CO222" s="16">
        <f t="shared" si="354"/>
        <v>975122</v>
      </c>
      <c r="CP222" s="16">
        <f t="shared" si="354"/>
        <v>0</v>
      </c>
      <c r="CQ222" s="16">
        <f t="shared" si="354"/>
        <v>0</v>
      </c>
      <c r="CR222" s="16">
        <f t="shared" si="354"/>
        <v>0</v>
      </c>
      <c r="CS222" s="16">
        <f t="shared" si="354"/>
        <v>0</v>
      </c>
      <c r="CT222" s="16">
        <f t="shared" si="354"/>
        <v>0</v>
      </c>
      <c r="CU222" s="16">
        <f t="shared" si="354"/>
        <v>0</v>
      </c>
      <c r="CV222" s="16">
        <f t="shared" si="354"/>
        <v>0</v>
      </c>
      <c r="CW222" s="17">
        <f t="shared" ref="CW222" si="355">SUM(CW223:CW242)</f>
        <v>0</v>
      </c>
      <c r="CX222" s="40"/>
      <c r="CY222" s="40"/>
    </row>
    <row r="223" spans="1:103" ht="15.75" x14ac:dyDescent="0.25">
      <c r="A223" s="13" t="s">
        <v>1</v>
      </c>
      <c r="B223" s="14" t="s">
        <v>1</v>
      </c>
      <c r="C223" s="14" t="s">
        <v>5</v>
      </c>
      <c r="D223" s="30" t="s">
        <v>255</v>
      </c>
      <c r="E223" s="15">
        <f t="shared" ref="E223:E241" si="356">SUM(F223+BY223+CT223)</f>
        <v>7954590</v>
      </c>
      <c r="F223" s="16">
        <f t="shared" ref="F223:F241" si="357">SUM(G223+BA223)</f>
        <v>7954590</v>
      </c>
      <c r="G223" s="16">
        <f t="shared" ref="G223:G241" si="358">SUM(H223+I223+J223+Q223+T223+U223+V223+AE223)</f>
        <v>7954590</v>
      </c>
      <c r="H223" s="16">
        <v>0</v>
      </c>
      <c r="I223" s="16">
        <v>0</v>
      </c>
      <c r="J223" s="16">
        <f t="shared" si="341"/>
        <v>0</v>
      </c>
      <c r="K223" s="16">
        <v>0</v>
      </c>
      <c r="L223" s="16">
        <v>0</v>
      </c>
      <c r="M223" s="16">
        <v>0</v>
      </c>
      <c r="N223" s="16">
        <v>0</v>
      </c>
      <c r="O223" s="16">
        <v>0</v>
      </c>
      <c r="P223" s="16">
        <v>0</v>
      </c>
      <c r="Q223" s="16">
        <f t="shared" si="342"/>
        <v>0</v>
      </c>
      <c r="R223" s="16">
        <v>0</v>
      </c>
      <c r="S223" s="16">
        <v>0</v>
      </c>
      <c r="T223" s="16">
        <v>0</v>
      </c>
      <c r="U223" s="16">
        <v>0</v>
      </c>
      <c r="V223" s="16">
        <f t="shared" ref="V223:V241" si="359">SUM(W223:AD223)</f>
        <v>0</v>
      </c>
      <c r="W223" s="16">
        <v>0</v>
      </c>
      <c r="X223" s="16">
        <v>0</v>
      </c>
      <c r="Y223" s="16">
        <v>0</v>
      </c>
      <c r="Z223" s="16">
        <v>0</v>
      </c>
      <c r="AA223" s="16">
        <v>0</v>
      </c>
      <c r="AB223" s="16">
        <v>0</v>
      </c>
      <c r="AC223" s="16">
        <v>0</v>
      </c>
      <c r="AD223" s="16">
        <v>0</v>
      </c>
      <c r="AE223" s="16">
        <f t="shared" ref="AE223:AE241" si="360">SUM(AF223:AZ223)</f>
        <v>7954590</v>
      </c>
      <c r="AF223" s="16">
        <v>0</v>
      </c>
      <c r="AG223" s="16">
        <v>0</v>
      </c>
      <c r="AH223" s="16">
        <v>0</v>
      </c>
      <c r="AI223" s="16">
        <v>0</v>
      </c>
      <c r="AJ223" s="16">
        <v>0</v>
      </c>
      <c r="AK223" s="16">
        <v>0</v>
      </c>
      <c r="AL223" s="16">
        <v>0</v>
      </c>
      <c r="AM223" s="16">
        <v>0</v>
      </c>
      <c r="AN223" s="16">
        <v>0</v>
      </c>
      <c r="AO223" s="16">
        <v>0</v>
      </c>
      <c r="AP223" s="16">
        <v>0</v>
      </c>
      <c r="AQ223" s="16">
        <f>8804590-850000</f>
        <v>7954590</v>
      </c>
      <c r="AR223" s="16">
        <v>0</v>
      </c>
      <c r="AS223" s="16">
        <v>0</v>
      </c>
      <c r="AT223" s="16">
        <v>0</v>
      </c>
      <c r="AU223" s="16">
        <v>0</v>
      </c>
      <c r="AV223" s="16">
        <v>0</v>
      </c>
      <c r="AW223" s="16">
        <v>0</v>
      </c>
      <c r="AX223" s="16">
        <v>0</v>
      </c>
      <c r="AY223" s="16">
        <v>0</v>
      </c>
      <c r="AZ223" s="16">
        <v>0</v>
      </c>
      <c r="BA223" s="16">
        <f t="shared" ref="BA223:BA241" si="361">SUM(BB223+BF223+BI223+BK223+BM223)</f>
        <v>0</v>
      </c>
      <c r="BB223" s="16">
        <f t="shared" ref="BB223:BB241" si="362">SUM(BC223:BE223)</f>
        <v>0</v>
      </c>
      <c r="BC223" s="16">
        <v>0</v>
      </c>
      <c r="BD223" s="16">
        <v>0</v>
      </c>
      <c r="BE223" s="16">
        <v>0</v>
      </c>
      <c r="BF223" s="16">
        <f t="shared" si="343"/>
        <v>0</v>
      </c>
      <c r="BG223" s="16">
        <v>0</v>
      </c>
      <c r="BH223" s="16">
        <v>0</v>
      </c>
      <c r="BI223" s="16">
        <v>0</v>
      </c>
      <c r="BJ223" s="16">
        <v>0</v>
      </c>
      <c r="BK223" s="16">
        <f t="shared" si="344"/>
        <v>0</v>
      </c>
      <c r="BL223" s="16">
        <v>0</v>
      </c>
      <c r="BM223" s="16">
        <f t="shared" si="345"/>
        <v>0</v>
      </c>
      <c r="BN223" s="16">
        <v>0</v>
      </c>
      <c r="BO223" s="16">
        <v>0</v>
      </c>
      <c r="BP223" s="16">
        <v>0</v>
      </c>
      <c r="BQ223" s="16">
        <v>0</v>
      </c>
      <c r="BR223" s="16">
        <v>0</v>
      </c>
      <c r="BS223" s="16">
        <v>0</v>
      </c>
      <c r="BT223" s="16">
        <v>0</v>
      </c>
      <c r="BU223" s="16">
        <v>0</v>
      </c>
      <c r="BV223" s="16">
        <v>0</v>
      </c>
      <c r="BW223" s="16">
        <v>0</v>
      </c>
      <c r="BX223" s="16">
        <v>0</v>
      </c>
      <c r="BY223" s="16">
        <f t="shared" ref="BY223:BY241" si="363">SUM(BZ223+CS223)</f>
        <v>0</v>
      </c>
      <c r="BZ223" s="16">
        <f t="shared" ref="BZ223:BZ241" si="364">SUM(CA223+CD223+CK223)</f>
        <v>0</v>
      </c>
      <c r="CA223" s="16">
        <f t="shared" si="346"/>
        <v>0</v>
      </c>
      <c r="CB223" s="16">
        <v>0</v>
      </c>
      <c r="CC223" s="16">
        <v>0</v>
      </c>
      <c r="CD223" s="16">
        <f t="shared" si="347"/>
        <v>0</v>
      </c>
      <c r="CE223" s="16">
        <v>0</v>
      </c>
      <c r="CF223" s="16">
        <v>0</v>
      </c>
      <c r="CG223" s="16">
        <v>0</v>
      </c>
      <c r="CH223" s="16">
        <v>0</v>
      </c>
      <c r="CI223" s="16">
        <v>0</v>
      </c>
      <c r="CJ223" s="16">
        <v>0</v>
      </c>
      <c r="CK223" s="16">
        <f t="shared" si="348"/>
        <v>0</v>
      </c>
      <c r="CL223" s="16">
        <v>0</v>
      </c>
      <c r="CM223" s="16">
        <v>0</v>
      </c>
      <c r="CN223" s="16">
        <v>0</v>
      </c>
      <c r="CO223" s="16">
        <v>0</v>
      </c>
      <c r="CP223" s="16">
        <v>0</v>
      </c>
      <c r="CQ223" s="16">
        <v>0</v>
      </c>
      <c r="CR223" s="16">
        <v>0</v>
      </c>
      <c r="CS223" s="16">
        <v>0</v>
      </c>
      <c r="CT223" s="16">
        <f t="shared" si="349"/>
        <v>0</v>
      </c>
      <c r="CU223" s="16">
        <f t="shared" si="350"/>
        <v>0</v>
      </c>
      <c r="CV223" s="16">
        <v>0</v>
      </c>
      <c r="CW223" s="17">
        <v>0</v>
      </c>
      <c r="CX223" s="40"/>
      <c r="CY223" s="40"/>
    </row>
    <row r="224" spans="1:103" ht="15.75" x14ac:dyDescent="0.25">
      <c r="A224" s="13" t="s">
        <v>1</v>
      </c>
      <c r="B224" s="14" t="s">
        <v>1</v>
      </c>
      <c r="C224" s="14" t="s">
        <v>17</v>
      </c>
      <c r="D224" s="30" t="s">
        <v>256</v>
      </c>
      <c r="E224" s="15">
        <f t="shared" si="356"/>
        <v>400000</v>
      </c>
      <c r="F224" s="16">
        <f t="shared" si="357"/>
        <v>0</v>
      </c>
      <c r="G224" s="16">
        <f t="shared" si="358"/>
        <v>0</v>
      </c>
      <c r="H224" s="16">
        <v>0</v>
      </c>
      <c r="I224" s="16">
        <v>0</v>
      </c>
      <c r="J224" s="16">
        <f t="shared" si="341"/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f t="shared" si="342"/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f t="shared" si="359"/>
        <v>0</v>
      </c>
      <c r="W224" s="16">
        <v>0</v>
      </c>
      <c r="X224" s="16">
        <v>0</v>
      </c>
      <c r="Y224" s="16">
        <v>0</v>
      </c>
      <c r="Z224" s="16">
        <v>0</v>
      </c>
      <c r="AA224" s="16">
        <v>0</v>
      </c>
      <c r="AB224" s="16">
        <v>0</v>
      </c>
      <c r="AC224" s="16">
        <v>0</v>
      </c>
      <c r="AD224" s="16">
        <v>0</v>
      </c>
      <c r="AE224" s="16">
        <f t="shared" si="360"/>
        <v>0</v>
      </c>
      <c r="AF224" s="16">
        <v>0</v>
      </c>
      <c r="AG224" s="16">
        <v>0</v>
      </c>
      <c r="AH224" s="16">
        <v>0</v>
      </c>
      <c r="AI224" s="16">
        <v>0</v>
      </c>
      <c r="AJ224" s="16">
        <v>0</v>
      </c>
      <c r="AK224" s="16">
        <v>0</v>
      </c>
      <c r="AL224" s="16">
        <v>0</v>
      </c>
      <c r="AM224" s="16">
        <v>0</v>
      </c>
      <c r="AN224" s="16">
        <v>0</v>
      </c>
      <c r="AO224" s="16">
        <v>0</v>
      </c>
      <c r="AP224" s="16">
        <v>0</v>
      </c>
      <c r="AQ224" s="16">
        <v>0</v>
      </c>
      <c r="AR224" s="16">
        <v>0</v>
      </c>
      <c r="AS224" s="16">
        <v>0</v>
      </c>
      <c r="AT224" s="16">
        <v>0</v>
      </c>
      <c r="AU224" s="16">
        <v>0</v>
      </c>
      <c r="AV224" s="16">
        <v>0</v>
      </c>
      <c r="AW224" s="16">
        <v>0</v>
      </c>
      <c r="AX224" s="16">
        <v>0</v>
      </c>
      <c r="AY224" s="16">
        <v>0</v>
      </c>
      <c r="AZ224" s="16">
        <v>0</v>
      </c>
      <c r="BA224" s="16">
        <f t="shared" si="361"/>
        <v>0</v>
      </c>
      <c r="BB224" s="16">
        <f t="shared" si="362"/>
        <v>0</v>
      </c>
      <c r="BC224" s="16">
        <v>0</v>
      </c>
      <c r="BD224" s="16">
        <v>0</v>
      </c>
      <c r="BE224" s="16">
        <v>0</v>
      </c>
      <c r="BF224" s="16">
        <f t="shared" si="343"/>
        <v>0</v>
      </c>
      <c r="BG224" s="16">
        <v>0</v>
      </c>
      <c r="BH224" s="16">
        <v>0</v>
      </c>
      <c r="BI224" s="16">
        <v>0</v>
      </c>
      <c r="BJ224" s="16">
        <v>0</v>
      </c>
      <c r="BK224" s="16">
        <f t="shared" si="344"/>
        <v>0</v>
      </c>
      <c r="BL224" s="16">
        <v>0</v>
      </c>
      <c r="BM224" s="16">
        <f t="shared" si="345"/>
        <v>0</v>
      </c>
      <c r="BN224" s="16">
        <v>0</v>
      </c>
      <c r="BO224" s="16">
        <v>0</v>
      </c>
      <c r="BP224" s="16">
        <v>0</v>
      </c>
      <c r="BQ224" s="16">
        <v>0</v>
      </c>
      <c r="BR224" s="16">
        <v>0</v>
      </c>
      <c r="BS224" s="16">
        <v>0</v>
      </c>
      <c r="BT224" s="16">
        <v>0</v>
      </c>
      <c r="BU224" s="16">
        <v>0</v>
      </c>
      <c r="BV224" s="16">
        <v>0</v>
      </c>
      <c r="BW224" s="16">
        <v>0</v>
      </c>
      <c r="BX224" s="16">
        <v>0</v>
      </c>
      <c r="BY224" s="16">
        <f t="shared" si="363"/>
        <v>400000</v>
      </c>
      <c r="BZ224" s="16">
        <f t="shared" si="364"/>
        <v>400000</v>
      </c>
      <c r="CA224" s="16">
        <f t="shared" si="346"/>
        <v>400000</v>
      </c>
      <c r="CB224" s="16">
        <v>0</v>
      </c>
      <c r="CC224" s="16">
        <v>400000</v>
      </c>
      <c r="CD224" s="16">
        <f t="shared" si="347"/>
        <v>0</v>
      </c>
      <c r="CE224" s="16">
        <v>0</v>
      </c>
      <c r="CF224" s="16">
        <v>0</v>
      </c>
      <c r="CG224" s="16">
        <v>0</v>
      </c>
      <c r="CH224" s="16">
        <v>0</v>
      </c>
      <c r="CI224" s="16">
        <v>0</v>
      </c>
      <c r="CJ224" s="16">
        <v>0</v>
      </c>
      <c r="CK224" s="16">
        <f t="shared" si="348"/>
        <v>0</v>
      </c>
      <c r="CL224" s="16">
        <v>0</v>
      </c>
      <c r="CM224" s="16">
        <v>0</v>
      </c>
      <c r="CN224" s="16">
        <v>0</v>
      </c>
      <c r="CO224" s="16">
        <v>0</v>
      </c>
      <c r="CP224" s="16">
        <v>0</v>
      </c>
      <c r="CQ224" s="16">
        <v>0</v>
      </c>
      <c r="CR224" s="16">
        <v>0</v>
      </c>
      <c r="CS224" s="16">
        <v>0</v>
      </c>
      <c r="CT224" s="16">
        <f t="shared" si="349"/>
        <v>0</v>
      </c>
      <c r="CU224" s="16">
        <f t="shared" si="350"/>
        <v>0</v>
      </c>
      <c r="CV224" s="16">
        <v>0</v>
      </c>
      <c r="CW224" s="17">
        <v>0</v>
      </c>
      <c r="CX224" s="40"/>
      <c r="CY224" s="40"/>
    </row>
    <row r="225" spans="1:103" s="49" customFormat="1" ht="15.75" x14ac:dyDescent="0.25">
      <c r="A225" s="42"/>
      <c r="B225" s="43"/>
      <c r="C225" s="44" t="s">
        <v>17</v>
      </c>
      <c r="D225" s="45" t="s">
        <v>549</v>
      </c>
      <c r="E225" s="46">
        <f t="shared" si="356"/>
        <v>0</v>
      </c>
      <c r="F225" s="41">
        <f t="shared" si="357"/>
        <v>0</v>
      </c>
      <c r="G225" s="41">
        <f t="shared" si="358"/>
        <v>0</v>
      </c>
      <c r="H225" s="41"/>
      <c r="I225" s="41"/>
      <c r="J225" s="41">
        <f t="shared" si="341"/>
        <v>0</v>
      </c>
      <c r="K225" s="41">
        <v>0</v>
      </c>
      <c r="L225" s="41"/>
      <c r="M225" s="41">
        <v>0</v>
      </c>
      <c r="N225" s="41">
        <v>0</v>
      </c>
      <c r="O225" s="41"/>
      <c r="P225" s="41"/>
      <c r="Q225" s="41">
        <f t="shared" si="342"/>
        <v>0</v>
      </c>
      <c r="R225" s="41"/>
      <c r="S225" s="41"/>
      <c r="T225" s="41">
        <v>0</v>
      </c>
      <c r="U225" s="41"/>
      <c r="V225" s="41">
        <f t="shared" si="359"/>
        <v>0</v>
      </c>
      <c r="W225" s="41"/>
      <c r="X225" s="41"/>
      <c r="Y225" s="41"/>
      <c r="Z225" s="41"/>
      <c r="AA225" s="41"/>
      <c r="AB225" s="41">
        <v>0</v>
      </c>
      <c r="AC225" s="41">
        <v>0</v>
      </c>
      <c r="AD225" s="41"/>
      <c r="AE225" s="41">
        <f>SUM(AF225:AZ225)</f>
        <v>0</v>
      </c>
      <c r="AF225" s="41">
        <v>0</v>
      </c>
      <c r="AG225" s="41"/>
      <c r="AH225" s="41"/>
      <c r="AI225" s="41">
        <v>0</v>
      </c>
      <c r="AJ225" s="41"/>
      <c r="AK225" s="41"/>
      <c r="AL225" s="41"/>
      <c r="AM225" s="41"/>
      <c r="AN225" s="41"/>
      <c r="AO225" s="41"/>
      <c r="AP225" s="41"/>
      <c r="AQ225" s="41">
        <v>0</v>
      </c>
      <c r="AR225" s="41">
        <v>0</v>
      </c>
      <c r="AS225" s="41"/>
      <c r="AT225" s="41">
        <v>0</v>
      </c>
      <c r="AU225" s="41">
        <v>0</v>
      </c>
      <c r="AV225" s="41">
        <v>0</v>
      </c>
      <c r="AW225" s="41">
        <v>0</v>
      </c>
      <c r="AX225" s="41">
        <v>0</v>
      </c>
      <c r="AY225" s="41"/>
      <c r="AZ225" s="41"/>
      <c r="BA225" s="41">
        <f t="shared" si="361"/>
        <v>0</v>
      </c>
      <c r="BB225" s="41">
        <f t="shared" si="362"/>
        <v>0</v>
      </c>
      <c r="BC225" s="41">
        <v>0</v>
      </c>
      <c r="BD225" s="41">
        <v>0</v>
      </c>
      <c r="BE225" s="41">
        <v>0</v>
      </c>
      <c r="BF225" s="41">
        <f t="shared" si="343"/>
        <v>0</v>
      </c>
      <c r="BG225" s="41">
        <v>0</v>
      </c>
      <c r="BH225" s="41">
        <v>0</v>
      </c>
      <c r="BI225" s="41">
        <v>0</v>
      </c>
      <c r="BJ225" s="41">
        <v>0</v>
      </c>
      <c r="BK225" s="41">
        <f t="shared" si="344"/>
        <v>0</v>
      </c>
      <c r="BL225" s="41">
        <v>0</v>
      </c>
      <c r="BM225" s="41">
        <f t="shared" si="345"/>
        <v>0</v>
      </c>
      <c r="BN225" s="41">
        <v>0</v>
      </c>
      <c r="BO225" s="41">
        <v>0</v>
      </c>
      <c r="BP225" s="41">
        <v>0</v>
      </c>
      <c r="BQ225" s="41">
        <v>0</v>
      </c>
      <c r="BR225" s="41">
        <v>0</v>
      </c>
      <c r="BS225" s="41">
        <v>0</v>
      </c>
      <c r="BT225" s="41">
        <v>0</v>
      </c>
      <c r="BU225" s="41">
        <v>0</v>
      </c>
      <c r="BV225" s="41">
        <v>0</v>
      </c>
      <c r="BW225" s="41"/>
      <c r="BX225" s="41">
        <v>0</v>
      </c>
      <c r="BY225" s="41">
        <f t="shared" si="363"/>
        <v>0</v>
      </c>
      <c r="BZ225" s="41">
        <f t="shared" si="364"/>
        <v>0</v>
      </c>
      <c r="CA225" s="41">
        <f t="shared" si="346"/>
        <v>0</v>
      </c>
      <c r="CB225" s="41">
        <v>0</v>
      </c>
      <c r="CC225" s="41"/>
      <c r="CD225" s="41">
        <f t="shared" si="347"/>
        <v>0</v>
      </c>
      <c r="CE225" s="41">
        <v>0</v>
      </c>
      <c r="CF225" s="41">
        <v>0</v>
      </c>
      <c r="CG225" s="41">
        <v>0</v>
      </c>
      <c r="CH225" s="41">
        <v>0</v>
      </c>
      <c r="CI225" s="41">
        <v>0</v>
      </c>
      <c r="CJ225" s="41">
        <v>0</v>
      </c>
      <c r="CK225" s="41">
        <f t="shared" si="348"/>
        <v>0</v>
      </c>
      <c r="CL225" s="41">
        <v>0</v>
      </c>
      <c r="CM225" s="41">
        <v>0</v>
      </c>
      <c r="CN225" s="41">
        <v>0</v>
      </c>
      <c r="CO225" s="41"/>
      <c r="CP225" s="41">
        <v>0</v>
      </c>
      <c r="CQ225" s="41">
        <f>SUM(CR225)</f>
        <v>0</v>
      </c>
      <c r="CR225" s="41"/>
      <c r="CS225" s="41">
        <v>0</v>
      </c>
      <c r="CT225" s="41">
        <f t="shared" ref="CT225" si="365">SUM(CU225)</f>
        <v>0</v>
      </c>
      <c r="CU225" s="41">
        <f t="shared" si="350"/>
        <v>0</v>
      </c>
      <c r="CV225" s="41">
        <v>0</v>
      </c>
      <c r="CW225" s="47">
        <v>0</v>
      </c>
      <c r="CX225" s="48"/>
      <c r="CY225" s="48"/>
    </row>
    <row r="226" spans="1:103" s="49" customFormat="1" ht="15.75" x14ac:dyDescent="0.25">
      <c r="A226" s="42" t="s">
        <v>1</v>
      </c>
      <c r="B226" s="43" t="s">
        <v>1</v>
      </c>
      <c r="C226" s="43" t="s">
        <v>17</v>
      </c>
      <c r="D226" s="50" t="s">
        <v>258</v>
      </c>
      <c r="E226" s="46">
        <f t="shared" si="356"/>
        <v>0</v>
      </c>
      <c r="F226" s="41">
        <f t="shared" si="357"/>
        <v>0</v>
      </c>
      <c r="G226" s="41">
        <f t="shared" si="358"/>
        <v>0</v>
      </c>
      <c r="H226" s="41">
        <v>0</v>
      </c>
      <c r="I226" s="41">
        <v>0</v>
      </c>
      <c r="J226" s="41">
        <f>SUM(K226:P226)</f>
        <v>0</v>
      </c>
      <c r="K226" s="41">
        <v>0</v>
      </c>
      <c r="L226" s="41">
        <v>0</v>
      </c>
      <c r="M226" s="41">
        <v>0</v>
      </c>
      <c r="N226" s="41">
        <v>0</v>
      </c>
      <c r="O226" s="41">
        <v>0</v>
      </c>
      <c r="P226" s="41">
        <v>0</v>
      </c>
      <c r="Q226" s="41">
        <f>SUM(R226:S226)</f>
        <v>0</v>
      </c>
      <c r="R226" s="41">
        <v>0</v>
      </c>
      <c r="S226" s="41">
        <v>0</v>
      </c>
      <c r="T226" s="41">
        <v>0</v>
      </c>
      <c r="U226" s="41">
        <v>0</v>
      </c>
      <c r="V226" s="41">
        <f t="shared" si="359"/>
        <v>0</v>
      </c>
      <c r="W226" s="41">
        <v>0</v>
      </c>
      <c r="X226" s="41">
        <v>0</v>
      </c>
      <c r="Y226" s="41">
        <v>0</v>
      </c>
      <c r="Z226" s="41">
        <v>0</v>
      </c>
      <c r="AA226" s="41">
        <v>0</v>
      </c>
      <c r="AB226" s="41">
        <v>0</v>
      </c>
      <c r="AC226" s="41">
        <v>0</v>
      </c>
      <c r="AD226" s="41">
        <v>0</v>
      </c>
      <c r="AE226" s="41">
        <f t="shared" si="360"/>
        <v>0</v>
      </c>
      <c r="AF226" s="41">
        <v>0</v>
      </c>
      <c r="AG226" s="41">
        <v>0</v>
      </c>
      <c r="AH226" s="41">
        <v>0</v>
      </c>
      <c r="AI226" s="41">
        <v>0</v>
      </c>
      <c r="AJ226" s="41">
        <v>0</v>
      </c>
      <c r="AK226" s="41">
        <v>0</v>
      </c>
      <c r="AL226" s="41">
        <v>0</v>
      </c>
      <c r="AM226" s="41">
        <v>0</v>
      </c>
      <c r="AN226" s="41">
        <v>0</v>
      </c>
      <c r="AO226" s="41">
        <v>0</v>
      </c>
      <c r="AP226" s="41">
        <v>0</v>
      </c>
      <c r="AQ226" s="41">
        <v>0</v>
      </c>
      <c r="AR226" s="41">
        <v>0</v>
      </c>
      <c r="AS226" s="41">
        <v>0</v>
      </c>
      <c r="AT226" s="41">
        <v>0</v>
      </c>
      <c r="AU226" s="41">
        <v>0</v>
      </c>
      <c r="AV226" s="41">
        <v>0</v>
      </c>
      <c r="AW226" s="41">
        <v>0</v>
      </c>
      <c r="AX226" s="41">
        <v>0</v>
      </c>
      <c r="AY226" s="41">
        <v>0</v>
      </c>
      <c r="AZ226" s="41"/>
      <c r="BA226" s="41">
        <f t="shared" si="361"/>
        <v>0</v>
      </c>
      <c r="BB226" s="41">
        <f t="shared" si="362"/>
        <v>0</v>
      </c>
      <c r="BC226" s="41">
        <v>0</v>
      </c>
      <c r="BD226" s="41">
        <v>0</v>
      </c>
      <c r="BE226" s="41">
        <v>0</v>
      </c>
      <c r="BF226" s="41">
        <f>SUM(BG226:BH226)</f>
        <v>0</v>
      </c>
      <c r="BG226" s="41">
        <v>0</v>
      </c>
      <c r="BH226" s="41">
        <v>0</v>
      </c>
      <c r="BI226" s="41">
        <v>0</v>
      </c>
      <c r="BJ226" s="41">
        <v>0</v>
      </c>
      <c r="BK226" s="41">
        <f>SUM(BL226)</f>
        <v>0</v>
      </c>
      <c r="BL226" s="41">
        <v>0</v>
      </c>
      <c r="BM226" s="41">
        <f>SUM(BN226:BX226)</f>
        <v>0</v>
      </c>
      <c r="BN226" s="41">
        <v>0</v>
      </c>
      <c r="BO226" s="41">
        <v>0</v>
      </c>
      <c r="BP226" s="41">
        <v>0</v>
      </c>
      <c r="BQ226" s="41">
        <v>0</v>
      </c>
      <c r="BR226" s="41">
        <v>0</v>
      </c>
      <c r="BS226" s="41">
        <v>0</v>
      </c>
      <c r="BT226" s="41">
        <v>0</v>
      </c>
      <c r="BU226" s="41">
        <v>0</v>
      </c>
      <c r="BV226" s="41">
        <v>0</v>
      </c>
      <c r="BW226" s="41">
        <v>0</v>
      </c>
      <c r="BX226" s="41">
        <v>0</v>
      </c>
      <c r="BY226" s="41">
        <f t="shared" si="363"/>
        <v>0</v>
      </c>
      <c r="BZ226" s="41">
        <f t="shared" si="364"/>
        <v>0</v>
      </c>
      <c r="CA226" s="41">
        <f>SUM(CB226:CC226)</f>
        <v>0</v>
      </c>
      <c r="CB226" s="41">
        <v>0</v>
      </c>
      <c r="CC226" s="41">
        <v>0</v>
      </c>
      <c r="CD226" s="41">
        <f>SUM(CE226:CI226)</f>
        <v>0</v>
      </c>
      <c r="CE226" s="41">
        <v>0</v>
      </c>
      <c r="CF226" s="41">
        <v>0</v>
      </c>
      <c r="CG226" s="41">
        <v>0</v>
      </c>
      <c r="CH226" s="41">
        <v>0</v>
      </c>
      <c r="CI226" s="41">
        <v>0</v>
      </c>
      <c r="CJ226" s="41">
        <v>0</v>
      </c>
      <c r="CK226" s="41">
        <f>SUM(CL226:CP226)</f>
        <v>0</v>
      </c>
      <c r="CL226" s="41">
        <v>0</v>
      </c>
      <c r="CM226" s="41">
        <v>0</v>
      </c>
      <c r="CN226" s="41">
        <v>0</v>
      </c>
      <c r="CO226" s="41">
        <v>0</v>
      </c>
      <c r="CP226" s="41">
        <v>0</v>
      </c>
      <c r="CQ226" s="41">
        <v>0</v>
      </c>
      <c r="CR226" s="41">
        <v>0</v>
      </c>
      <c r="CS226" s="41">
        <v>0</v>
      </c>
      <c r="CT226" s="41">
        <f>SUM(CU226)</f>
        <v>0</v>
      </c>
      <c r="CU226" s="41">
        <f>SUM(CV226:CW226)</f>
        <v>0</v>
      </c>
      <c r="CV226" s="41">
        <v>0</v>
      </c>
      <c r="CW226" s="47">
        <v>0</v>
      </c>
      <c r="CX226" s="48"/>
      <c r="CY226" s="48"/>
    </row>
    <row r="227" spans="1:103" s="49" customFormat="1" ht="15.75" x14ac:dyDescent="0.25">
      <c r="A227" s="42" t="s">
        <v>1</v>
      </c>
      <c r="B227" s="43" t="s">
        <v>1</v>
      </c>
      <c r="C227" s="43" t="s">
        <v>17</v>
      </c>
      <c r="D227" s="50" t="s">
        <v>257</v>
      </c>
      <c r="E227" s="46">
        <f t="shared" si="356"/>
        <v>2798223</v>
      </c>
      <c r="F227" s="41">
        <f t="shared" si="357"/>
        <v>2798223</v>
      </c>
      <c r="G227" s="41">
        <f t="shared" si="358"/>
        <v>2798223</v>
      </c>
      <c r="H227" s="41">
        <v>0</v>
      </c>
      <c r="I227" s="41">
        <v>0</v>
      </c>
      <c r="J227" s="41">
        <f t="shared" si="341"/>
        <v>0</v>
      </c>
      <c r="K227" s="41">
        <v>0</v>
      </c>
      <c r="L227" s="41">
        <v>0</v>
      </c>
      <c r="M227" s="41">
        <v>0</v>
      </c>
      <c r="N227" s="41">
        <v>0</v>
      </c>
      <c r="O227" s="41">
        <v>0</v>
      </c>
      <c r="P227" s="41">
        <v>0</v>
      </c>
      <c r="Q227" s="41">
        <f t="shared" si="342"/>
        <v>0</v>
      </c>
      <c r="R227" s="41">
        <v>0</v>
      </c>
      <c r="S227" s="41">
        <v>0</v>
      </c>
      <c r="T227" s="41">
        <v>0</v>
      </c>
      <c r="U227" s="41">
        <v>0</v>
      </c>
      <c r="V227" s="41">
        <f t="shared" si="359"/>
        <v>0</v>
      </c>
      <c r="W227" s="41">
        <v>0</v>
      </c>
      <c r="X227" s="41">
        <v>0</v>
      </c>
      <c r="Y227" s="41">
        <v>0</v>
      </c>
      <c r="Z227" s="41">
        <v>0</v>
      </c>
      <c r="AA227" s="41">
        <v>0</v>
      </c>
      <c r="AB227" s="41">
        <v>0</v>
      </c>
      <c r="AC227" s="41">
        <v>0</v>
      </c>
      <c r="AD227" s="41">
        <v>0</v>
      </c>
      <c r="AE227" s="41">
        <f t="shared" si="360"/>
        <v>2798223</v>
      </c>
      <c r="AF227" s="41">
        <v>0</v>
      </c>
      <c r="AG227" s="41">
        <v>0</v>
      </c>
      <c r="AH227" s="41">
        <v>0</v>
      </c>
      <c r="AI227" s="41">
        <v>0</v>
      </c>
      <c r="AJ227" s="41">
        <v>0</v>
      </c>
      <c r="AK227" s="41">
        <v>0</v>
      </c>
      <c r="AL227" s="41">
        <v>0</v>
      </c>
      <c r="AM227" s="41">
        <v>0</v>
      </c>
      <c r="AN227" s="41">
        <v>0</v>
      </c>
      <c r="AO227" s="41">
        <v>0</v>
      </c>
      <c r="AP227" s="41">
        <v>0</v>
      </c>
      <c r="AQ227" s="41">
        <v>0</v>
      </c>
      <c r="AR227" s="41">
        <v>0</v>
      </c>
      <c r="AS227" s="41">
        <v>0</v>
      </c>
      <c r="AT227" s="41">
        <v>0</v>
      </c>
      <c r="AU227" s="41">
        <v>0</v>
      </c>
      <c r="AV227" s="41">
        <v>0</v>
      </c>
      <c r="AW227" s="41">
        <v>0</v>
      </c>
      <c r="AX227" s="41">
        <v>0</v>
      </c>
      <c r="AY227" s="41">
        <v>0</v>
      </c>
      <c r="AZ227" s="41">
        <v>2798223</v>
      </c>
      <c r="BA227" s="41">
        <f t="shared" si="361"/>
        <v>0</v>
      </c>
      <c r="BB227" s="41">
        <f t="shared" si="362"/>
        <v>0</v>
      </c>
      <c r="BC227" s="41">
        <v>0</v>
      </c>
      <c r="BD227" s="41">
        <v>0</v>
      </c>
      <c r="BE227" s="41">
        <v>0</v>
      </c>
      <c r="BF227" s="41">
        <f t="shared" si="343"/>
        <v>0</v>
      </c>
      <c r="BG227" s="41">
        <v>0</v>
      </c>
      <c r="BH227" s="41">
        <v>0</v>
      </c>
      <c r="BI227" s="41">
        <v>0</v>
      </c>
      <c r="BJ227" s="41">
        <v>0</v>
      </c>
      <c r="BK227" s="41">
        <f t="shared" si="344"/>
        <v>0</v>
      </c>
      <c r="BL227" s="41">
        <v>0</v>
      </c>
      <c r="BM227" s="41">
        <f t="shared" si="345"/>
        <v>0</v>
      </c>
      <c r="BN227" s="41">
        <v>0</v>
      </c>
      <c r="BO227" s="41">
        <v>0</v>
      </c>
      <c r="BP227" s="41">
        <v>0</v>
      </c>
      <c r="BQ227" s="41">
        <v>0</v>
      </c>
      <c r="BR227" s="41">
        <v>0</v>
      </c>
      <c r="BS227" s="41">
        <v>0</v>
      </c>
      <c r="BT227" s="41">
        <v>0</v>
      </c>
      <c r="BU227" s="41">
        <v>0</v>
      </c>
      <c r="BV227" s="41">
        <v>0</v>
      </c>
      <c r="BW227" s="41">
        <v>0</v>
      </c>
      <c r="BX227" s="41">
        <v>0</v>
      </c>
      <c r="BY227" s="41">
        <f t="shared" si="363"/>
        <v>0</v>
      </c>
      <c r="BZ227" s="41">
        <f t="shared" si="364"/>
        <v>0</v>
      </c>
      <c r="CA227" s="41">
        <f t="shared" si="346"/>
        <v>0</v>
      </c>
      <c r="CB227" s="41">
        <v>0</v>
      </c>
      <c r="CC227" s="41">
        <v>0</v>
      </c>
      <c r="CD227" s="41">
        <f t="shared" si="347"/>
        <v>0</v>
      </c>
      <c r="CE227" s="41">
        <v>0</v>
      </c>
      <c r="CF227" s="41">
        <v>0</v>
      </c>
      <c r="CG227" s="41">
        <v>0</v>
      </c>
      <c r="CH227" s="41">
        <v>0</v>
      </c>
      <c r="CI227" s="41">
        <v>0</v>
      </c>
      <c r="CJ227" s="41">
        <v>0</v>
      </c>
      <c r="CK227" s="41">
        <f t="shared" si="348"/>
        <v>0</v>
      </c>
      <c r="CL227" s="41">
        <v>0</v>
      </c>
      <c r="CM227" s="41">
        <v>0</v>
      </c>
      <c r="CN227" s="41">
        <v>0</v>
      </c>
      <c r="CO227" s="41">
        <v>0</v>
      </c>
      <c r="CP227" s="41">
        <v>0</v>
      </c>
      <c r="CQ227" s="41">
        <v>0</v>
      </c>
      <c r="CR227" s="41">
        <v>0</v>
      </c>
      <c r="CS227" s="41">
        <v>0</v>
      </c>
      <c r="CT227" s="41">
        <f t="shared" si="349"/>
        <v>0</v>
      </c>
      <c r="CU227" s="41">
        <f t="shared" si="350"/>
        <v>0</v>
      </c>
      <c r="CV227" s="41">
        <v>0</v>
      </c>
      <c r="CW227" s="47">
        <v>0</v>
      </c>
      <c r="CX227" s="48"/>
      <c r="CY227" s="48"/>
    </row>
    <row r="228" spans="1:103" s="49" customFormat="1" ht="15.75" x14ac:dyDescent="0.25">
      <c r="A228" s="42"/>
      <c r="B228" s="43"/>
      <c r="C228" s="44" t="s">
        <v>17</v>
      </c>
      <c r="D228" s="45" t="s">
        <v>550</v>
      </c>
      <c r="E228" s="46">
        <f t="shared" si="356"/>
        <v>11536817</v>
      </c>
      <c r="F228" s="41">
        <f t="shared" si="357"/>
        <v>11536817</v>
      </c>
      <c r="G228" s="41">
        <f t="shared" si="358"/>
        <v>11536817</v>
      </c>
      <c r="H228" s="41"/>
      <c r="I228" s="41"/>
      <c r="J228" s="41">
        <f t="shared" si="341"/>
        <v>0</v>
      </c>
      <c r="K228" s="41">
        <v>0</v>
      </c>
      <c r="L228" s="41"/>
      <c r="M228" s="41">
        <v>0</v>
      </c>
      <c r="N228" s="41">
        <v>0</v>
      </c>
      <c r="O228" s="41"/>
      <c r="P228" s="41"/>
      <c r="Q228" s="41">
        <f t="shared" si="342"/>
        <v>0</v>
      </c>
      <c r="R228" s="41"/>
      <c r="S228" s="41"/>
      <c r="T228" s="41">
        <v>0</v>
      </c>
      <c r="U228" s="41"/>
      <c r="V228" s="41">
        <f t="shared" si="359"/>
        <v>0</v>
      </c>
      <c r="W228" s="41"/>
      <c r="X228" s="41"/>
      <c r="Y228" s="41"/>
      <c r="Z228" s="41"/>
      <c r="AA228" s="41"/>
      <c r="AB228" s="41">
        <v>0</v>
      </c>
      <c r="AC228" s="41">
        <v>0</v>
      </c>
      <c r="AD228" s="41"/>
      <c r="AE228" s="41">
        <f>SUM(AF228:AZ228)</f>
        <v>11536817</v>
      </c>
      <c r="AF228" s="41">
        <v>0</v>
      </c>
      <c r="AG228" s="41"/>
      <c r="AH228" s="41"/>
      <c r="AI228" s="41">
        <v>0</v>
      </c>
      <c r="AJ228" s="41"/>
      <c r="AK228" s="41"/>
      <c r="AL228" s="41"/>
      <c r="AM228" s="41"/>
      <c r="AN228" s="41"/>
      <c r="AO228" s="41"/>
      <c r="AP228" s="41"/>
      <c r="AQ228" s="41">
        <v>0</v>
      </c>
      <c r="AR228" s="41">
        <v>0</v>
      </c>
      <c r="AS228" s="41"/>
      <c r="AT228" s="41">
        <v>0</v>
      </c>
      <c r="AU228" s="41">
        <v>0</v>
      </c>
      <c r="AV228" s="41">
        <v>0</v>
      </c>
      <c r="AW228" s="41">
        <v>0</v>
      </c>
      <c r="AX228" s="41">
        <v>0</v>
      </c>
      <c r="AY228" s="41"/>
      <c r="AZ228" s="41">
        <f>0+11536817</f>
        <v>11536817</v>
      </c>
      <c r="BA228" s="41">
        <f t="shared" si="361"/>
        <v>0</v>
      </c>
      <c r="BB228" s="41">
        <f t="shared" si="362"/>
        <v>0</v>
      </c>
      <c r="BC228" s="41">
        <v>0</v>
      </c>
      <c r="BD228" s="41">
        <v>0</v>
      </c>
      <c r="BE228" s="41">
        <v>0</v>
      </c>
      <c r="BF228" s="41">
        <f t="shared" si="343"/>
        <v>0</v>
      </c>
      <c r="BG228" s="41">
        <v>0</v>
      </c>
      <c r="BH228" s="41">
        <v>0</v>
      </c>
      <c r="BI228" s="41">
        <v>0</v>
      </c>
      <c r="BJ228" s="41">
        <v>0</v>
      </c>
      <c r="BK228" s="41">
        <f t="shared" si="344"/>
        <v>0</v>
      </c>
      <c r="BL228" s="41">
        <v>0</v>
      </c>
      <c r="BM228" s="41">
        <f t="shared" si="345"/>
        <v>0</v>
      </c>
      <c r="BN228" s="41">
        <v>0</v>
      </c>
      <c r="BO228" s="41">
        <v>0</v>
      </c>
      <c r="BP228" s="41">
        <v>0</v>
      </c>
      <c r="BQ228" s="41">
        <v>0</v>
      </c>
      <c r="BR228" s="41">
        <v>0</v>
      </c>
      <c r="BS228" s="41">
        <v>0</v>
      </c>
      <c r="BT228" s="41">
        <v>0</v>
      </c>
      <c r="BU228" s="41">
        <v>0</v>
      </c>
      <c r="BV228" s="41">
        <v>0</v>
      </c>
      <c r="BW228" s="41"/>
      <c r="BX228" s="41">
        <v>0</v>
      </c>
      <c r="BY228" s="41">
        <f t="shared" si="363"/>
        <v>0</v>
      </c>
      <c r="BZ228" s="41">
        <f t="shared" si="364"/>
        <v>0</v>
      </c>
      <c r="CA228" s="41">
        <f t="shared" si="346"/>
        <v>0</v>
      </c>
      <c r="CB228" s="41">
        <v>0</v>
      </c>
      <c r="CC228" s="41"/>
      <c r="CD228" s="41">
        <f t="shared" si="347"/>
        <v>0</v>
      </c>
      <c r="CE228" s="41">
        <v>0</v>
      </c>
      <c r="CF228" s="41">
        <v>0</v>
      </c>
      <c r="CG228" s="41">
        <v>0</v>
      </c>
      <c r="CH228" s="41">
        <v>0</v>
      </c>
      <c r="CI228" s="41">
        <v>0</v>
      </c>
      <c r="CJ228" s="41">
        <v>0</v>
      </c>
      <c r="CK228" s="41">
        <f t="shared" si="348"/>
        <v>0</v>
      </c>
      <c r="CL228" s="41">
        <v>0</v>
      </c>
      <c r="CM228" s="41">
        <v>0</v>
      </c>
      <c r="CN228" s="41">
        <v>0</v>
      </c>
      <c r="CO228" s="41"/>
      <c r="CP228" s="41">
        <v>0</v>
      </c>
      <c r="CQ228" s="41">
        <f>SUM(CR228)</f>
        <v>0</v>
      </c>
      <c r="CR228" s="41"/>
      <c r="CS228" s="41">
        <v>0</v>
      </c>
      <c r="CT228" s="41">
        <f t="shared" ref="CT228" si="366">SUM(CU228)</f>
        <v>0</v>
      </c>
      <c r="CU228" s="41">
        <f t="shared" si="350"/>
        <v>0</v>
      </c>
      <c r="CV228" s="41">
        <v>0</v>
      </c>
      <c r="CW228" s="47">
        <v>0</v>
      </c>
      <c r="CX228" s="48"/>
      <c r="CY228" s="48"/>
    </row>
    <row r="229" spans="1:103" ht="31.5" x14ac:dyDescent="0.25">
      <c r="A229" s="13" t="s">
        <v>1</v>
      </c>
      <c r="B229" s="14" t="s">
        <v>1</v>
      </c>
      <c r="C229" s="14" t="s">
        <v>17</v>
      </c>
      <c r="D229" s="30" t="s">
        <v>501</v>
      </c>
      <c r="E229" s="15">
        <f t="shared" si="356"/>
        <v>0</v>
      </c>
      <c r="F229" s="16">
        <f t="shared" si="357"/>
        <v>0</v>
      </c>
      <c r="G229" s="16">
        <f t="shared" si="358"/>
        <v>0</v>
      </c>
      <c r="H229" s="16">
        <v>0</v>
      </c>
      <c r="I229" s="16">
        <v>0</v>
      </c>
      <c r="J229" s="16">
        <f>SUM(K229:P229)</f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f>SUM(R229:S229)</f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f t="shared" si="359"/>
        <v>0</v>
      </c>
      <c r="W229" s="16">
        <v>0</v>
      </c>
      <c r="X229" s="16">
        <v>0</v>
      </c>
      <c r="Y229" s="16">
        <v>0</v>
      </c>
      <c r="Z229" s="16">
        <v>0</v>
      </c>
      <c r="AA229" s="16">
        <v>0</v>
      </c>
      <c r="AB229" s="16">
        <v>0</v>
      </c>
      <c r="AC229" s="16">
        <v>0</v>
      </c>
      <c r="AD229" s="16">
        <v>0</v>
      </c>
      <c r="AE229" s="16">
        <f t="shared" si="360"/>
        <v>0</v>
      </c>
      <c r="AF229" s="16">
        <v>0</v>
      </c>
      <c r="AG229" s="16">
        <v>0</v>
      </c>
      <c r="AH229" s="16">
        <v>0</v>
      </c>
      <c r="AI229" s="16">
        <v>0</v>
      </c>
      <c r="AJ229" s="16">
        <v>0</v>
      </c>
      <c r="AK229" s="16">
        <v>0</v>
      </c>
      <c r="AL229" s="16">
        <v>0</v>
      </c>
      <c r="AM229" s="16">
        <v>0</v>
      </c>
      <c r="AN229" s="16">
        <v>0</v>
      </c>
      <c r="AO229" s="16">
        <v>0</v>
      </c>
      <c r="AP229" s="16">
        <v>0</v>
      </c>
      <c r="AQ229" s="16">
        <v>0</v>
      </c>
      <c r="AR229" s="16">
        <v>0</v>
      </c>
      <c r="AS229" s="16">
        <v>0</v>
      </c>
      <c r="AT229" s="16">
        <v>0</v>
      </c>
      <c r="AU229" s="16">
        <v>0</v>
      </c>
      <c r="AV229" s="16">
        <v>0</v>
      </c>
      <c r="AW229" s="16">
        <v>0</v>
      </c>
      <c r="AX229" s="16">
        <v>0</v>
      </c>
      <c r="AY229" s="16">
        <v>0</v>
      </c>
      <c r="AZ229" s="16">
        <f>6495219-6495219</f>
        <v>0</v>
      </c>
      <c r="BA229" s="16">
        <f t="shared" si="361"/>
        <v>0</v>
      </c>
      <c r="BB229" s="16">
        <f t="shared" si="362"/>
        <v>0</v>
      </c>
      <c r="BC229" s="16">
        <v>0</v>
      </c>
      <c r="BD229" s="16">
        <v>0</v>
      </c>
      <c r="BE229" s="16">
        <v>0</v>
      </c>
      <c r="BF229" s="16">
        <f>SUM(BG229:BH229)</f>
        <v>0</v>
      </c>
      <c r="BG229" s="16">
        <v>0</v>
      </c>
      <c r="BH229" s="16">
        <v>0</v>
      </c>
      <c r="BI229" s="16">
        <v>0</v>
      </c>
      <c r="BJ229" s="16">
        <v>0</v>
      </c>
      <c r="BK229" s="16">
        <f>SUM(BL229)</f>
        <v>0</v>
      </c>
      <c r="BL229" s="16">
        <v>0</v>
      </c>
      <c r="BM229" s="16">
        <f>SUM(BN229:BX229)</f>
        <v>0</v>
      </c>
      <c r="BN229" s="16">
        <v>0</v>
      </c>
      <c r="BO229" s="16">
        <v>0</v>
      </c>
      <c r="BP229" s="16">
        <v>0</v>
      </c>
      <c r="BQ229" s="16">
        <v>0</v>
      </c>
      <c r="BR229" s="16">
        <v>0</v>
      </c>
      <c r="BS229" s="16">
        <v>0</v>
      </c>
      <c r="BT229" s="16">
        <v>0</v>
      </c>
      <c r="BU229" s="16">
        <v>0</v>
      </c>
      <c r="BV229" s="16">
        <v>0</v>
      </c>
      <c r="BW229" s="16">
        <v>0</v>
      </c>
      <c r="BX229" s="16">
        <v>0</v>
      </c>
      <c r="BY229" s="16">
        <f t="shared" si="363"/>
        <v>0</v>
      </c>
      <c r="BZ229" s="16">
        <f t="shared" si="364"/>
        <v>0</v>
      </c>
      <c r="CA229" s="16">
        <f>SUM(CB229:CC229)</f>
        <v>0</v>
      </c>
      <c r="CB229" s="16">
        <v>0</v>
      </c>
      <c r="CC229" s="16">
        <v>0</v>
      </c>
      <c r="CD229" s="16">
        <f>SUM(CE229:CI229)</f>
        <v>0</v>
      </c>
      <c r="CE229" s="16">
        <v>0</v>
      </c>
      <c r="CF229" s="16">
        <v>0</v>
      </c>
      <c r="CG229" s="16">
        <v>0</v>
      </c>
      <c r="CH229" s="16">
        <v>0</v>
      </c>
      <c r="CI229" s="16">
        <v>0</v>
      </c>
      <c r="CJ229" s="16">
        <v>0</v>
      </c>
      <c r="CK229" s="16">
        <f>SUM(CL229:CP229)</f>
        <v>0</v>
      </c>
      <c r="CL229" s="16">
        <v>0</v>
      </c>
      <c r="CM229" s="16">
        <v>0</v>
      </c>
      <c r="CN229" s="16">
        <v>0</v>
      </c>
      <c r="CO229" s="16">
        <v>0</v>
      </c>
      <c r="CP229" s="16">
        <v>0</v>
      </c>
      <c r="CQ229" s="16">
        <v>0</v>
      </c>
      <c r="CR229" s="16">
        <v>0</v>
      </c>
      <c r="CS229" s="16">
        <v>0</v>
      </c>
      <c r="CT229" s="16">
        <f>SUM(CU229)</f>
        <v>0</v>
      </c>
      <c r="CU229" s="16">
        <f>SUM(CV229:CW229)</f>
        <v>0</v>
      </c>
      <c r="CV229" s="16">
        <v>0</v>
      </c>
      <c r="CW229" s="17">
        <v>0</v>
      </c>
      <c r="CX229" s="40"/>
      <c r="CY229" s="40"/>
    </row>
    <row r="230" spans="1:103" ht="15.75" x14ac:dyDescent="0.25">
      <c r="A230" s="13" t="s">
        <v>1</v>
      </c>
      <c r="B230" s="14" t="s">
        <v>1</v>
      </c>
      <c r="C230" s="14" t="s">
        <v>17</v>
      </c>
      <c r="D230" s="30" t="s">
        <v>533</v>
      </c>
      <c r="E230" s="15">
        <f t="shared" si="356"/>
        <v>1988565</v>
      </c>
      <c r="F230" s="16">
        <f t="shared" si="357"/>
        <v>0</v>
      </c>
      <c r="G230" s="16">
        <f t="shared" si="358"/>
        <v>0</v>
      </c>
      <c r="H230" s="16">
        <v>0</v>
      </c>
      <c r="I230" s="16">
        <v>0</v>
      </c>
      <c r="J230" s="16">
        <f t="shared" si="341"/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f t="shared" si="342"/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f t="shared" si="359"/>
        <v>0</v>
      </c>
      <c r="W230" s="16">
        <v>0</v>
      </c>
      <c r="X230" s="16">
        <v>0</v>
      </c>
      <c r="Y230" s="16">
        <v>0</v>
      </c>
      <c r="Z230" s="16">
        <v>0</v>
      </c>
      <c r="AA230" s="16">
        <v>0</v>
      </c>
      <c r="AB230" s="16">
        <v>0</v>
      </c>
      <c r="AC230" s="16">
        <v>0</v>
      </c>
      <c r="AD230" s="16">
        <v>0</v>
      </c>
      <c r="AE230" s="16">
        <f t="shared" si="360"/>
        <v>0</v>
      </c>
      <c r="AF230" s="16">
        <v>0</v>
      </c>
      <c r="AG230" s="16">
        <v>0</v>
      </c>
      <c r="AH230" s="16">
        <v>0</v>
      </c>
      <c r="AI230" s="16">
        <v>0</v>
      </c>
      <c r="AJ230" s="16">
        <v>0</v>
      </c>
      <c r="AK230" s="16">
        <v>0</v>
      </c>
      <c r="AL230" s="16">
        <v>0</v>
      </c>
      <c r="AM230" s="16">
        <v>0</v>
      </c>
      <c r="AN230" s="16">
        <v>0</v>
      </c>
      <c r="AO230" s="16">
        <v>0</v>
      </c>
      <c r="AP230" s="16">
        <v>0</v>
      </c>
      <c r="AQ230" s="16">
        <v>0</v>
      </c>
      <c r="AR230" s="16">
        <v>0</v>
      </c>
      <c r="AS230" s="16">
        <v>0</v>
      </c>
      <c r="AT230" s="16">
        <v>0</v>
      </c>
      <c r="AU230" s="16">
        <v>0</v>
      </c>
      <c r="AV230" s="16">
        <v>0</v>
      </c>
      <c r="AW230" s="16">
        <v>0</v>
      </c>
      <c r="AX230" s="16">
        <v>0</v>
      </c>
      <c r="AY230" s="16">
        <v>0</v>
      </c>
      <c r="AZ230" s="16">
        <v>0</v>
      </c>
      <c r="BA230" s="16">
        <f t="shared" si="361"/>
        <v>0</v>
      </c>
      <c r="BB230" s="16">
        <f t="shared" si="362"/>
        <v>0</v>
      </c>
      <c r="BC230" s="16">
        <v>0</v>
      </c>
      <c r="BD230" s="16">
        <v>0</v>
      </c>
      <c r="BE230" s="16">
        <v>0</v>
      </c>
      <c r="BF230" s="16">
        <f t="shared" si="343"/>
        <v>0</v>
      </c>
      <c r="BG230" s="16">
        <v>0</v>
      </c>
      <c r="BH230" s="16">
        <v>0</v>
      </c>
      <c r="BI230" s="16">
        <v>0</v>
      </c>
      <c r="BJ230" s="16">
        <v>0</v>
      </c>
      <c r="BK230" s="16">
        <f t="shared" si="344"/>
        <v>0</v>
      </c>
      <c r="BL230" s="16">
        <v>0</v>
      </c>
      <c r="BM230" s="16">
        <f t="shared" si="345"/>
        <v>0</v>
      </c>
      <c r="BN230" s="16">
        <v>0</v>
      </c>
      <c r="BO230" s="16">
        <v>0</v>
      </c>
      <c r="BP230" s="16">
        <v>0</v>
      </c>
      <c r="BQ230" s="16">
        <v>0</v>
      </c>
      <c r="BR230" s="16">
        <v>0</v>
      </c>
      <c r="BS230" s="16">
        <v>0</v>
      </c>
      <c r="BT230" s="16">
        <v>0</v>
      </c>
      <c r="BU230" s="16">
        <v>0</v>
      </c>
      <c r="BV230" s="16">
        <v>0</v>
      </c>
      <c r="BW230" s="16">
        <v>0</v>
      </c>
      <c r="BX230" s="16">
        <v>0</v>
      </c>
      <c r="BY230" s="16">
        <f t="shared" si="363"/>
        <v>1988565</v>
      </c>
      <c r="BZ230" s="16">
        <f t="shared" si="364"/>
        <v>1988565</v>
      </c>
      <c r="CA230" s="16">
        <f t="shared" si="346"/>
        <v>1988565</v>
      </c>
      <c r="CB230" s="16">
        <f>2937707-949142</f>
        <v>1988565</v>
      </c>
      <c r="CC230" s="16">
        <v>0</v>
      </c>
      <c r="CD230" s="16">
        <f t="shared" si="347"/>
        <v>0</v>
      </c>
      <c r="CE230" s="16">
        <v>0</v>
      </c>
      <c r="CF230" s="16">
        <v>0</v>
      </c>
      <c r="CG230" s="16">
        <v>0</v>
      </c>
      <c r="CH230" s="16">
        <v>0</v>
      </c>
      <c r="CI230" s="16">
        <v>0</v>
      </c>
      <c r="CJ230" s="16">
        <v>0</v>
      </c>
      <c r="CK230" s="16">
        <f t="shared" si="348"/>
        <v>0</v>
      </c>
      <c r="CL230" s="16">
        <v>0</v>
      </c>
      <c r="CM230" s="16">
        <v>0</v>
      </c>
      <c r="CN230" s="16">
        <v>0</v>
      </c>
      <c r="CO230" s="16">
        <v>0</v>
      </c>
      <c r="CP230" s="16">
        <v>0</v>
      </c>
      <c r="CQ230" s="16">
        <v>0</v>
      </c>
      <c r="CR230" s="16">
        <v>0</v>
      </c>
      <c r="CS230" s="16">
        <v>0</v>
      </c>
      <c r="CT230" s="16">
        <f t="shared" si="349"/>
        <v>0</v>
      </c>
      <c r="CU230" s="16">
        <f t="shared" si="350"/>
        <v>0</v>
      </c>
      <c r="CV230" s="16">
        <v>0</v>
      </c>
      <c r="CW230" s="17">
        <v>0</v>
      </c>
      <c r="CX230" s="40"/>
      <c r="CY230" s="40"/>
    </row>
    <row r="231" spans="1:103" ht="15.75" x14ac:dyDescent="0.25">
      <c r="A231" s="13" t="s">
        <v>1</v>
      </c>
      <c r="B231" s="14" t="s">
        <v>1</v>
      </c>
      <c r="C231" s="14" t="s">
        <v>23</v>
      </c>
      <c r="D231" s="30" t="s">
        <v>266</v>
      </c>
      <c r="E231" s="15">
        <f t="shared" si="356"/>
        <v>6630</v>
      </c>
      <c r="F231" s="16">
        <f t="shared" si="357"/>
        <v>6630</v>
      </c>
      <c r="G231" s="16">
        <f t="shared" si="358"/>
        <v>6630</v>
      </c>
      <c r="H231" s="16">
        <v>0</v>
      </c>
      <c r="I231" s="16">
        <v>0</v>
      </c>
      <c r="J231" s="16">
        <f t="shared" ref="J231:J241" si="367">SUM(K231:P231)</f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f t="shared" ref="Q231:Q241" si="368">SUM(R231:S231)</f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f t="shared" si="359"/>
        <v>0</v>
      </c>
      <c r="W231" s="16">
        <v>0</v>
      </c>
      <c r="X231" s="16">
        <v>0</v>
      </c>
      <c r="Y231" s="16">
        <v>0</v>
      </c>
      <c r="Z231" s="16">
        <v>0</v>
      </c>
      <c r="AA231" s="16">
        <v>0</v>
      </c>
      <c r="AB231" s="16">
        <v>0</v>
      </c>
      <c r="AC231" s="16">
        <v>0</v>
      </c>
      <c r="AD231" s="16">
        <v>0</v>
      </c>
      <c r="AE231" s="16">
        <f t="shared" si="360"/>
        <v>6630</v>
      </c>
      <c r="AF231" s="16">
        <v>0</v>
      </c>
      <c r="AG231" s="16">
        <v>0</v>
      </c>
      <c r="AH231" s="16">
        <v>0</v>
      </c>
      <c r="AI231" s="16">
        <v>6630</v>
      </c>
      <c r="AJ231" s="16">
        <v>0</v>
      </c>
      <c r="AK231" s="16">
        <v>0</v>
      </c>
      <c r="AL231" s="16">
        <v>0</v>
      </c>
      <c r="AM231" s="16">
        <v>0</v>
      </c>
      <c r="AN231" s="16">
        <v>0</v>
      </c>
      <c r="AO231" s="16">
        <v>0</v>
      </c>
      <c r="AP231" s="16">
        <v>0</v>
      </c>
      <c r="AQ231" s="16">
        <v>0</v>
      </c>
      <c r="AR231" s="16">
        <v>0</v>
      </c>
      <c r="AS231" s="16">
        <v>0</v>
      </c>
      <c r="AT231" s="16">
        <v>0</v>
      </c>
      <c r="AU231" s="16">
        <v>0</v>
      </c>
      <c r="AV231" s="16">
        <v>0</v>
      </c>
      <c r="AW231" s="16">
        <v>0</v>
      </c>
      <c r="AX231" s="16">
        <v>0</v>
      </c>
      <c r="AY231" s="16">
        <v>0</v>
      </c>
      <c r="AZ231" s="16">
        <v>0</v>
      </c>
      <c r="BA231" s="16">
        <f t="shared" si="361"/>
        <v>0</v>
      </c>
      <c r="BB231" s="16">
        <f t="shared" si="362"/>
        <v>0</v>
      </c>
      <c r="BC231" s="16">
        <v>0</v>
      </c>
      <c r="BD231" s="16">
        <v>0</v>
      </c>
      <c r="BE231" s="16">
        <v>0</v>
      </c>
      <c r="BF231" s="16">
        <f t="shared" ref="BF231:BF241" si="369">SUM(BG231:BH231)</f>
        <v>0</v>
      </c>
      <c r="BG231" s="16">
        <v>0</v>
      </c>
      <c r="BH231" s="16">
        <v>0</v>
      </c>
      <c r="BI231" s="16">
        <v>0</v>
      </c>
      <c r="BJ231" s="16">
        <v>0</v>
      </c>
      <c r="BK231" s="16">
        <f t="shared" ref="BK231:BK241" si="370">SUM(BL231)</f>
        <v>0</v>
      </c>
      <c r="BL231" s="16">
        <v>0</v>
      </c>
      <c r="BM231" s="16">
        <f t="shared" ref="BM231:BM241" si="371">SUM(BN231:BX231)</f>
        <v>0</v>
      </c>
      <c r="BN231" s="16">
        <v>0</v>
      </c>
      <c r="BO231" s="16">
        <v>0</v>
      </c>
      <c r="BP231" s="16">
        <v>0</v>
      </c>
      <c r="BQ231" s="16">
        <v>0</v>
      </c>
      <c r="BR231" s="16">
        <v>0</v>
      </c>
      <c r="BS231" s="16">
        <v>0</v>
      </c>
      <c r="BT231" s="16">
        <v>0</v>
      </c>
      <c r="BU231" s="16">
        <v>0</v>
      </c>
      <c r="BV231" s="16">
        <v>0</v>
      </c>
      <c r="BW231" s="16">
        <v>0</v>
      </c>
      <c r="BX231" s="16">
        <v>0</v>
      </c>
      <c r="BY231" s="16">
        <f t="shared" si="363"/>
        <v>0</v>
      </c>
      <c r="BZ231" s="16">
        <f t="shared" si="364"/>
        <v>0</v>
      </c>
      <c r="CA231" s="16">
        <f t="shared" ref="CA231:CA241" si="372">SUM(CB231:CC231)</f>
        <v>0</v>
      </c>
      <c r="CB231" s="16">
        <v>0</v>
      </c>
      <c r="CC231" s="16">
        <v>0</v>
      </c>
      <c r="CD231" s="16">
        <f t="shared" ref="CD231:CD241" si="373">SUM(CE231:CI231)</f>
        <v>0</v>
      </c>
      <c r="CE231" s="16">
        <v>0</v>
      </c>
      <c r="CF231" s="16">
        <v>0</v>
      </c>
      <c r="CG231" s="16">
        <v>0</v>
      </c>
      <c r="CH231" s="16">
        <v>0</v>
      </c>
      <c r="CI231" s="16">
        <v>0</v>
      </c>
      <c r="CJ231" s="16">
        <v>0</v>
      </c>
      <c r="CK231" s="16">
        <f t="shared" ref="CK231:CK241" si="374">SUM(CL231:CP231)</f>
        <v>0</v>
      </c>
      <c r="CL231" s="16">
        <v>0</v>
      </c>
      <c r="CM231" s="16">
        <v>0</v>
      </c>
      <c r="CN231" s="16">
        <v>0</v>
      </c>
      <c r="CO231" s="16">
        <v>0</v>
      </c>
      <c r="CP231" s="16">
        <v>0</v>
      </c>
      <c r="CQ231" s="16">
        <v>0</v>
      </c>
      <c r="CR231" s="16">
        <v>0</v>
      </c>
      <c r="CS231" s="16">
        <v>0</v>
      </c>
      <c r="CT231" s="16">
        <f t="shared" ref="CT231:CT241" si="375">SUM(CU231)</f>
        <v>0</v>
      </c>
      <c r="CU231" s="16">
        <f t="shared" ref="CU231:CU241" si="376">SUM(CV231:CW231)</f>
        <v>0</v>
      </c>
      <c r="CV231" s="16">
        <v>0</v>
      </c>
      <c r="CW231" s="17">
        <v>0</v>
      </c>
      <c r="CX231" s="40"/>
      <c r="CY231" s="40"/>
    </row>
    <row r="232" spans="1:103" ht="31.5" x14ac:dyDescent="0.25">
      <c r="A232" s="13" t="s">
        <v>1</v>
      </c>
      <c r="B232" s="14" t="s">
        <v>1</v>
      </c>
      <c r="C232" s="14" t="s">
        <v>23</v>
      </c>
      <c r="D232" s="30" t="s">
        <v>502</v>
      </c>
      <c r="E232" s="15">
        <f t="shared" si="356"/>
        <v>0</v>
      </c>
      <c r="F232" s="16">
        <f t="shared" si="357"/>
        <v>0</v>
      </c>
      <c r="G232" s="16">
        <f t="shared" si="358"/>
        <v>0</v>
      </c>
      <c r="H232" s="16">
        <v>0</v>
      </c>
      <c r="I232" s="16">
        <v>0</v>
      </c>
      <c r="J232" s="16">
        <f t="shared" si="367"/>
        <v>0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>
        <f>32507-32507</f>
        <v>0</v>
      </c>
      <c r="Q232" s="16">
        <f t="shared" si="368"/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f t="shared" si="359"/>
        <v>0</v>
      </c>
      <c r="W232" s="16">
        <v>0</v>
      </c>
      <c r="X232" s="16">
        <v>0</v>
      </c>
      <c r="Y232" s="16">
        <v>0</v>
      </c>
      <c r="Z232" s="16">
        <v>0</v>
      </c>
      <c r="AA232" s="16">
        <v>0</v>
      </c>
      <c r="AB232" s="16">
        <v>0</v>
      </c>
      <c r="AC232" s="16">
        <v>0</v>
      </c>
      <c r="AD232" s="16">
        <v>0</v>
      </c>
      <c r="AE232" s="16">
        <f t="shared" si="360"/>
        <v>0</v>
      </c>
      <c r="AF232" s="16">
        <v>0</v>
      </c>
      <c r="AG232" s="16">
        <v>0</v>
      </c>
      <c r="AH232" s="16">
        <v>0</v>
      </c>
      <c r="AI232" s="16">
        <v>0</v>
      </c>
      <c r="AJ232" s="16">
        <v>0</v>
      </c>
      <c r="AK232" s="16">
        <v>0</v>
      </c>
      <c r="AL232" s="16">
        <v>0</v>
      </c>
      <c r="AM232" s="16">
        <v>0</v>
      </c>
      <c r="AN232" s="16">
        <v>0</v>
      </c>
      <c r="AO232" s="16">
        <v>0</v>
      </c>
      <c r="AP232" s="16">
        <v>0</v>
      </c>
      <c r="AQ232" s="16">
        <v>0</v>
      </c>
      <c r="AR232" s="16">
        <v>0</v>
      </c>
      <c r="AS232" s="16">
        <v>0</v>
      </c>
      <c r="AT232" s="16">
        <v>0</v>
      </c>
      <c r="AU232" s="16">
        <v>0</v>
      </c>
      <c r="AV232" s="16">
        <v>0</v>
      </c>
      <c r="AW232" s="16">
        <v>0</v>
      </c>
      <c r="AX232" s="16">
        <v>0</v>
      </c>
      <c r="AY232" s="16">
        <v>0</v>
      </c>
      <c r="AZ232" s="16">
        <v>0</v>
      </c>
      <c r="BA232" s="16">
        <f t="shared" si="361"/>
        <v>0</v>
      </c>
      <c r="BB232" s="16">
        <f t="shared" si="362"/>
        <v>0</v>
      </c>
      <c r="BC232" s="16">
        <v>0</v>
      </c>
      <c r="BD232" s="16">
        <v>0</v>
      </c>
      <c r="BE232" s="16">
        <v>0</v>
      </c>
      <c r="BF232" s="16">
        <f t="shared" si="369"/>
        <v>0</v>
      </c>
      <c r="BG232" s="16">
        <v>0</v>
      </c>
      <c r="BH232" s="16">
        <v>0</v>
      </c>
      <c r="BI232" s="16">
        <v>0</v>
      </c>
      <c r="BJ232" s="16">
        <v>0</v>
      </c>
      <c r="BK232" s="16">
        <f t="shared" si="370"/>
        <v>0</v>
      </c>
      <c r="BL232" s="16">
        <v>0</v>
      </c>
      <c r="BM232" s="16">
        <f t="shared" si="371"/>
        <v>0</v>
      </c>
      <c r="BN232" s="16">
        <v>0</v>
      </c>
      <c r="BO232" s="16">
        <v>0</v>
      </c>
      <c r="BP232" s="16">
        <v>0</v>
      </c>
      <c r="BQ232" s="16">
        <v>0</v>
      </c>
      <c r="BR232" s="16">
        <v>0</v>
      </c>
      <c r="BS232" s="16">
        <v>0</v>
      </c>
      <c r="BT232" s="16">
        <v>0</v>
      </c>
      <c r="BU232" s="16">
        <v>0</v>
      </c>
      <c r="BV232" s="16">
        <v>0</v>
      </c>
      <c r="BW232" s="16">
        <v>0</v>
      </c>
      <c r="BX232" s="16">
        <v>0</v>
      </c>
      <c r="BY232" s="16">
        <f t="shared" si="363"/>
        <v>0</v>
      </c>
      <c r="BZ232" s="16">
        <f t="shared" si="364"/>
        <v>0</v>
      </c>
      <c r="CA232" s="16">
        <f t="shared" si="372"/>
        <v>0</v>
      </c>
      <c r="CB232" s="16">
        <v>0</v>
      </c>
      <c r="CC232" s="16">
        <v>0</v>
      </c>
      <c r="CD232" s="16">
        <f t="shared" si="373"/>
        <v>0</v>
      </c>
      <c r="CE232" s="16">
        <v>0</v>
      </c>
      <c r="CF232" s="16">
        <v>0</v>
      </c>
      <c r="CG232" s="16">
        <v>0</v>
      </c>
      <c r="CH232" s="16">
        <v>0</v>
      </c>
      <c r="CI232" s="16">
        <v>0</v>
      </c>
      <c r="CJ232" s="16">
        <v>0</v>
      </c>
      <c r="CK232" s="16">
        <f t="shared" si="374"/>
        <v>0</v>
      </c>
      <c r="CL232" s="16">
        <v>0</v>
      </c>
      <c r="CM232" s="16">
        <v>0</v>
      </c>
      <c r="CN232" s="16">
        <v>0</v>
      </c>
      <c r="CO232" s="16">
        <v>0</v>
      </c>
      <c r="CP232" s="16">
        <v>0</v>
      </c>
      <c r="CQ232" s="16">
        <v>0</v>
      </c>
      <c r="CR232" s="16">
        <v>0</v>
      </c>
      <c r="CS232" s="16">
        <v>0</v>
      </c>
      <c r="CT232" s="16">
        <f t="shared" si="375"/>
        <v>0</v>
      </c>
      <c r="CU232" s="16">
        <f t="shared" si="376"/>
        <v>0</v>
      </c>
      <c r="CV232" s="16">
        <v>0</v>
      </c>
      <c r="CW232" s="17">
        <v>0</v>
      </c>
      <c r="CX232" s="40"/>
      <c r="CY232" s="40"/>
    </row>
    <row r="233" spans="1:103" ht="31.5" x14ac:dyDescent="0.25">
      <c r="A233" s="13" t="s">
        <v>1</v>
      </c>
      <c r="B233" s="14" t="s">
        <v>1</v>
      </c>
      <c r="C233" s="14" t="s">
        <v>23</v>
      </c>
      <c r="D233" s="30" t="s">
        <v>265</v>
      </c>
      <c r="E233" s="15">
        <f t="shared" si="356"/>
        <v>1015600</v>
      </c>
      <c r="F233" s="16">
        <f t="shared" si="357"/>
        <v>1015600</v>
      </c>
      <c r="G233" s="16">
        <f t="shared" si="358"/>
        <v>1015600</v>
      </c>
      <c r="H233" s="16">
        <v>0</v>
      </c>
      <c r="I233" s="16">
        <v>0</v>
      </c>
      <c r="J233" s="16">
        <f t="shared" si="367"/>
        <v>0</v>
      </c>
      <c r="K233" s="16">
        <v>0</v>
      </c>
      <c r="L233" s="16">
        <v>0</v>
      </c>
      <c r="M233" s="16">
        <v>0</v>
      </c>
      <c r="N233" s="16">
        <v>0</v>
      </c>
      <c r="O233" s="16">
        <v>0</v>
      </c>
      <c r="P233" s="16">
        <v>0</v>
      </c>
      <c r="Q233" s="16">
        <f t="shared" si="368"/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f t="shared" si="359"/>
        <v>0</v>
      </c>
      <c r="W233" s="16">
        <v>0</v>
      </c>
      <c r="X233" s="16">
        <v>0</v>
      </c>
      <c r="Y233" s="16">
        <v>0</v>
      </c>
      <c r="Z233" s="16">
        <v>0</v>
      </c>
      <c r="AA233" s="16">
        <v>0</v>
      </c>
      <c r="AB233" s="16">
        <v>0</v>
      </c>
      <c r="AC233" s="16">
        <v>0</v>
      </c>
      <c r="AD233" s="16">
        <v>0</v>
      </c>
      <c r="AE233" s="16">
        <f t="shared" si="360"/>
        <v>1015600</v>
      </c>
      <c r="AF233" s="16">
        <v>0</v>
      </c>
      <c r="AG233" s="16">
        <v>0</v>
      </c>
      <c r="AH233" s="16">
        <v>0</v>
      </c>
      <c r="AI233" s="16">
        <v>0</v>
      </c>
      <c r="AJ233" s="16">
        <v>1015600</v>
      </c>
      <c r="AK233" s="16">
        <v>0</v>
      </c>
      <c r="AL233" s="16">
        <v>0</v>
      </c>
      <c r="AM233" s="16">
        <v>0</v>
      </c>
      <c r="AN233" s="16">
        <v>0</v>
      </c>
      <c r="AO233" s="16">
        <v>0</v>
      </c>
      <c r="AP233" s="16">
        <v>0</v>
      </c>
      <c r="AQ233" s="16">
        <v>0</v>
      </c>
      <c r="AR233" s="16">
        <v>0</v>
      </c>
      <c r="AS233" s="16">
        <v>0</v>
      </c>
      <c r="AT233" s="16">
        <v>0</v>
      </c>
      <c r="AU233" s="16">
        <v>0</v>
      </c>
      <c r="AV233" s="16">
        <v>0</v>
      </c>
      <c r="AW233" s="16">
        <v>0</v>
      </c>
      <c r="AX233" s="16">
        <v>0</v>
      </c>
      <c r="AY233" s="16">
        <v>0</v>
      </c>
      <c r="AZ233" s="16">
        <v>0</v>
      </c>
      <c r="BA233" s="16">
        <f t="shared" si="361"/>
        <v>0</v>
      </c>
      <c r="BB233" s="16">
        <f t="shared" si="362"/>
        <v>0</v>
      </c>
      <c r="BC233" s="16">
        <v>0</v>
      </c>
      <c r="BD233" s="16">
        <v>0</v>
      </c>
      <c r="BE233" s="16">
        <v>0</v>
      </c>
      <c r="BF233" s="16">
        <f t="shared" si="369"/>
        <v>0</v>
      </c>
      <c r="BG233" s="16">
        <v>0</v>
      </c>
      <c r="BH233" s="16">
        <v>0</v>
      </c>
      <c r="BI233" s="16">
        <v>0</v>
      </c>
      <c r="BJ233" s="16">
        <v>0</v>
      </c>
      <c r="BK233" s="16">
        <f t="shared" si="370"/>
        <v>0</v>
      </c>
      <c r="BL233" s="16">
        <v>0</v>
      </c>
      <c r="BM233" s="16">
        <f t="shared" si="371"/>
        <v>0</v>
      </c>
      <c r="BN233" s="16">
        <v>0</v>
      </c>
      <c r="BO233" s="16">
        <v>0</v>
      </c>
      <c r="BP233" s="16">
        <v>0</v>
      </c>
      <c r="BQ233" s="16">
        <v>0</v>
      </c>
      <c r="BR233" s="16">
        <v>0</v>
      </c>
      <c r="BS233" s="16">
        <v>0</v>
      </c>
      <c r="BT233" s="16">
        <v>0</v>
      </c>
      <c r="BU233" s="16">
        <v>0</v>
      </c>
      <c r="BV233" s="16">
        <v>0</v>
      </c>
      <c r="BW233" s="16">
        <v>0</v>
      </c>
      <c r="BX233" s="16">
        <v>0</v>
      </c>
      <c r="BY233" s="16">
        <f t="shared" si="363"/>
        <v>0</v>
      </c>
      <c r="BZ233" s="16">
        <f t="shared" si="364"/>
        <v>0</v>
      </c>
      <c r="CA233" s="16">
        <f t="shared" si="372"/>
        <v>0</v>
      </c>
      <c r="CB233" s="16">
        <v>0</v>
      </c>
      <c r="CC233" s="16">
        <v>0</v>
      </c>
      <c r="CD233" s="16">
        <f t="shared" si="373"/>
        <v>0</v>
      </c>
      <c r="CE233" s="16">
        <v>0</v>
      </c>
      <c r="CF233" s="16">
        <v>0</v>
      </c>
      <c r="CG233" s="16">
        <v>0</v>
      </c>
      <c r="CH233" s="16">
        <v>0</v>
      </c>
      <c r="CI233" s="16">
        <v>0</v>
      </c>
      <c r="CJ233" s="16">
        <v>0</v>
      </c>
      <c r="CK233" s="16">
        <f t="shared" si="374"/>
        <v>0</v>
      </c>
      <c r="CL233" s="16">
        <v>0</v>
      </c>
      <c r="CM233" s="16">
        <v>0</v>
      </c>
      <c r="CN233" s="16">
        <v>0</v>
      </c>
      <c r="CO233" s="16">
        <v>0</v>
      </c>
      <c r="CP233" s="16">
        <v>0</v>
      </c>
      <c r="CQ233" s="16">
        <v>0</v>
      </c>
      <c r="CR233" s="16">
        <v>0</v>
      </c>
      <c r="CS233" s="16">
        <v>0</v>
      </c>
      <c r="CT233" s="16">
        <f t="shared" si="375"/>
        <v>0</v>
      </c>
      <c r="CU233" s="16">
        <f t="shared" si="376"/>
        <v>0</v>
      </c>
      <c r="CV233" s="16">
        <v>0</v>
      </c>
      <c r="CW233" s="17">
        <v>0</v>
      </c>
      <c r="CX233" s="40"/>
      <c r="CY233" s="40"/>
    </row>
    <row r="234" spans="1:103" ht="31.5" x14ac:dyDescent="0.25">
      <c r="A234" s="13" t="s">
        <v>1</v>
      </c>
      <c r="B234" s="14" t="s">
        <v>1</v>
      </c>
      <c r="C234" s="14" t="s">
        <v>29</v>
      </c>
      <c r="D234" s="30" t="s">
        <v>270</v>
      </c>
      <c r="E234" s="15">
        <f t="shared" si="356"/>
        <v>2000000</v>
      </c>
      <c r="F234" s="16">
        <f t="shared" si="357"/>
        <v>2000000</v>
      </c>
      <c r="G234" s="16">
        <f t="shared" si="358"/>
        <v>2000000</v>
      </c>
      <c r="H234" s="16">
        <v>0</v>
      </c>
      <c r="I234" s="16">
        <v>0</v>
      </c>
      <c r="J234" s="16">
        <f t="shared" si="367"/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f t="shared" si="368"/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f t="shared" si="359"/>
        <v>0</v>
      </c>
      <c r="W234" s="16">
        <v>0</v>
      </c>
      <c r="X234" s="16">
        <v>0</v>
      </c>
      <c r="Y234" s="16">
        <v>0</v>
      </c>
      <c r="Z234" s="16">
        <v>0</v>
      </c>
      <c r="AA234" s="16">
        <v>0</v>
      </c>
      <c r="AB234" s="16">
        <v>0</v>
      </c>
      <c r="AC234" s="16">
        <v>0</v>
      </c>
      <c r="AD234" s="16">
        <v>0</v>
      </c>
      <c r="AE234" s="16">
        <f t="shared" si="360"/>
        <v>2000000</v>
      </c>
      <c r="AF234" s="16">
        <v>0</v>
      </c>
      <c r="AG234" s="16">
        <v>0</v>
      </c>
      <c r="AH234" s="16">
        <v>0</v>
      </c>
      <c r="AI234" s="16">
        <v>0</v>
      </c>
      <c r="AJ234" s="16">
        <v>0</v>
      </c>
      <c r="AK234" s="16">
        <v>0</v>
      </c>
      <c r="AL234" s="16">
        <v>0</v>
      </c>
      <c r="AM234" s="16">
        <v>0</v>
      </c>
      <c r="AN234" s="16">
        <v>0</v>
      </c>
      <c r="AO234" s="16">
        <v>0</v>
      </c>
      <c r="AP234" s="16">
        <v>0</v>
      </c>
      <c r="AQ234" s="16">
        <v>0</v>
      </c>
      <c r="AR234" s="16">
        <v>0</v>
      </c>
      <c r="AS234" s="16">
        <v>0</v>
      </c>
      <c r="AT234" s="16">
        <v>0</v>
      </c>
      <c r="AU234" s="16">
        <v>0</v>
      </c>
      <c r="AV234" s="16">
        <v>0</v>
      </c>
      <c r="AW234" s="16">
        <v>0</v>
      </c>
      <c r="AX234" s="16">
        <v>0</v>
      </c>
      <c r="AY234" s="16">
        <v>0</v>
      </c>
      <c r="AZ234" s="16">
        <v>2000000</v>
      </c>
      <c r="BA234" s="16">
        <f t="shared" si="361"/>
        <v>0</v>
      </c>
      <c r="BB234" s="16">
        <f t="shared" si="362"/>
        <v>0</v>
      </c>
      <c r="BC234" s="16">
        <v>0</v>
      </c>
      <c r="BD234" s="16">
        <v>0</v>
      </c>
      <c r="BE234" s="16">
        <v>0</v>
      </c>
      <c r="BF234" s="16">
        <f t="shared" si="369"/>
        <v>0</v>
      </c>
      <c r="BG234" s="16">
        <v>0</v>
      </c>
      <c r="BH234" s="16">
        <v>0</v>
      </c>
      <c r="BI234" s="16">
        <v>0</v>
      </c>
      <c r="BJ234" s="16">
        <v>0</v>
      </c>
      <c r="BK234" s="16">
        <f t="shared" si="370"/>
        <v>0</v>
      </c>
      <c r="BL234" s="16">
        <v>0</v>
      </c>
      <c r="BM234" s="16">
        <f t="shared" si="371"/>
        <v>0</v>
      </c>
      <c r="BN234" s="16">
        <v>0</v>
      </c>
      <c r="BO234" s="16">
        <v>0</v>
      </c>
      <c r="BP234" s="16">
        <v>0</v>
      </c>
      <c r="BQ234" s="16">
        <v>0</v>
      </c>
      <c r="BR234" s="16">
        <v>0</v>
      </c>
      <c r="BS234" s="16">
        <v>0</v>
      </c>
      <c r="BT234" s="16">
        <v>0</v>
      </c>
      <c r="BU234" s="16">
        <v>0</v>
      </c>
      <c r="BV234" s="16">
        <v>0</v>
      </c>
      <c r="BW234" s="16">
        <v>0</v>
      </c>
      <c r="BX234" s="16">
        <v>0</v>
      </c>
      <c r="BY234" s="16">
        <f t="shared" si="363"/>
        <v>0</v>
      </c>
      <c r="BZ234" s="16">
        <f t="shared" si="364"/>
        <v>0</v>
      </c>
      <c r="CA234" s="16">
        <f t="shared" si="372"/>
        <v>0</v>
      </c>
      <c r="CB234" s="16">
        <v>0</v>
      </c>
      <c r="CC234" s="16">
        <v>0</v>
      </c>
      <c r="CD234" s="16">
        <f t="shared" si="373"/>
        <v>0</v>
      </c>
      <c r="CE234" s="16">
        <v>0</v>
      </c>
      <c r="CF234" s="16">
        <v>0</v>
      </c>
      <c r="CG234" s="16">
        <v>0</v>
      </c>
      <c r="CH234" s="16">
        <v>0</v>
      </c>
      <c r="CI234" s="16">
        <v>0</v>
      </c>
      <c r="CJ234" s="16">
        <v>0</v>
      </c>
      <c r="CK234" s="16">
        <f t="shared" si="374"/>
        <v>0</v>
      </c>
      <c r="CL234" s="16">
        <v>0</v>
      </c>
      <c r="CM234" s="16">
        <v>0</v>
      </c>
      <c r="CN234" s="16">
        <v>0</v>
      </c>
      <c r="CO234" s="16">
        <v>0</v>
      </c>
      <c r="CP234" s="16">
        <v>0</v>
      </c>
      <c r="CQ234" s="16">
        <v>0</v>
      </c>
      <c r="CR234" s="16">
        <v>0</v>
      </c>
      <c r="CS234" s="16">
        <v>0</v>
      </c>
      <c r="CT234" s="16">
        <f t="shared" si="375"/>
        <v>0</v>
      </c>
      <c r="CU234" s="16">
        <f t="shared" si="376"/>
        <v>0</v>
      </c>
      <c r="CV234" s="16">
        <v>0</v>
      </c>
      <c r="CW234" s="17">
        <v>0</v>
      </c>
      <c r="CX234" s="40"/>
      <c r="CY234" s="40"/>
    </row>
    <row r="235" spans="1:103" s="49" customFormat="1" ht="31.5" x14ac:dyDescent="0.25">
      <c r="A235" s="42"/>
      <c r="B235" s="43"/>
      <c r="C235" s="44" t="s">
        <v>29</v>
      </c>
      <c r="D235" s="45" t="s">
        <v>554</v>
      </c>
      <c r="E235" s="46">
        <f t="shared" si="356"/>
        <v>1000000</v>
      </c>
      <c r="F235" s="41">
        <f t="shared" si="357"/>
        <v>1000000</v>
      </c>
      <c r="G235" s="41">
        <f t="shared" si="358"/>
        <v>1000000</v>
      </c>
      <c r="H235" s="41"/>
      <c r="I235" s="41"/>
      <c r="J235" s="41">
        <f t="shared" si="367"/>
        <v>0</v>
      </c>
      <c r="K235" s="41">
        <v>0</v>
      </c>
      <c r="L235" s="41"/>
      <c r="M235" s="41">
        <v>0</v>
      </c>
      <c r="N235" s="41">
        <v>0</v>
      </c>
      <c r="O235" s="41"/>
      <c r="P235" s="41"/>
      <c r="Q235" s="41">
        <f t="shared" si="368"/>
        <v>0</v>
      </c>
      <c r="R235" s="41"/>
      <c r="S235" s="41"/>
      <c r="T235" s="41">
        <v>0</v>
      </c>
      <c r="U235" s="41"/>
      <c r="V235" s="41">
        <f t="shared" si="359"/>
        <v>0</v>
      </c>
      <c r="W235" s="41"/>
      <c r="X235" s="41"/>
      <c r="Y235" s="41"/>
      <c r="Z235" s="41"/>
      <c r="AA235" s="41"/>
      <c r="AB235" s="41">
        <v>0</v>
      </c>
      <c r="AC235" s="41">
        <v>0</v>
      </c>
      <c r="AD235" s="41"/>
      <c r="AE235" s="41">
        <f>SUM(AF235:AZ235)</f>
        <v>1000000</v>
      </c>
      <c r="AF235" s="41">
        <v>0</v>
      </c>
      <c r="AG235" s="41"/>
      <c r="AH235" s="41"/>
      <c r="AI235" s="41">
        <v>0</v>
      </c>
      <c r="AJ235" s="41"/>
      <c r="AK235" s="41"/>
      <c r="AL235" s="41"/>
      <c r="AM235" s="41"/>
      <c r="AN235" s="41"/>
      <c r="AO235" s="41"/>
      <c r="AP235" s="41"/>
      <c r="AQ235" s="41">
        <v>0</v>
      </c>
      <c r="AR235" s="41">
        <v>0</v>
      </c>
      <c r="AS235" s="41"/>
      <c r="AT235" s="41">
        <v>0</v>
      </c>
      <c r="AU235" s="41">
        <v>0</v>
      </c>
      <c r="AV235" s="41">
        <v>0</v>
      </c>
      <c r="AW235" s="41">
        <v>0</v>
      </c>
      <c r="AX235" s="41">
        <v>0</v>
      </c>
      <c r="AY235" s="41"/>
      <c r="AZ235" s="41">
        <f>0+1000000</f>
        <v>1000000</v>
      </c>
      <c r="BA235" s="41">
        <f t="shared" si="361"/>
        <v>0</v>
      </c>
      <c r="BB235" s="41">
        <f t="shared" si="362"/>
        <v>0</v>
      </c>
      <c r="BC235" s="41">
        <v>0</v>
      </c>
      <c r="BD235" s="41">
        <v>0</v>
      </c>
      <c r="BE235" s="41">
        <v>0</v>
      </c>
      <c r="BF235" s="41">
        <f t="shared" si="369"/>
        <v>0</v>
      </c>
      <c r="BG235" s="41">
        <v>0</v>
      </c>
      <c r="BH235" s="41">
        <v>0</v>
      </c>
      <c r="BI235" s="41">
        <v>0</v>
      </c>
      <c r="BJ235" s="41">
        <v>0</v>
      </c>
      <c r="BK235" s="41">
        <f t="shared" si="370"/>
        <v>0</v>
      </c>
      <c r="BL235" s="41">
        <v>0</v>
      </c>
      <c r="BM235" s="41">
        <f t="shared" si="371"/>
        <v>0</v>
      </c>
      <c r="BN235" s="41">
        <v>0</v>
      </c>
      <c r="BO235" s="41">
        <v>0</v>
      </c>
      <c r="BP235" s="41">
        <v>0</v>
      </c>
      <c r="BQ235" s="41">
        <v>0</v>
      </c>
      <c r="BR235" s="41">
        <v>0</v>
      </c>
      <c r="BS235" s="41">
        <v>0</v>
      </c>
      <c r="BT235" s="41">
        <v>0</v>
      </c>
      <c r="BU235" s="41">
        <v>0</v>
      </c>
      <c r="BV235" s="41">
        <v>0</v>
      </c>
      <c r="BW235" s="41"/>
      <c r="BX235" s="41">
        <v>0</v>
      </c>
      <c r="BY235" s="41">
        <f t="shared" si="363"/>
        <v>0</v>
      </c>
      <c r="BZ235" s="41">
        <f t="shared" si="364"/>
        <v>0</v>
      </c>
      <c r="CA235" s="41">
        <f t="shared" si="372"/>
        <v>0</v>
      </c>
      <c r="CB235" s="41">
        <v>0</v>
      </c>
      <c r="CC235" s="41"/>
      <c r="CD235" s="41">
        <f t="shared" si="373"/>
        <v>0</v>
      </c>
      <c r="CE235" s="41">
        <v>0</v>
      </c>
      <c r="CF235" s="41">
        <v>0</v>
      </c>
      <c r="CG235" s="41">
        <v>0</v>
      </c>
      <c r="CH235" s="41">
        <v>0</v>
      </c>
      <c r="CI235" s="41">
        <v>0</v>
      </c>
      <c r="CJ235" s="41">
        <v>0</v>
      </c>
      <c r="CK235" s="41">
        <f t="shared" si="374"/>
        <v>0</v>
      </c>
      <c r="CL235" s="41">
        <v>0</v>
      </c>
      <c r="CM235" s="41">
        <v>0</v>
      </c>
      <c r="CN235" s="41">
        <v>0</v>
      </c>
      <c r="CO235" s="41"/>
      <c r="CP235" s="41">
        <v>0</v>
      </c>
      <c r="CQ235" s="41">
        <f>SUM(CR235)</f>
        <v>0</v>
      </c>
      <c r="CR235" s="41"/>
      <c r="CS235" s="41">
        <v>0</v>
      </c>
      <c r="CT235" s="41">
        <f t="shared" ref="CT235" si="377">SUM(CU235)</f>
        <v>0</v>
      </c>
      <c r="CU235" s="41">
        <f t="shared" si="376"/>
        <v>0</v>
      </c>
      <c r="CV235" s="41">
        <v>0</v>
      </c>
      <c r="CW235" s="47">
        <v>0</v>
      </c>
      <c r="CX235" s="48"/>
      <c r="CY235" s="48"/>
    </row>
    <row r="236" spans="1:103" s="49" customFormat="1" ht="31.5" x14ac:dyDescent="0.25">
      <c r="A236" s="42" t="s">
        <v>1</v>
      </c>
      <c r="B236" s="43" t="s">
        <v>1</v>
      </c>
      <c r="C236" s="43" t="s">
        <v>287</v>
      </c>
      <c r="D236" s="50" t="s">
        <v>503</v>
      </c>
      <c r="E236" s="46">
        <f t="shared" si="356"/>
        <v>0</v>
      </c>
      <c r="F236" s="41">
        <f t="shared" si="357"/>
        <v>0</v>
      </c>
      <c r="G236" s="41">
        <f t="shared" si="358"/>
        <v>0</v>
      </c>
      <c r="H236" s="41">
        <v>0</v>
      </c>
      <c r="I236" s="41">
        <v>0</v>
      </c>
      <c r="J236" s="41">
        <f t="shared" si="367"/>
        <v>0</v>
      </c>
      <c r="K236" s="41">
        <v>0</v>
      </c>
      <c r="L236" s="41">
        <v>0</v>
      </c>
      <c r="M236" s="41">
        <v>0</v>
      </c>
      <c r="N236" s="41">
        <v>0</v>
      </c>
      <c r="O236" s="41">
        <v>0</v>
      </c>
      <c r="P236" s="41">
        <v>0</v>
      </c>
      <c r="Q236" s="41">
        <f t="shared" si="368"/>
        <v>0</v>
      </c>
      <c r="R236" s="41">
        <v>0</v>
      </c>
      <c r="S236" s="41">
        <v>0</v>
      </c>
      <c r="T236" s="41">
        <v>0</v>
      </c>
      <c r="U236" s="41">
        <v>0</v>
      </c>
      <c r="V236" s="41">
        <f t="shared" si="359"/>
        <v>0</v>
      </c>
      <c r="W236" s="41">
        <v>0</v>
      </c>
      <c r="X236" s="41">
        <v>0</v>
      </c>
      <c r="Y236" s="41">
        <v>0</v>
      </c>
      <c r="Z236" s="41">
        <v>0</v>
      </c>
      <c r="AA236" s="41">
        <v>0</v>
      </c>
      <c r="AB236" s="41">
        <v>0</v>
      </c>
      <c r="AC236" s="41">
        <v>0</v>
      </c>
      <c r="AD236" s="41">
        <v>0</v>
      </c>
      <c r="AE236" s="41">
        <f t="shared" si="360"/>
        <v>0</v>
      </c>
      <c r="AF236" s="41">
        <v>0</v>
      </c>
      <c r="AG236" s="41">
        <v>0</v>
      </c>
      <c r="AH236" s="41">
        <v>0</v>
      </c>
      <c r="AI236" s="41">
        <v>0</v>
      </c>
      <c r="AJ236" s="41">
        <v>0</v>
      </c>
      <c r="AK236" s="41">
        <v>0</v>
      </c>
      <c r="AL236" s="41">
        <v>0</v>
      </c>
      <c r="AM236" s="41">
        <v>0</v>
      </c>
      <c r="AN236" s="41">
        <v>0</v>
      </c>
      <c r="AO236" s="41">
        <v>0</v>
      </c>
      <c r="AP236" s="41">
        <v>0</v>
      </c>
      <c r="AQ236" s="41">
        <v>0</v>
      </c>
      <c r="AR236" s="41">
        <v>0</v>
      </c>
      <c r="AS236" s="41">
        <v>0</v>
      </c>
      <c r="AT236" s="41">
        <v>0</v>
      </c>
      <c r="AU236" s="41">
        <v>0</v>
      </c>
      <c r="AV236" s="41">
        <v>0</v>
      </c>
      <c r="AW236" s="41">
        <v>0</v>
      </c>
      <c r="AX236" s="41">
        <v>0</v>
      </c>
      <c r="AY236" s="41">
        <v>0</v>
      </c>
      <c r="AZ236" s="41">
        <v>0</v>
      </c>
      <c r="BA236" s="41">
        <f t="shared" si="361"/>
        <v>0</v>
      </c>
      <c r="BB236" s="41">
        <f t="shared" si="362"/>
        <v>0</v>
      </c>
      <c r="BC236" s="41">
        <v>0</v>
      </c>
      <c r="BD236" s="41">
        <v>0</v>
      </c>
      <c r="BE236" s="41">
        <v>0</v>
      </c>
      <c r="BF236" s="41">
        <f t="shared" si="369"/>
        <v>0</v>
      </c>
      <c r="BG236" s="41">
        <v>0</v>
      </c>
      <c r="BH236" s="41">
        <v>0</v>
      </c>
      <c r="BI236" s="41">
        <v>0</v>
      </c>
      <c r="BJ236" s="41">
        <v>0</v>
      </c>
      <c r="BK236" s="41">
        <f t="shared" si="370"/>
        <v>0</v>
      </c>
      <c r="BL236" s="41">
        <v>0</v>
      </c>
      <c r="BM236" s="41">
        <f t="shared" si="371"/>
        <v>0</v>
      </c>
      <c r="BN236" s="41">
        <v>0</v>
      </c>
      <c r="BO236" s="41">
        <v>0</v>
      </c>
      <c r="BP236" s="41">
        <v>0</v>
      </c>
      <c r="BQ236" s="41">
        <v>0</v>
      </c>
      <c r="BR236" s="41">
        <v>0</v>
      </c>
      <c r="BS236" s="41">
        <v>0</v>
      </c>
      <c r="BT236" s="41">
        <v>0</v>
      </c>
      <c r="BU236" s="41">
        <v>0</v>
      </c>
      <c r="BV236" s="41">
        <v>0</v>
      </c>
      <c r="BW236" s="41">
        <v>0</v>
      </c>
      <c r="BX236" s="41">
        <v>0</v>
      </c>
      <c r="BY236" s="41">
        <f t="shared" si="363"/>
        <v>0</v>
      </c>
      <c r="BZ236" s="41">
        <f t="shared" si="364"/>
        <v>0</v>
      </c>
      <c r="CA236" s="41">
        <f t="shared" si="372"/>
        <v>0</v>
      </c>
      <c r="CB236" s="41">
        <v>0</v>
      </c>
      <c r="CC236" s="41">
        <f>352055-352055</f>
        <v>0</v>
      </c>
      <c r="CD236" s="41">
        <f t="shared" si="373"/>
        <v>0</v>
      </c>
      <c r="CE236" s="41">
        <v>0</v>
      </c>
      <c r="CF236" s="41">
        <v>0</v>
      </c>
      <c r="CG236" s="41">
        <v>0</v>
      </c>
      <c r="CH236" s="41">
        <v>0</v>
      </c>
      <c r="CI236" s="41">
        <v>0</v>
      </c>
      <c r="CJ236" s="41">
        <v>0</v>
      </c>
      <c r="CK236" s="41">
        <f t="shared" si="374"/>
        <v>0</v>
      </c>
      <c r="CL236" s="41">
        <v>0</v>
      </c>
      <c r="CM236" s="41">
        <v>0</v>
      </c>
      <c r="CN236" s="41">
        <v>0</v>
      </c>
      <c r="CO236" s="41">
        <v>0</v>
      </c>
      <c r="CP236" s="41">
        <v>0</v>
      </c>
      <c r="CQ236" s="41">
        <v>0</v>
      </c>
      <c r="CR236" s="41">
        <v>0</v>
      </c>
      <c r="CS236" s="41">
        <v>0</v>
      </c>
      <c r="CT236" s="41">
        <f t="shared" si="375"/>
        <v>0</v>
      </c>
      <c r="CU236" s="41">
        <f t="shared" si="376"/>
        <v>0</v>
      </c>
      <c r="CV236" s="41">
        <v>0</v>
      </c>
      <c r="CW236" s="47">
        <v>0</v>
      </c>
      <c r="CX236" s="48"/>
      <c r="CY236" s="48"/>
    </row>
    <row r="237" spans="1:103" s="49" customFormat="1" ht="31.5" x14ac:dyDescent="0.25">
      <c r="A237" s="42" t="s">
        <v>1</v>
      </c>
      <c r="B237" s="43" t="s">
        <v>1</v>
      </c>
      <c r="C237" s="43" t="s">
        <v>287</v>
      </c>
      <c r="D237" s="50" t="s">
        <v>504</v>
      </c>
      <c r="E237" s="46">
        <f t="shared" si="356"/>
        <v>0</v>
      </c>
      <c r="F237" s="41">
        <f t="shared" si="357"/>
        <v>0</v>
      </c>
      <c r="G237" s="41">
        <f t="shared" si="358"/>
        <v>0</v>
      </c>
      <c r="H237" s="41">
        <v>0</v>
      </c>
      <c r="I237" s="41">
        <v>0</v>
      </c>
      <c r="J237" s="41">
        <f t="shared" si="367"/>
        <v>0</v>
      </c>
      <c r="K237" s="41">
        <v>0</v>
      </c>
      <c r="L237" s="41">
        <v>0</v>
      </c>
      <c r="M237" s="41">
        <v>0</v>
      </c>
      <c r="N237" s="41">
        <v>0</v>
      </c>
      <c r="O237" s="41">
        <v>0</v>
      </c>
      <c r="P237" s="41">
        <v>0</v>
      </c>
      <c r="Q237" s="41">
        <f t="shared" si="368"/>
        <v>0</v>
      </c>
      <c r="R237" s="41">
        <v>0</v>
      </c>
      <c r="S237" s="41">
        <v>0</v>
      </c>
      <c r="T237" s="41">
        <v>0</v>
      </c>
      <c r="U237" s="41">
        <v>0</v>
      </c>
      <c r="V237" s="41">
        <f t="shared" si="359"/>
        <v>0</v>
      </c>
      <c r="W237" s="41">
        <v>0</v>
      </c>
      <c r="X237" s="41">
        <v>0</v>
      </c>
      <c r="Y237" s="41">
        <v>0</v>
      </c>
      <c r="Z237" s="41">
        <v>0</v>
      </c>
      <c r="AA237" s="41">
        <v>0</v>
      </c>
      <c r="AB237" s="41">
        <v>0</v>
      </c>
      <c r="AC237" s="41">
        <v>0</v>
      </c>
      <c r="AD237" s="41">
        <v>0</v>
      </c>
      <c r="AE237" s="41">
        <f t="shared" si="360"/>
        <v>0</v>
      </c>
      <c r="AF237" s="41">
        <v>0</v>
      </c>
      <c r="AG237" s="41">
        <v>0</v>
      </c>
      <c r="AH237" s="41">
        <v>0</v>
      </c>
      <c r="AI237" s="41">
        <v>0</v>
      </c>
      <c r="AJ237" s="41">
        <v>0</v>
      </c>
      <c r="AK237" s="41">
        <v>0</v>
      </c>
      <c r="AL237" s="41">
        <v>0</v>
      </c>
      <c r="AM237" s="41">
        <v>0</v>
      </c>
      <c r="AN237" s="41">
        <v>0</v>
      </c>
      <c r="AO237" s="41">
        <v>0</v>
      </c>
      <c r="AP237" s="41">
        <v>0</v>
      </c>
      <c r="AQ237" s="41">
        <v>0</v>
      </c>
      <c r="AR237" s="41">
        <v>0</v>
      </c>
      <c r="AS237" s="41">
        <v>0</v>
      </c>
      <c r="AT237" s="41">
        <v>0</v>
      </c>
      <c r="AU237" s="41">
        <v>0</v>
      </c>
      <c r="AV237" s="41">
        <v>0</v>
      </c>
      <c r="AW237" s="41">
        <v>0</v>
      </c>
      <c r="AX237" s="41">
        <v>0</v>
      </c>
      <c r="AY237" s="41">
        <v>0</v>
      </c>
      <c r="AZ237" s="41">
        <v>0</v>
      </c>
      <c r="BA237" s="41">
        <f t="shared" si="361"/>
        <v>0</v>
      </c>
      <c r="BB237" s="41">
        <f t="shared" si="362"/>
        <v>0</v>
      </c>
      <c r="BC237" s="41">
        <v>0</v>
      </c>
      <c r="BD237" s="41">
        <v>0</v>
      </c>
      <c r="BE237" s="41">
        <v>0</v>
      </c>
      <c r="BF237" s="41">
        <f t="shared" si="369"/>
        <v>0</v>
      </c>
      <c r="BG237" s="41">
        <v>0</v>
      </c>
      <c r="BH237" s="41">
        <v>0</v>
      </c>
      <c r="BI237" s="41">
        <v>0</v>
      </c>
      <c r="BJ237" s="41">
        <v>0</v>
      </c>
      <c r="BK237" s="41">
        <f t="shared" si="370"/>
        <v>0</v>
      </c>
      <c r="BL237" s="41">
        <v>0</v>
      </c>
      <c r="BM237" s="41">
        <f t="shared" si="371"/>
        <v>0</v>
      </c>
      <c r="BN237" s="41">
        <v>0</v>
      </c>
      <c r="BO237" s="41">
        <v>0</v>
      </c>
      <c r="BP237" s="41">
        <v>0</v>
      </c>
      <c r="BQ237" s="41">
        <v>0</v>
      </c>
      <c r="BR237" s="41">
        <v>0</v>
      </c>
      <c r="BS237" s="41">
        <v>0</v>
      </c>
      <c r="BT237" s="41">
        <v>0</v>
      </c>
      <c r="BU237" s="41">
        <v>0</v>
      </c>
      <c r="BV237" s="41">
        <v>0</v>
      </c>
      <c r="BW237" s="41">
        <v>0</v>
      </c>
      <c r="BX237" s="41">
        <v>0</v>
      </c>
      <c r="BY237" s="41">
        <f t="shared" si="363"/>
        <v>0</v>
      </c>
      <c r="BZ237" s="41">
        <f t="shared" si="364"/>
        <v>0</v>
      </c>
      <c r="CA237" s="41">
        <f t="shared" si="372"/>
        <v>0</v>
      </c>
      <c r="CB237" s="41">
        <v>0</v>
      </c>
      <c r="CC237" s="41">
        <f>183254-183254</f>
        <v>0</v>
      </c>
      <c r="CD237" s="41">
        <f t="shared" si="373"/>
        <v>0</v>
      </c>
      <c r="CE237" s="41">
        <v>0</v>
      </c>
      <c r="CF237" s="41">
        <v>0</v>
      </c>
      <c r="CG237" s="41">
        <v>0</v>
      </c>
      <c r="CH237" s="41">
        <v>0</v>
      </c>
      <c r="CI237" s="41">
        <v>0</v>
      </c>
      <c r="CJ237" s="41">
        <v>0</v>
      </c>
      <c r="CK237" s="41">
        <f t="shared" si="374"/>
        <v>0</v>
      </c>
      <c r="CL237" s="41">
        <v>0</v>
      </c>
      <c r="CM237" s="41">
        <v>0</v>
      </c>
      <c r="CN237" s="41">
        <v>0</v>
      </c>
      <c r="CO237" s="41">
        <v>0</v>
      </c>
      <c r="CP237" s="41">
        <v>0</v>
      </c>
      <c r="CQ237" s="41">
        <v>0</v>
      </c>
      <c r="CR237" s="41">
        <v>0</v>
      </c>
      <c r="CS237" s="41">
        <v>0</v>
      </c>
      <c r="CT237" s="41">
        <f t="shared" si="375"/>
        <v>0</v>
      </c>
      <c r="CU237" s="41">
        <f t="shared" si="376"/>
        <v>0</v>
      </c>
      <c r="CV237" s="41">
        <v>0</v>
      </c>
      <c r="CW237" s="47">
        <v>0</v>
      </c>
      <c r="CX237" s="48"/>
      <c r="CY237" s="48"/>
    </row>
    <row r="238" spans="1:103" s="49" customFormat="1" ht="31.5" x14ac:dyDescent="0.25">
      <c r="A238" s="42" t="s">
        <v>1</v>
      </c>
      <c r="B238" s="43" t="s">
        <v>1</v>
      </c>
      <c r="C238" s="43" t="s">
        <v>43</v>
      </c>
      <c r="D238" s="50" t="s">
        <v>506</v>
      </c>
      <c r="E238" s="46">
        <f t="shared" si="356"/>
        <v>4214513</v>
      </c>
      <c r="F238" s="41">
        <f t="shared" si="357"/>
        <v>4214513</v>
      </c>
      <c r="G238" s="41">
        <f t="shared" si="358"/>
        <v>0</v>
      </c>
      <c r="H238" s="41">
        <v>0</v>
      </c>
      <c r="I238" s="41">
        <v>0</v>
      </c>
      <c r="J238" s="41">
        <f t="shared" si="367"/>
        <v>0</v>
      </c>
      <c r="K238" s="41">
        <v>0</v>
      </c>
      <c r="L238" s="41">
        <v>0</v>
      </c>
      <c r="M238" s="41">
        <v>0</v>
      </c>
      <c r="N238" s="41">
        <v>0</v>
      </c>
      <c r="O238" s="41">
        <v>0</v>
      </c>
      <c r="P238" s="41">
        <v>0</v>
      </c>
      <c r="Q238" s="41">
        <f t="shared" si="368"/>
        <v>0</v>
      </c>
      <c r="R238" s="41">
        <v>0</v>
      </c>
      <c r="S238" s="41">
        <v>0</v>
      </c>
      <c r="T238" s="41">
        <v>0</v>
      </c>
      <c r="U238" s="41">
        <v>0</v>
      </c>
      <c r="V238" s="41">
        <f t="shared" si="359"/>
        <v>0</v>
      </c>
      <c r="W238" s="41">
        <v>0</v>
      </c>
      <c r="X238" s="41">
        <v>0</v>
      </c>
      <c r="Y238" s="41">
        <v>0</v>
      </c>
      <c r="Z238" s="41">
        <v>0</v>
      </c>
      <c r="AA238" s="41">
        <v>0</v>
      </c>
      <c r="AB238" s="41">
        <v>0</v>
      </c>
      <c r="AC238" s="41">
        <v>0</v>
      </c>
      <c r="AD238" s="41">
        <v>0</v>
      </c>
      <c r="AE238" s="41">
        <f t="shared" si="360"/>
        <v>0</v>
      </c>
      <c r="AF238" s="41">
        <v>0</v>
      </c>
      <c r="AG238" s="41">
        <v>0</v>
      </c>
      <c r="AH238" s="41">
        <v>0</v>
      </c>
      <c r="AI238" s="41">
        <v>0</v>
      </c>
      <c r="AJ238" s="41">
        <v>0</v>
      </c>
      <c r="AK238" s="41">
        <v>0</v>
      </c>
      <c r="AL238" s="41">
        <v>0</v>
      </c>
      <c r="AM238" s="41">
        <v>0</v>
      </c>
      <c r="AN238" s="41">
        <v>0</v>
      </c>
      <c r="AO238" s="41">
        <v>0</v>
      </c>
      <c r="AP238" s="41">
        <v>0</v>
      </c>
      <c r="AQ238" s="41">
        <v>0</v>
      </c>
      <c r="AR238" s="41">
        <v>0</v>
      </c>
      <c r="AS238" s="41">
        <v>0</v>
      </c>
      <c r="AT238" s="41">
        <v>0</v>
      </c>
      <c r="AU238" s="41">
        <v>0</v>
      </c>
      <c r="AV238" s="41">
        <v>0</v>
      </c>
      <c r="AW238" s="41">
        <v>0</v>
      </c>
      <c r="AX238" s="41">
        <v>0</v>
      </c>
      <c r="AY238" s="41">
        <v>0</v>
      </c>
      <c r="AZ238" s="41">
        <v>0</v>
      </c>
      <c r="BA238" s="41">
        <f t="shared" si="361"/>
        <v>4214513</v>
      </c>
      <c r="BB238" s="41">
        <f t="shared" si="362"/>
        <v>0</v>
      </c>
      <c r="BC238" s="41">
        <v>0</v>
      </c>
      <c r="BD238" s="41">
        <v>0</v>
      </c>
      <c r="BE238" s="41">
        <v>0</v>
      </c>
      <c r="BF238" s="41">
        <f t="shared" si="369"/>
        <v>0</v>
      </c>
      <c r="BG238" s="41">
        <v>0</v>
      </c>
      <c r="BH238" s="41">
        <v>0</v>
      </c>
      <c r="BI238" s="41">
        <f>1770000+2444513</f>
        <v>4214513</v>
      </c>
      <c r="BJ238" s="41">
        <f>1770000+2444513</f>
        <v>4214513</v>
      </c>
      <c r="BK238" s="41">
        <f t="shared" si="370"/>
        <v>0</v>
      </c>
      <c r="BL238" s="41">
        <v>0</v>
      </c>
      <c r="BM238" s="41">
        <f t="shared" si="371"/>
        <v>0</v>
      </c>
      <c r="BN238" s="41">
        <v>0</v>
      </c>
      <c r="BO238" s="41">
        <v>0</v>
      </c>
      <c r="BP238" s="41">
        <v>0</v>
      </c>
      <c r="BQ238" s="41">
        <v>0</v>
      </c>
      <c r="BR238" s="41">
        <v>0</v>
      </c>
      <c r="BS238" s="41">
        <v>0</v>
      </c>
      <c r="BT238" s="41">
        <v>0</v>
      </c>
      <c r="BU238" s="41">
        <v>0</v>
      </c>
      <c r="BV238" s="41">
        <v>0</v>
      </c>
      <c r="BW238" s="41">
        <v>0</v>
      </c>
      <c r="BX238" s="41">
        <v>0</v>
      </c>
      <c r="BY238" s="41">
        <f t="shared" si="363"/>
        <v>0</v>
      </c>
      <c r="BZ238" s="41">
        <f t="shared" si="364"/>
        <v>0</v>
      </c>
      <c r="CA238" s="41">
        <f t="shared" si="372"/>
        <v>0</v>
      </c>
      <c r="CB238" s="41">
        <v>0</v>
      </c>
      <c r="CC238" s="41">
        <v>0</v>
      </c>
      <c r="CD238" s="41">
        <f t="shared" si="373"/>
        <v>0</v>
      </c>
      <c r="CE238" s="41">
        <v>0</v>
      </c>
      <c r="CF238" s="41">
        <v>0</v>
      </c>
      <c r="CG238" s="41">
        <v>0</v>
      </c>
      <c r="CH238" s="41">
        <v>0</v>
      </c>
      <c r="CI238" s="41">
        <v>0</v>
      </c>
      <c r="CJ238" s="41">
        <v>0</v>
      </c>
      <c r="CK238" s="41">
        <f t="shared" si="374"/>
        <v>0</v>
      </c>
      <c r="CL238" s="41">
        <v>0</v>
      </c>
      <c r="CM238" s="41">
        <v>0</v>
      </c>
      <c r="CN238" s="41">
        <v>0</v>
      </c>
      <c r="CO238" s="41">
        <v>0</v>
      </c>
      <c r="CP238" s="41">
        <v>0</v>
      </c>
      <c r="CQ238" s="41">
        <v>0</v>
      </c>
      <c r="CR238" s="41">
        <v>0</v>
      </c>
      <c r="CS238" s="41">
        <v>0</v>
      </c>
      <c r="CT238" s="41">
        <f t="shared" si="375"/>
        <v>0</v>
      </c>
      <c r="CU238" s="41">
        <f t="shared" si="376"/>
        <v>0</v>
      </c>
      <c r="CV238" s="41">
        <v>0</v>
      </c>
      <c r="CW238" s="47">
        <v>0</v>
      </c>
      <c r="CX238" s="48"/>
      <c r="CY238" s="48"/>
    </row>
    <row r="239" spans="1:103" s="49" customFormat="1" ht="31.5" x14ac:dyDescent="0.25">
      <c r="A239" s="42"/>
      <c r="B239" s="43"/>
      <c r="C239" s="44" t="s">
        <v>43</v>
      </c>
      <c r="D239" s="45" t="s">
        <v>555</v>
      </c>
      <c r="E239" s="46">
        <f t="shared" si="356"/>
        <v>5549486</v>
      </c>
      <c r="F239" s="41">
        <f t="shared" si="357"/>
        <v>5549486</v>
      </c>
      <c r="G239" s="41">
        <f t="shared" si="358"/>
        <v>5549486</v>
      </c>
      <c r="H239" s="41"/>
      <c r="I239" s="41"/>
      <c r="J239" s="41">
        <f t="shared" si="367"/>
        <v>0</v>
      </c>
      <c r="K239" s="41">
        <v>0</v>
      </c>
      <c r="L239" s="41"/>
      <c r="M239" s="41">
        <v>0</v>
      </c>
      <c r="N239" s="41">
        <v>0</v>
      </c>
      <c r="O239" s="41"/>
      <c r="P239" s="41"/>
      <c r="Q239" s="41">
        <f t="shared" si="368"/>
        <v>0</v>
      </c>
      <c r="R239" s="41"/>
      <c r="S239" s="41"/>
      <c r="T239" s="41">
        <v>0</v>
      </c>
      <c r="U239" s="41"/>
      <c r="V239" s="41">
        <f t="shared" si="359"/>
        <v>0</v>
      </c>
      <c r="W239" s="41"/>
      <c r="X239" s="41"/>
      <c r="Y239" s="41"/>
      <c r="Z239" s="41"/>
      <c r="AA239" s="41"/>
      <c r="AB239" s="41">
        <v>0</v>
      </c>
      <c r="AC239" s="41">
        <v>0</v>
      </c>
      <c r="AD239" s="41"/>
      <c r="AE239" s="41">
        <f>SUM(AF239:AZ239)</f>
        <v>5549486</v>
      </c>
      <c r="AF239" s="41">
        <v>0</v>
      </c>
      <c r="AG239" s="41"/>
      <c r="AH239" s="41"/>
      <c r="AI239" s="41">
        <v>0</v>
      </c>
      <c r="AJ239" s="41"/>
      <c r="AK239" s="41"/>
      <c r="AL239" s="41"/>
      <c r="AM239" s="41"/>
      <c r="AN239" s="41"/>
      <c r="AO239" s="41"/>
      <c r="AP239" s="41"/>
      <c r="AQ239" s="41">
        <v>0</v>
      </c>
      <c r="AR239" s="41">
        <v>0</v>
      </c>
      <c r="AS239" s="41"/>
      <c r="AT239" s="41">
        <v>0</v>
      </c>
      <c r="AU239" s="41">
        <v>0</v>
      </c>
      <c r="AV239" s="41">
        <v>0</v>
      </c>
      <c r="AW239" s="41">
        <v>0</v>
      </c>
      <c r="AX239" s="41">
        <v>0</v>
      </c>
      <c r="AY239" s="41"/>
      <c r="AZ239" s="41">
        <f>0+5549486</f>
        <v>5549486</v>
      </c>
      <c r="BA239" s="41">
        <f t="shared" si="361"/>
        <v>0</v>
      </c>
      <c r="BB239" s="41">
        <f t="shared" si="362"/>
        <v>0</v>
      </c>
      <c r="BC239" s="41">
        <v>0</v>
      </c>
      <c r="BD239" s="41">
        <v>0</v>
      </c>
      <c r="BE239" s="41">
        <v>0</v>
      </c>
      <c r="BF239" s="41">
        <f t="shared" si="369"/>
        <v>0</v>
      </c>
      <c r="BG239" s="41">
        <v>0</v>
      </c>
      <c r="BH239" s="41">
        <v>0</v>
      </c>
      <c r="BI239" s="41">
        <v>0</v>
      </c>
      <c r="BJ239" s="41">
        <v>0</v>
      </c>
      <c r="BK239" s="41">
        <f t="shared" si="370"/>
        <v>0</v>
      </c>
      <c r="BL239" s="41">
        <v>0</v>
      </c>
      <c r="BM239" s="41">
        <f t="shared" si="371"/>
        <v>0</v>
      </c>
      <c r="BN239" s="41">
        <v>0</v>
      </c>
      <c r="BO239" s="41">
        <v>0</v>
      </c>
      <c r="BP239" s="41">
        <v>0</v>
      </c>
      <c r="BQ239" s="41">
        <v>0</v>
      </c>
      <c r="BR239" s="41">
        <v>0</v>
      </c>
      <c r="BS239" s="41">
        <v>0</v>
      </c>
      <c r="BT239" s="41">
        <v>0</v>
      </c>
      <c r="BU239" s="41">
        <v>0</v>
      </c>
      <c r="BV239" s="41">
        <v>0</v>
      </c>
      <c r="BW239" s="41"/>
      <c r="BX239" s="41">
        <v>0</v>
      </c>
      <c r="BY239" s="41">
        <f t="shared" si="363"/>
        <v>0</v>
      </c>
      <c r="BZ239" s="41">
        <f t="shared" si="364"/>
        <v>0</v>
      </c>
      <c r="CA239" s="41">
        <f t="shared" si="372"/>
        <v>0</v>
      </c>
      <c r="CB239" s="41">
        <v>0</v>
      </c>
      <c r="CC239" s="41"/>
      <c r="CD239" s="41">
        <f t="shared" si="373"/>
        <v>0</v>
      </c>
      <c r="CE239" s="41">
        <v>0</v>
      </c>
      <c r="CF239" s="41">
        <v>0</v>
      </c>
      <c r="CG239" s="41">
        <v>0</v>
      </c>
      <c r="CH239" s="41">
        <v>0</v>
      </c>
      <c r="CI239" s="41">
        <v>0</v>
      </c>
      <c r="CJ239" s="41">
        <v>0</v>
      </c>
      <c r="CK239" s="41">
        <f t="shared" si="374"/>
        <v>0</v>
      </c>
      <c r="CL239" s="41">
        <v>0</v>
      </c>
      <c r="CM239" s="41">
        <v>0</v>
      </c>
      <c r="CN239" s="41">
        <v>0</v>
      </c>
      <c r="CO239" s="41"/>
      <c r="CP239" s="41">
        <v>0</v>
      </c>
      <c r="CQ239" s="41">
        <f>SUM(CR239)</f>
        <v>0</v>
      </c>
      <c r="CR239" s="41"/>
      <c r="CS239" s="41">
        <v>0</v>
      </c>
      <c r="CT239" s="41">
        <f t="shared" ref="CT239" si="378">SUM(CU239)</f>
        <v>0</v>
      </c>
      <c r="CU239" s="41">
        <f t="shared" si="376"/>
        <v>0</v>
      </c>
      <c r="CV239" s="41">
        <v>0</v>
      </c>
      <c r="CW239" s="47">
        <v>0</v>
      </c>
      <c r="CX239" s="48"/>
      <c r="CY239" s="48"/>
    </row>
    <row r="240" spans="1:103" ht="31.5" x14ac:dyDescent="0.25">
      <c r="A240" s="13" t="s">
        <v>1</v>
      </c>
      <c r="B240" s="14" t="s">
        <v>1</v>
      </c>
      <c r="C240" s="14" t="s">
        <v>43</v>
      </c>
      <c r="D240" s="30" t="s">
        <v>505</v>
      </c>
      <c r="E240" s="15">
        <f t="shared" si="356"/>
        <v>400000</v>
      </c>
      <c r="F240" s="16">
        <f t="shared" si="357"/>
        <v>0</v>
      </c>
      <c r="G240" s="16">
        <f t="shared" si="358"/>
        <v>0</v>
      </c>
      <c r="H240" s="16">
        <v>0</v>
      </c>
      <c r="I240" s="16">
        <v>0</v>
      </c>
      <c r="J240" s="16">
        <f t="shared" si="367"/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f t="shared" si="368"/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f t="shared" si="359"/>
        <v>0</v>
      </c>
      <c r="W240" s="16">
        <v>0</v>
      </c>
      <c r="X240" s="16">
        <v>0</v>
      </c>
      <c r="Y240" s="16">
        <v>0</v>
      </c>
      <c r="Z240" s="16">
        <v>0</v>
      </c>
      <c r="AA240" s="16">
        <v>0</v>
      </c>
      <c r="AB240" s="16">
        <v>0</v>
      </c>
      <c r="AC240" s="16">
        <v>0</v>
      </c>
      <c r="AD240" s="16">
        <v>0</v>
      </c>
      <c r="AE240" s="16">
        <f t="shared" si="360"/>
        <v>0</v>
      </c>
      <c r="AF240" s="16">
        <v>0</v>
      </c>
      <c r="AG240" s="16">
        <v>0</v>
      </c>
      <c r="AH240" s="16">
        <v>0</v>
      </c>
      <c r="AI240" s="16">
        <v>0</v>
      </c>
      <c r="AJ240" s="16">
        <v>0</v>
      </c>
      <c r="AK240" s="16">
        <v>0</v>
      </c>
      <c r="AL240" s="16">
        <v>0</v>
      </c>
      <c r="AM240" s="16">
        <v>0</v>
      </c>
      <c r="AN240" s="16">
        <v>0</v>
      </c>
      <c r="AO240" s="16">
        <v>0</v>
      </c>
      <c r="AP240" s="16">
        <v>0</v>
      </c>
      <c r="AQ240" s="16">
        <v>0</v>
      </c>
      <c r="AR240" s="16">
        <v>0</v>
      </c>
      <c r="AS240" s="16">
        <v>0</v>
      </c>
      <c r="AT240" s="16">
        <v>0</v>
      </c>
      <c r="AU240" s="16">
        <v>0</v>
      </c>
      <c r="AV240" s="16">
        <v>0</v>
      </c>
      <c r="AW240" s="16">
        <v>0</v>
      </c>
      <c r="AX240" s="16">
        <v>0</v>
      </c>
      <c r="AY240" s="16">
        <v>0</v>
      </c>
      <c r="AZ240" s="16">
        <v>0</v>
      </c>
      <c r="BA240" s="16">
        <f t="shared" si="361"/>
        <v>0</v>
      </c>
      <c r="BB240" s="16">
        <f t="shared" si="362"/>
        <v>0</v>
      </c>
      <c r="BC240" s="16">
        <v>0</v>
      </c>
      <c r="BD240" s="16">
        <v>0</v>
      </c>
      <c r="BE240" s="16">
        <v>0</v>
      </c>
      <c r="BF240" s="16">
        <f t="shared" si="369"/>
        <v>0</v>
      </c>
      <c r="BG240" s="16">
        <v>0</v>
      </c>
      <c r="BH240" s="16">
        <v>0</v>
      </c>
      <c r="BI240" s="16">
        <v>0</v>
      </c>
      <c r="BJ240" s="16">
        <v>0</v>
      </c>
      <c r="BK240" s="16">
        <f t="shared" si="370"/>
        <v>0</v>
      </c>
      <c r="BL240" s="16">
        <v>0</v>
      </c>
      <c r="BM240" s="16">
        <f t="shared" si="371"/>
        <v>0</v>
      </c>
      <c r="BN240" s="16">
        <v>0</v>
      </c>
      <c r="BO240" s="16">
        <v>0</v>
      </c>
      <c r="BP240" s="16">
        <v>0</v>
      </c>
      <c r="BQ240" s="16">
        <v>0</v>
      </c>
      <c r="BR240" s="16">
        <v>0</v>
      </c>
      <c r="BS240" s="16">
        <v>0</v>
      </c>
      <c r="BT240" s="16">
        <v>0</v>
      </c>
      <c r="BU240" s="16">
        <v>0</v>
      </c>
      <c r="BV240" s="16">
        <v>0</v>
      </c>
      <c r="BW240" s="16">
        <v>0</v>
      </c>
      <c r="BX240" s="16">
        <v>0</v>
      </c>
      <c r="BY240" s="16">
        <f t="shared" si="363"/>
        <v>400000</v>
      </c>
      <c r="BZ240" s="16">
        <f t="shared" si="364"/>
        <v>400000</v>
      </c>
      <c r="CA240" s="16">
        <f t="shared" si="372"/>
        <v>400000</v>
      </c>
      <c r="CB240" s="16">
        <v>0</v>
      </c>
      <c r="CC240" s="16">
        <v>400000</v>
      </c>
      <c r="CD240" s="16">
        <f t="shared" si="373"/>
        <v>0</v>
      </c>
      <c r="CE240" s="16">
        <v>0</v>
      </c>
      <c r="CF240" s="16">
        <v>0</v>
      </c>
      <c r="CG240" s="16">
        <v>0</v>
      </c>
      <c r="CH240" s="16">
        <v>0</v>
      </c>
      <c r="CI240" s="16">
        <v>0</v>
      </c>
      <c r="CJ240" s="16">
        <v>0</v>
      </c>
      <c r="CK240" s="16">
        <f t="shared" si="374"/>
        <v>0</v>
      </c>
      <c r="CL240" s="16">
        <v>0</v>
      </c>
      <c r="CM240" s="16">
        <v>0</v>
      </c>
      <c r="CN240" s="16">
        <v>0</v>
      </c>
      <c r="CO240" s="16">
        <v>0</v>
      </c>
      <c r="CP240" s="16">
        <v>0</v>
      </c>
      <c r="CQ240" s="16">
        <v>0</v>
      </c>
      <c r="CR240" s="16">
        <v>0</v>
      </c>
      <c r="CS240" s="16">
        <v>0</v>
      </c>
      <c r="CT240" s="16">
        <f t="shared" si="375"/>
        <v>0</v>
      </c>
      <c r="CU240" s="16">
        <f t="shared" si="376"/>
        <v>0</v>
      </c>
      <c r="CV240" s="16">
        <v>0</v>
      </c>
      <c r="CW240" s="17">
        <v>0</v>
      </c>
      <c r="CX240" s="40"/>
      <c r="CY240" s="40"/>
    </row>
    <row r="241" spans="1:103" ht="15.75" x14ac:dyDescent="0.25">
      <c r="A241" s="13" t="s">
        <v>1</v>
      </c>
      <c r="B241" s="14" t="s">
        <v>1</v>
      </c>
      <c r="C241" s="14" t="s">
        <v>43</v>
      </c>
      <c r="D241" s="30" t="s">
        <v>288</v>
      </c>
      <c r="E241" s="15">
        <f t="shared" si="356"/>
        <v>155620844</v>
      </c>
      <c r="F241" s="16">
        <f t="shared" si="357"/>
        <v>155620844</v>
      </c>
      <c r="G241" s="16">
        <f t="shared" si="358"/>
        <v>0</v>
      </c>
      <c r="H241" s="16">
        <v>0</v>
      </c>
      <c r="I241" s="16">
        <v>0</v>
      </c>
      <c r="J241" s="16">
        <f t="shared" si="367"/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f t="shared" si="368"/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f t="shared" si="359"/>
        <v>0</v>
      </c>
      <c r="W241" s="16">
        <v>0</v>
      </c>
      <c r="X241" s="16">
        <v>0</v>
      </c>
      <c r="Y241" s="16">
        <v>0</v>
      </c>
      <c r="Z241" s="16">
        <v>0</v>
      </c>
      <c r="AA241" s="16">
        <v>0</v>
      </c>
      <c r="AB241" s="16">
        <v>0</v>
      </c>
      <c r="AC241" s="16">
        <v>0</v>
      </c>
      <c r="AD241" s="16">
        <v>0</v>
      </c>
      <c r="AE241" s="16">
        <f t="shared" si="360"/>
        <v>0</v>
      </c>
      <c r="AF241" s="16">
        <v>0</v>
      </c>
      <c r="AG241" s="16">
        <v>0</v>
      </c>
      <c r="AH241" s="16">
        <v>0</v>
      </c>
      <c r="AI241" s="16">
        <v>0</v>
      </c>
      <c r="AJ241" s="16">
        <v>0</v>
      </c>
      <c r="AK241" s="16">
        <v>0</v>
      </c>
      <c r="AL241" s="16">
        <v>0</v>
      </c>
      <c r="AM241" s="16">
        <v>0</v>
      </c>
      <c r="AN241" s="16">
        <v>0</v>
      </c>
      <c r="AO241" s="16">
        <v>0</v>
      </c>
      <c r="AP241" s="16">
        <v>0</v>
      </c>
      <c r="AQ241" s="16">
        <v>0</v>
      </c>
      <c r="AR241" s="16">
        <v>0</v>
      </c>
      <c r="AS241" s="16">
        <v>0</v>
      </c>
      <c r="AT241" s="16">
        <v>0</v>
      </c>
      <c r="AU241" s="16">
        <v>0</v>
      </c>
      <c r="AV241" s="16">
        <v>0</v>
      </c>
      <c r="AW241" s="16">
        <v>0</v>
      </c>
      <c r="AX241" s="16">
        <v>0</v>
      </c>
      <c r="AY241" s="16">
        <v>0</v>
      </c>
      <c r="AZ241" s="16">
        <v>0</v>
      </c>
      <c r="BA241" s="16">
        <f t="shared" si="361"/>
        <v>155620844</v>
      </c>
      <c r="BB241" s="16">
        <f t="shared" si="362"/>
        <v>0</v>
      </c>
      <c r="BC241" s="16">
        <v>0</v>
      </c>
      <c r="BD241" s="16">
        <v>0</v>
      </c>
      <c r="BE241" s="16">
        <v>0</v>
      </c>
      <c r="BF241" s="16">
        <f t="shared" si="369"/>
        <v>0</v>
      </c>
      <c r="BG241" s="16">
        <v>0</v>
      </c>
      <c r="BH241" s="16">
        <v>0</v>
      </c>
      <c r="BI241" s="16">
        <f>184190878+6235844-34805878</f>
        <v>155620844</v>
      </c>
      <c r="BJ241" s="16">
        <v>0</v>
      </c>
      <c r="BK241" s="16">
        <f t="shared" si="370"/>
        <v>0</v>
      </c>
      <c r="BL241" s="16">
        <v>0</v>
      </c>
      <c r="BM241" s="16">
        <f t="shared" si="371"/>
        <v>0</v>
      </c>
      <c r="BN241" s="16">
        <v>0</v>
      </c>
      <c r="BO241" s="16">
        <v>0</v>
      </c>
      <c r="BP241" s="16">
        <v>0</v>
      </c>
      <c r="BQ241" s="16">
        <v>0</v>
      </c>
      <c r="BR241" s="16">
        <v>0</v>
      </c>
      <c r="BS241" s="16">
        <v>0</v>
      </c>
      <c r="BT241" s="16">
        <v>0</v>
      </c>
      <c r="BU241" s="16">
        <v>0</v>
      </c>
      <c r="BV241" s="16">
        <v>0</v>
      </c>
      <c r="BW241" s="16">
        <v>0</v>
      </c>
      <c r="BX241" s="16">
        <v>0</v>
      </c>
      <c r="BY241" s="16">
        <f t="shared" si="363"/>
        <v>0</v>
      </c>
      <c r="BZ241" s="16">
        <f t="shared" si="364"/>
        <v>0</v>
      </c>
      <c r="CA241" s="16">
        <f t="shared" si="372"/>
        <v>0</v>
      </c>
      <c r="CB241" s="16">
        <v>0</v>
      </c>
      <c r="CC241" s="16">
        <v>0</v>
      </c>
      <c r="CD241" s="16">
        <f t="shared" si="373"/>
        <v>0</v>
      </c>
      <c r="CE241" s="16">
        <v>0</v>
      </c>
      <c r="CF241" s="16">
        <v>0</v>
      </c>
      <c r="CG241" s="16">
        <v>0</v>
      </c>
      <c r="CH241" s="16">
        <v>0</v>
      </c>
      <c r="CI241" s="16">
        <v>0</v>
      </c>
      <c r="CJ241" s="16">
        <v>0</v>
      </c>
      <c r="CK241" s="16">
        <f t="shared" si="374"/>
        <v>0</v>
      </c>
      <c r="CL241" s="16">
        <v>0</v>
      </c>
      <c r="CM241" s="16">
        <v>0</v>
      </c>
      <c r="CN241" s="16">
        <v>0</v>
      </c>
      <c r="CO241" s="16">
        <v>0</v>
      </c>
      <c r="CP241" s="16">
        <v>0</v>
      </c>
      <c r="CQ241" s="16">
        <v>0</v>
      </c>
      <c r="CR241" s="16">
        <v>0</v>
      </c>
      <c r="CS241" s="16">
        <v>0</v>
      </c>
      <c r="CT241" s="16">
        <f t="shared" si="375"/>
        <v>0</v>
      </c>
      <c r="CU241" s="16">
        <f t="shared" si="376"/>
        <v>0</v>
      </c>
      <c r="CV241" s="16">
        <v>0</v>
      </c>
      <c r="CW241" s="17">
        <v>0</v>
      </c>
      <c r="CX241" s="40"/>
      <c r="CY241" s="40"/>
    </row>
    <row r="242" spans="1:103" ht="15.75" x14ac:dyDescent="0.25">
      <c r="A242" s="13"/>
      <c r="B242" s="14"/>
      <c r="C242" s="14"/>
      <c r="D242" s="30" t="s">
        <v>486</v>
      </c>
      <c r="E242" s="15">
        <f>SUM(E243:E269)</f>
        <v>257140110</v>
      </c>
      <c r="F242" s="15">
        <f t="shared" ref="F242:BS242" si="379">SUM(F243:F269)</f>
        <v>237669946</v>
      </c>
      <c r="G242" s="15">
        <f t="shared" si="379"/>
        <v>237664946</v>
      </c>
      <c r="H242" s="15">
        <f t="shared" si="379"/>
        <v>96824574</v>
      </c>
      <c r="I242" s="15">
        <f t="shared" si="379"/>
        <v>19240097</v>
      </c>
      <c r="J242" s="15">
        <f t="shared" si="379"/>
        <v>47776265</v>
      </c>
      <c r="K242" s="15">
        <f t="shared" si="379"/>
        <v>15016346</v>
      </c>
      <c r="L242" s="15">
        <f t="shared" si="379"/>
        <v>2697489</v>
      </c>
      <c r="M242" s="15">
        <f t="shared" si="379"/>
        <v>4245236</v>
      </c>
      <c r="N242" s="15">
        <f t="shared" si="379"/>
        <v>4013</v>
      </c>
      <c r="O242" s="15">
        <f t="shared" si="379"/>
        <v>9963322</v>
      </c>
      <c r="P242" s="15">
        <f t="shared" si="379"/>
        <v>15849859</v>
      </c>
      <c r="Q242" s="15">
        <f t="shared" si="379"/>
        <v>784928</v>
      </c>
      <c r="R242" s="15">
        <f t="shared" si="379"/>
        <v>157396</v>
      </c>
      <c r="S242" s="15">
        <f t="shared" si="379"/>
        <v>627532</v>
      </c>
      <c r="T242" s="15">
        <f t="shared" si="379"/>
        <v>308024</v>
      </c>
      <c r="U242" s="15">
        <f t="shared" si="379"/>
        <v>1905446</v>
      </c>
      <c r="V242" s="15">
        <f t="shared" si="379"/>
        <v>20147078</v>
      </c>
      <c r="W242" s="15">
        <f t="shared" si="379"/>
        <v>2276448</v>
      </c>
      <c r="X242" s="15">
        <f t="shared" si="379"/>
        <v>4078583</v>
      </c>
      <c r="Y242" s="15">
        <f t="shared" si="379"/>
        <v>11472633</v>
      </c>
      <c r="Z242" s="15">
        <f t="shared" si="379"/>
        <v>1098166</v>
      </c>
      <c r="AA242" s="15">
        <f t="shared" si="379"/>
        <v>741987</v>
      </c>
      <c r="AB242" s="15">
        <f t="shared" si="379"/>
        <v>302713</v>
      </c>
      <c r="AC242" s="15">
        <f t="shared" si="379"/>
        <v>0</v>
      </c>
      <c r="AD242" s="15">
        <f t="shared" ref="AD242" si="380">SUM(AD243:AD269)</f>
        <v>176548</v>
      </c>
      <c r="AE242" s="15">
        <f t="shared" si="379"/>
        <v>50678534</v>
      </c>
      <c r="AF242" s="15">
        <f t="shared" si="379"/>
        <v>339000</v>
      </c>
      <c r="AG242" s="15">
        <f t="shared" si="379"/>
        <v>3513673</v>
      </c>
      <c r="AH242" s="15">
        <f t="shared" si="379"/>
        <v>8175356</v>
      </c>
      <c r="AI242" s="15">
        <f t="shared" si="379"/>
        <v>858749</v>
      </c>
      <c r="AJ242" s="15">
        <f t="shared" si="379"/>
        <v>897052</v>
      </c>
      <c r="AK242" s="15">
        <f t="shared" si="379"/>
        <v>15380</v>
      </c>
      <c r="AL242" s="15">
        <f t="shared" si="379"/>
        <v>517490</v>
      </c>
      <c r="AM242" s="15">
        <f t="shared" si="379"/>
        <v>2843983</v>
      </c>
      <c r="AN242" s="15">
        <f t="shared" si="379"/>
        <v>15000</v>
      </c>
      <c r="AO242" s="15">
        <f t="shared" si="379"/>
        <v>22635</v>
      </c>
      <c r="AP242" s="15">
        <f>SUM(AP243:AP269)</f>
        <v>974849</v>
      </c>
      <c r="AQ242" s="15">
        <f t="shared" si="379"/>
        <v>101307</v>
      </c>
      <c r="AR242" s="15">
        <f t="shared" si="379"/>
        <v>731247</v>
      </c>
      <c r="AS242" s="15">
        <f t="shared" si="379"/>
        <v>425115</v>
      </c>
      <c r="AT242" s="15">
        <f t="shared" si="379"/>
        <v>0</v>
      </c>
      <c r="AU242" s="15">
        <f t="shared" si="379"/>
        <v>5888</v>
      </c>
      <c r="AV242" s="15">
        <f t="shared" si="379"/>
        <v>61706</v>
      </c>
      <c r="AW242" s="15">
        <f t="shared" si="379"/>
        <v>1600375</v>
      </c>
      <c r="AX242" s="15">
        <f t="shared" si="379"/>
        <v>0</v>
      </c>
      <c r="AY242" s="15">
        <f t="shared" si="379"/>
        <v>0</v>
      </c>
      <c r="AZ242" s="15">
        <f t="shared" si="379"/>
        <v>29579729</v>
      </c>
      <c r="BA242" s="15">
        <f t="shared" si="379"/>
        <v>5000</v>
      </c>
      <c r="BB242" s="15">
        <f t="shared" si="379"/>
        <v>0</v>
      </c>
      <c r="BC242" s="15">
        <f t="shared" si="379"/>
        <v>0</v>
      </c>
      <c r="BD242" s="15">
        <f t="shared" si="379"/>
        <v>0</v>
      </c>
      <c r="BE242" s="15">
        <f t="shared" si="379"/>
        <v>0</v>
      </c>
      <c r="BF242" s="15">
        <f t="shared" si="379"/>
        <v>0</v>
      </c>
      <c r="BG242" s="15">
        <f t="shared" si="379"/>
        <v>0</v>
      </c>
      <c r="BH242" s="15">
        <f t="shared" si="379"/>
        <v>0</v>
      </c>
      <c r="BI242" s="15">
        <f t="shared" si="379"/>
        <v>0</v>
      </c>
      <c r="BJ242" s="15">
        <f t="shared" si="379"/>
        <v>0</v>
      </c>
      <c r="BK242" s="15">
        <f t="shared" si="379"/>
        <v>0</v>
      </c>
      <c r="BL242" s="15">
        <f t="shared" si="379"/>
        <v>0</v>
      </c>
      <c r="BM242" s="15">
        <f t="shared" si="379"/>
        <v>5000</v>
      </c>
      <c r="BN242" s="15">
        <f t="shared" si="379"/>
        <v>0</v>
      </c>
      <c r="BO242" s="15">
        <f t="shared" si="379"/>
        <v>0</v>
      </c>
      <c r="BP242" s="15">
        <f t="shared" si="379"/>
        <v>5000</v>
      </c>
      <c r="BQ242" s="15">
        <f t="shared" si="379"/>
        <v>0</v>
      </c>
      <c r="BR242" s="15">
        <f t="shared" si="379"/>
        <v>0</v>
      </c>
      <c r="BS242" s="15">
        <f t="shared" si="379"/>
        <v>0</v>
      </c>
      <c r="BT242" s="15">
        <f t="shared" ref="BT242:CW242" si="381">SUM(BT243:BT269)</f>
        <v>0</v>
      </c>
      <c r="BU242" s="15">
        <f t="shared" si="381"/>
        <v>0</v>
      </c>
      <c r="BV242" s="15">
        <f t="shared" si="381"/>
        <v>0</v>
      </c>
      <c r="BW242" s="15">
        <f t="shared" si="381"/>
        <v>0</v>
      </c>
      <c r="BX242" s="15">
        <f t="shared" si="381"/>
        <v>0</v>
      </c>
      <c r="BY242" s="15">
        <f t="shared" si="381"/>
        <v>19470164</v>
      </c>
      <c r="BZ242" s="15">
        <f t="shared" si="381"/>
        <v>19470164</v>
      </c>
      <c r="CA242" s="15">
        <f t="shared" si="381"/>
        <v>13451905</v>
      </c>
      <c r="CB242" s="15">
        <f t="shared" si="381"/>
        <v>0</v>
      </c>
      <c r="CC242" s="15">
        <f t="shared" si="381"/>
        <v>13451905</v>
      </c>
      <c r="CD242" s="15">
        <f t="shared" si="381"/>
        <v>800000</v>
      </c>
      <c r="CE242" s="15">
        <f t="shared" si="381"/>
        <v>0</v>
      </c>
      <c r="CF242" s="15">
        <f>SUM(CF243:CF269)</f>
        <v>0</v>
      </c>
      <c r="CG242" s="15">
        <f t="shared" si="381"/>
        <v>0</v>
      </c>
      <c r="CH242" s="15">
        <f t="shared" si="381"/>
        <v>800000</v>
      </c>
      <c r="CI242" s="15">
        <f t="shared" si="381"/>
        <v>0</v>
      </c>
      <c r="CJ242" s="15">
        <f t="shared" ref="CJ242" si="382">SUM(CJ243:CJ269)</f>
        <v>0</v>
      </c>
      <c r="CK242" s="15">
        <f t="shared" si="381"/>
        <v>5218259</v>
      </c>
      <c r="CL242" s="15">
        <f t="shared" si="381"/>
        <v>0</v>
      </c>
      <c r="CM242" s="15">
        <f>SUM(CM243:CM269)</f>
        <v>0</v>
      </c>
      <c r="CN242" s="15">
        <f t="shared" si="381"/>
        <v>4243137</v>
      </c>
      <c r="CO242" s="15">
        <f t="shared" si="381"/>
        <v>975122</v>
      </c>
      <c r="CP242" s="15">
        <f t="shared" si="381"/>
        <v>0</v>
      </c>
      <c r="CQ242" s="15">
        <f t="shared" si="381"/>
        <v>0</v>
      </c>
      <c r="CR242" s="15">
        <f t="shared" si="381"/>
        <v>0</v>
      </c>
      <c r="CS242" s="15">
        <f t="shared" si="381"/>
        <v>0</v>
      </c>
      <c r="CT242" s="15">
        <f t="shared" si="381"/>
        <v>0</v>
      </c>
      <c r="CU242" s="15">
        <f t="shared" si="381"/>
        <v>0</v>
      </c>
      <c r="CV242" s="15">
        <f t="shared" si="381"/>
        <v>0</v>
      </c>
      <c r="CW242" s="23">
        <f t="shared" si="381"/>
        <v>0</v>
      </c>
      <c r="CX242" s="40"/>
      <c r="CY242" s="40"/>
    </row>
    <row r="243" spans="1:103" ht="31.5" x14ac:dyDescent="0.25">
      <c r="A243" s="13" t="s">
        <v>1</v>
      </c>
      <c r="B243" s="14" t="s">
        <v>1</v>
      </c>
      <c r="C243" s="14" t="s">
        <v>17</v>
      </c>
      <c r="D243" s="30" t="s">
        <v>259</v>
      </c>
      <c r="E243" s="15">
        <f t="shared" ref="E243:E269" si="383">SUM(F243+BY243+CT243)</f>
        <v>102355</v>
      </c>
      <c r="F243" s="16">
        <f t="shared" ref="F243:F269" si="384">SUM(G243+BA243)</f>
        <v>102355</v>
      </c>
      <c r="G243" s="16">
        <f t="shared" ref="G243:G269" si="385">SUM(H243+I243+J243+Q243+T243+U243+V243+AE243)</f>
        <v>102355</v>
      </c>
      <c r="H243" s="16">
        <v>0</v>
      </c>
      <c r="I243" s="16">
        <v>0</v>
      </c>
      <c r="J243" s="16">
        <f t="shared" si="341"/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f t="shared" si="342"/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f t="shared" ref="V243:V269" si="386">SUM(W243:AD243)</f>
        <v>0</v>
      </c>
      <c r="W243" s="16">
        <v>0</v>
      </c>
      <c r="X243" s="16">
        <v>0</v>
      </c>
      <c r="Y243" s="16">
        <v>0</v>
      </c>
      <c r="Z243" s="16">
        <v>0</v>
      </c>
      <c r="AA243" s="16">
        <v>0</v>
      </c>
      <c r="AB243" s="16">
        <v>0</v>
      </c>
      <c r="AC243" s="16">
        <v>0</v>
      </c>
      <c r="AD243" s="16">
        <v>0</v>
      </c>
      <c r="AE243" s="16">
        <f t="shared" ref="AE243:AE269" si="387">SUM(AF243:AZ243)</f>
        <v>102355</v>
      </c>
      <c r="AF243" s="16">
        <v>0</v>
      </c>
      <c r="AG243" s="16">
        <v>0</v>
      </c>
      <c r="AH243" s="16">
        <v>0</v>
      </c>
      <c r="AI243" s="16">
        <v>0</v>
      </c>
      <c r="AJ243" s="16">
        <v>0</v>
      </c>
      <c r="AK243" s="16">
        <v>0</v>
      </c>
      <c r="AL243" s="16">
        <v>0</v>
      </c>
      <c r="AM243" s="16">
        <v>80000</v>
      </c>
      <c r="AN243" s="16">
        <v>0</v>
      </c>
      <c r="AO243" s="16">
        <v>0</v>
      </c>
      <c r="AP243" s="16">
        <v>0</v>
      </c>
      <c r="AQ243" s="16">
        <v>0</v>
      </c>
      <c r="AR243" s="16">
        <v>0</v>
      </c>
      <c r="AS243" s="16">
        <v>0</v>
      </c>
      <c r="AT243" s="16">
        <v>0</v>
      </c>
      <c r="AU243" s="16">
        <v>0</v>
      </c>
      <c r="AV243" s="16">
        <v>0</v>
      </c>
      <c r="AW243" s="16">
        <v>0</v>
      </c>
      <c r="AX243" s="16">
        <v>0</v>
      </c>
      <c r="AY243" s="16">
        <v>0</v>
      </c>
      <c r="AZ243" s="16">
        <f>22000+355</f>
        <v>22355</v>
      </c>
      <c r="BA243" s="16">
        <f t="shared" ref="BA243:BA269" si="388">SUM(BB243+BF243+BI243+BK243+BM243)</f>
        <v>0</v>
      </c>
      <c r="BB243" s="16">
        <f t="shared" ref="BB243:BB269" si="389">SUM(BC243:BE243)</f>
        <v>0</v>
      </c>
      <c r="BC243" s="16">
        <v>0</v>
      </c>
      <c r="BD243" s="16">
        <v>0</v>
      </c>
      <c r="BE243" s="16">
        <v>0</v>
      </c>
      <c r="BF243" s="16">
        <f t="shared" si="343"/>
        <v>0</v>
      </c>
      <c r="BG243" s="16">
        <v>0</v>
      </c>
      <c r="BH243" s="16">
        <v>0</v>
      </c>
      <c r="BI243" s="16">
        <v>0</v>
      </c>
      <c r="BJ243" s="16">
        <v>0</v>
      </c>
      <c r="BK243" s="16">
        <f t="shared" si="344"/>
        <v>0</v>
      </c>
      <c r="BL243" s="16">
        <v>0</v>
      </c>
      <c r="BM243" s="16">
        <f t="shared" si="345"/>
        <v>0</v>
      </c>
      <c r="BN243" s="16">
        <v>0</v>
      </c>
      <c r="BO243" s="16">
        <v>0</v>
      </c>
      <c r="BP243" s="16">
        <v>0</v>
      </c>
      <c r="BQ243" s="16">
        <v>0</v>
      </c>
      <c r="BR243" s="16">
        <v>0</v>
      </c>
      <c r="BS243" s="16">
        <v>0</v>
      </c>
      <c r="BT243" s="16">
        <v>0</v>
      </c>
      <c r="BU243" s="16">
        <v>0</v>
      </c>
      <c r="BV243" s="16">
        <v>0</v>
      </c>
      <c r="BW243" s="16">
        <v>0</v>
      </c>
      <c r="BX243" s="16">
        <v>0</v>
      </c>
      <c r="BY243" s="16">
        <f t="shared" ref="BY243:BY269" si="390">SUM(BZ243+CS243)</f>
        <v>0</v>
      </c>
      <c r="BZ243" s="16">
        <f t="shared" ref="BZ243:BZ269" si="391">SUM(CA243+CD243+CK243)</f>
        <v>0</v>
      </c>
      <c r="CA243" s="16">
        <f t="shared" si="346"/>
        <v>0</v>
      </c>
      <c r="CB243" s="16">
        <v>0</v>
      </c>
      <c r="CC243" s="16">
        <v>0</v>
      </c>
      <c r="CD243" s="16">
        <f t="shared" si="347"/>
        <v>0</v>
      </c>
      <c r="CE243" s="16">
        <v>0</v>
      </c>
      <c r="CF243" s="16">
        <v>0</v>
      </c>
      <c r="CG243" s="16">
        <v>0</v>
      </c>
      <c r="CH243" s="16">
        <v>0</v>
      </c>
      <c r="CI243" s="16">
        <v>0</v>
      </c>
      <c r="CJ243" s="16">
        <v>0</v>
      </c>
      <c r="CK243" s="16">
        <f t="shared" si="348"/>
        <v>0</v>
      </c>
      <c r="CL243" s="16">
        <v>0</v>
      </c>
      <c r="CM243" s="16">
        <v>0</v>
      </c>
      <c r="CN243" s="16">
        <v>0</v>
      </c>
      <c r="CO243" s="16">
        <v>0</v>
      </c>
      <c r="CP243" s="16">
        <v>0</v>
      </c>
      <c r="CQ243" s="16">
        <v>0</v>
      </c>
      <c r="CR243" s="16">
        <v>0</v>
      </c>
      <c r="CS243" s="16">
        <v>0</v>
      </c>
      <c r="CT243" s="16">
        <f t="shared" si="349"/>
        <v>0</v>
      </c>
      <c r="CU243" s="16">
        <f t="shared" si="350"/>
        <v>0</v>
      </c>
      <c r="CV243" s="16">
        <v>0</v>
      </c>
      <c r="CW243" s="17">
        <v>0</v>
      </c>
      <c r="CX243" s="40"/>
      <c r="CY243" s="40"/>
    </row>
    <row r="244" spans="1:103" ht="31.5" x14ac:dyDescent="0.25">
      <c r="A244" s="13" t="s">
        <v>1</v>
      </c>
      <c r="B244" s="14" t="s">
        <v>1</v>
      </c>
      <c r="C244" s="14" t="s">
        <v>19</v>
      </c>
      <c r="D244" s="30" t="s">
        <v>260</v>
      </c>
      <c r="E244" s="15">
        <f t="shared" si="383"/>
        <v>307734</v>
      </c>
      <c r="F244" s="16">
        <f t="shared" si="384"/>
        <v>307734</v>
      </c>
      <c r="G244" s="16">
        <f t="shared" si="385"/>
        <v>307734</v>
      </c>
      <c r="H244" s="16">
        <v>0</v>
      </c>
      <c r="I244" s="16">
        <v>0</v>
      </c>
      <c r="J244" s="16">
        <f t="shared" si="341"/>
        <v>95300</v>
      </c>
      <c r="K244" s="16">
        <v>0</v>
      </c>
      <c r="L244" s="16">
        <v>0</v>
      </c>
      <c r="M244" s="16">
        <v>46000</v>
      </c>
      <c r="N244" s="16">
        <v>0</v>
      </c>
      <c r="O244" s="16">
        <v>13000</v>
      </c>
      <c r="P244" s="16">
        <v>36300</v>
      </c>
      <c r="Q244" s="16">
        <f t="shared" si="342"/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f t="shared" si="386"/>
        <v>0</v>
      </c>
      <c r="W244" s="16">
        <v>0</v>
      </c>
      <c r="X244" s="16">
        <v>0</v>
      </c>
      <c r="Y244" s="16">
        <v>0</v>
      </c>
      <c r="Z244" s="16">
        <v>0</v>
      </c>
      <c r="AA244" s="16">
        <v>0</v>
      </c>
      <c r="AB244" s="16">
        <v>0</v>
      </c>
      <c r="AC244" s="16">
        <v>0</v>
      </c>
      <c r="AD244" s="16">
        <v>0</v>
      </c>
      <c r="AE244" s="16">
        <f t="shared" si="387"/>
        <v>212434</v>
      </c>
      <c r="AF244" s="16">
        <v>0</v>
      </c>
      <c r="AG244" s="16">
        <v>2750</v>
      </c>
      <c r="AH244" s="16">
        <v>2750</v>
      </c>
      <c r="AI244" s="16">
        <v>0</v>
      </c>
      <c r="AJ244" s="16">
        <v>0</v>
      </c>
      <c r="AK244" s="16">
        <v>0</v>
      </c>
      <c r="AL244" s="16">
        <v>0</v>
      </c>
      <c r="AM244" s="16">
        <v>0</v>
      </c>
      <c r="AN244" s="16">
        <v>0</v>
      </c>
      <c r="AO244" s="16">
        <v>0</v>
      </c>
      <c r="AP244" s="16">
        <v>0</v>
      </c>
      <c r="AQ244" s="16">
        <v>0</v>
      </c>
      <c r="AR244" s="16">
        <v>0</v>
      </c>
      <c r="AS244" s="16">
        <v>0</v>
      </c>
      <c r="AT244" s="16">
        <v>0</v>
      </c>
      <c r="AU244" s="16">
        <v>0</v>
      </c>
      <c r="AV244" s="16">
        <v>0</v>
      </c>
      <c r="AW244" s="16">
        <v>0</v>
      </c>
      <c r="AX244" s="16">
        <v>0</v>
      </c>
      <c r="AY244" s="16">
        <v>0</v>
      </c>
      <c r="AZ244" s="16">
        <f>110842+96092</f>
        <v>206934</v>
      </c>
      <c r="BA244" s="16">
        <f t="shared" si="388"/>
        <v>0</v>
      </c>
      <c r="BB244" s="16">
        <f t="shared" si="389"/>
        <v>0</v>
      </c>
      <c r="BC244" s="16">
        <v>0</v>
      </c>
      <c r="BD244" s="16">
        <v>0</v>
      </c>
      <c r="BE244" s="16">
        <v>0</v>
      </c>
      <c r="BF244" s="16">
        <f t="shared" si="343"/>
        <v>0</v>
      </c>
      <c r="BG244" s="16">
        <v>0</v>
      </c>
      <c r="BH244" s="16">
        <v>0</v>
      </c>
      <c r="BI244" s="16">
        <v>0</v>
      </c>
      <c r="BJ244" s="16">
        <v>0</v>
      </c>
      <c r="BK244" s="16">
        <f t="shared" si="344"/>
        <v>0</v>
      </c>
      <c r="BL244" s="16">
        <v>0</v>
      </c>
      <c r="BM244" s="16">
        <f t="shared" si="345"/>
        <v>0</v>
      </c>
      <c r="BN244" s="16">
        <v>0</v>
      </c>
      <c r="BO244" s="16">
        <v>0</v>
      </c>
      <c r="BP244" s="16">
        <v>0</v>
      </c>
      <c r="BQ244" s="16">
        <v>0</v>
      </c>
      <c r="BR244" s="16">
        <v>0</v>
      </c>
      <c r="BS244" s="16">
        <v>0</v>
      </c>
      <c r="BT244" s="16">
        <v>0</v>
      </c>
      <c r="BU244" s="16">
        <v>0</v>
      </c>
      <c r="BV244" s="16">
        <v>0</v>
      </c>
      <c r="BW244" s="16">
        <v>0</v>
      </c>
      <c r="BX244" s="16">
        <v>0</v>
      </c>
      <c r="BY244" s="16">
        <f t="shared" si="390"/>
        <v>0</v>
      </c>
      <c r="BZ244" s="16">
        <f t="shared" si="391"/>
        <v>0</v>
      </c>
      <c r="CA244" s="16">
        <f t="shared" si="346"/>
        <v>0</v>
      </c>
      <c r="CB244" s="16">
        <v>0</v>
      </c>
      <c r="CC244" s="16">
        <v>0</v>
      </c>
      <c r="CD244" s="16">
        <f t="shared" si="347"/>
        <v>0</v>
      </c>
      <c r="CE244" s="16">
        <v>0</v>
      </c>
      <c r="CF244" s="16">
        <v>0</v>
      </c>
      <c r="CG244" s="16">
        <v>0</v>
      </c>
      <c r="CH244" s="16">
        <v>0</v>
      </c>
      <c r="CI244" s="16">
        <v>0</v>
      </c>
      <c r="CJ244" s="16">
        <v>0</v>
      </c>
      <c r="CK244" s="16">
        <f t="shared" si="348"/>
        <v>0</v>
      </c>
      <c r="CL244" s="16">
        <v>0</v>
      </c>
      <c r="CM244" s="16">
        <v>0</v>
      </c>
      <c r="CN244" s="16">
        <v>0</v>
      </c>
      <c r="CO244" s="16">
        <v>0</v>
      </c>
      <c r="CP244" s="16">
        <v>0</v>
      </c>
      <c r="CQ244" s="16">
        <v>0</v>
      </c>
      <c r="CR244" s="16">
        <v>0</v>
      </c>
      <c r="CS244" s="16">
        <v>0</v>
      </c>
      <c r="CT244" s="16">
        <f t="shared" si="349"/>
        <v>0</v>
      </c>
      <c r="CU244" s="16">
        <f t="shared" si="350"/>
        <v>0</v>
      </c>
      <c r="CV244" s="16">
        <v>0</v>
      </c>
      <c r="CW244" s="17">
        <v>0</v>
      </c>
      <c r="CX244" s="40"/>
      <c r="CY244" s="40"/>
    </row>
    <row r="245" spans="1:103" ht="31.5" x14ac:dyDescent="0.25">
      <c r="A245" s="13" t="s">
        <v>1</v>
      </c>
      <c r="B245" s="14" t="s">
        <v>1</v>
      </c>
      <c r="C245" s="14" t="s">
        <v>21</v>
      </c>
      <c r="D245" s="30" t="s">
        <v>262</v>
      </c>
      <c r="E245" s="15">
        <f t="shared" si="383"/>
        <v>6029622</v>
      </c>
      <c r="F245" s="16">
        <f t="shared" si="384"/>
        <v>5989622</v>
      </c>
      <c r="G245" s="16">
        <f t="shared" si="385"/>
        <v>5989622</v>
      </c>
      <c r="H245" s="16">
        <v>3909509</v>
      </c>
      <c r="I245" s="16">
        <v>930232</v>
      </c>
      <c r="J245" s="16">
        <f>SUM(K245:P245)</f>
        <v>276137</v>
      </c>
      <c r="K245" s="16">
        <v>2000</v>
      </c>
      <c r="L245" s="16">
        <v>3340</v>
      </c>
      <c r="M245" s="16">
        <v>114690</v>
      </c>
      <c r="N245" s="16">
        <v>0</v>
      </c>
      <c r="O245" s="16">
        <v>21809</v>
      </c>
      <c r="P245" s="16">
        <v>134298</v>
      </c>
      <c r="Q245" s="16">
        <f>SUM(R245:S245)</f>
        <v>7720</v>
      </c>
      <c r="R245" s="16">
        <v>4120</v>
      </c>
      <c r="S245" s="16">
        <v>3600</v>
      </c>
      <c r="T245" s="16">
        <v>0</v>
      </c>
      <c r="U245" s="16">
        <v>35732</v>
      </c>
      <c r="V245" s="16">
        <f t="shared" si="386"/>
        <v>355563</v>
      </c>
      <c r="W245" s="16">
        <v>11250</v>
      </c>
      <c r="X245" s="16">
        <f>237697+9295</f>
        <v>246992</v>
      </c>
      <c r="Y245" s="16">
        <f>66516+3971</f>
        <v>70487</v>
      </c>
      <c r="Z245" s="16">
        <f>16746+2920</f>
        <v>19666</v>
      </c>
      <c r="AA245" s="16">
        <v>7168</v>
      </c>
      <c r="AB245" s="16">
        <v>0</v>
      </c>
      <c r="AC245" s="16">
        <v>0</v>
      </c>
      <c r="AD245" s="16">
        <v>0</v>
      </c>
      <c r="AE245" s="16">
        <f t="shared" si="387"/>
        <v>474729</v>
      </c>
      <c r="AF245" s="16">
        <v>0</v>
      </c>
      <c r="AG245" s="16">
        <f>15955+17000</f>
        <v>32955</v>
      </c>
      <c r="AH245" s="16">
        <f>105000+75000</f>
        <v>180000</v>
      </c>
      <c r="AI245" s="16">
        <v>2880</v>
      </c>
      <c r="AJ245" s="16">
        <v>22460</v>
      </c>
      <c r="AK245" s="16">
        <v>0</v>
      </c>
      <c r="AL245" s="16">
        <v>2480</v>
      </c>
      <c r="AM245" s="16">
        <v>21240</v>
      </c>
      <c r="AN245" s="16">
        <v>0</v>
      </c>
      <c r="AO245" s="16">
        <v>0</v>
      </c>
      <c r="AP245" s="16">
        <v>0</v>
      </c>
      <c r="AQ245" s="16">
        <v>0</v>
      </c>
      <c r="AR245" s="16">
        <v>0</v>
      </c>
      <c r="AS245" s="16">
        <f>24000+19325</f>
        <v>43325</v>
      </c>
      <c r="AT245" s="16">
        <v>0</v>
      </c>
      <c r="AU245" s="16">
        <v>0</v>
      </c>
      <c r="AV245" s="16">
        <v>0</v>
      </c>
      <c r="AW245" s="16">
        <v>0</v>
      </c>
      <c r="AX245" s="16">
        <v>0</v>
      </c>
      <c r="AY245" s="16">
        <v>0</v>
      </c>
      <c r="AZ245" s="16">
        <f>94103+75286</f>
        <v>169389</v>
      </c>
      <c r="BA245" s="16">
        <f t="shared" si="388"/>
        <v>0</v>
      </c>
      <c r="BB245" s="16">
        <f t="shared" si="389"/>
        <v>0</v>
      </c>
      <c r="BC245" s="16">
        <v>0</v>
      </c>
      <c r="BD245" s="16">
        <v>0</v>
      </c>
      <c r="BE245" s="16">
        <v>0</v>
      </c>
      <c r="BF245" s="16">
        <f>SUM(BG245:BH245)</f>
        <v>0</v>
      </c>
      <c r="BG245" s="16">
        <v>0</v>
      </c>
      <c r="BH245" s="16">
        <v>0</v>
      </c>
      <c r="BI245" s="16">
        <v>0</v>
      </c>
      <c r="BJ245" s="16">
        <v>0</v>
      </c>
      <c r="BK245" s="16">
        <f>SUM(BL245)</f>
        <v>0</v>
      </c>
      <c r="BL245" s="16">
        <v>0</v>
      </c>
      <c r="BM245" s="16">
        <f>SUM(BN245:BX245)</f>
        <v>0</v>
      </c>
      <c r="BN245" s="16">
        <v>0</v>
      </c>
      <c r="BO245" s="16">
        <v>0</v>
      </c>
      <c r="BP245" s="16">
        <v>0</v>
      </c>
      <c r="BQ245" s="16">
        <v>0</v>
      </c>
      <c r="BR245" s="16">
        <v>0</v>
      </c>
      <c r="BS245" s="16">
        <v>0</v>
      </c>
      <c r="BT245" s="16">
        <v>0</v>
      </c>
      <c r="BU245" s="16">
        <v>0</v>
      </c>
      <c r="BV245" s="16">
        <v>0</v>
      </c>
      <c r="BW245" s="16">
        <v>0</v>
      </c>
      <c r="BX245" s="16">
        <v>0</v>
      </c>
      <c r="BY245" s="16">
        <f t="shared" si="390"/>
        <v>40000</v>
      </c>
      <c r="BZ245" s="16">
        <f t="shared" si="391"/>
        <v>40000</v>
      </c>
      <c r="CA245" s="16">
        <f>SUM(CB245:CC245)</f>
        <v>40000</v>
      </c>
      <c r="CB245" s="16">
        <v>0</v>
      </c>
      <c r="CC245" s="16">
        <v>40000</v>
      </c>
      <c r="CD245" s="16">
        <f>SUM(CE245:CI245)</f>
        <v>0</v>
      </c>
      <c r="CE245" s="16">
        <v>0</v>
      </c>
      <c r="CF245" s="16">
        <v>0</v>
      </c>
      <c r="CG245" s="16">
        <v>0</v>
      </c>
      <c r="CH245" s="16">
        <v>0</v>
      </c>
      <c r="CI245" s="16">
        <v>0</v>
      </c>
      <c r="CJ245" s="16">
        <v>0</v>
      </c>
      <c r="CK245" s="16">
        <f>SUM(CL245:CP245)</f>
        <v>0</v>
      </c>
      <c r="CL245" s="16">
        <v>0</v>
      </c>
      <c r="CM245" s="16">
        <v>0</v>
      </c>
      <c r="CN245" s="16">
        <v>0</v>
      </c>
      <c r="CO245" s="16">
        <v>0</v>
      </c>
      <c r="CP245" s="16">
        <v>0</v>
      </c>
      <c r="CQ245" s="16">
        <v>0</v>
      </c>
      <c r="CR245" s="16">
        <v>0</v>
      </c>
      <c r="CS245" s="16">
        <v>0</v>
      </c>
      <c r="CT245" s="16">
        <f>SUM(CU245)</f>
        <v>0</v>
      </c>
      <c r="CU245" s="16">
        <f>SUM(CV245:CW245)</f>
        <v>0</v>
      </c>
      <c r="CV245" s="16">
        <v>0</v>
      </c>
      <c r="CW245" s="17">
        <v>0</v>
      </c>
      <c r="CX245" s="40"/>
      <c r="CY245" s="40"/>
    </row>
    <row r="246" spans="1:103" ht="31.5" x14ac:dyDescent="0.25">
      <c r="A246" s="13" t="s">
        <v>1</v>
      </c>
      <c r="B246" s="14" t="s">
        <v>1</v>
      </c>
      <c r="C246" s="14" t="s">
        <v>21</v>
      </c>
      <c r="D246" s="30" t="s">
        <v>261</v>
      </c>
      <c r="E246" s="15">
        <f t="shared" si="383"/>
        <v>32987440</v>
      </c>
      <c r="F246" s="16">
        <f t="shared" si="384"/>
        <v>30469362</v>
      </c>
      <c r="G246" s="16">
        <f t="shared" si="385"/>
        <v>30469362</v>
      </c>
      <c r="H246" s="16">
        <f>9950832+18000</f>
        <v>9968832</v>
      </c>
      <c r="I246" s="16">
        <f>2487648+4500</f>
        <v>2492148</v>
      </c>
      <c r="J246" s="16">
        <f t="shared" si="341"/>
        <v>11021339</v>
      </c>
      <c r="K246" s="16">
        <f>6731749+1000</f>
        <v>6732749</v>
      </c>
      <c r="L246" s="16">
        <f>251252+42000</f>
        <v>293252</v>
      </c>
      <c r="M246" s="16">
        <f>246092</f>
        <v>246092</v>
      </c>
      <c r="N246" s="16">
        <v>0</v>
      </c>
      <c r="O246" s="16">
        <f>912768+50000</f>
        <v>962768</v>
      </c>
      <c r="P246" s="16">
        <f>2444377+342101</f>
        <v>2786478</v>
      </c>
      <c r="Q246" s="16">
        <f t="shared" si="342"/>
        <v>64279</v>
      </c>
      <c r="R246" s="16">
        <v>10511</v>
      </c>
      <c r="S246" s="16">
        <v>53768</v>
      </c>
      <c r="T246" s="16">
        <v>6295</v>
      </c>
      <c r="U246" s="16">
        <f>175315+3000</f>
        <v>178315</v>
      </c>
      <c r="V246" s="16">
        <f t="shared" si="386"/>
        <v>1860441</v>
      </c>
      <c r="W246" s="16">
        <f>767266+80827</f>
        <v>848093</v>
      </c>
      <c r="X246" s="16">
        <f>346304+4350</f>
        <v>350654</v>
      </c>
      <c r="Y246" s="16">
        <f>195538+28811</f>
        <v>224349</v>
      </c>
      <c r="Z246" s="16">
        <f>170191+30688</f>
        <v>200879</v>
      </c>
      <c r="AA246" s="16">
        <v>226278</v>
      </c>
      <c r="AB246" s="16">
        <v>0</v>
      </c>
      <c r="AC246" s="16">
        <v>0</v>
      </c>
      <c r="AD246" s="16">
        <f>9306+882</f>
        <v>10188</v>
      </c>
      <c r="AE246" s="16">
        <f t="shared" si="387"/>
        <v>4877713</v>
      </c>
      <c r="AF246" s="16">
        <v>0</v>
      </c>
      <c r="AG246" s="16">
        <f>1237499+1000</f>
        <v>1238499</v>
      </c>
      <c r="AH246" s="16">
        <f>1293026+54055</f>
        <v>1347081</v>
      </c>
      <c r="AI246" s="16">
        <v>0</v>
      </c>
      <c r="AJ246" s="16">
        <f>106294+2000</f>
        <v>108294</v>
      </c>
      <c r="AK246" s="16">
        <v>0</v>
      </c>
      <c r="AL246" s="16">
        <f>63041+3000</f>
        <v>66041</v>
      </c>
      <c r="AM246" s="16">
        <f>662212+2900</f>
        <v>665112</v>
      </c>
      <c r="AN246" s="16">
        <v>0</v>
      </c>
      <c r="AO246" s="16">
        <v>0</v>
      </c>
      <c r="AP246" s="16">
        <v>0</v>
      </c>
      <c r="AQ246" s="16">
        <v>0</v>
      </c>
      <c r="AR246" s="16">
        <v>535767</v>
      </c>
      <c r="AS246" s="16">
        <f>35235+14250</f>
        <v>49485</v>
      </c>
      <c r="AT246" s="16">
        <v>0</v>
      </c>
      <c r="AU246" s="16">
        <v>5888</v>
      </c>
      <c r="AV246" s="16">
        <v>41060</v>
      </c>
      <c r="AW246" s="16">
        <v>0</v>
      </c>
      <c r="AX246" s="16">
        <v>0</v>
      </c>
      <c r="AY246" s="16">
        <v>0</v>
      </c>
      <c r="AZ246" s="16">
        <f>798955+21531</f>
        <v>820486</v>
      </c>
      <c r="BA246" s="16">
        <f t="shared" si="388"/>
        <v>0</v>
      </c>
      <c r="BB246" s="16">
        <f t="shared" si="389"/>
        <v>0</v>
      </c>
      <c r="BC246" s="16">
        <v>0</v>
      </c>
      <c r="BD246" s="16">
        <v>0</v>
      </c>
      <c r="BE246" s="16">
        <v>0</v>
      </c>
      <c r="BF246" s="16">
        <f t="shared" si="343"/>
        <v>0</v>
      </c>
      <c r="BG246" s="16">
        <v>0</v>
      </c>
      <c r="BH246" s="16">
        <v>0</v>
      </c>
      <c r="BI246" s="16">
        <v>0</v>
      </c>
      <c r="BJ246" s="16">
        <v>0</v>
      </c>
      <c r="BK246" s="16">
        <f t="shared" si="344"/>
        <v>0</v>
      </c>
      <c r="BL246" s="16">
        <v>0</v>
      </c>
      <c r="BM246" s="16">
        <f t="shared" si="345"/>
        <v>0</v>
      </c>
      <c r="BN246" s="16">
        <v>0</v>
      </c>
      <c r="BO246" s="16">
        <v>0</v>
      </c>
      <c r="BP246" s="16">
        <v>0</v>
      </c>
      <c r="BQ246" s="16">
        <v>0</v>
      </c>
      <c r="BR246" s="16">
        <v>0</v>
      </c>
      <c r="BS246" s="16">
        <v>0</v>
      </c>
      <c r="BT246" s="16">
        <v>0</v>
      </c>
      <c r="BU246" s="16">
        <v>0</v>
      </c>
      <c r="BV246" s="16">
        <v>0</v>
      </c>
      <c r="BW246" s="16">
        <v>0</v>
      </c>
      <c r="BX246" s="16">
        <v>0</v>
      </c>
      <c r="BY246" s="16">
        <f t="shared" si="390"/>
        <v>2518078</v>
      </c>
      <c r="BZ246" s="16">
        <f t="shared" si="391"/>
        <v>2518078</v>
      </c>
      <c r="CA246" s="16">
        <f t="shared" si="346"/>
        <v>2046484</v>
      </c>
      <c r="CB246" s="16">
        <v>0</v>
      </c>
      <c r="CC246" s="16">
        <f>1666417+380067</f>
        <v>2046484</v>
      </c>
      <c r="CD246" s="16">
        <f t="shared" si="347"/>
        <v>0</v>
      </c>
      <c r="CE246" s="16">
        <v>0</v>
      </c>
      <c r="CF246" s="16">
        <v>0</v>
      </c>
      <c r="CG246" s="16">
        <v>0</v>
      </c>
      <c r="CH246" s="16">
        <v>0</v>
      </c>
      <c r="CI246" s="16">
        <v>0</v>
      </c>
      <c r="CJ246" s="16">
        <v>0</v>
      </c>
      <c r="CK246" s="16">
        <f t="shared" si="348"/>
        <v>471594</v>
      </c>
      <c r="CL246" s="16">
        <v>0</v>
      </c>
      <c r="CM246" s="16">
        <v>0</v>
      </c>
      <c r="CN246" s="16">
        <v>471594</v>
      </c>
      <c r="CO246" s="16">
        <v>0</v>
      </c>
      <c r="CP246" s="16">
        <v>0</v>
      </c>
      <c r="CQ246" s="16">
        <v>0</v>
      </c>
      <c r="CR246" s="16">
        <v>0</v>
      </c>
      <c r="CS246" s="16">
        <v>0</v>
      </c>
      <c r="CT246" s="16">
        <f t="shared" si="349"/>
        <v>0</v>
      </c>
      <c r="CU246" s="16">
        <f t="shared" si="350"/>
        <v>0</v>
      </c>
      <c r="CV246" s="16">
        <v>0</v>
      </c>
      <c r="CW246" s="17">
        <v>0</v>
      </c>
      <c r="CX246" s="40"/>
      <c r="CY246" s="40"/>
    </row>
    <row r="247" spans="1:103" ht="31.5" x14ac:dyDescent="0.25">
      <c r="A247" s="13" t="s">
        <v>1</v>
      </c>
      <c r="B247" s="14" t="s">
        <v>1</v>
      </c>
      <c r="C247" s="14" t="s">
        <v>21</v>
      </c>
      <c r="D247" s="30" t="s">
        <v>263</v>
      </c>
      <c r="E247" s="15">
        <f t="shared" si="383"/>
        <v>26005156</v>
      </c>
      <c r="F247" s="16">
        <f t="shared" si="384"/>
        <v>23330802</v>
      </c>
      <c r="G247" s="16">
        <f t="shared" si="385"/>
        <v>23330802</v>
      </c>
      <c r="H247" s="16">
        <v>7572198</v>
      </c>
      <c r="I247" s="16">
        <v>1893051</v>
      </c>
      <c r="J247" s="16">
        <f t="shared" si="341"/>
        <v>8713503</v>
      </c>
      <c r="K247" s="16">
        <v>6019041</v>
      </c>
      <c r="L247" s="16">
        <v>95217</v>
      </c>
      <c r="M247" s="16">
        <v>13000</v>
      </c>
      <c r="N247" s="16">
        <v>1500</v>
      </c>
      <c r="O247" s="16">
        <f>327530+3392</f>
        <v>330922</v>
      </c>
      <c r="P247" s="16">
        <f>1897394+356429</f>
        <v>2253823</v>
      </c>
      <c r="Q247" s="16">
        <f t="shared" si="342"/>
        <v>6345</v>
      </c>
      <c r="R247" s="16">
        <v>5745</v>
      </c>
      <c r="S247" s="16">
        <v>600</v>
      </c>
      <c r="T247" s="16">
        <v>43200</v>
      </c>
      <c r="U247" s="16">
        <f>119645+6915</f>
        <v>126560</v>
      </c>
      <c r="V247" s="16">
        <f t="shared" si="386"/>
        <v>1316266</v>
      </c>
      <c r="W247" s="16">
        <v>530276</v>
      </c>
      <c r="X247" s="16">
        <f>311559+16572</f>
        <v>328131</v>
      </c>
      <c r="Y247" s="16">
        <f>170636+25618</f>
        <v>196254</v>
      </c>
      <c r="Z247" s="16">
        <f>80437+15974</f>
        <v>96411</v>
      </c>
      <c r="AA247" s="16">
        <f>84886+5000</f>
        <v>89886</v>
      </c>
      <c r="AB247" s="16">
        <v>70000</v>
      </c>
      <c r="AC247" s="16">
        <v>0</v>
      </c>
      <c r="AD247" s="16">
        <f>5267+41</f>
        <v>5308</v>
      </c>
      <c r="AE247" s="16">
        <f t="shared" si="387"/>
        <v>3659679</v>
      </c>
      <c r="AF247" s="16">
        <v>0</v>
      </c>
      <c r="AG247" s="16">
        <v>432496</v>
      </c>
      <c r="AH247" s="16">
        <f>1248233+326637</f>
        <v>1574870</v>
      </c>
      <c r="AI247" s="16">
        <v>0</v>
      </c>
      <c r="AJ247" s="16">
        <f>78910+150</f>
        <v>79060</v>
      </c>
      <c r="AK247" s="16">
        <v>0</v>
      </c>
      <c r="AL247" s="16">
        <v>28900</v>
      </c>
      <c r="AM247" s="16">
        <f>322400+2310</f>
        <v>324710</v>
      </c>
      <c r="AN247" s="16">
        <v>0</v>
      </c>
      <c r="AO247" s="16">
        <v>2000</v>
      </c>
      <c r="AP247" s="16"/>
      <c r="AQ247" s="16">
        <v>0</v>
      </c>
      <c r="AR247" s="16">
        <v>68306</v>
      </c>
      <c r="AS247" s="16">
        <f>105845+10000</f>
        <v>115845</v>
      </c>
      <c r="AT247" s="16">
        <v>0</v>
      </c>
      <c r="AU247" s="16">
        <v>0</v>
      </c>
      <c r="AV247" s="16">
        <v>20646</v>
      </c>
      <c r="AW247" s="16">
        <v>0</v>
      </c>
      <c r="AX247" s="16">
        <v>0</v>
      </c>
      <c r="AY247" s="16"/>
      <c r="AZ247" s="16">
        <f>848689+164157</f>
        <v>1012846</v>
      </c>
      <c r="BA247" s="16">
        <f t="shared" si="388"/>
        <v>0</v>
      </c>
      <c r="BB247" s="16">
        <f t="shared" si="389"/>
        <v>0</v>
      </c>
      <c r="BC247" s="16">
        <v>0</v>
      </c>
      <c r="BD247" s="16">
        <v>0</v>
      </c>
      <c r="BE247" s="16">
        <v>0</v>
      </c>
      <c r="BF247" s="16">
        <f t="shared" si="343"/>
        <v>0</v>
      </c>
      <c r="BG247" s="16">
        <v>0</v>
      </c>
      <c r="BH247" s="16">
        <v>0</v>
      </c>
      <c r="BI247" s="16">
        <v>0</v>
      </c>
      <c r="BJ247" s="16">
        <v>0</v>
      </c>
      <c r="BK247" s="16">
        <f t="shared" si="344"/>
        <v>0</v>
      </c>
      <c r="BL247" s="16">
        <v>0</v>
      </c>
      <c r="BM247" s="16">
        <f t="shared" si="345"/>
        <v>0</v>
      </c>
      <c r="BN247" s="16">
        <v>0</v>
      </c>
      <c r="BO247" s="16">
        <v>0</v>
      </c>
      <c r="BP247" s="16">
        <v>0</v>
      </c>
      <c r="BQ247" s="16">
        <v>0</v>
      </c>
      <c r="BR247" s="16">
        <v>0</v>
      </c>
      <c r="BS247" s="16">
        <v>0</v>
      </c>
      <c r="BT247" s="16">
        <v>0</v>
      </c>
      <c r="BU247" s="16">
        <v>0</v>
      </c>
      <c r="BV247" s="16">
        <v>0</v>
      </c>
      <c r="BW247" s="16">
        <v>0</v>
      </c>
      <c r="BX247" s="16">
        <v>0</v>
      </c>
      <c r="BY247" s="16">
        <f t="shared" si="390"/>
        <v>2674354</v>
      </c>
      <c r="BZ247" s="16">
        <f t="shared" si="391"/>
        <v>2674354</v>
      </c>
      <c r="CA247" s="16">
        <f t="shared" si="346"/>
        <v>2658354</v>
      </c>
      <c r="CB247" s="16">
        <v>0</v>
      </c>
      <c r="CC247" s="16">
        <f>1736965+921389</f>
        <v>2658354</v>
      </c>
      <c r="CD247" s="16">
        <f t="shared" si="347"/>
        <v>0</v>
      </c>
      <c r="CE247" s="16">
        <v>0</v>
      </c>
      <c r="CF247" s="16">
        <v>0</v>
      </c>
      <c r="CG247" s="16">
        <v>0</v>
      </c>
      <c r="CH247" s="16">
        <v>0</v>
      </c>
      <c r="CI247" s="16">
        <v>0</v>
      </c>
      <c r="CJ247" s="16">
        <v>0</v>
      </c>
      <c r="CK247" s="16">
        <f t="shared" si="348"/>
        <v>16000</v>
      </c>
      <c r="CL247" s="16">
        <v>0</v>
      </c>
      <c r="CM247" s="16">
        <v>0</v>
      </c>
      <c r="CN247" s="16">
        <v>16000</v>
      </c>
      <c r="CO247" s="16">
        <v>0</v>
      </c>
      <c r="CP247" s="16">
        <v>0</v>
      </c>
      <c r="CQ247" s="16"/>
      <c r="CR247" s="16"/>
      <c r="CS247" s="16">
        <v>0</v>
      </c>
      <c r="CT247" s="16">
        <f t="shared" si="349"/>
        <v>0</v>
      </c>
      <c r="CU247" s="16">
        <f t="shared" si="350"/>
        <v>0</v>
      </c>
      <c r="CV247" s="16">
        <v>0</v>
      </c>
      <c r="CW247" s="17">
        <v>0</v>
      </c>
      <c r="CX247" s="40"/>
      <c r="CY247" s="40"/>
    </row>
    <row r="248" spans="1:103" ht="15.75" x14ac:dyDescent="0.25">
      <c r="A248" s="13" t="s">
        <v>1</v>
      </c>
      <c r="B248" s="14" t="s">
        <v>1</v>
      </c>
      <c r="C248" s="14" t="s">
        <v>21</v>
      </c>
      <c r="D248" s="30" t="s">
        <v>264</v>
      </c>
      <c r="E248" s="15">
        <f t="shared" si="383"/>
        <v>4518750</v>
      </c>
      <c r="F248" s="16">
        <f t="shared" si="384"/>
        <v>4132904</v>
      </c>
      <c r="G248" s="16">
        <f t="shared" si="385"/>
        <v>4132904</v>
      </c>
      <c r="H248" s="16">
        <f>1171057+3642</f>
        <v>1174699</v>
      </c>
      <c r="I248" s="16">
        <f>292764+910</f>
        <v>293674</v>
      </c>
      <c r="J248" s="16">
        <f t="shared" si="341"/>
        <v>1392500</v>
      </c>
      <c r="K248" s="16">
        <f>503769+23000</f>
        <v>526769</v>
      </c>
      <c r="L248" s="16">
        <v>34492</v>
      </c>
      <c r="M248" s="16">
        <v>68680</v>
      </c>
      <c r="N248" s="16">
        <v>0</v>
      </c>
      <c r="O248" s="16">
        <f>169370+30000</f>
        <v>199370</v>
      </c>
      <c r="P248" s="16">
        <f>346964+216225</f>
        <v>563189</v>
      </c>
      <c r="Q248" s="16">
        <f t="shared" si="342"/>
        <v>31296</v>
      </c>
      <c r="R248" s="16">
        <v>26736</v>
      </c>
      <c r="S248" s="16">
        <v>4560</v>
      </c>
      <c r="T248" s="16">
        <v>0</v>
      </c>
      <c r="U248" s="16">
        <v>40606</v>
      </c>
      <c r="V248" s="16">
        <f t="shared" si="386"/>
        <v>301970</v>
      </c>
      <c r="W248" s="16">
        <v>29360</v>
      </c>
      <c r="X248" s="16">
        <f>75384+1384</f>
        <v>76768</v>
      </c>
      <c r="Y248" s="16">
        <f>135225+8073</f>
        <v>143298</v>
      </c>
      <c r="Z248" s="16">
        <f>33857+5904</f>
        <v>39761</v>
      </c>
      <c r="AA248" s="16">
        <v>8629</v>
      </c>
      <c r="AB248" s="16">
        <v>0</v>
      </c>
      <c r="AC248" s="16">
        <v>0</v>
      </c>
      <c r="AD248" s="16">
        <f>3967+187</f>
        <v>4154</v>
      </c>
      <c r="AE248" s="16">
        <f t="shared" si="387"/>
        <v>898159</v>
      </c>
      <c r="AF248" s="16">
        <v>0</v>
      </c>
      <c r="AG248" s="16">
        <v>70238</v>
      </c>
      <c r="AH248" s="16">
        <f>245938+50000</f>
        <v>295938</v>
      </c>
      <c r="AI248" s="16">
        <v>0</v>
      </c>
      <c r="AJ248" s="16">
        <v>43388</v>
      </c>
      <c r="AK248" s="16">
        <v>0</v>
      </c>
      <c r="AL248" s="16">
        <v>1848</v>
      </c>
      <c r="AM248" s="16">
        <v>22400</v>
      </c>
      <c r="AN248" s="16">
        <v>0</v>
      </c>
      <c r="AO248" s="16">
        <v>0</v>
      </c>
      <c r="AP248" s="16"/>
      <c r="AQ248" s="16">
        <v>0</v>
      </c>
      <c r="AR248" s="16">
        <v>5000</v>
      </c>
      <c r="AS248" s="16">
        <v>78000</v>
      </c>
      <c r="AT248" s="16">
        <v>0</v>
      </c>
      <c r="AU248" s="16">
        <v>0</v>
      </c>
      <c r="AV248" s="16">
        <v>0</v>
      </c>
      <c r="AW248" s="16">
        <v>0</v>
      </c>
      <c r="AX248" s="16">
        <v>0</v>
      </c>
      <c r="AY248" s="16"/>
      <c r="AZ248" s="16">
        <f>254907+126440</f>
        <v>381347</v>
      </c>
      <c r="BA248" s="16">
        <f t="shared" si="388"/>
        <v>0</v>
      </c>
      <c r="BB248" s="16">
        <f t="shared" si="389"/>
        <v>0</v>
      </c>
      <c r="BC248" s="16">
        <v>0</v>
      </c>
      <c r="BD248" s="16">
        <v>0</v>
      </c>
      <c r="BE248" s="16">
        <v>0</v>
      </c>
      <c r="BF248" s="16">
        <f t="shared" si="343"/>
        <v>0</v>
      </c>
      <c r="BG248" s="16">
        <v>0</v>
      </c>
      <c r="BH248" s="16">
        <v>0</v>
      </c>
      <c r="BI248" s="16">
        <v>0</v>
      </c>
      <c r="BJ248" s="16">
        <v>0</v>
      </c>
      <c r="BK248" s="16">
        <f t="shared" si="344"/>
        <v>0</v>
      </c>
      <c r="BL248" s="16">
        <v>0</v>
      </c>
      <c r="BM248" s="16">
        <f t="shared" si="345"/>
        <v>0</v>
      </c>
      <c r="BN248" s="16">
        <v>0</v>
      </c>
      <c r="BO248" s="16">
        <v>0</v>
      </c>
      <c r="BP248" s="16">
        <v>0</v>
      </c>
      <c r="BQ248" s="16">
        <v>0</v>
      </c>
      <c r="BR248" s="16">
        <v>0</v>
      </c>
      <c r="BS248" s="16">
        <v>0</v>
      </c>
      <c r="BT248" s="16">
        <v>0</v>
      </c>
      <c r="BU248" s="16">
        <v>0</v>
      </c>
      <c r="BV248" s="16">
        <v>0</v>
      </c>
      <c r="BW248" s="16">
        <v>0</v>
      </c>
      <c r="BX248" s="16">
        <v>0</v>
      </c>
      <c r="BY248" s="16">
        <f t="shared" si="390"/>
        <v>385846</v>
      </c>
      <c r="BZ248" s="16">
        <f t="shared" si="391"/>
        <v>385846</v>
      </c>
      <c r="CA248" s="16">
        <f t="shared" si="346"/>
        <v>385846</v>
      </c>
      <c r="CB248" s="16">
        <v>0</v>
      </c>
      <c r="CC248" s="16">
        <f>209311+176535</f>
        <v>385846</v>
      </c>
      <c r="CD248" s="16">
        <f t="shared" si="347"/>
        <v>0</v>
      </c>
      <c r="CE248" s="16">
        <v>0</v>
      </c>
      <c r="CF248" s="16">
        <v>0</v>
      </c>
      <c r="CG248" s="16">
        <v>0</v>
      </c>
      <c r="CH248" s="16">
        <v>0</v>
      </c>
      <c r="CI248" s="16">
        <v>0</v>
      </c>
      <c r="CJ248" s="16">
        <v>0</v>
      </c>
      <c r="CK248" s="16">
        <f t="shared" si="348"/>
        <v>0</v>
      </c>
      <c r="CL248" s="16">
        <v>0</v>
      </c>
      <c r="CM248" s="16">
        <v>0</v>
      </c>
      <c r="CN248" s="16">
        <v>0</v>
      </c>
      <c r="CO248" s="16">
        <v>0</v>
      </c>
      <c r="CP248" s="16">
        <v>0</v>
      </c>
      <c r="CQ248" s="16"/>
      <c r="CR248" s="16"/>
      <c r="CS248" s="16">
        <v>0</v>
      </c>
      <c r="CT248" s="16">
        <f t="shared" si="349"/>
        <v>0</v>
      </c>
      <c r="CU248" s="16">
        <f t="shared" si="350"/>
        <v>0</v>
      </c>
      <c r="CV248" s="16">
        <v>0</v>
      </c>
      <c r="CW248" s="17">
        <v>0</v>
      </c>
      <c r="CX248" s="40"/>
      <c r="CY248" s="40"/>
    </row>
    <row r="249" spans="1:103" ht="31.5" x14ac:dyDescent="0.25">
      <c r="A249" s="13" t="s">
        <v>1</v>
      </c>
      <c r="B249" s="14" t="s">
        <v>1</v>
      </c>
      <c r="C249" s="14" t="s">
        <v>23</v>
      </c>
      <c r="D249" s="30" t="s">
        <v>267</v>
      </c>
      <c r="E249" s="15">
        <f t="shared" si="383"/>
        <v>10239290</v>
      </c>
      <c r="F249" s="16">
        <f t="shared" si="384"/>
        <v>9767597</v>
      </c>
      <c r="G249" s="16">
        <f t="shared" si="385"/>
        <v>9767597</v>
      </c>
      <c r="H249" s="16">
        <f>3201919-87022</f>
        <v>3114897</v>
      </c>
      <c r="I249" s="16">
        <f>785595-21756</f>
        <v>763839</v>
      </c>
      <c r="J249" s="16">
        <f t="shared" si="341"/>
        <v>2660682</v>
      </c>
      <c r="K249" s="16">
        <v>22772</v>
      </c>
      <c r="L249" s="16">
        <v>64233</v>
      </c>
      <c r="M249" s="16">
        <v>1170842</v>
      </c>
      <c r="N249" s="16">
        <v>0</v>
      </c>
      <c r="O249" s="16">
        <f>656316-20000</f>
        <v>636316</v>
      </c>
      <c r="P249" s="16">
        <f>813679-47160</f>
        <v>766519</v>
      </c>
      <c r="Q249" s="16">
        <f t="shared" si="342"/>
        <v>34044</v>
      </c>
      <c r="R249" s="16">
        <f>35894-1850</f>
        <v>34044</v>
      </c>
      <c r="S249" s="16">
        <v>0</v>
      </c>
      <c r="T249" s="16">
        <v>0</v>
      </c>
      <c r="U249" s="16">
        <f>223302-10080</f>
        <v>213222</v>
      </c>
      <c r="V249" s="16">
        <f t="shared" si="386"/>
        <v>1820593</v>
      </c>
      <c r="W249" s="16">
        <f>39783-3142</f>
        <v>36641</v>
      </c>
      <c r="X249" s="16">
        <f>971707-71062</f>
        <v>900645</v>
      </c>
      <c r="Y249" s="16">
        <f>545053+1549</f>
        <v>546602</v>
      </c>
      <c r="Z249" s="16">
        <f>221669+13109</f>
        <v>234778</v>
      </c>
      <c r="AA249" s="16">
        <f>100678-1436</f>
        <v>99242</v>
      </c>
      <c r="AB249" s="16">
        <v>0</v>
      </c>
      <c r="AC249" s="16">
        <v>0</v>
      </c>
      <c r="AD249" s="16">
        <f>2671+14</f>
        <v>2685</v>
      </c>
      <c r="AE249" s="16">
        <f t="shared" si="387"/>
        <v>1160320</v>
      </c>
      <c r="AF249" s="16">
        <v>0</v>
      </c>
      <c r="AG249" s="16">
        <f>47708-6500</f>
        <v>41208</v>
      </c>
      <c r="AH249" s="16">
        <v>310338</v>
      </c>
      <c r="AI249" s="16">
        <v>60048</v>
      </c>
      <c r="AJ249" s="16">
        <f>117612-7208</f>
        <v>110404</v>
      </c>
      <c r="AK249" s="16">
        <v>0</v>
      </c>
      <c r="AL249" s="16">
        <f>17009-1000</f>
        <v>16009</v>
      </c>
      <c r="AM249" s="16">
        <f>52987-5000</f>
        <v>47987</v>
      </c>
      <c r="AN249" s="16">
        <v>0</v>
      </c>
      <c r="AO249" s="16">
        <v>1076</v>
      </c>
      <c r="AP249" s="16"/>
      <c r="AQ249" s="16">
        <v>0</v>
      </c>
      <c r="AR249" s="16">
        <v>0</v>
      </c>
      <c r="AS249" s="16">
        <v>0</v>
      </c>
      <c r="AT249" s="16">
        <v>0</v>
      </c>
      <c r="AU249" s="16">
        <v>0</v>
      </c>
      <c r="AV249" s="16">
        <v>0</v>
      </c>
      <c r="AW249" s="16">
        <v>0</v>
      </c>
      <c r="AX249" s="16">
        <v>0</v>
      </c>
      <c r="AY249" s="16"/>
      <c r="AZ249" s="16">
        <f>610507-37257</f>
        <v>573250</v>
      </c>
      <c r="BA249" s="16">
        <f t="shared" si="388"/>
        <v>0</v>
      </c>
      <c r="BB249" s="16">
        <f t="shared" si="389"/>
        <v>0</v>
      </c>
      <c r="BC249" s="16">
        <v>0</v>
      </c>
      <c r="BD249" s="16">
        <v>0</v>
      </c>
      <c r="BE249" s="16">
        <v>0</v>
      </c>
      <c r="BF249" s="16">
        <f t="shared" si="343"/>
        <v>0</v>
      </c>
      <c r="BG249" s="16">
        <v>0</v>
      </c>
      <c r="BH249" s="16">
        <v>0</v>
      </c>
      <c r="BI249" s="16">
        <v>0</v>
      </c>
      <c r="BJ249" s="16">
        <v>0</v>
      </c>
      <c r="BK249" s="16">
        <f t="shared" si="344"/>
        <v>0</v>
      </c>
      <c r="BL249" s="16">
        <v>0</v>
      </c>
      <c r="BM249" s="16">
        <f t="shared" si="345"/>
        <v>0</v>
      </c>
      <c r="BN249" s="16">
        <v>0</v>
      </c>
      <c r="BO249" s="16">
        <v>0</v>
      </c>
      <c r="BP249" s="16">
        <v>0</v>
      </c>
      <c r="BQ249" s="16">
        <v>0</v>
      </c>
      <c r="BR249" s="16">
        <v>0</v>
      </c>
      <c r="BS249" s="16">
        <v>0</v>
      </c>
      <c r="BT249" s="16">
        <v>0</v>
      </c>
      <c r="BU249" s="16">
        <v>0</v>
      </c>
      <c r="BV249" s="16">
        <v>0</v>
      </c>
      <c r="BW249" s="16">
        <v>0</v>
      </c>
      <c r="BX249" s="16">
        <v>0</v>
      </c>
      <c r="BY249" s="16">
        <f t="shared" si="390"/>
        <v>471693</v>
      </c>
      <c r="BZ249" s="16">
        <f t="shared" si="391"/>
        <v>471693</v>
      </c>
      <c r="CA249" s="16">
        <f t="shared" si="346"/>
        <v>330420</v>
      </c>
      <c r="CB249" s="16">
        <v>0</v>
      </c>
      <c r="CC249" s="16">
        <v>330420</v>
      </c>
      <c r="CD249" s="16">
        <f t="shared" si="347"/>
        <v>0</v>
      </c>
      <c r="CE249" s="16">
        <v>0</v>
      </c>
      <c r="CF249" s="16">
        <v>0</v>
      </c>
      <c r="CG249" s="16">
        <v>0</v>
      </c>
      <c r="CH249" s="16">
        <v>0</v>
      </c>
      <c r="CI249" s="16">
        <v>0</v>
      </c>
      <c r="CJ249" s="16">
        <v>0</v>
      </c>
      <c r="CK249" s="16">
        <f t="shared" si="348"/>
        <v>141273</v>
      </c>
      <c r="CL249" s="16">
        <v>0</v>
      </c>
      <c r="CM249" s="16">
        <v>0</v>
      </c>
      <c r="CN249" s="16">
        <f>156273-15000</f>
        <v>141273</v>
      </c>
      <c r="CO249" s="16">
        <v>0</v>
      </c>
      <c r="CP249" s="16">
        <v>0</v>
      </c>
      <c r="CQ249" s="16"/>
      <c r="CR249" s="16"/>
      <c r="CS249" s="16">
        <v>0</v>
      </c>
      <c r="CT249" s="16">
        <f t="shared" si="349"/>
        <v>0</v>
      </c>
      <c r="CU249" s="16">
        <f t="shared" si="350"/>
        <v>0</v>
      </c>
      <c r="CV249" s="16">
        <v>0</v>
      </c>
      <c r="CW249" s="17">
        <v>0</v>
      </c>
      <c r="CX249" s="40"/>
      <c r="CY249" s="40"/>
    </row>
    <row r="250" spans="1:103" ht="31.5" x14ac:dyDescent="0.25">
      <c r="A250" s="13" t="s">
        <v>1</v>
      </c>
      <c r="B250" s="14" t="s">
        <v>1</v>
      </c>
      <c r="C250" s="14" t="s">
        <v>25</v>
      </c>
      <c r="D250" s="30" t="s">
        <v>268</v>
      </c>
      <c r="E250" s="15">
        <f t="shared" si="383"/>
        <v>1250000</v>
      </c>
      <c r="F250" s="16">
        <f t="shared" si="384"/>
        <v>1222651</v>
      </c>
      <c r="G250" s="16">
        <f t="shared" si="385"/>
        <v>1222651</v>
      </c>
      <c r="H250" s="16">
        <v>309757</v>
      </c>
      <c r="I250" s="16">
        <v>73246</v>
      </c>
      <c r="J250" s="16">
        <f t="shared" si="341"/>
        <v>3057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f>3235-178</f>
        <v>3057</v>
      </c>
      <c r="Q250" s="16">
        <f t="shared" si="342"/>
        <v>0</v>
      </c>
      <c r="R250" s="16">
        <v>0</v>
      </c>
      <c r="S250" s="16">
        <v>0</v>
      </c>
      <c r="T250" s="16">
        <v>0</v>
      </c>
      <c r="U250" s="16">
        <v>8860</v>
      </c>
      <c r="V250" s="16">
        <f t="shared" si="386"/>
        <v>5082</v>
      </c>
      <c r="W250" s="16">
        <v>688</v>
      </c>
      <c r="X250" s="16">
        <f>2133+24</f>
        <v>2157</v>
      </c>
      <c r="Y250" s="16">
        <f>1821+109</f>
        <v>1930</v>
      </c>
      <c r="Z250" s="16">
        <f>262+45</f>
        <v>307</v>
      </c>
      <c r="AA250" s="16">
        <v>0</v>
      </c>
      <c r="AB250" s="16">
        <v>0</v>
      </c>
      <c r="AC250" s="16">
        <v>0</v>
      </c>
      <c r="AD250" s="16">
        <v>0</v>
      </c>
      <c r="AE250" s="16">
        <f t="shared" si="387"/>
        <v>822649</v>
      </c>
      <c r="AF250" s="16">
        <v>0</v>
      </c>
      <c r="AG250" s="16">
        <v>0</v>
      </c>
      <c r="AH250" s="16">
        <v>322</v>
      </c>
      <c r="AI250" s="16">
        <v>0</v>
      </c>
      <c r="AJ250" s="16">
        <v>0</v>
      </c>
      <c r="AK250" s="16">
        <v>0</v>
      </c>
      <c r="AL250" s="16">
        <v>1585</v>
      </c>
      <c r="AM250" s="16">
        <v>820582</v>
      </c>
      <c r="AN250" s="16">
        <v>0</v>
      </c>
      <c r="AO250" s="16">
        <v>0</v>
      </c>
      <c r="AP250" s="16">
        <v>0</v>
      </c>
      <c r="AQ250" s="16">
        <v>0</v>
      </c>
      <c r="AR250" s="16">
        <v>0</v>
      </c>
      <c r="AS250" s="16">
        <v>160</v>
      </c>
      <c r="AT250" s="16">
        <v>0</v>
      </c>
      <c r="AU250" s="16">
        <v>0</v>
      </c>
      <c r="AV250" s="16">
        <v>0</v>
      </c>
      <c r="AW250" s="16">
        <v>0</v>
      </c>
      <c r="AX250" s="16">
        <v>0</v>
      </c>
      <c r="AY250" s="16">
        <v>0</v>
      </c>
      <c r="AZ250" s="16">
        <v>0</v>
      </c>
      <c r="BA250" s="16">
        <f t="shared" si="388"/>
        <v>0</v>
      </c>
      <c r="BB250" s="16">
        <f t="shared" si="389"/>
        <v>0</v>
      </c>
      <c r="BC250" s="16">
        <v>0</v>
      </c>
      <c r="BD250" s="16">
        <v>0</v>
      </c>
      <c r="BE250" s="16">
        <v>0</v>
      </c>
      <c r="BF250" s="16">
        <f t="shared" si="343"/>
        <v>0</v>
      </c>
      <c r="BG250" s="16">
        <v>0</v>
      </c>
      <c r="BH250" s="16">
        <v>0</v>
      </c>
      <c r="BI250" s="16">
        <v>0</v>
      </c>
      <c r="BJ250" s="16">
        <v>0</v>
      </c>
      <c r="BK250" s="16">
        <f t="shared" si="344"/>
        <v>0</v>
      </c>
      <c r="BL250" s="16">
        <v>0</v>
      </c>
      <c r="BM250" s="16">
        <f t="shared" si="345"/>
        <v>0</v>
      </c>
      <c r="BN250" s="16">
        <v>0</v>
      </c>
      <c r="BO250" s="16">
        <v>0</v>
      </c>
      <c r="BP250" s="16">
        <v>0</v>
      </c>
      <c r="BQ250" s="16">
        <v>0</v>
      </c>
      <c r="BR250" s="16">
        <v>0</v>
      </c>
      <c r="BS250" s="16">
        <v>0</v>
      </c>
      <c r="BT250" s="16">
        <v>0</v>
      </c>
      <c r="BU250" s="16">
        <v>0</v>
      </c>
      <c r="BV250" s="16">
        <v>0</v>
      </c>
      <c r="BW250" s="16">
        <v>0</v>
      </c>
      <c r="BX250" s="16">
        <v>0</v>
      </c>
      <c r="BY250" s="16">
        <f t="shared" si="390"/>
        <v>27349</v>
      </c>
      <c r="BZ250" s="16">
        <f t="shared" si="391"/>
        <v>27349</v>
      </c>
      <c r="CA250" s="16">
        <f t="shared" si="346"/>
        <v>27349</v>
      </c>
      <c r="CB250" s="16">
        <v>0</v>
      </c>
      <c r="CC250" s="16">
        <v>27349</v>
      </c>
      <c r="CD250" s="16">
        <f t="shared" si="347"/>
        <v>0</v>
      </c>
      <c r="CE250" s="16">
        <v>0</v>
      </c>
      <c r="CF250" s="16">
        <v>0</v>
      </c>
      <c r="CG250" s="16">
        <v>0</v>
      </c>
      <c r="CH250" s="16">
        <v>0</v>
      </c>
      <c r="CI250" s="16">
        <v>0</v>
      </c>
      <c r="CJ250" s="16">
        <v>0</v>
      </c>
      <c r="CK250" s="16">
        <f t="shared" si="348"/>
        <v>0</v>
      </c>
      <c r="CL250" s="16">
        <v>0</v>
      </c>
      <c r="CM250" s="16">
        <v>0</v>
      </c>
      <c r="CN250" s="16">
        <v>0</v>
      </c>
      <c r="CO250" s="16">
        <v>0</v>
      </c>
      <c r="CP250" s="16">
        <v>0</v>
      </c>
      <c r="CQ250" s="16">
        <v>0</v>
      </c>
      <c r="CR250" s="16">
        <v>0</v>
      </c>
      <c r="CS250" s="16">
        <v>0</v>
      </c>
      <c r="CT250" s="16">
        <f t="shared" si="349"/>
        <v>0</v>
      </c>
      <c r="CU250" s="16">
        <f t="shared" si="350"/>
        <v>0</v>
      </c>
      <c r="CV250" s="16">
        <v>0</v>
      </c>
      <c r="CW250" s="17">
        <v>0</v>
      </c>
      <c r="CX250" s="40"/>
      <c r="CY250" s="40"/>
    </row>
    <row r="251" spans="1:103" ht="15.75" x14ac:dyDescent="0.25">
      <c r="A251" s="13" t="s">
        <v>1</v>
      </c>
      <c r="B251" s="14" t="s">
        <v>1</v>
      </c>
      <c r="C251" s="14" t="s">
        <v>91</v>
      </c>
      <c r="D251" s="30" t="s">
        <v>269</v>
      </c>
      <c r="E251" s="15">
        <f t="shared" si="383"/>
        <v>50741867</v>
      </c>
      <c r="F251" s="16">
        <f t="shared" si="384"/>
        <v>47152995</v>
      </c>
      <c r="G251" s="16">
        <f t="shared" si="385"/>
        <v>47152995</v>
      </c>
      <c r="H251" s="16">
        <f>30643991+470263</f>
        <v>31114254</v>
      </c>
      <c r="I251" s="16">
        <f>2871781+128195</f>
        <v>2999976</v>
      </c>
      <c r="J251" s="16">
        <f t="shared" si="341"/>
        <v>7953757</v>
      </c>
      <c r="K251" s="16">
        <v>111332</v>
      </c>
      <c r="L251" s="16">
        <f>1681337+30000</f>
        <v>1711337</v>
      </c>
      <c r="M251" s="16">
        <v>410434</v>
      </c>
      <c r="N251" s="16">
        <v>0</v>
      </c>
      <c r="O251" s="16">
        <f>2630665-14082</f>
        <v>2616583</v>
      </c>
      <c r="P251" s="16">
        <f>3082387+21684</f>
        <v>3104071</v>
      </c>
      <c r="Q251" s="16">
        <f t="shared" si="342"/>
        <v>151230</v>
      </c>
      <c r="R251" s="16">
        <v>31230</v>
      </c>
      <c r="S251" s="16">
        <v>120000</v>
      </c>
      <c r="T251" s="16">
        <v>0</v>
      </c>
      <c r="U251" s="16">
        <f>367942+50000</f>
        <v>417942</v>
      </c>
      <c r="V251" s="16">
        <f t="shared" si="386"/>
        <v>499610</v>
      </c>
      <c r="W251" s="16">
        <f>68156+6000</f>
        <v>74156</v>
      </c>
      <c r="X251" s="16">
        <f>193659-62552</f>
        <v>131107</v>
      </c>
      <c r="Y251" s="16">
        <f>146584-3011</f>
        <v>143573</v>
      </c>
      <c r="Z251" s="16">
        <f>81199+14207</f>
        <v>95406</v>
      </c>
      <c r="AA251" s="16">
        <v>26040</v>
      </c>
      <c r="AB251" s="16">
        <v>16724</v>
      </c>
      <c r="AC251" s="16">
        <v>0</v>
      </c>
      <c r="AD251" s="16">
        <f>8536+4068</f>
        <v>12604</v>
      </c>
      <c r="AE251" s="16">
        <f t="shared" si="387"/>
        <v>4016226</v>
      </c>
      <c r="AF251" s="16">
        <v>0</v>
      </c>
      <c r="AG251" s="16">
        <v>225498</v>
      </c>
      <c r="AH251" s="16">
        <f>701512+589106</f>
        <v>1290618</v>
      </c>
      <c r="AI251" s="16">
        <v>49914</v>
      </c>
      <c r="AJ251" s="16">
        <f>46162+13776</f>
        <v>59938</v>
      </c>
      <c r="AK251" s="16">
        <v>7380</v>
      </c>
      <c r="AL251" s="16">
        <v>8868</v>
      </c>
      <c r="AM251" s="16">
        <v>34163</v>
      </c>
      <c r="AN251" s="16">
        <v>0</v>
      </c>
      <c r="AO251" s="16">
        <v>0</v>
      </c>
      <c r="AP251" s="16">
        <v>0</v>
      </c>
      <c r="AQ251" s="16">
        <f>72307+17000</f>
        <v>89307</v>
      </c>
      <c r="AR251" s="16">
        <v>0</v>
      </c>
      <c r="AS251" s="16">
        <v>109300</v>
      </c>
      <c r="AT251" s="16">
        <v>0</v>
      </c>
      <c r="AU251" s="16">
        <v>0</v>
      </c>
      <c r="AV251" s="16">
        <v>0</v>
      </c>
      <c r="AW251" s="16">
        <v>1588691</v>
      </c>
      <c r="AX251" s="16">
        <v>0</v>
      </c>
      <c r="AY251" s="16">
        <v>0</v>
      </c>
      <c r="AZ251" s="16">
        <f>532526+20023</f>
        <v>552549</v>
      </c>
      <c r="BA251" s="16">
        <f t="shared" si="388"/>
        <v>0</v>
      </c>
      <c r="BB251" s="16">
        <f t="shared" si="389"/>
        <v>0</v>
      </c>
      <c r="BC251" s="16">
        <v>0</v>
      </c>
      <c r="BD251" s="16">
        <v>0</v>
      </c>
      <c r="BE251" s="16">
        <v>0</v>
      </c>
      <c r="BF251" s="16">
        <f t="shared" si="343"/>
        <v>0</v>
      </c>
      <c r="BG251" s="16">
        <v>0</v>
      </c>
      <c r="BH251" s="16">
        <v>0</v>
      </c>
      <c r="BI251" s="16">
        <v>0</v>
      </c>
      <c r="BJ251" s="16">
        <v>0</v>
      </c>
      <c r="BK251" s="16">
        <f t="shared" si="344"/>
        <v>0</v>
      </c>
      <c r="BL251" s="16">
        <v>0</v>
      </c>
      <c r="BM251" s="16">
        <f t="shared" si="345"/>
        <v>0</v>
      </c>
      <c r="BN251" s="16">
        <v>0</v>
      </c>
      <c r="BO251" s="16">
        <v>0</v>
      </c>
      <c r="BP251" s="16">
        <v>0</v>
      </c>
      <c r="BQ251" s="16">
        <v>0</v>
      </c>
      <c r="BR251" s="16">
        <v>0</v>
      </c>
      <c r="BS251" s="16">
        <v>0</v>
      </c>
      <c r="BT251" s="16">
        <v>0</v>
      </c>
      <c r="BU251" s="16">
        <v>0</v>
      </c>
      <c r="BV251" s="16">
        <v>0</v>
      </c>
      <c r="BW251" s="16">
        <v>0</v>
      </c>
      <c r="BX251" s="16">
        <v>0</v>
      </c>
      <c r="BY251" s="16">
        <f t="shared" si="390"/>
        <v>3588872</v>
      </c>
      <c r="BZ251" s="16">
        <f t="shared" si="391"/>
        <v>3588872</v>
      </c>
      <c r="CA251" s="16">
        <f t="shared" si="346"/>
        <v>1813750</v>
      </c>
      <c r="CB251" s="16">
        <v>0</v>
      </c>
      <c r="CC251" s="16">
        <f>1228526+585224</f>
        <v>1813750</v>
      </c>
      <c r="CD251" s="16">
        <f t="shared" si="347"/>
        <v>800000</v>
      </c>
      <c r="CE251" s="16">
        <v>0</v>
      </c>
      <c r="CF251" s="16">
        <v>0</v>
      </c>
      <c r="CG251" s="16">
        <v>0</v>
      </c>
      <c r="CH251" s="16">
        <v>800000</v>
      </c>
      <c r="CI251" s="16">
        <v>0</v>
      </c>
      <c r="CJ251" s="16">
        <v>0</v>
      </c>
      <c r="CK251" s="16">
        <f t="shared" si="348"/>
        <v>975122</v>
      </c>
      <c r="CL251" s="16">
        <v>0</v>
      </c>
      <c r="CM251" s="16">
        <v>0</v>
      </c>
      <c r="CN251" s="16">
        <v>0</v>
      </c>
      <c r="CO251" s="16">
        <f>987827-12705</f>
        <v>975122</v>
      </c>
      <c r="CP251" s="16">
        <v>0</v>
      </c>
      <c r="CQ251" s="16">
        <v>0</v>
      </c>
      <c r="CR251" s="16">
        <v>0</v>
      </c>
      <c r="CS251" s="16">
        <v>0</v>
      </c>
      <c r="CT251" s="16">
        <f t="shared" si="349"/>
        <v>0</v>
      </c>
      <c r="CU251" s="16">
        <f t="shared" si="350"/>
        <v>0</v>
      </c>
      <c r="CV251" s="16">
        <v>0</v>
      </c>
      <c r="CW251" s="17">
        <v>0</v>
      </c>
      <c r="CX251" s="40"/>
      <c r="CY251" s="40"/>
    </row>
    <row r="252" spans="1:103" ht="31.5" x14ac:dyDescent="0.25">
      <c r="A252" s="13" t="s">
        <v>1</v>
      </c>
      <c r="B252" s="14" t="s">
        <v>1</v>
      </c>
      <c r="C252" s="14" t="s">
        <v>29</v>
      </c>
      <c r="D252" s="30" t="s">
        <v>273</v>
      </c>
      <c r="E252" s="15">
        <f t="shared" si="383"/>
        <v>3140489</v>
      </c>
      <c r="F252" s="16">
        <f t="shared" si="384"/>
        <v>3050489</v>
      </c>
      <c r="G252" s="16">
        <f t="shared" si="385"/>
        <v>3050489</v>
      </c>
      <c r="H252" s="16">
        <f>899765+77314</f>
        <v>977079</v>
      </c>
      <c r="I252" s="16">
        <f>224941+19328</f>
        <v>244269</v>
      </c>
      <c r="J252" s="16">
        <f>SUM(K252:P252)</f>
        <v>793444</v>
      </c>
      <c r="K252" s="16">
        <v>0</v>
      </c>
      <c r="L252" s="16">
        <v>0</v>
      </c>
      <c r="M252" s="16">
        <v>0</v>
      </c>
      <c r="N252" s="16">
        <v>0</v>
      </c>
      <c r="O252" s="16">
        <f>480000+5000</f>
        <v>485000</v>
      </c>
      <c r="P252" s="16">
        <f>259500+48944</f>
        <v>308444</v>
      </c>
      <c r="Q252" s="16">
        <f>SUM(R252:S252)</f>
        <v>55000</v>
      </c>
      <c r="R252" s="16">
        <v>0</v>
      </c>
      <c r="S252" s="16">
        <v>55000</v>
      </c>
      <c r="T252" s="16">
        <f>25000+1800</f>
        <v>26800</v>
      </c>
      <c r="U252" s="16">
        <v>32000</v>
      </c>
      <c r="V252" s="16">
        <f t="shared" si="386"/>
        <v>51821</v>
      </c>
      <c r="W252" s="16">
        <v>0</v>
      </c>
      <c r="X252" s="16">
        <v>0</v>
      </c>
      <c r="Y252" s="16">
        <f>0+10000</f>
        <v>10000</v>
      </c>
      <c r="Z252" s="16">
        <f>0+11500</f>
        <v>11500</v>
      </c>
      <c r="AA252" s="16">
        <v>23200</v>
      </c>
      <c r="AB252" s="16">
        <f>2000+2400</f>
        <v>4400</v>
      </c>
      <c r="AC252" s="16">
        <v>0</v>
      </c>
      <c r="AD252" s="16">
        <f>2178+543</f>
        <v>2721</v>
      </c>
      <c r="AE252" s="16">
        <f>SUM(AF252:AZ252)</f>
        <v>870076</v>
      </c>
      <c r="AF252" s="16">
        <v>335000</v>
      </c>
      <c r="AG252" s="16">
        <f>12300+11320</f>
        <v>23620</v>
      </c>
      <c r="AH252" s="16">
        <f>55200+30000</f>
        <v>85200</v>
      </c>
      <c r="AI252" s="16">
        <v>0</v>
      </c>
      <c r="AJ252" s="16">
        <v>20268</v>
      </c>
      <c r="AK252" s="16">
        <v>0</v>
      </c>
      <c r="AL252" s="16">
        <f>13400+1500</f>
        <v>14900</v>
      </c>
      <c r="AM252" s="16">
        <v>23000</v>
      </c>
      <c r="AN252" s="16">
        <v>0</v>
      </c>
      <c r="AO252" s="16">
        <v>0</v>
      </c>
      <c r="AP252" s="16">
        <v>0</v>
      </c>
      <c r="AQ252" s="16">
        <v>0</v>
      </c>
      <c r="AR252" s="16">
        <v>0</v>
      </c>
      <c r="AS252" s="16">
        <f>0+4000</f>
        <v>4000</v>
      </c>
      <c r="AT252" s="16">
        <v>0</v>
      </c>
      <c r="AU252" s="16">
        <v>0</v>
      </c>
      <c r="AV252" s="16">
        <v>0</v>
      </c>
      <c r="AW252" s="16">
        <v>0</v>
      </c>
      <c r="AX252" s="16">
        <v>0</v>
      </c>
      <c r="AY252" s="16">
        <v>0</v>
      </c>
      <c r="AZ252" s="16">
        <f>354088+10000</f>
        <v>364088</v>
      </c>
      <c r="BA252" s="16">
        <f t="shared" si="388"/>
        <v>0</v>
      </c>
      <c r="BB252" s="16">
        <f t="shared" si="389"/>
        <v>0</v>
      </c>
      <c r="BC252" s="16">
        <v>0</v>
      </c>
      <c r="BD252" s="16">
        <v>0</v>
      </c>
      <c r="BE252" s="16">
        <v>0</v>
      </c>
      <c r="BF252" s="16">
        <f>SUM(BG252:BH252)</f>
        <v>0</v>
      </c>
      <c r="BG252" s="16">
        <v>0</v>
      </c>
      <c r="BH252" s="16">
        <v>0</v>
      </c>
      <c r="BI252" s="16">
        <v>0</v>
      </c>
      <c r="BJ252" s="16">
        <v>0</v>
      </c>
      <c r="BK252" s="16">
        <f>SUM(BL252)</f>
        <v>0</v>
      </c>
      <c r="BL252" s="16">
        <v>0</v>
      </c>
      <c r="BM252" s="16">
        <f>SUM(BN252:BX252)</f>
        <v>0</v>
      </c>
      <c r="BN252" s="16">
        <v>0</v>
      </c>
      <c r="BO252" s="16">
        <v>0</v>
      </c>
      <c r="BP252" s="16">
        <v>0</v>
      </c>
      <c r="BQ252" s="16">
        <v>0</v>
      </c>
      <c r="BR252" s="16">
        <v>0</v>
      </c>
      <c r="BS252" s="16">
        <v>0</v>
      </c>
      <c r="BT252" s="16">
        <v>0</v>
      </c>
      <c r="BU252" s="16">
        <v>0</v>
      </c>
      <c r="BV252" s="16">
        <v>0</v>
      </c>
      <c r="BW252" s="16">
        <v>0</v>
      </c>
      <c r="BX252" s="16">
        <v>0</v>
      </c>
      <c r="BY252" s="16">
        <f t="shared" si="390"/>
        <v>90000</v>
      </c>
      <c r="BZ252" s="16">
        <f t="shared" si="391"/>
        <v>90000</v>
      </c>
      <c r="CA252" s="16">
        <f>SUM(CB252:CC252)</f>
        <v>90000</v>
      </c>
      <c r="CB252" s="16">
        <v>0</v>
      </c>
      <c r="CC252" s="16">
        <f>60000+30000</f>
        <v>90000</v>
      </c>
      <c r="CD252" s="16">
        <f>SUM(CE252:CI252)</f>
        <v>0</v>
      </c>
      <c r="CE252" s="16">
        <v>0</v>
      </c>
      <c r="CF252" s="16">
        <v>0</v>
      </c>
      <c r="CG252" s="16">
        <v>0</v>
      </c>
      <c r="CH252" s="16">
        <v>0</v>
      </c>
      <c r="CI252" s="16">
        <v>0</v>
      </c>
      <c r="CJ252" s="16">
        <v>0</v>
      </c>
      <c r="CK252" s="16">
        <f>SUM(CL252:CP252)</f>
        <v>0</v>
      </c>
      <c r="CL252" s="16">
        <v>0</v>
      </c>
      <c r="CM252" s="16">
        <v>0</v>
      </c>
      <c r="CN252" s="16">
        <v>0</v>
      </c>
      <c r="CO252" s="16">
        <v>0</v>
      </c>
      <c r="CP252" s="16">
        <v>0</v>
      </c>
      <c r="CQ252" s="16">
        <v>0</v>
      </c>
      <c r="CR252" s="16">
        <v>0</v>
      </c>
      <c r="CS252" s="16">
        <v>0</v>
      </c>
      <c r="CT252" s="16">
        <f>SUM(CU252)</f>
        <v>0</v>
      </c>
      <c r="CU252" s="16">
        <f>SUM(CV252:CW252)</f>
        <v>0</v>
      </c>
      <c r="CV252" s="16">
        <v>0</v>
      </c>
      <c r="CW252" s="17">
        <v>0</v>
      </c>
      <c r="CX252" s="40"/>
      <c r="CY252" s="40"/>
    </row>
    <row r="253" spans="1:103" ht="31.5" x14ac:dyDescent="0.25">
      <c r="A253" s="13" t="s">
        <v>1</v>
      </c>
      <c r="B253" s="14" t="s">
        <v>1</v>
      </c>
      <c r="C253" s="14" t="s">
        <v>29</v>
      </c>
      <c r="D253" s="30" t="s">
        <v>274</v>
      </c>
      <c r="E253" s="15">
        <f t="shared" si="383"/>
        <v>17945005</v>
      </c>
      <c r="F253" s="16">
        <f t="shared" si="384"/>
        <v>17545005</v>
      </c>
      <c r="G253" s="16">
        <f t="shared" si="385"/>
        <v>17545005</v>
      </c>
      <c r="H253" s="16">
        <f>2500000+1134995</f>
        <v>3634995</v>
      </c>
      <c r="I253" s="16">
        <f>625000+283748</f>
        <v>908748</v>
      </c>
      <c r="J253" s="16">
        <f>SUM(K253:P253)</f>
        <v>1857226</v>
      </c>
      <c r="K253" s="16">
        <v>0</v>
      </c>
      <c r="L253" s="16">
        <v>200000</v>
      </c>
      <c r="M253" s="16">
        <v>0</v>
      </c>
      <c r="N253" s="16">
        <v>0</v>
      </c>
      <c r="O253" s="16">
        <v>952226</v>
      </c>
      <c r="P253" s="16">
        <v>705000</v>
      </c>
      <c r="Q253" s="16">
        <f>SUM(R253:S253)</f>
        <v>0</v>
      </c>
      <c r="R253" s="16">
        <v>0</v>
      </c>
      <c r="S253" s="16">
        <v>0</v>
      </c>
      <c r="T253" s="16">
        <v>0</v>
      </c>
      <c r="U253" s="16">
        <f>80853+10000</f>
        <v>90853</v>
      </c>
      <c r="V253" s="16">
        <f t="shared" si="386"/>
        <v>9034602</v>
      </c>
      <c r="W253" s="16">
        <v>0</v>
      </c>
      <c r="X253" s="16">
        <f>12473+144</f>
        <v>12617</v>
      </c>
      <c r="Y253" s="16">
        <f>7011562+2000500</f>
        <v>9012062</v>
      </c>
      <c r="Z253" s="16">
        <f>2668+463</f>
        <v>3131</v>
      </c>
      <c r="AA253" s="16">
        <v>3348</v>
      </c>
      <c r="AB253" s="16">
        <v>0</v>
      </c>
      <c r="AC253" s="16">
        <v>0</v>
      </c>
      <c r="AD253" s="16">
        <f>3289+155</f>
        <v>3444</v>
      </c>
      <c r="AE253" s="16">
        <f>SUM(AF253:AZ253)</f>
        <v>2018581</v>
      </c>
      <c r="AF253" s="16">
        <v>0</v>
      </c>
      <c r="AG253" s="16">
        <v>353062</v>
      </c>
      <c r="AH253" s="16">
        <v>693395</v>
      </c>
      <c r="AI253" s="16">
        <v>0</v>
      </c>
      <c r="AJ253" s="16">
        <v>12729</v>
      </c>
      <c r="AK253" s="16">
        <v>0</v>
      </c>
      <c r="AL253" s="16">
        <f>15099+15000</f>
        <v>30099</v>
      </c>
      <c r="AM253" s="16">
        <v>0</v>
      </c>
      <c r="AN253" s="16">
        <v>0</v>
      </c>
      <c r="AO253" s="16">
        <v>0</v>
      </c>
      <c r="AP253" s="16">
        <v>0</v>
      </c>
      <c r="AQ253" s="16">
        <v>0</v>
      </c>
      <c r="AR253" s="16">
        <v>0</v>
      </c>
      <c r="AS253" s="16">
        <v>0</v>
      </c>
      <c r="AT253" s="16">
        <v>0</v>
      </c>
      <c r="AU253" s="16">
        <v>0</v>
      </c>
      <c r="AV253" s="16">
        <v>0</v>
      </c>
      <c r="AW253" s="16">
        <v>0</v>
      </c>
      <c r="AX253" s="16">
        <v>0</v>
      </c>
      <c r="AY253" s="16">
        <v>0</v>
      </c>
      <c r="AZ253" s="16">
        <v>929296</v>
      </c>
      <c r="BA253" s="16">
        <f t="shared" si="388"/>
        <v>0</v>
      </c>
      <c r="BB253" s="16">
        <f t="shared" si="389"/>
        <v>0</v>
      </c>
      <c r="BC253" s="16">
        <v>0</v>
      </c>
      <c r="BD253" s="16">
        <v>0</v>
      </c>
      <c r="BE253" s="16">
        <v>0</v>
      </c>
      <c r="BF253" s="16">
        <f>SUM(BG253:BH253)</f>
        <v>0</v>
      </c>
      <c r="BG253" s="16">
        <v>0</v>
      </c>
      <c r="BH253" s="16">
        <v>0</v>
      </c>
      <c r="BI253" s="16">
        <v>0</v>
      </c>
      <c r="BJ253" s="16">
        <v>0</v>
      </c>
      <c r="BK253" s="16">
        <f>SUM(BL253)</f>
        <v>0</v>
      </c>
      <c r="BL253" s="16">
        <v>0</v>
      </c>
      <c r="BM253" s="16">
        <f>SUM(BN253:BX253)</f>
        <v>0</v>
      </c>
      <c r="BN253" s="16">
        <v>0</v>
      </c>
      <c r="BO253" s="16">
        <v>0</v>
      </c>
      <c r="BP253" s="16">
        <v>0</v>
      </c>
      <c r="BQ253" s="16">
        <v>0</v>
      </c>
      <c r="BR253" s="16">
        <v>0</v>
      </c>
      <c r="BS253" s="16">
        <v>0</v>
      </c>
      <c r="BT253" s="16">
        <v>0</v>
      </c>
      <c r="BU253" s="16">
        <v>0</v>
      </c>
      <c r="BV253" s="16">
        <v>0</v>
      </c>
      <c r="BW253" s="16">
        <v>0</v>
      </c>
      <c r="BX253" s="16">
        <v>0</v>
      </c>
      <c r="BY253" s="16">
        <f t="shared" si="390"/>
        <v>400000</v>
      </c>
      <c r="BZ253" s="16">
        <f t="shared" si="391"/>
        <v>400000</v>
      </c>
      <c r="CA253" s="16">
        <f>SUM(CB253:CC253)</f>
        <v>400000</v>
      </c>
      <c r="CB253" s="16">
        <v>0</v>
      </c>
      <c r="CC253" s="16">
        <v>400000</v>
      </c>
      <c r="CD253" s="16">
        <f>SUM(CE253:CI253)</f>
        <v>0</v>
      </c>
      <c r="CE253" s="16">
        <v>0</v>
      </c>
      <c r="CF253" s="16">
        <v>0</v>
      </c>
      <c r="CG253" s="16">
        <v>0</v>
      </c>
      <c r="CH253" s="16">
        <v>0</v>
      </c>
      <c r="CI253" s="16">
        <v>0</v>
      </c>
      <c r="CJ253" s="16">
        <v>0</v>
      </c>
      <c r="CK253" s="16">
        <f>SUM(CL253:CP253)</f>
        <v>0</v>
      </c>
      <c r="CL253" s="16">
        <v>0</v>
      </c>
      <c r="CM253" s="16">
        <v>0</v>
      </c>
      <c r="CN253" s="16">
        <v>0</v>
      </c>
      <c r="CO253" s="16">
        <v>0</v>
      </c>
      <c r="CP253" s="16">
        <v>0</v>
      </c>
      <c r="CQ253" s="16">
        <v>0</v>
      </c>
      <c r="CR253" s="16">
        <v>0</v>
      </c>
      <c r="CS253" s="16">
        <v>0</v>
      </c>
      <c r="CT253" s="16">
        <f>SUM(CU253)</f>
        <v>0</v>
      </c>
      <c r="CU253" s="16">
        <f>SUM(CV253:CW253)</f>
        <v>0</v>
      </c>
      <c r="CV253" s="16">
        <v>0</v>
      </c>
      <c r="CW253" s="17">
        <v>0</v>
      </c>
      <c r="CX253" s="40"/>
      <c r="CY253" s="40"/>
    </row>
    <row r="254" spans="1:103" ht="31.5" x14ac:dyDescent="0.25">
      <c r="A254" s="13" t="s">
        <v>1</v>
      </c>
      <c r="B254" s="14" t="s">
        <v>1</v>
      </c>
      <c r="C254" s="14" t="s">
        <v>29</v>
      </c>
      <c r="D254" s="30" t="s">
        <v>272</v>
      </c>
      <c r="E254" s="15">
        <f t="shared" si="383"/>
        <v>14296150</v>
      </c>
      <c r="F254" s="16">
        <f t="shared" si="384"/>
        <v>13557331</v>
      </c>
      <c r="G254" s="16">
        <f t="shared" si="385"/>
        <v>13557331</v>
      </c>
      <c r="H254" s="16">
        <f>4216619+641490</f>
        <v>4858109</v>
      </c>
      <c r="I254" s="16">
        <f>1054155+160372</f>
        <v>1214527</v>
      </c>
      <c r="J254" s="16">
        <f t="shared" si="341"/>
        <v>2940943</v>
      </c>
      <c r="K254" s="16">
        <v>1500000</v>
      </c>
      <c r="L254" s="16">
        <v>0</v>
      </c>
      <c r="M254" s="16">
        <v>5000</v>
      </c>
      <c r="N254" s="16">
        <v>0</v>
      </c>
      <c r="O254" s="16">
        <v>863921</v>
      </c>
      <c r="P254" s="16">
        <v>572022</v>
      </c>
      <c r="Q254" s="16">
        <f t="shared" si="342"/>
        <v>41526</v>
      </c>
      <c r="R254" s="16">
        <v>400</v>
      </c>
      <c r="S254" s="16">
        <v>41126</v>
      </c>
      <c r="T254" s="16">
        <v>0</v>
      </c>
      <c r="U254" s="16">
        <v>116016</v>
      </c>
      <c r="V254" s="16">
        <f t="shared" si="386"/>
        <v>299415</v>
      </c>
      <c r="W254" s="16">
        <v>0</v>
      </c>
      <c r="X254" s="16">
        <f>77845+13814</f>
        <v>91659</v>
      </c>
      <c r="Y254" s="16">
        <f>91975+30491</f>
        <v>122466</v>
      </c>
      <c r="Z254" s="16">
        <f>5832+15015</f>
        <v>20847</v>
      </c>
      <c r="AA254" s="16">
        <v>26818</v>
      </c>
      <c r="AB254" s="16">
        <v>2000</v>
      </c>
      <c r="AC254" s="16">
        <v>0</v>
      </c>
      <c r="AD254" s="16">
        <f>20128+15497</f>
        <v>35625</v>
      </c>
      <c r="AE254" s="16">
        <f t="shared" si="387"/>
        <v>4086795</v>
      </c>
      <c r="AF254" s="16">
        <v>0</v>
      </c>
      <c r="AG254" s="16">
        <v>50600</v>
      </c>
      <c r="AH254" s="16">
        <v>999956</v>
      </c>
      <c r="AI254" s="16">
        <v>0</v>
      </c>
      <c r="AJ254" s="16">
        <v>31562</v>
      </c>
      <c r="AK254" s="16">
        <v>0</v>
      </c>
      <c r="AL254" s="16">
        <v>41126</v>
      </c>
      <c r="AM254" s="16">
        <v>200000</v>
      </c>
      <c r="AN254" s="16">
        <v>0</v>
      </c>
      <c r="AO254" s="16">
        <v>0</v>
      </c>
      <c r="AP254" s="16">
        <v>0</v>
      </c>
      <c r="AQ254" s="16">
        <v>0</v>
      </c>
      <c r="AR254" s="16">
        <v>46774</v>
      </c>
      <c r="AS254" s="16">
        <v>0</v>
      </c>
      <c r="AT254" s="16">
        <v>0</v>
      </c>
      <c r="AU254" s="16">
        <v>0</v>
      </c>
      <c r="AV254" s="16">
        <v>0</v>
      </c>
      <c r="AW254" s="16">
        <v>0</v>
      </c>
      <c r="AX254" s="16">
        <v>0</v>
      </c>
      <c r="AY254" s="16">
        <v>0</v>
      </c>
      <c r="AZ254" s="16">
        <v>2716777</v>
      </c>
      <c r="BA254" s="16">
        <f t="shared" si="388"/>
        <v>0</v>
      </c>
      <c r="BB254" s="16">
        <f t="shared" si="389"/>
        <v>0</v>
      </c>
      <c r="BC254" s="16">
        <v>0</v>
      </c>
      <c r="BD254" s="16">
        <v>0</v>
      </c>
      <c r="BE254" s="16">
        <v>0</v>
      </c>
      <c r="BF254" s="16">
        <f t="shared" si="343"/>
        <v>0</v>
      </c>
      <c r="BG254" s="16">
        <v>0</v>
      </c>
      <c r="BH254" s="16">
        <v>0</v>
      </c>
      <c r="BI254" s="16">
        <v>0</v>
      </c>
      <c r="BJ254" s="16">
        <v>0</v>
      </c>
      <c r="BK254" s="16">
        <f t="shared" si="344"/>
        <v>0</v>
      </c>
      <c r="BL254" s="16">
        <v>0</v>
      </c>
      <c r="BM254" s="16">
        <f t="shared" si="345"/>
        <v>0</v>
      </c>
      <c r="BN254" s="16">
        <v>0</v>
      </c>
      <c r="BO254" s="16">
        <v>0</v>
      </c>
      <c r="BP254" s="16">
        <v>0</v>
      </c>
      <c r="BQ254" s="16">
        <v>0</v>
      </c>
      <c r="BR254" s="16">
        <v>0</v>
      </c>
      <c r="BS254" s="16">
        <v>0</v>
      </c>
      <c r="BT254" s="16">
        <v>0</v>
      </c>
      <c r="BU254" s="16">
        <v>0</v>
      </c>
      <c r="BV254" s="16">
        <v>0</v>
      </c>
      <c r="BW254" s="16">
        <v>0</v>
      </c>
      <c r="BX254" s="16">
        <v>0</v>
      </c>
      <c r="BY254" s="16">
        <f t="shared" si="390"/>
        <v>738819</v>
      </c>
      <c r="BZ254" s="16">
        <f t="shared" si="391"/>
        <v>738819</v>
      </c>
      <c r="CA254" s="16">
        <f t="shared" si="346"/>
        <v>738819</v>
      </c>
      <c r="CB254" s="16">
        <v>0</v>
      </c>
      <c r="CC254" s="16">
        <f>496284+242535</f>
        <v>738819</v>
      </c>
      <c r="CD254" s="16">
        <f t="shared" si="347"/>
        <v>0</v>
      </c>
      <c r="CE254" s="16">
        <v>0</v>
      </c>
      <c r="CF254" s="16">
        <v>0</v>
      </c>
      <c r="CG254" s="16">
        <v>0</v>
      </c>
      <c r="CH254" s="16">
        <v>0</v>
      </c>
      <c r="CI254" s="16">
        <v>0</v>
      </c>
      <c r="CJ254" s="16">
        <v>0</v>
      </c>
      <c r="CK254" s="16">
        <f t="shared" si="348"/>
        <v>0</v>
      </c>
      <c r="CL254" s="16">
        <v>0</v>
      </c>
      <c r="CM254" s="16">
        <v>0</v>
      </c>
      <c r="CN254" s="16">
        <v>0</v>
      </c>
      <c r="CO254" s="16">
        <v>0</v>
      </c>
      <c r="CP254" s="16">
        <v>0</v>
      </c>
      <c r="CQ254" s="16">
        <v>0</v>
      </c>
      <c r="CR254" s="16">
        <v>0</v>
      </c>
      <c r="CS254" s="16">
        <v>0</v>
      </c>
      <c r="CT254" s="16">
        <f t="shared" si="349"/>
        <v>0</v>
      </c>
      <c r="CU254" s="16">
        <f t="shared" si="350"/>
        <v>0</v>
      </c>
      <c r="CV254" s="16">
        <v>0</v>
      </c>
      <c r="CW254" s="17">
        <v>0</v>
      </c>
      <c r="CX254" s="40"/>
      <c r="CY254" s="40"/>
    </row>
    <row r="255" spans="1:103" ht="31.5" x14ac:dyDescent="0.25">
      <c r="A255" s="13" t="s">
        <v>1</v>
      </c>
      <c r="B255" s="14" t="s">
        <v>1</v>
      </c>
      <c r="C255" s="14" t="s">
        <v>29</v>
      </c>
      <c r="D255" s="30" t="s">
        <v>271</v>
      </c>
      <c r="E255" s="15">
        <f t="shared" si="383"/>
        <v>158264</v>
      </c>
      <c r="F255" s="16">
        <f t="shared" si="384"/>
        <v>147489</v>
      </c>
      <c r="G255" s="16">
        <f t="shared" si="385"/>
        <v>147489</v>
      </c>
      <c r="H255" s="16">
        <v>8000</v>
      </c>
      <c r="I255" s="16">
        <v>2000</v>
      </c>
      <c r="J255" s="16">
        <f>SUM(K255:P255)</f>
        <v>88743</v>
      </c>
      <c r="K255" s="16">
        <v>0</v>
      </c>
      <c r="L255" s="16">
        <v>5478</v>
      </c>
      <c r="M255" s="16">
        <v>9502</v>
      </c>
      <c r="N255" s="16">
        <v>2513</v>
      </c>
      <c r="O255" s="16">
        <f>22026+8000</f>
        <v>30026</v>
      </c>
      <c r="P255" s="16">
        <f>37224+4000</f>
        <v>41224</v>
      </c>
      <c r="Q255" s="16">
        <f>SUM(R255:S255)</f>
        <v>2071</v>
      </c>
      <c r="R255" s="16">
        <v>2071</v>
      </c>
      <c r="S255" s="16">
        <v>0</v>
      </c>
      <c r="T255" s="16">
        <v>0</v>
      </c>
      <c r="U255" s="16">
        <v>9788</v>
      </c>
      <c r="V255" s="16">
        <f t="shared" si="386"/>
        <v>12691</v>
      </c>
      <c r="W255" s="16">
        <f>2000+1000</f>
        <v>3000</v>
      </c>
      <c r="X255" s="16">
        <v>0</v>
      </c>
      <c r="Y255" s="16">
        <v>0</v>
      </c>
      <c r="Z255" s="16">
        <f>3008+524</f>
        <v>3532</v>
      </c>
      <c r="AA255" s="16">
        <v>1507</v>
      </c>
      <c r="AB255" s="16">
        <v>1440</v>
      </c>
      <c r="AC255" s="16">
        <v>0</v>
      </c>
      <c r="AD255" s="16">
        <f>3027+185</f>
        <v>3212</v>
      </c>
      <c r="AE255" s="16">
        <f>SUM(AF255:AZ255)</f>
        <v>24196</v>
      </c>
      <c r="AF255" s="16">
        <v>0</v>
      </c>
      <c r="AG255" s="16">
        <v>98</v>
      </c>
      <c r="AH255" s="16">
        <v>0</v>
      </c>
      <c r="AI255" s="16">
        <v>0</v>
      </c>
      <c r="AJ255" s="16">
        <v>2004</v>
      </c>
      <c r="AK255" s="16">
        <v>0</v>
      </c>
      <c r="AL255" s="16">
        <v>1300</v>
      </c>
      <c r="AM255" s="16">
        <v>0</v>
      </c>
      <c r="AN255" s="16">
        <v>0</v>
      </c>
      <c r="AO255" s="16">
        <v>0</v>
      </c>
      <c r="AP255" s="16">
        <v>0</v>
      </c>
      <c r="AQ255" s="16">
        <v>0</v>
      </c>
      <c r="AR255" s="16">
        <v>0</v>
      </c>
      <c r="AS255" s="16">
        <v>0</v>
      </c>
      <c r="AT255" s="16">
        <v>0</v>
      </c>
      <c r="AU255" s="16">
        <v>0</v>
      </c>
      <c r="AV255" s="16">
        <v>0</v>
      </c>
      <c r="AW255" s="16">
        <v>0</v>
      </c>
      <c r="AX255" s="16">
        <v>0</v>
      </c>
      <c r="AY255" s="16">
        <v>0</v>
      </c>
      <c r="AZ255" s="16">
        <f>8684+12110</f>
        <v>20794</v>
      </c>
      <c r="BA255" s="16">
        <f t="shared" si="388"/>
        <v>0</v>
      </c>
      <c r="BB255" s="16">
        <f t="shared" si="389"/>
        <v>0</v>
      </c>
      <c r="BC255" s="16">
        <v>0</v>
      </c>
      <c r="BD255" s="16">
        <v>0</v>
      </c>
      <c r="BE255" s="16">
        <v>0</v>
      </c>
      <c r="BF255" s="16">
        <f>SUM(BG255:BH255)</f>
        <v>0</v>
      </c>
      <c r="BG255" s="16">
        <v>0</v>
      </c>
      <c r="BH255" s="16">
        <v>0</v>
      </c>
      <c r="BI255" s="16">
        <v>0</v>
      </c>
      <c r="BJ255" s="16">
        <v>0</v>
      </c>
      <c r="BK255" s="16">
        <f>SUM(BL255)</f>
        <v>0</v>
      </c>
      <c r="BL255" s="16">
        <v>0</v>
      </c>
      <c r="BM255" s="16">
        <f>SUM(BN255:BX255)</f>
        <v>0</v>
      </c>
      <c r="BN255" s="16">
        <v>0</v>
      </c>
      <c r="BO255" s="16">
        <v>0</v>
      </c>
      <c r="BP255" s="16">
        <v>0</v>
      </c>
      <c r="BQ255" s="16">
        <v>0</v>
      </c>
      <c r="BR255" s="16">
        <v>0</v>
      </c>
      <c r="BS255" s="16">
        <v>0</v>
      </c>
      <c r="BT255" s="16">
        <v>0</v>
      </c>
      <c r="BU255" s="16">
        <v>0</v>
      </c>
      <c r="BV255" s="16">
        <v>0</v>
      </c>
      <c r="BW255" s="16">
        <v>0</v>
      </c>
      <c r="BX255" s="16">
        <v>0</v>
      </c>
      <c r="BY255" s="16">
        <f t="shared" si="390"/>
        <v>10775</v>
      </c>
      <c r="BZ255" s="16">
        <f t="shared" si="391"/>
        <v>10775</v>
      </c>
      <c r="CA255" s="16">
        <f>SUM(CB255:CC255)</f>
        <v>10775</v>
      </c>
      <c r="CB255" s="16">
        <v>0</v>
      </c>
      <c r="CC255" s="16">
        <f>7775+3000</f>
        <v>10775</v>
      </c>
      <c r="CD255" s="16">
        <f>SUM(CE255:CI255)</f>
        <v>0</v>
      </c>
      <c r="CE255" s="16">
        <v>0</v>
      </c>
      <c r="CF255" s="16">
        <v>0</v>
      </c>
      <c r="CG255" s="16">
        <v>0</v>
      </c>
      <c r="CH255" s="16">
        <v>0</v>
      </c>
      <c r="CI255" s="16">
        <v>0</v>
      </c>
      <c r="CJ255" s="16">
        <v>0</v>
      </c>
      <c r="CK255" s="16">
        <f>SUM(CL255:CP255)</f>
        <v>0</v>
      </c>
      <c r="CL255" s="16">
        <v>0</v>
      </c>
      <c r="CM255" s="16">
        <v>0</v>
      </c>
      <c r="CN255" s="16">
        <v>0</v>
      </c>
      <c r="CO255" s="16">
        <v>0</v>
      </c>
      <c r="CP255" s="16">
        <v>0</v>
      </c>
      <c r="CQ255" s="16">
        <v>0</v>
      </c>
      <c r="CR255" s="16">
        <v>0</v>
      </c>
      <c r="CS255" s="16">
        <v>0</v>
      </c>
      <c r="CT255" s="16">
        <f>SUM(CU255)</f>
        <v>0</v>
      </c>
      <c r="CU255" s="16">
        <f>SUM(CV255:CW255)</f>
        <v>0</v>
      </c>
      <c r="CV255" s="16">
        <v>0</v>
      </c>
      <c r="CW255" s="17">
        <v>0</v>
      </c>
      <c r="CX255" s="40"/>
      <c r="CY255" s="40"/>
    </row>
    <row r="256" spans="1:103" ht="15.75" x14ac:dyDescent="0.25">
      <c r="A256" s="13" t="s">
        <v>1</v>
      </c>
      <c r="B256" s="14" t="s">
        <v>1</v>
      </c>
      <c r="C256" s="14" t="s">
        <v>275</v>
      </c>
      <c r="D256" s="30" t="s">
        <v>276</v>
      </c>
      <c r="E256" s="15">
        <f t="shared" si="383"/>
        <v>3510616</v>
      </c>
      <c r="F256" s="16">
        <f t="shared" si="384"/>
        <v>2892061</v>
      </c>
      <c r="G256" s="16">
        <f t="shared" si="385"/>
        <v>2892061</v>
      </c>
      <c r="H256" s="16">
        <v>1633226</v>
      </c>
      <c r="I256" s="16">
        <v>386622</v>
      </c>
      <c r="J256" s="16">
        <f t="shared" si="341"/>
        <v>370000</v>
      </c>
      <c r="K256" s="16">
        <v>0</v>
      </c>
      <c r="L256" s="16">
        <v>0</v>
      </c>
      <c r="M256" s="16">
        <v>0</v>
      </c>
      <c r="N256" s="16">
        <v>0</v>
      </c>
      <c r="O256" s="16">
        <v>120000</v>
      </c>
      <c r="P256" s="16">
        <v>250000</v>
      </c>
      <c r="Q256" s="16">
        <f t="shared" si="342"/>
        <v>10000</v>
      </c>
      <c r="R256" s="16">
        <v>0</v>
      </c>
      <c r="S256" s="16">
        <v>10000</v>
      </c>
      <c r="T256" s="16">
        <v>0</v>
      </c>
      <c r="U256" s="16">
        <v>30800</v>
      </c>
      <c r="V256" s="16">
        <f t="shared" si="386"/>
        <v>81193</v>
      </c>
      <c r="W256" s="16">
        <v>0</v>
      </c>
      <c r="X256" s="16">
        <f>48841+563</f>
        <v>49404</v>
      </c>
      <c r="Y256" s="16">
        <f>21861+446</f>
        <v>22307</v>
      </c>
      <c r="Z256" s="16">
        <f>2965+517</f>
        <v>3482</v>
      </c>
      <c r="AA256" s="16">
        <v>6000</v>
      </c>
      <c r="AB256" s="16">
        <v>0</v>
      </c>
      <c r="AC256" s="16">
        <v>0</v>
      </c>
      <c r="AD256" s="16">
        <v>0</v>
      </c>
      <c r="AE256" s="16">
        <f t="shared" si="387"/>
        <v>380220</v>
      </c>
      <c r="AF256" s="16">
        <v>0</v>
      </c>
      <c r="AG256" s="16">
        <f>60000+135340</f>
        <v>195340</v>
      </c>
      <c r="AH256" s="16">
        <v>100880</v>
      </c>
      <c r="AI256" s="16">
        <v>0</v>
      </c>
      <c r="AJ256" s="16">
        <v>4000</v>
      </c>
      <c r="AK256" s="16">
        <v>0</v>
      </c>
      <c r="AL256" s="16">
        <v>20000</v>
      </c>
      <c r="AM256" s="16">
        <v>0</v>
      </c>
      <c r="AN256" s="16">
        <v>0</v>
      </c>
      <c r="AO256" s="16">
        <v>0</v>
      </c>
      <c r="AP256" s="16">
        <v>0</v>
      </c>
      <c r="AQ256" s="16">
        <v>0</v>
      </c>
      <c r="AR256" s="16">
        <v>0</v>
      </c>
      <c r="AS256" s="16">
        <v>10000</v>
      </c>
      <c r="AT256" s="16">
        <v>0</v>
      </c>
      <c r="AU256" s="16">
        <v>0</v>
      </c>
      <c r="AV256" s="16">
        <v>0</v>
      </c>
      <c r="AW256" s="16">
        <v>0</v>
      </c>
      <c r="AX256" s="16">
        <v>0</v>
      </c>
      <c r="AY256" s="16">
        <v>0</v>
      </c>
      <c r="AZ256" s="16">
        <v>50000</v>
      </c>
      <c r="BA256" s="16">
        <f t="shared" si="388"/>
        <v>0</v>
      </c>
      <c r="BB256" s="16">
        <f t="shared" si="389"/>
        <v>0</v>
      </c>
      <c r="BC256" s="16">
        <v>0</v>
      </c>
      <c r="BD256" s="16">
        <v>0</v>
      </c>
      <c r="BE256" s="16">
        <v>0</v>
      </c>
      <c r="BF256" s="16">
        <f t="shared" si="343"/>
        <v>0</v>
      </c>
      <c r="BG256" s="16">
        <v>0</v>
      </c>
      <c r="BH256" s="16">
        <v>0</v>
      </c>
      <c r="BI256" s="16">
        <v>0</v>
      </c>
      <c r="BJ256" s="16">
        <v>0</v>
      </c>
      <c r="BK256" s="16">
        <f t="shared" si="344"/>
        <v>0</v>
      </c>
      <c r="BL256" s="16">
        <v>0</v>
      </c>
      <c r="BM256" s="16">
        <f t="shared" si="345"/>
        <v>0</v>
      </c>
      <c r="BN256" s="16">
        <v>0</v>
      </c>
      <c r="BO256" s="16">
        <v>0</v>
      </c>
      <c r="BP256" s="16">
        <v>0</v>
      </c>
      <c r="BQ256" s="16">
        <v>0</v>
      </c>
      <c r="BR256" s="16">
        <v>0</v>
      </c>
      <c r="BS256" s="16">
        <v>0</v>
      </c>
      <c r="BT256" s="16">
        <v>0</v>
      </c>
      <c r="BU256" s="16">
        <v>0</v>
      </c>
      <c r="BV256" s="16">
        <v>0</v>
      </c>
      <c r="BW256" s="16">
        <v>0</v>
      </c>
      <c r="BX256" s="16">
        <v>0</v>
      </c>
      <c r="BY256" s="16">
        <f t="shared" si="390"/>
        <v>618555</v>
      </c>
      <c r="BZ256" s="16">
        <f t="shared" si="391"/>
        <v>618555</v>
      </c>
      <c r="CA256" s="16">
        <f t="shared" si="346"/>
        <v>618555</v>
      </c>
      <c r="CB256" s="16">
        <v>0</v>
      </c>
      <c r="CC256" s="16">
        <f>218555+400000</f>
        <v>618555</v>
      </c>
      <c r="CD256" s="16">
        <f t="shared" si="347"/>
        <v>0</v>
      </c>
      <c r="CE256" s="16">
        <v>0</v>
      </c>
      <c r="CF256" s="16">
        <v>0</v>
      </c>
      <c r="CG256" s="16">
        <v>0</v>
      </c>
      <c r="CH256" s="16">
        <v>0</v>
      </c>
      <c r="CI256" s="16">
        <v>0</v>
      </c>
      <c r="CJ256" s="16">
        <v>0</v>
      </c>
      <c r="CK256" s="16">
        <f t="shared" si="348"/>
        <v>0</v>
      </c>
      <c r="CL256" s="16">
        <v>0</v>
      </c>
      <c r="CM256" s="16">
        <v>0</v>
      </c>
      <c r="CN256" s="16">
        <v>0</v>
      </c>
      <c r="CO256" s="16">
        <v>0</v>
      </c>
      <c r="CP256" s="16">
        <v>0</v>
      </c>
      <c r="CQ256" s="16">
        <v>0</v>
      </c>
      <c r="CR256" s="16">
        <v>0</v>
      </c>
      <c r="CS256" s="16">
        <v>0</v>
      </c>
      <c r="CT256" s="16">
        <f t="shared" si="349"/>
        <v>0</v>
      </c>
      <c r="CU256" s="16">
        <f t="shared" si="350"/>
        <v>0</v>
      </c>
      <c r="CV256" s="16">
        <v>0</v>
      </c>
      <c r="CW256" s="17">
        <v>0</v>
      </c>
      <c r="CX256" s="40"/>
      <c r="CY256" s="40"/>
    </row>
    <row r="257" spans="1:103" ht="15.75" x14ac:dyDescent="0.25">
      <c r="A257" s="13" t="s">
        <v>1</v>
      </c>
      <c r="B257" s="14" t="s">
        <v>1</v>
      </c>
      <c r="C257" s="14" t="s">
        <v>122</v>
      </c>
      <c r="D257" s="30" t="s">
        <v>538</v>
      </c>
      <c r="E257" s="15">
        <f t="shared" si="383"/>
        <v>7749506</v>
      </c>
      <c r="F257" s="16">
        <f t="shared" si="384"/>
        <v>7749506</v>
      </c>
      <c r="G257" s="16">
        <f t="shared" si="385"/>
        <v>7749506</v>
      </c>
      <c r="H257" s="16">
        <v>0</v>
      </c>
      <c r="I257" s="16">
        <v>0</v>
      </c>
      <c r="J257" s="16">
        <f>SUM(K257:P257)</f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f>SUM(R257:S257)</f>
        <v>0</v>
      </c>
      <c r="R257" s="16">
        <v>0</v>
      </c>
      <c r="S257" s="16">
        <v>0</v>
      </c>
      <c r="T257" s="16">
        <v>0</v>
      </c>
      <c r="U257" s="16">
        <v>0</v>
      </c>
      <c r="V257" s="16">
        <f t="shared" si="386"/>
        <v>0</v>
      </c>
      <c r="W257" s="16">
        <v>0</v>
      </c>
      <c r="X257" s="16">
        <v>0</v>
      </c>
      <c r="Y257" s="16">
        <v>0</v>
      </c>
      <c r="Z257" s="16">
        <v>0</v>
      </c>
      <c r="AA257" s="16">
        <v>0</v>
      </c>
      <c r="AB257" s="16">
        <v>0</v>
      </c>
      <c r="AC257" s="16">
        <v>0</v>
      </c>
      <c r="AD257" s="16">
        <v>0</v>
      </c>
      <c r="AE257" s="16">
        <f>SUM(AF257:AZ257)</f>
        <v>7749506</v>
      </c>
      <c r="AF257" s="16">
        <v>0</v>
      </c>
      <c r="AG257" s="16">
        <v>0</v>
      </c>
      <c r="AH257" s="16">
        <v>0</v>
      </c>
      <c r="AI257" s="16">
        <v>0</v>
      </c>
      <c r="AJ257" s="16">
        <v>0</v>
      </c>
      <c r="AK257" s="16">
        <v>0</v>
      </c>
      <c r="AL257" s="16">
        <v>0</v>
      </c>
      <c r="AM257" s="16">
        <v>0</v>
      </c>
      <c r="AN257" s="16">
        <v>0</v>
      </c>
      <c r="AO257" s="16">
        <v>0</v>
      </c>
      <c r="AP257" s="16"/>
      <c r="AQ257" s="16">
        <v>0</v>
      </c>
      <c r="AR257" s="16">
        <v>0</v>
      </c>
      <c r="AS257" s="16">
        <v>0</v>
      </c>
      <c r="AT257" s="16">
        <v>0</v>
      </c>
      <c r="AU257" s="16">
        <v>0</v>
      </c>
      <c r="AV257" s="16">
        <v>0</v>
      </c>
      <c r="AW257" s="16">
        <v>0</v>
      </c>
      <c r="AX257" s="16">
        <v>0</v>
      </c>
      <c r="AY257" s="16">
        <v>0</v>
      </c>
      <c r="AZ257" s="16">
        <f>7749506</f>
        <v>7749506</v>
      </c>
      <c r="BA257" s="16">
        <f t="shared" si="388"/>
        <v>0</v>
      </c>
      <c r="BB257" s="16">
        <f t="shared" si="389"/>
        <v>0</v>
      </c>
      <c r="BC257" s="16">
        <v>0</v>
      </c>
      <c r="BD257" s="16">
        <v>0</v>
      </c>
      <c r="BE257" s="16">
        <v>0</v>
      </c>
      <c r="BF257" s="16">
        <f>SUM(BG257:BH257)</f>
        <v>0</v>
      </c>
      <c r="BG257" s="16">
        <v>0</v>
      </c>
      <c r="BH257" s="16">
        <v>0</v>
      </c>
      <c r="BI257" s="16">
        <v>0</v>
      </c>
      <c r="BJ257" s="16">
        <v>0</v>
      </c>
      <c r="BK257" s="16">
        <f>SUM(BL257)</f>
        <v>0</v>
      </c>
      <c r="BL257" s="16">
        <v>0</v>
      </c>
      <c r="BM257" s="16">
        <f>SUM(BN257:BX257)</f>
        <v>0</v>
      </c>
      <c r="BN257" s="16">
        <v>0</v>
      </c>
      <c r="BO257" s="16">
        <v>0</v>
      </c>
      <c r="BP257" s="16">
        <v>0</v>
      </c>
      <c r="BQ257" s="16">
        <v>0</v>
      </c>
      <c r="BR257" s="16">
        <v>0</v>
      </c>
      <c r="BS257" s="16">
        <v>0</v>
      </c>
      <c r="BT257" s="16">
        <v>0</v>
      </c>
      <c r="BU257" s="16">
        <v>0</v>
      </c>
      <c r="BV257" s="16">
        <v>0</v>
      </c>
      <c r="BW257" s="16">
        <v>0</v>
      </c>
      <c r="BX257" s="16">
        <v>0</v>
      </c>
      <c r="BY257" s="16">
        <f t="shared" si="390"/>
        <v>0</v>
      </c>
      <c r="BZ257" s="16">
        <f t="shared" si="391"/>
        <v>0</v>
      </c>
      <c r="CA257" s="16">
        <f>SUM(CB257:CC257)</f>
        <v>0</v>
      </c>
      <c r="CB257" s="16">
        <v>0</v>
      </c>
      <c r="CC257" s="16"/>
      <c r="CD257" s="16">
        <f>SUM(CE257:CI257)</f>
        <v>0</v>
      </c>
      <c r="CE257" s="16">
        <v>0</v>
      </c>
      <c r="CF257" s="16">
        <v>0</v>
      </c>
      <c r="CG257" s="16">
        <v>0</v>
      </c>
      <c r="CH257" s="16">
        <v>0</v>
      </c>
      <c r="CI257" s="16">
        <v>0</v>
      </c>
      <c r="CJ257" s="16">
        <v>0</v>
      </c>
      <c r="CK257" s="16">
        <f>SUM(CL257:CP257)</f>
        <v>0</v>
      </c>
      <c r="CL257" s="16">
        <v>0</v>
      </c>
      <c r="CM257" s="16">
        <v>0</v>
      </c>
      <c r="CN257" s="16"/>
      <c r="CO257" s="16">
        <v>0</v>
      </c>
      <c r="CP257" s="16">
        <v>0</v>
      </c>
      <c r="CQ257" s="16">
        <v>0</v>
      </c>
      <c r="CR257" s="16">
        <v>0</v>
      </c>
      <c r="CS257" s="16">
        <v>0</v>
      </c>
      <c r="CT257" s="16">
        <f>SUM(CU257)</f>
        <v>0</v>
      </c>
      <c r="CU257" s="16">
        <f>SUM(CV257:CW257)</f>
        <v>0</v>
      </c>
      <c r="CV257" s="16">
        <v>0</v>
      </c>
      <c r="CW257" s="17">
        <v>0</v>
      </c>
      <c r="CX257" s="40"/>
      <c r="CY257" s="40"/>
    </row>
    <row r="258" spans="1:103" ht="15.75" x14ac:dyDescent="0.25">
      <c r="A258" s="13" t="s">
        <v>1</v>
      </c>
      <c r="B258" s="14" t="s">
        <v>1</v>
      </c>
      <c r="C258" s="14" t="s">
        <v>122</v>
      </c>
      <c r="D258" s="30" t="s">
        <v>277</v>
      </c>
      <c r="E258" s="15">
        <f t="shared" si="383"/>
        <v>46587933</v>
      </c>
      <c r="F258" s="16">
        <f t="shared" si="384"/>
        <v>40973940</v>
      </c>
      <c r="G258" s="16">
        <f t="shared" si="385"/>
        <v>40968940</v>
      </c>
      <c r="H258" s="16">
        <f>23500000+75807</f>
        <v>23575807</v>
      </c>
      <c r="I258" s="16">
        <f>5875000+21756</f>
        <v>5896756</v>
      </c>
      <c r="J258" s="16">
        <f t="shared" si="341"/>
        <v>4089992</v>
      </c>
      <c r="K258" s="16">
        <f>10600+10000</f>
        <v>20600</v>
      </c>
      <c r="L258" s="16">
        <v>170500</v>
      </c>
      <c r="M258" s="16">
        <f>2290000-210844</f>
        <v>2079156</v>
      </c>
      <c r="N258" s="16">
        <v>0</v>
      </c>
      <c r="O258" s="16">
        <f>825700+47589</f>
        <v>873289</v>
      </c>
      <c r="P258" s="16">
        <f>1175000-228553</f>
        <v>946447</v>
      </c>
      <c r="Q258" s="16">
        <f t="shared" si="342"/>
        <v>250978</v>
      </c>
      <c r="R258" s="16">
        <f>25000+1850</f>
        <v>26850</v>
      </c>
      <c r="S258" s="16">
        <f>210000+14128</f>
        <v>224128</v>
      </c>
      <c r="T258" s="16">
        <v>0</v>
      </c>
      <c r="U258" s="16">
        <f>313086+15080</f>
        <v>328166</v>
      </c>
      <c r="V258" s="16">
        <f t="shared" si="386"/>
        <v>2982304</v>
      </c>
      <c r="W258" s="16">
        <f>432627+8892</f>
        <v>441519</v>
      </c>
      <c r="X258" s="16">
        <f>1413123+96769</f>
        <v>1509892</v>
      </c>
      <c r="Y258" s="16">
        <f>468973+31355</f>
        <v>500328</v>
      </c>
      <c r="Z258" s="16">
        <f>208209+26450</f>
        <v>234659</v>
      </c>
      <c r="AA258" s="16">
        <f>120985+16436</f>
        <v>137421</v>
      </c>
      <c r="AB258" s="16">
        <v>158149</v>
      </c>
      <c r="AC258" s="16">
        <v>0</v>
      </c>
      <c r="AD258" s="16">
        <v>336</v>
      </c>
      <c r="AE258" s="16">
        <f t="shared" si="387"/>
        <v>3844937</v>
      </c>
      <c r="AF258" s="16">
        <v>0</v>
      </c>
      <c r="AG258" s="16">
        <f>323077+6343</f>
        <v>329420</v>
      </c>
      <c r="AH258" s="16">
        <f>230717+55000</f>
        <v>285717</v>
      </c>
      <c r="AI258" s="16">
        <f>649346+96561</f>
        <v>745907</v>
      </c>
      <c r="AJ258" s="16">
        <f>318100+7208</f>
        <v>325308</v>
      </c>
      <c r="AK258" s="16">
        <v>0</v>
      </c>
      <c r="AL258" s="16">
        <f>235000+1000</f>
        <v>236000</v>
      </c>
      <c r="AM258" s="16">
        <f>449324+5000</f>
        <v>454324</v>
      </c>
      <c r="AN258" s="16">
        <v>0</v>
      </c>
      <c r="AO258" s="16">
        <v>19559</v>
      </c>
      <c r="AP258" s="16">
        <f>0+873452</f>
        <v>873452</v>
      </c>
      <c r="AQ258" s="16">
        <v>0</v>
      </c>
      <c r="AR258" s="16">
        <v>0</v>
      </c>
      <c r="AS258" s="16">
        <v>0</v>
      </c>
      <c r="AT258" s="16">
        <v>0</v>
      </c>
      <c r="AU258" s="16">
        <v>0</v>
      </c>
      <c r="AV258" s="16">
        <v>0</v>
      </c>
      <c r="AW258" s="16">
        <v>0</v>
      </c>
      <c r="AX258" s="16">
        <v>0</v>
      </c>
      <c r="AY258" s="16"/>
      <c r="AZ258" s="16">
        <f>613176-37926</f>
        <v>575250</v>
      </c>
      <c r="BA258" s="16">
        <f t="shared" si="388"/>
        <v>5000</v>
      </c>
      <c r="BB258" s="16">
        <f t="shared" si="389"/>
        <v>0</v>
      </c>
      <c r="BC258" s="16">
        <v>0</v>
      </c>
      <c r="BD258" s="16">
        <v>0</v>
      </c>
      <c r="BE258" s="16">
        <v>0</v>
      </c>
      <c r="BF258" s="16">
        <f t="shared" si="343"/>
        <v>0</v>
      </c>
      <c r="BG258" s="16">
        <v>0</v>
      </c>
      <c r="BH258" s="16">
        <v>0</v>
      </c>
      <c r="BI258" s="16">
        <v>0</v>
      </c>
      <c r="BJ258" s="16">
        <v>0</v>
      </c>
      <c r="BK258" s="16">
        <f t="shared" si="344"/>
        <v>0</v>
      </c>
      <c r="BL258" s="16">
        <v>0</v>
      </c>
      <c r="BM258" s="16">
        <f t="shared" si="345"/>
        <v>5000</v>
      </c>
      <c r="BN258" s="16">
        <v>0</v>
      </c>
      <c r="BO258" s="16">
        <v>0</v>
      </c>
      <c r="BP258" s="16">
        <v>5000</v>
      </c>
      <c r="BQ258" s="16">
        <v>0</v>
      </c>
      <c r="BR258" s="16">
        <v>0</v>
      </c>
      <c r="BS258" s="16">
        <v>0</v>
      </c>
      <c r="BT258" s="16">
        <v>0</v>
      </c>
      <c r="BU258" s="16">
        <v>0</v>
      </c>
      <c r="BV258" s="16">
        <v>0</v>
      </c>
      <c r="BW258" s="16">
        <v>0</v>
      </c>
      <c r="BX258" s="16">
        <v>0</v>
      </c>
      <c r="BY258" s="16">
        <f t="shared" si="390"/>
        <v>5613993</v>
      </c>
      <c r="BZ258" s="16">
        <f t="shared" si="391"/>
        <v>5613993</v>
      </c>
      <c r="CA258" s="16">
        <f t="shared" si="346"/>
        <v>2534907</v>
      </c>
      <c r="CB258" s="16">
        <v>0</v>
      </c>
      <c r="CC258" s="16">
        <f>2350000+184907</f>
        <v>2534907</v>
      </c>
      <c r="CD258" s="16">
        <f t="shared" si="347"/>
        <v>0</v>
      </c>
      <c r="CE258" s="16">
        <v>0</v>
      </c>
      <c r="CF258" s="16">
        <v>0</v>
      </c>
      <c r="CG258" s="16">
        <v>0</v>
      </c>
      <c r="CH258" s="16">
        <v>0</v>
      </c>
      <c r="CI258" s="16">
        <v>0</v>
      </c>
      <c r="CJ258" s="16">
        <v>0</v>
      </c>
      <c r="CK258" s="16">
        <f t="shared" si="348"/>
        <v>3079086</v>
      </c>
      <c r="CL258" s="16">
        <v>0</v>
      </c>
      <c r="CM258" s="16">
        <v>0</v>
      </c>
      <c r="CN258" s="16">
        <f>2967125+111961</f>
        <v>3079086</v>
      </c>
      <c r="CO258" s="16">
        <v>0</v>
      </c>
      <c r="CP258" s="16">
        <v>0</v>
      </c>
      <c r="CQ258" s="16"/>
      <c r="CR258" s="16"/>
      <c r="CS258" s="16">
        <v>0</v>
      </c>
      <c r="CT258" s="16">
        <f t="shared" si="349"/>
        <v>0</v>
      </c>
      <c r="CU258" s="16">
        <f t="shared" si="350"/>
        <v>0</v>
      </c>
      <c r="CV258" s="16">
        <v>0</v>
      </c>
      <c r="CW258" s="17">
        <v>0</v>
      </c>
      <c r="CX258" s="40"/>
      <c r="CY258" s="40"/>
    </row>
    <row r="259" spans="1:103" ht="15.75" x14ac:dyDescent="0.25">
      <c r="A259" s="13" t="s">
        <v>1</v>
      </c>
      <c r="B259" s="14" t="s">
        <v>1</v>
      </c>
      <c r="C259" s="14" t="s">
        <v>93</v>
      </c>
      <c r="D259" s="30" t="s">
        <v>278</v>
      </c>
      <c r="E259" s="15">
        <f t="shared" si="383"/>
        <v>1500000</v>
      </c>
      <c r="F259" s="16">
        <f t="shared" si="384"/>
        <v>1400000</v>
      </c>
      <c r="G259" s="16">
        <f t="shared" si="385"/>
        <v>1400000</v>
      </c>
      <c r="H259" s="16">
        <v>395400</v>
      </c>
      <c r="I259" s="16">
        <v>86988</v>
      </c>
      <c r="J259" s="16">
        <f t="shared" si="341"/>
        <v>470000</v>
      </c>
      <c r="K259" s="16">
        <v>0</v>
      </c>
      <c r="L259" s="16">
        <v>100000</v>
      </c>
      <c r="M259" s="16">
        <v>0</v>
      </c>
      <c r="N259" s="16">
        <v>0</v>
      </c>
      <c r="O259" s="16">
        <v>120000</v>
      </c>
      <c r="P259" s="16">
        <v>250000</v>
      </c>
      <c r="Q259" s="16">
        <f t="shared" si="342"/>
        <v>0</v>
      </c>
      <c r="R259" s="16">
        <v>0</v>
      </c>
      <c r="S259" s="16">
        <v>0</v>
      </c>
      <c r="T259" s="16">
        <v>0</v>
      </c>
      <c r="U259" s="16">
        <v>50000</v>
      </c>
      <c r="V259" s="16">
        <f t="shared" si="386"/>
        <v>20096</v>
      </c>
      <c r="W259" s="16">
        <v>4585</v>
      </c>
      <c r="X259" s="16">
        <f>4292+49</f>
        <v>4341</v>
      </c>
      <c r="Y259" s="16">
        <f>5213+311</f>
        <v>5524</v>
      </c>
      <c r="Z259" s="16">
        <f>4099+715</f>
        <v>4814</v>
      </c>
      <c r="AA259" s="16">
        <v>630</v>
      </c>
      <c r="AB259" s="16">
        <v>0</v>
      </c>
      <c r="AC259" s="16">
        <v>0</v>
      </c>
      <c r="AD259" s="16">
        <f>193+9</f>
        <v>202</v>
      </c>
      <c r="AE259" s="16">
        <f t="shared" si="387"/>
        <v>377516</v>
      </c>
      <c r="AF259" s="16">
        <v>0</v>
      </c>
      <c r="AG259" s="16">
        <v>40000</v>
      </c>
      <c r="AH259" s="16">
        <v>57000</v>
      </c>
      <c r="AI259" s="16">
        <v>0</v>
      </c>
      <c r="AJ259" s="16">
        <v>1600</v>
      </c>
      <c r="AK259" s="16">
        <v>0</v>
      </c>
      <c r="AL259" s="16">
        <v>2000</v>
      </c>
      <c r="AM259" s="16">
        <v>0</v>
      </c>
      <c r="AN259" s="16">
        <v>15000</v>
      </c>
      <c r="AO259" s="16">
        <v>0</v>
      </c>
      <c r="AP259" s="16">
        <v>0</v>
      </c>
      <c r="AQ259" s="16">
        <v>0</v>
      </c>
      <c r="AR259" s="16">
        <v>13000</v>
      </c>
      <c r="AS259" s="16">
        <v>0</v>
      </c>
      <c r="AT259" s="16">
        <v>0</v>
      </c>
      <c r="AU259" s="16">
        <v>0</v>
      </c>
      <c r="AV259" s="16">
        <v>0</v>
      </c>
      <c r="AW259" s="16">
        <v>0</v>
      </c>
      <c r="AX259" s="16">
        <v>0</v>
      </c>
      <c r="AY259" s="16">
        <v>0</v>
      </c>
      <c r="AZ259" s="16">
        <f>250000-1084</f>
        <v>248916</v>
      </c>
      <c r="BA259" s="16">
        <f t="shared" si="388"/>
        <v>0</v>
      </c>
      <c r="BB259" s="16">
        <f t="shared" si="389"/>
        <v>0</v>
      </c>
      <c r="BC259" s="16">
        <v>0</v>
      </c>
      <c r="BD259" s="16">
        <v>0</v>
      </c>
      <c r="BE259" s="16">
        <v>0</v>
      </c>
      <c r="BF259" s="16">
        <f t="shared" si="343"/>
        <v>0</v>
      </c>
      <c r="BG259" s="16">
        <v>0</v>
      </c>
      <c r="BH259" s="16">
        <v>0</v>
      </c>
      <c r="BI259" s="16">
        <v>0</v>
      </c>
      <c r="BJ259" s="16">
        <v>0</v>
      </c>
      <c r="BK259" s="16">
        <f t="shared" si="344"/>
        <v>0</v>
      </c>
      <c r="BL259" s="16">
        <v>0</v>
      </c>
      <c r="BM259" s="16">
        <f t="shared" si="345"/>
        <v>0</v>
      </c>
      <c r="BN259" s="16">
        <v>0</v>
      </c>
      <c r="BO259" s="16">
        <v>0</v>
      </c>
      <c r="BP259" s="16">
        <v>0</v>
      </c>
      <c r="BQ259" s="16">
        <v>0</v>
      </c>
      <c r="BR259" s="16">
        <v>0</v>
      </c>
      <c r="BS259" s="16">
        <v>0</v>
      </c>
      <c r="BT259" s="16">
        <v>0</v>
      </c>
      <c r="BU259" s="16">
        <v>0</v>
      </c>
      <c r="BV259" s="16">
        <v>0</v>
      </c>
      <c r="BW259" s="16">
        <v>0</v>
      </c>
      <c r="BX259" s="16">
        <v>0</v>
      </c>
      <c r="BY259" s="16">
        <f t="shared" si="390"/>
        <v>100000</v>
      </c>
      <c r="BZ259" s="16">
        <f t="shared" si="391"/>
        <v>100000</v>
      </c>
      <c r="CA259" s="16">
        <f t="shared" si="346"/>
        <v>100000</v>
      </c>
      <c r="CB259" s="16">
        <v>0</v>
      </c>
      <c r="CC259" s="16">
        <v>100000</v>
      </c>
      <c r="CD259" s="16">
        <f t="shared" si="347"/>
        <v>0</v>
      </c>
      <c r="CE259" s="16">
        <v>0</v>
      </c>
      <c r="CF259" s="16">
        <v>0</v>
      </c>
      <c r="CG259" s="16">
        <v>0</v>
      </c>
      <c r="CH259" s="16">
        <v>0</v>
      </c>
      <c r="CI259" s="16">
        <v>0</v>
      </c>
      <c r="CJ259" s="16">
        <v>0</v>
      </c>
      <c r="CK259" s="16">
        <f t="shared" si="348"/>
        <v>0</v>
      </c>
      <c r="CL259" s="16">
        <v>0</v>
      </c>
      <c r="CM259" s="16">
        <v>0</v>
      </c>
      <c r="CN259" s="16">
        <v>0</v>
      </c>
      <c r="CO259" s="16">
        <v>0</v>
      </c>
      <c r="CP259" s="16">
        <v>0</v>
      </c>
      <c r="CQ259" s="16">
        <v>0</v>
      </c>
      <c r="CR259" s="16">
        <v>0</v>
      </c>
      <c r="CS259" s="16">
        <v>0</v>
      </c>
      <c r="CT259" s="16">
        <f t="shared" si="349"/>
        <v>0</v>
      </c>
      <c r="CU259" s="16">
        <f t="shared" si="350"/>
        <v>0</v>
      </c>
      <c r="CV259" s="16">
        <v>0</v>
      </c>
      <c r="CW259" s="17">
        <v>0</v>
      </c>
      <c r="CX259" s="40"/>
      <c r="CY259" s="40"/>
    </row>
    <row r="260" spans="1:103" ht="15.75" x14ac:dyDescent="0.25">
      <c r="A260" s="13" t="s">
        <v>1</v>
      </c>
      <c r="B260" s="14" t="s">
        <v>1</v>
      </c>
      <c r="C260" s="14" t="s">
        <v>95</v>
      </c>
      <c r="D260" s="30" t="s">
        <v>279</v>
      </c>
      <c r="E260" s="15">
        <f t="shared" si="383"/>
        <v>7415904</v>
      </c>
      <c r="F260" s="16">
        <f t="shared" si="384"/>
        <v>7075241</v>
      </c>
      <c r="G260" s="16">
        <f t="shared" si="385"/>
        <v>7075241</v>
      </c>
      <c r="H260" s="16">
        <v>943522</v>
      </c>
      <c r="I260" s="16">
        <v>183377</v>
      </c>
      <c r="J260" s="16">
        <f t="shared" si="341"/>
        <v>3395441</v>
      </c>
      <c r="K260" s="16">
        <v>68040</v>
      </c>
      <c r="L260" s="16">
        <v>18840</v>
      </c>
      <c r="M260" s="16">
        <v>81840</v>
      </c>
      <c r="N260" s="16">
        <v>0</v>
      </c>
      <c r="O260" s="16">
        <v>947365</v>
      </c>
      <c r="P260" s="16">
        <f>1871012+408344</f>
        <v>2279356</v>
      </c>
      <c r="Q260" s="16">
        <f t="shared" si="342"/>
        <v>4000</v>
      </c>
      <c r="R260" s="16">
        <v>4000</v>
      </c>
      <c r="S260" s="16">
        <v>0</v>
      </c>
      <c r="T260" s="16">
        <v>195729</v>
      </c>
      <c r="U260" s="16">
        <v>18500</v>
      </c>
      <c r="V260" s="16">
        <f t="shared" si="386"/>
        <v>345739</v>
      </c>
      <c r="W260" s="16">
        <v>129002</v>
      </c>
      <c r="X260" s="16">
        <v>0</v>
      </c>
      <c r="Y260" s="16">
        <f>70795-5528</f>
        <v>65267</v>
      </c>
      <c r="Z260" s="16">
        <f>48508-6408</f>
        <v>42100</v>
      </c>
      <c r="AA260" s="16">
        <v>45144</v>
      </c>
      <c r="AB260" s="16">
        <v>0</v>
      </c>
      <c r="AC260" s="16">
        <v>0</v>
      </c>
      <c r="AD260" s="16">
        <v>64226</v>
      </c>
      <c r="AE260" s="16">
        <f t="shared" si="387"/>
        <v>1988933</v>
      </c>
      <c r="AF260" s="16">
        <v>0</v>
      </c>
      <c r="AG260" s="16">
        <v>38900</v>
      </c>
      <c r="AH260" s="16">
        <v>512251</v>
      </c>
      <c r="AI260" s="16">
        <v>0</v>
      </c>
      <c r="AJ260" s="16">
        <v>11950</v>
      </c>
      <c r="AK260" s="16">
        <v>8000</v>
      </c>
      <c r="AL260" s="16">
        <v>0</v>
      </c>
      <c r="AM260" s="16">
        <v>19100</v>
      </c>
      <c r="AN260" s="16">
        <v>0</v>
      </c>
      <c r="AO260" s="16">
        <v>0</v>
      </c>
      <c r="AP260" s="16">
        <v>0</v>
      </c>
      <c r="AQ260" s="16">
        <v>12000</v>
      </c>
      <c r="AR260" s="16">
        <v>0</v>
      </c>
      <c r="AS260" s="16">
        <v>0</v>
      </c>
      <c r="AT260" s="16">
        <v>0</v>
      </c>
      <c r="AU260" s="16">
        <v>0</v>
      </c>
      <c r="AV260" s="16">
        <v>0</v>
      </c>
      <c r="AW260" s="16">
        <v>11684</v>
      </c>
      <c r="AX260" s="16">
        <v>0</v>
      </c>
      <c r="AY260" s="16">
        <v>0</v>
      </c>
      <c r="AZ260" s="16">
        <f>763112+611936</f>
        <v>1375048</v>
      </c>
      <c r="BA260" s="16">
        <f t="shared" si="388"/>
        <v>0</v>
      </c>
      <c r="BB260" s="16">
        <f t="shared" si="389"/>
        <v>0</v>
      </c>
      <c r="BC260" s="16">
        <v>0</v>
      </c>
      <c r="BD260" s="16">
        <v>0</v>
      </c>
      <c r="BE260" s="16">
        <v>0</v>
      </c>
      <c r="BF260" s="16">
        <f t="shared" si="343"/>
        <v>0</v>
      </c>
      <c r="BG260" s="16">
        <v>0</v>
      </c>
      <c r="BH260" s="16">
        <v>0</v>
      </c>
      <c r="BI260" s="16">
        <v>0</v>
      </c>
      <c r="BJ260" s="16">
        <v>0</v>
      </c>
      <c r="BK260" s="16">
        <f t="shared" si="344"/>
        <v>0</v>
      </c>
      <c r="BL260" s="16">
        <v>0</v>
      </c>
      <c r="BM260" s="16">
        <f t="shared" si="345"/>
        <v>0</v>
      </c>
      <c r="BN260" s="16">
        <v>0</v>
      </c>
      <c r="BO260" s="16">
        <v>0</v>
      </c>
      <c r="BP260" s="16">
        <v>0</v>
      </c>
      <c r="BQ260" s="16">
        <v>0</v>
      </c>
      <c r="BR260" s="16">
        <v>0</v>
      </c>
      <c r="BS260" s="16">
        <v>0</v>
      </c>
      <c r="BT260" s="16">
        <v>0</v>
      </c>
      <c r="BU260" s="16">
        <v>0</v>
      </c>
      <c r="BV260" s="16">
        <v>0</v>
      </c>
      <c r="BW260" s="16">
        <v>0</v>
      </c>
      <c r="BX260" s="16">
        <v>0</v>
      </c>
      <c r="BY260" s="16">
        <f t="shared" si="390"/>
        <v>340663</v>
      </c>
      <c r="BZ260" s="16">
        <f t="shared" si="391"/>
        <v>340663</v>
      </c>
      <c r="CA260" s="16">
        <f t="shared" si="346"/>
        <v>340663</v>
      </c>
      <c r="CB260" s="16">
        <v>0</v>
      </c>
      <c r="CC260" s="16">
        <v>340663</v>
      </c>
      <c r="CD260" s="16">
        <f t="shared" si="347"/>
        <v>0</v>
      </c>
      <c r="CE260" s="16">
        <v>0</v>
      </c>
      <c r="CF260" s="16">
        <v>0</v>
      </c>
      <c r="CG260" s="16">
        <v>0</v>
      </c>
      <c r="CH260" s="16">
        <v>0</v>
      </c>
      <c r="CI260" s="16">
        <v>0</v>
      </c>
      <c r="CJ260" s="16">
        <v>0</v>
      </c>
      <c r="CK260" s="16">
        <f t="shared" si="348"/>
        <v>0</v>
      </c>
      <c r="CL260" s="16">
        <v>0</v>
      </c>
      <c r="CM260" s="16">
        <v>0</v>
      </c>
      <c r="CN260" s="16">
        <v>0</v>
      </c>
      <c r="CO260" s="16">
        <v>0</v>
      </c>
      <c r="CP260" s="16">
        <v>0</v>
      </c>
      <c r="CQ260" s="16">
        <v>0</v>
      </c>
      <c r="CR260" s="16">
        <v>0</v>
      </c>
      <c r="CS260" s="16">
        <v>0</v>
      </c>
      <c r="CT260" s="16">
        <f t="shared" si="349"/>
        <v>0</v>
      </c>
      <c r="CU260" s="16">
        <f t="shared" si="350"/>
        <v>0</v>
      </c>
      <c r="CV260" s="16">
        <v>0</v>
      </c>
      <c r="CW260" s="17">
        <v>0</v>
      </c>
      <c r="CX260" s="40"/>
      <c r="CY260" s="40"/>
    </row>
    <row r="261" spans="1:103" ht="15.75" x14ac:dyDescent="0.25">
      <c r="A261" s="13" t="s">
        <v>1</v>
      </c>
      <c r="B261" s="14" t="s">
        <v>1</v>
      </c>
      <c r="C261" s="14" t="s">
        <v>31</v>
      </c>
      <c r="D261" s="30" t="s">
        <v>280</v>
      </c>
      <c r="E261" s="15">
        <f t="shared" si="383"/>
        <v>553293</v>
      </c>
      <c r="F261" s="16">
        <f t="shared" si="384"/>
        <v>521150</v>
      </c>
      <c r="G261" s="16">
        <f t="shared" si="385"/>
        <v>521150</v>
      </c>
      <c r="H261" s="16">
        <v>21431</v>
      </c>
      <c r="I261" s="16">
        <v>5358</v>
      </c>
      <c r="J261" s="16">
        <f t="shared" si="341"/>
        <v>93684</v>
      </c>
      <c r="K261" s="16">
        <v>5201</v>
      </c>
      <c r="L261" s="16">
        <v>0</v>
      </c>
      <c r="M261" s="16">
        <v>0</v>
      </c>
      <c r="N261" s="16">
        <v>0</v>
      </c>
      <c r="O261" s="16">
        <v>0</v>
      </c>
      <c r="P261" s="16">
        <f>58483+30000</f>
        <v>88483</v>
      </c>
      <c r="Q261" s="16">
        <f t="shared" si="342"/>
        <v>0</v>
      </c>
      <c r="R261" s="16">
        <v>0</v>
      </c>
      <c r="S261" s="16">
        <v>0</v>
      </c>
      <c r="T261" s="16">
        <v>0</v>
      </c>
      <c r="U261" s="16">
        <f>7538+1000</f>
        <v>8538</v>
      </c>
      <c r="V261" s="16">
        <f t="shared" si="386"/>
        <v>95619</v>
      </c>
      <c r="W261" s="16">
        <f>5272+2000</f>
        <v>7272</v>
      </c>
      <c r="X261" s="16">
        <f>65569+756</f>
        <v>66325</v>
      </c>
      <c r="Y261" s="16">
        <f>11620+694</f>
        <v>12314</v>
      </c>
      <c r="Z261" s="16">
        <f>6988+1215</f>
        <v>8203</v>
      </c>
      <c r="AA261" s="16">
        <v>1505</v>
      </c>
      <c r="AB261" s="16">
        <v>0</v>
      </c>
      <c r="AC261" s="16">
        <v>0</v>
      </c>
      <c r="AD261" s="16">
        <v>0</v>
      </c>
      <c r="AE261" s="16">
        <f t="shared" si="387"/>
        <v>296520</v>
      </c>
      <c r="AF261" s="16">
        <v>0</v>
      </c>
      <c r="AG261" s="16">
        <f>3070+1000</f>
        <v>4070</v>
      </c>
      <c r="AH261" s="16">
        <v>177962</v>
      </c>
      <c r="AI261" s="16">
        <v>0</v>
      </c>
      <c r="AJ261" s="16">
        <v>1591</v>
      </c>
      <c r="AK261" s="16">
        <v>0</v>
      </c>
      <c r="AL261" s="16">
        <v>214</v>
      </c>
      <c r="AM261" s="16">
        <v>0</v>
      </c>
      <c r="AN261" s="16">
        <v>0</v>
      </c>
      <c r="AO261" s="16">
        <v>0</v>
      </c>
      <c r="AP261" s="16">
        <v>0</v>
      </c>
      <c r="AQ261" s="16">
        <v>0</v>
      </c>
      <c r="AR261" s="16">
        <v>0</v>
      </c>
      <c r="AS261" s="16">
        <v>0</v>
      </c>
      <c r="AT261" s="16">
        <v>0</v>
      </c>
      <c r="AU261" s="16">
        <v>0</v>
      </c>
      <c r="AV261" s="16">
        <v>0</v>
      </c>
      <c r="AW261" s="16">
        <v>0</v>
      </c>
      <c r="AX261" s="16">
        <v>0</v>
      </c>
      <c r="AY261" s="16">
        <v>0</v>
      </c>
      <c r="AZ261" s="16">
        <f>77753+34930</f>
        <v>112683</v>
      </c>
      <c r="BA261" s="16">
        <f t="shared" si="388"/>
        <v>0</v>
      </c>
      <c r="BB261" s="16">
        <f t="shared" si="389"/>
        <v>0</v>
      </c>
      <c r="BC261" s="16">
        <v>0</v>
      </c>
      <c r="BD261" s="16">
        <v>0</v>
      </c>
      <c r="BE261" s="16">
        <v>0</v>
      </c>
      <c r="BF261" s="16">
        <f t="shared" si="343"/>
        <v>0</v>
      </c>
      <c r="BG261" s="16">
        <v>0</v>
      </c>
      <c r="BH261" s="16">
        <v>0</v>
      </c>
      <c r="BI261" s="16">
        <v>0</v>
      </c>
      <c r="BJ261" s="16">
        <v>0</v>
      </c>
      <c r="BK261" s="16">
        <f t="shared" si="344"/>
        <v>0</v>
      </c>
      <c r="BL261" s="16">
        <v>0</v>
      </c>
      <c r="BM261" s="16">
        <f t="shared" si="345"/>
        <v>0</v>
      </c>
      <c r="BN261" s="16">
        <v>0</v>
      </c>
      <c r="BO261" s="16">
        <v>0</v>
      </c>
      <c r="BP261" s="16">
        <v>0</v>
      </c>
      <c r="BQ261" s="16">
        <v>0</v>
      </c>
      <c r="BR261" s="16">
        <v>0</v>
      </c>
      <c r="BS261" s="16">
        <v>0</v>
      </c>
      <c r="BT261" s="16">
        <v>0</v>
      </c>
      <c r="BU261" s="16">
        <v>0</v>
      </c>
      <c r="BV261" s="16">
        <v>0</v>
      </c>
      <c r="BW261" s="16">
        <v>0</v>
      </c>
      <c r="BX261" s="16">
        <v>0</v>
      </c>
      <c r="BY261" s="16">
        <f t="shared" si="390"/>
        <v>32143</v>
      </c>
      <c r="BZ261" s="16">
        <f t="shared" si="391"/>
        <v>32143</v>
      </c>
      <c r="CA261" s="16">
        <f t="shared" si="346"/>
        <v>32143</v>
      </c>
      <c r="CB261" s="16">
        <v>0</v>
      </c>
      <c r="CC261" s="16">
        <f>2143+30000</f>
        <v>32143</v>
      </c>
      <c r="CD261" s="16">
        <f t="shared" si="347"/>
        <v>0</v>
      </c>
      <c r="CE261" s="16">
        <v>0</v>
      </c>
      <c r="CF261" s="16">
        <v>0</v>
      </c>
      <c r="CG261" s="16">
        <v>0</v>
      </c>
      <c r="CH261" s="16">
        <v>0</v>
      </c>
      <c r="CI261" s="16">
        <v>0</v>
      </c>
      <c r="CJ261" s="16">
        <v>0</v>
      </c>
      <c r="CK261" s="16">
        <f t="shared" si="348"/>
        <v>0</v>
      </c>
      <c r="CL261" s="16">
        <v>0</v>
      </c>
      <c r="CM261" s="16">
        <v>0</v>
      </c>
      <c r="CN261" s="16">
        <v>0</v>
      </c>
      <c r="CO261" s="16">
        <v>0</v>
      </c>
      <c r="CP261" s="16">
        <v>0</v>
      </c>
      <c r="CQ261" s="16">
        <v>0</v>
      </c>
      <c r="CR261" s="16">
        <v>0</v>
      </c>
      <c r="CS261" s="16">
        <v>0</v>
      </c>
      <c r="CT261" s="16">
        <f t="shared" si="349"/>
        <v>0</v>
      </c>
      <c r="CU261" s="16">
        <f t="shared" si="350"/>
        <v>0</v>
      </c>
      <c r="CV261" s="16">
        <v>0</v>
      </c>
      <c r="CW261" s="17">
        <v>0</v>
      </c>
      <c r="CX261" s="40"/>
      <c r="CY261" s="40"/>
    </row>
    <row r="262" spans="1:103" ht="15.75" x14ac:dyDescent="0.25">
      <c r="A262" s="13" t="s">
        <v>1</v>
      </c>
      <c r="B262" s="14" t="s">
        <v>1</v>
      </c>
      <c r="C262" s="14" t="s">
        <v>33</v>
      </c>
      <c r="D262" s="30" t="s">
        <v>282</v>
      </c>
      <c r="E262" s="15">
        <f t="shared" si="383"/>
        <v>569556</v>
      </c>
      <c r="F262" s="16">
        <f t="shared" si="384"/>
        <v>520285</v>
      </c>
      <c r="G262" s="16">
        <f t="shared" si="385"/>
        <v>520285</v>
      </c>
      <c r="H262" s="16">
        <v>25000</v>
      </c>
      <c r="I262" s="16">
        <f>6250+2</f>
        <v>6252</v>
      </c>
      <c r="J262" s="16">
        <f t="shared" si="341"/>
        <v>146163</v>
      </c>
      <c r="K262" s="16">
        <v>1800</v>
      </c>
      <c r="L262" s="16">
        <v>0</v>
      </c>
      <c r="M262" s="16">
        <v>0</v>
      </c>
      <c r="N262" s="16">
        <v>0</v>
      </c>
      <c r="O262" s="16">
        <v>10600</v>
      </c>
      <c r="P262" s="16">
        <f>138868-5105</f>
        <v>133763</v>
      </c>
      <c r="Q262" s="16">
        <f t="shared" si="342"/>
        <v>0</v>
      </c>
      <c r="R262" s="16">
        <v>0</v>
      </c>
      <c r="S262" s="16">
        <v>0</v>
      </c>
      <c r="T262" s="16">
        <v>0</v>
      </c>
      <c r="U262" s="16">
        <v>10752</v>
      </c>
      <c r="V262" s="16">
        <f t="shared" si="386"/>
        <v>144059</v>
      </c>
      <c r="W262" s="16">
        <v>3027</v>
      </c>
      <c r="X262" s="16">
        <f>101888-16384</f>
        <v>85504</v>
      </c>
      <c r="Y262" s="16">
        <f>26858-7074</f>
        <v>19784</v>
      </c>
      <c r="Z262" s="16">
        <f>40757-11927</f>
        <v>28830</v>
      </c>
      <c r="AA262" s="16">
        <f>6832-798</f>
        <v>6034</v>
      </c>
      <c r="AB262" s="16">
        <v>0</v>
      </c>
      <c r="AC262" s="16">
        <v>0</v>
      </c>
      <c r="AD262" s="16">
        <v>880</v>
      </c>
      <c r="AE262" s="16">
        <f t="shared" si="387"/>
        <v>188059</v>
      </c>
      <c r="AF262" s="16">
        <v>0</v>
      </c>
      <c r="AG262" s="16">
        <v>0</v>
      </c>
      <c r="AH262" s="16">
        <f>16939-16939</f>
        <v>0</v>
      </c>
      <c r="AI262" s="16">
        <v>0</v>
      </c>
      <c r="AJ262" s="16">
        <v>23750</v>
      </c>
      <c r="AK262" s="16">
        <v>0</v>
      </c>
      <c r="AL262" s="16">
        <v>2900</v>
      </c>
      <c r="AM262" s="16">
        <v>2830</v>
      </c>
      <c r="AN262" s="16">
        <v>0</v>
      </c>
      <c r="AO262" s="16">
        <v>0</v>
      </c>
      <c r="AP262" s="16">
        <f>0+101397</f>
        <v>101397</v>
      </c>
      <c r="AQ262" s="16">
        <v>0</v>
      </c>
      <c r="AR262" s="16">
        <v>0</v>
      </c>
      <c r="AS262" s="16">
        <v>15000</v>
      </c>
      <c r="AT262" s="16">
        <v>0</v>
      </c>
      <c r="AU262" s="16">
        <v>0</v>
      </c>
      <c r="AV262" s="16">
        <v>0</v>
      </c>
      <c r="AW262" s="16">
        <v>0</v>
      </c>
      <c r="AX262" s="16">
        <v>0</v>
      </c>
      <c r="AY262" s="16">
        <v>0</v>
      </c>
      <c r="AZ262" s="16">
        <f>42351-169</f>
        <v>42182</v>
      </c>
      <c r="BA262" s="16">
        <f t="shared" si="388"/>
        <v>0</v>
      </c>
      <c r="BB262" s="16">
        <f t="shared" si="389"/>
        <v>0</v>
      </c>
      <c r="BC262" s="16">
        <v>0</v>
      </c>
      <c r="BD262" s="16">
        <v>0</v>
      </c>
      <c r="BE262" s="16">
        <v>0</v>
      </c>
      <c r="BF262" s="16">
        <f t="shared" si="343"/>
        <v>0</v>
      </c>
      <c r="BG262" s="16">
        <v>0</v>
      </c>
      <c r="BH262" s="16">
        <v>0</v>
      </c>
      <c r="BI262" s="16">
        <v>0</v>
      </c>
      <c r="BJ262" s="16">
        <v>0</v>
      </c>
      <c r="BK262" s="16">
        <f t="shared" si="344"/>
        <v>0</v>
      </c>
      <c r="BL262" s="16">
        <v>0</v>
      </c>
      <c r="BM262" s="16">
        <f t="shared" si="345"/>
        <v>0</v>
      </c>
      <c r="BN262" s="16">
        <v>0</v>
      </c>
      <c r="BO262" s="16">
        <v>0</v>
      </c>
      <c r="BP262" s="16">
        <v>0</v>
      </c>
      <c r="BQ262" s="16">
        <v>0</v>
      </c>
      <c r="BR262" s="16">
        <v>0</v>
      </c>
      <c r="BS262" s="16">
        <v>0</v>
      </c>
      <c r="BT262" s="16">
        <v>0</v>
      </c>
      <c r="BU262" s="16">
        <v>0</v>
      </c>
      <c r="BV262" s="16">
        <v>0</v>
      </c>
      <c r="BW262" s="16">
        <v>0</v>
      </c>
      <c r="BX262" s="16">
        <v>0</v>
      </c>
      <c r="BY262" s="16">
        <f t="shared" si="390"/>
        <v>49271</v>
      </c>
      <c r="BZ262" s="16">
        <f t="shared" si="391"/>
        <v>49271</v>
      </c>
      <c r="CA262" s="16">
        <f t="shared" si="346"/>
        <v>49271</v>
      </c>
      <c r="CB262" s="16">
        <v>0</v>
      </c>
      <c r="CC262" s="16">
        <f>51351-2080</f>
        <v>49271</v>
      </c>
      <c r="CD262" s="16">
        <f t="shared" si="347"/>
        <v>0</v>
      </c>
      <c r="CE262" s="16">
        <v>0</v>
      </c>
      <c r="CF262" s="16">
        <v>0</v>
      </c>
      <c r="CG262" s="16">
        <v>0</v>
      </c>
      <c r="CH262" s="16">
        <v>0</v>
      </c>
      <c r="CI262" s="16">
        <v>0</v>
      </c>
      <c r="CJ262" s="16">
        <v>0</v>
      </c>
      <c r="CK262" s="16">
        <f t="shared" si="348"/>
        <v>0</v>
      </c>
      <c r="CL262" s="16">
        <v>0</v>
      </c>
      <c r="CM262" s="16">
        <v>0</v>
      </c>
      <c r="CN262" s="16">
        <v>0</v>
      </c>
      <c r="CO262" s="16">
        <v>0</v>
      </c>
      <c r="CP262" s="16">
        <v>0</v>
      </c>
      <c r="CQ262" s="16">
        <v>0</v>
      </c>
      <c r="CR262" s="16">
        <v>0</v>
      </c>
      <c r="CS262" s="16">
        <v>0</v>
      </c>
      <c r="CT262" s="16">
        <f t="shared" si="349"/>
        <v>0</v>
      </c>
      <c r="CU262" s="16">
        <f t="shared" si="350"/>
        <v>0</v>
      </c>
      <c r="CV262" s="16">
        <v>0</v>
      </c>
      <c r="CW262" s="17">
        <v>0</v>
      </c>
      <c r="CX262" s="40"/>
      <c r="CY262" s="40"/>
    </row>
    <row r="263" spans="1:103" ht="31.5" x14ac:dyDescent="0.25">
      <c r="A263" s="13" t="s">
        <v>1</v>
      </c>
      <c r="B263" s="14" t="s">
        <v>1</v>
      </c>
      <c r="C263" s="14" t="s">
        <v>33</v>
      </c>
      <c r="D263" s="30" t="s">
        <v>283</v>
      </c>
      <c r="E263" s="15">
        <f t="shared" si="383"/>
        <v>1032910</v>
      </c>
      <c r="F263" s="16">
        <f t="shared" si="384"/>
        <v>1000801</v>
      </c>
      <c r="G263" s="16">
        <f t="shared" si="385"/>
        <v>1000801</v>
      </c>
      <c r="H263" s="16">
        <v>321088</v>
      </c>
      <c r="I263" s="16">
        <v>80272</v>
      </c>
      <c r="J263" s="16">
        <f t="shared" si="341"/>
        <v>320938</v>
      </c>
      <c r="K263" s="16">
        <v>5042</v>
      </c>
      <c r="L263" s="16">
        <v>800</v>
      </c>
      <c r="M263" s="16">
        <v>0</v>
      </c>
      <c r="N263" s="16">
        <v>0</v>
      </c>
      <c r="O263" s="16">
        <v>239314</v>
      </c>
      <c r="P263" s="16">
        <v>75782</v>
      </c>
      <c r="Q263" s="16">
        <f t="shared" si="342"/>
        <v>873</v>
      </c>
      <c r="R263" s="16">
        <v>873</v>
      </c>
      <c r="S263" s="16">
        <v>0</v>
      </c>
      <c r="T263" s="16">
        <v>0</v>
      </c>
      <c r="U263" s="16">
        <v>17472</v>
      </c>
      <c r="V263" s="16">
        <f t="shared" si="386"/>
        <v>50088</v>
      </c>
      <c r="W263" s="16">
        <v>1000</v>
      </c>
      <c r="X263" s="16">
        <f>29577+341</f>
        <v>29918</v>
      </c>
      <c r="Y263" s="16">
        <f>9252+552</f>
        <v>9804</v>
      </c>
      <c r="Z263" s="16">
        <f>2054+359</f>
        <v>2413</v>
      </c>
      <c r="AA263" s="16">
        <v>6953</v>
      </c>
      <c r="AB263" s="16">
        <v>0</v>
      </c>
      <c r="AC263" s="16">
        <v>0</v>
      </c>
      <c r="AD263" s="16">
        <v>0</v>
      </c>
      <c r="AE263" s="16">
        <f t="shared" si="387"/>
        <v>210070</v>
      </c>
      <c r="AF263" s="16">
        <v>0</v>
      </c>
      <c r="AG263" s="16">
        <v>8451</v>
      </c>
      <c r="AH263" s="16">
        <v>11000</v>
      </c>
      <c r="AI263" s="16">
        <v>0</v>
      </c>
      <c r="AJ263" s="16">
        <v>0</v>
      </c>
      <c r="AK263" s="16">
        <v>0</v>
      </c>
      <c r="AL263" s="16">
        <v>3661</v>
      </c>
      <c r="AM263" s="16">
        <v>0</v>
      </c>
      <c r="AN263" s="16">
        <v>0</v>
      </c>
      <c r="AO263" s="16">
        <v>0</v>
      </c>
      <c r="AP263" s="16">
        <v>0</v>
      </c>
      <c r="AQ263" s="16">
        <v>0</v>
      </c>
      <c r="AR263" s="16">
        <v>0</v>
      </c>
      <c r="AS263" s="16">
        <v>0</v>
      </c>
      <c r="AT263" s="16">
        <v>0</v>
      </c>
      <c r="AU263" s="16">
        <v>0</v>
      </c>
      <c r="AV263" s="16">
        <v>0</v>
      </c>
      <c r="AW263" s="16">
        <v>0</v>
      </c>
      <c r="AX263" s="16">
        <v>0</v>
      </c>
      <c r="AY263" s="16">
        <v>0</v>
      </c>
      <c r="AZ263" s="16">
        <f>187640-682</f>
        <v>186958</v>
      </c>
      <c r="BA263" s="16">
        <f t="shared" si="388"/>
        <v>0</v>
      </c>
      <c r="BB263" s="16">
        <f t="shared" si="389"/>
        <v>0</v>
      </c>
      <c r="BC263" s="16">
        <v>0</v>
      </c>
      <c r="BD263" s="16">
        <v>0</v>
      </c>
      <c r="BE263" s="16">
        <v>0</v>
      </c>
      <c r="BF263" s="16">
        <f t="shared" si="343"/>
        <v>0</v>
      </c>
      <c r="BG263" s="16">
        <v>0</v>
      </c>
      <c r="BH263" s="16">
        <v>0</v>
      </c>
      <c r="BI263" s="16">
        <v>0</v>
      </c>
      <c r="BJ263" s="16">
        <v>0</v>
      </c>
      <c r="BK263" s="16">
        <f t="shared" si="344"/>
        <v>0</v>
      </c>
      <c r="BL263" s="16">
        <v>0</v>
      </c>
      <c r="BM263" s="16">
        <f t="shared" si="345"/>
        <v>0</v>
      </c>
      <c r="BN263" s="16">
        <v>0</v>
      </c>
      <c r="BO263" s="16">
        <v>0</v>
      </c>
      <c r="BP263" s="16">
        <v>0</v>
      </c>
      <c r="BQ263" s="16">
        <v>0</v>
      </c>
      <c r="BR263" s="16">
        <v>0</v>
      </c>
      <c r="BS263" s="16">
        <v>0</v>
      </c>
      <c r="BT263" s="16">
        <v>0</v>
      </c>
      <c r="BU263" s="16">
        <v>0</v>
      </c>
      <c r="BV263" s="16">
        <v>0</v>
      </c>
      <c r="BW263" s="16">
        <v>0</v>
      </c>
      <c r="BX263" s="16">
        <v>0</v>
      </c>
      <c r="BY263" s="16">
        <f t="shared" si="390"/>
        <v>32109</v>
      </c>
      <c r="BZ263" s="16">
        <f t="shared" si="391"/>
        <v>32109</v>
      </c>
      <c r="CA263" s="16">
        <f t="shared" si="346"/>
        <v>32109</v>
      </c>
      <c r="CB263" s="16">
        <v>0</v>
      </c>
      <c r="CC263" s="16">
        <v>32109</v>
      </c>
      <c r="CD263" s="16">
        <f t="shared" si="347"/>
        <v>0</v>
      </c>
      <c r="CE263" s="16">
        <v>0</v>
      </c>
      <c r="CF263" s="16">
        <v>0</v>
      </c>
      <c r="CG263" s="16">
        <v>0</v>
      </c>
      <c r="CH263" s="16">
        <v>0</v>
      </c>
      <c r="CI263" s="16">
        <v>0</v>
      </c>
      <c r="CJ263" s="16">
        <v>0</v>
      </c>
      <c r="CK263" s="16">
        <f t="shared" si="348"/>
        <v>0</v>
      </c>
      <c r="CL263" s="16">
        <v>0</v>
      </c>
      <c r="CM263" s="16">
        <v>0</v>
      </c>
      <c r="CN263" s="16">
        <v>0</v>
      </c>
      <c r="CO263" s="16">
        <v>0</v>
      </c>
      <c r="CP263" s="16">
        <v>0</v>
      </c>
      <c r="CQ263" s="16">
        <v>0</v>
      </c>
      <c r="CR263" s="16">
        <v>0</v>
      </c>
      <c r="CS263" s="16">
        <v>0</v>
      </c>
      <c r="CT263" s="16">
        <f t="shared" si="349"/>
        <v>0</v>
      </c>
      <c r="CU263" s="16">
        <f t="shared" si="350"/>
        <v>0</v>
      </c>
      <c r="CV263" s="16">
        <v>0</v>
      </c>
      <c r="CW263" s="17">
        <v>0</v>
      </c>
      <c r="CX263" s="40"/>
      <c r="CY263" s="40"/>
    </row>
    <row r="264" spans="1:103" ht="15.75" x14ac:dyDescent="0.25">
      <c r="A264" s="13" t="s">
        <v>1</v>
      </c>
      <c r="B264" s="14" t="s">
        <v>1</v>
      </c>
      <c r="C264" s="14" t="s">
        <v>33</v>
      </c>
      <c r="D264" s="30" t="s">
        <v>507</v>
      </c>
      <c r="E264" s="15">
        <f t="shared" si="383"/>
        <v>1606408</v>
      </c>
      <c r="F264" s="16">
        <f t="shared" si="384"/>
        <v>1463379</v>
      </c>
      <c r="G264" s="16">
        <f t="shared" si="385"/>
        <v>1463379</v>
      </c>
      <c r="H264" s="16">
        <v>327600</v>
      </c>
      <c r="I264" s="16">
        <v>81900</v>
      </c>
      <c r="J264" s="16">
        <f t="shared" si="341"/>
        <v>93530</v>
      </c>
      <c r="K264" s="16">
        <v>0</v>
      </c>
      <c r="L264" s="16">
        <v>0</v>
      </c>
      <c r="M264" s="16">
        <v>0</v>
      </c>
      <c r="N264" s="16">
        <v>0</v>
      </c>
      <c r="O264" s="16">
        <v>77150</v>
      </c>
      <c r="P264" s="16">
        <v>16380</v>
      </c>
      <c r="Q264" s="16">
        <f t="shared" si="342"/>
        <v>55750</v>
      </c>
      <c r="R264" s="16">
        <v>1000</v>
      </c>
      <c r="S264" s="16">
        <v>54750</v>
      </c>
      <c r="T264" s="16">
        <v>0</v>
      </c>
      <c r="U264" s="16">
        <v>28986</v>
      </c>
      <c r="V264" s="16">
        <f t="shared" si="386"/>
        <v>255706</v>
      </c>
      <c r="W264" s="16">
        <v>101154</v>
      </c>
      <c r="X264" s="16">
        <f>2110+24</f>
        <v>2134</v>
      </c>
      <c r="Y264" s="16">
        <f>98987+12318</f>
        <v>111305</v>
      </c>
      <c r="Z264" s="16">
        <f>12093+2109</f>
        <v>14202</v>
      </c>
      <c r="AA264" s="16">
        <v>3261</v>
      </c>
      <c r="AB264" s="16">
        <v>0</v>
      </c>
      <c r="AC264" s="16">
        <v>0</v>
      </c>
      <c r="AD264" s="16">
        <f>22586+1064</f>
        <v>23650</v>
      </c>
      <c r="AE264" s="16">
        <f t="shared" si="387"/>
        <v>619907</v>
      </c>
      <c r="AF264" s="16">
        <v>0</v>
      </c>
      <c r="AG264" s="16">
        <v>22575</v>
      </c>
      <c r="AH264" s="16">
        <v>43392</v>
      </c>
      <c r="AI264" s="16">
        <v>0</v>
      </c>
      <c r="AJ264" s="16">
        <v>1591</v>
      </c>
      <c r="AK264" s="16">
        <v>0</v>
      </c>
      <c r="AL264" s="16">
        <v>3276</v>
      </c>
      <c r="AM264" s="16">
        <v>42107</v>
      </c>
      <c r="AN264" s="16">
        <v>0</v>
      </c>
      <c r="AO264" s="16">
        <v>0</v>
      </c>
      <c r="AP264" s="16">
        <v>0</v>
      </c>
      <c r="AQ264" s="16">
        <v>0</v>
      </c>
      <c r="AR264" s="16">
        <v>0</v>
      </c>
      <c r="AS264" s="16">
        <v>0</v>
      </c>
      <c r="AT264" s="16">
        <v>0</v>
      </c>
      <c r="AU264" s="16">
        <v>0</v>
      </c>
      <c r="AV264" s="16">
        <v>0</v>
      </c>
      <c r="AW264" s="16">
        <v>0</v>
      </c>
      <c r="AX264" s="16">
        <v>0</v>
      </c>
      <c r="AY264" s="16">
        <v>0</v>
      </c>
      <c r="AZ264" s="16">
        <f>516073-9107</f>
        <v>506966</v>
      </c>
      <c r="BA264" s="16">
        <f t="shared" si="388"/>
        <v>0</v>
      </c>
      <c r="BB264" s="16">
        <f t="shared" si="389"/>
        <v>0</v>
      </c>
      <c r="BC264" s="16">
        <v>0</v>
      </c>
      <c r="BD264" s="16">
        <v>0</v>
      </c>
      <c r="BE264" s="16">
        <v>0</v>
      </c>
      <c r="BF264" s="16">
        <f t="shared" si="343"/>
        <v>0</v>
      </c>
      <c r="BG264" s="16">
        <v>0</v>
      </c>
      <c r="BH264" s="16">
        <v>0</v>
      </c>
      <c r="BI264" s="16">
        <v>0</v>
      </c>
      <c r="BJ264" s="16">
        <v>0</v>
      </c>
      <c r="BK264" s="16">
        <f t="shared" si="344"/>
        <v>0</v>
      </c>
      <c r="BL264" s="16">
        <v>0</v>
      </c>
      <c r="BM264" s="16">
        <f t="shared" si="345"/>
        <v>0</v>
      </c>
      <c r="BN264" s="16">
        <v>0</v>
      </c>
      <c r="BO264" s="16">
        <v>0</v>
      </c>
      <c r="BP264" s="16">
        <v>0</v>
      </c>
      <c r="BQ264" s="16">
        <v>0</v>
      </c>
      <c r="BR264" s="16">
        <v>0</v>
      </c>
      <c r="BS264" s="16">
        <v>0</v>
      </c>
      <c r="BT264" s="16">
        <v>0</v>
      </c>
      <c r="BU264" s="16">
        <v>0</v>
      </c>
      <c r="BV264" s="16">
        <v>0</v>
      </c>
      <c r="BW264" s="16">
        <v>0</v>
      </c>
      <c r="BX264" s="16">
        <v>0</v>
      </c>
      <c r="BY264" s="16">
        <f t="shared" si="390"/>
        <v>143029</v>
      </c>
      <c r="BZ264" s="16">
        <f t="shared" si="391"/>
        <v>143029</v>
      </c>
      <c r="CA264" s="16">
        <f t="shared" si="346"/>
        <v>143029</v>
      </c>
      <c r="CB264" s="16">
        <v>0</v>
      </c>
      <c r="CC264" s="16">
        <v>143029</v>
      </c>
      <c r="CD264" s="16">
        <f t="shared" si="347"/>
        <v>0</v>
      </c>
      <c r="CE264" s="16">
        <v>0</v>
      </c>
      <c r="CF264" s="16">
        <v>0</v>
      </c>
      <c r="CG264" s="16">
        <v>0</v>
      </c>
      <c r="CH264" s="16">
        <v>0</v>
      </c>
      <c r="CI264" s="16">
        <v>0</v>
      </c>
      <c r="CJ264" s="16">
        <v>0</v>
      </c>
      <c r="CK264" s="16">
        <f t="shared" si="348"/>
        <v>0</v>
      </c>
      <c r="CL264" s="16">
        <v>0</v>
      </c>
      <c r="CM264" s="16">
        <v>0</v>
      </c>
      <c r="CN264" s="16">
        <v>0</v>
      </c>
      <c r="CO264" s="16">
        <v>0</v>
      </c>
      <c r="CP264" s="16">
        <v>0</v>
      </c>
      <c r="CQ264" s="16">
        <v>0</v>
      </c>
      <c r="CR264" s="16">
        <v>0</v>
      </c>
      <c r="CS264" s="16">
        <v>0</v>
      </c>
      <c r="CT264" s="16">
        <f t="shared" si="349"/>
        <v>0</v>
      </c>
      <c r="CU264" s="16">
        <f t="shared" si="350"/>
        <v>0</v>
      </c>
      <c r="CV264" s="16">
        <v>0</v>
      </c>
      <c r="CW264" s="17">
        <v>0</v>
      </c>
      <c r="CX264" s="40"/>
      <c r="CY264" s="40"/>
    </row>
    <row r="265" spans="1:103" ht="15.75" x14ac:dyDescent="0.25">
      <c r="A265" s="13" t="s">
        <v>1</v>
      </c>
      <c r="B265" s="14" t="s">
        <v>1</v>
      </c>
      <c r="C265" s="14" t="s">
        <v>33</v>
      </c>
      <c r="D265" s="30" t="s">
        <v>281</v>
      </c>
      <c r="E265" s="15">
        <f t="shared" si="383"/>
        <v>15200875</v>
      </c>
      <c r="F265" s="16">
        <f t="shared" si="384"/>
        <v>14950049</v>
      </c>
      <c r="G265" s="16">
        <f t="shared" si="385"/>
        <v>14950049</v>
      </c>
      <c r="H265" s="16">
        <v>2681030</v>
      </c>
      <c r="I265" s="16">
        <v>634052</v>
      </c>
      <c r="J265" s="16">
        <f>SUM(K265:P265)</f>
        <v>191773</v>
      </c>
      <c r="K265" s="16">
        <v>0</v>
      </c>
      <c r="L265" s="16">
        <v>0</v>
      </c>
      <c r="M265" s="16">
        <v>0</v>
      </c>
      <c r="N265" s="16">
        <v>0</v>
      </c>
      <c r="O265" s="16">
        <v>82768</v>
      </c>
      <c r="P265" s="16">
        <v>109005</v>
      </c>
      <c r="Q265" s="16">
        <f>SUM(R265:S265)</f>
        <v>0</v>
      </c>
      <c r="R265" s="16">
        <v>0</v>
      </c>
      <c r="S265" s="16">
        <v>0</v>
      </c>
      <c r="T265" s="16">
        <v>36000</v>
      </c>
      <c r="U265" s="16">
        <v>24047</v>
      </c>
      <c r="V265" s="16">
        <f t="shared" si="386"/>
        <v>213181</v>
      </c>
      <c r="W265" s="16">
        <v>4176</v>
      </c>
      <c r="X265" s="16">
        <f>96095+1108</f>
        <v>97203</v>
      </c>
      <c r="Y265" s="16">
        <f>89585+5348</f>
        <v>94933</v>
      </c>
      <c r="Z265" s="16">
        <f>3217+609</f>
        <v>3826</v>
      </c>
      <c r="AA265" s="16">
        <v>13043</v>
      </c>
      <c r="AB265" s="16">
        <v>0</v>
      </c>
      <c r="AC265" s="16">
        <v>0</v>
      </c>
      <c r="AD265" s="16">
        <v>0</v>
      </c>
      <c r="AE265" s="16">
        <f>SUM(AF265:AZ265)</f>
        <v>11169966</v>
      </c>
      <c r="AF265" s="16">
        <v>0</v>
      </c>
      <c r="AG265" s="16">
        <v>286682</v>
      </c>
      <c r="AH265" s="16">
        <v>18121</v>
      </c>
      <c r="AI265" s="16">
        <v>0</v>
      </c>
      <c r="AJ265" s="16">
        <v>4500</v>
      </c>
      <c r="AK265" s="16">
        <v>0</v>
      </c>
      <c r="AL265" s="16">
        <v>25083</v>
      </c>
      <c r="AM265" s="16">
        <v>0</v>
      </c>
      <c r="AN265" s="16">
        <v>0</v>
      </c>
      <c r="AO265" s="16">
        <v>0</v>
      </c>
      <c r="AP265" s="16">
        <v>0</v>
      </c>
      <c r="AQ265" s="16">
        <v>0</v>
      </c>
      <c r="AR265" s="16">
        <v>0</v>
      </c>
      <c r="AS265" s="16">
        <v>0</v>
      </c>
      <c r="AT265" s="16">
        <v>0</v>
      </c>
      <c r="AU265" s="16">
        <v>0</v>
      </c>
      <c r="AV265" s="16">
        <v>0</v>
      </c>
      <c r="AW265" s="16">
        <v>0</v>
      </c>
      <c r="AX265" s="16">
        <v>0</v>
      </c>
      <c r="AY265" s="16">
        <v>0</v>
      </c>
      <c r="AZ265" s="16">
        <f>10579770+255810</f>
        <v>10835580</v>
      </c>
      <c r="BA265" s="16">
        <f t="shared" si="388"/>
        <v>0</v>
      </c>
      <c r="BB265" s="16">
        <f t="shared" si="389"/>
        <v>0</v>
      </c>
      <c r="BC265" s="16">
        <v>0</v>
      </c>
      <c r="BD265" s="16">
        <v>0</v>
      </c>
      <c r="BE265" s="16">
        <v>0</v>
      </c>
      <c r="BF265" s="16">
        <f>SUM(BG265:BH265)</f>
        <v>0</v>
      </c>
      <c r="BG265" s="16">
        <v>0</v>
      </c>
      <c r="BH265" s="16">
        <v>0</v>
      </c>
      <c r="BI265" s="16">
        <v>0</v>
      </c>
      <c r="BJ265" s="16">
        <v>0</v>
      </c>
      <c r="BK265" s="16">
        <f>SUM(BL265)</f>
        <v>0</v>
      </c>
      <c r="BL265" s="16">
        <v>0</v>
      </c>
      <c r="BM265" s="16">
        <f>SUM(BN265:BX265)</f>
        <v>0</v>
      </c>
      <c r="BN265" s="16">
        <v>0</v>
      </c>
      <c r="BO265" s="16">
        <v>0</v>
      </c>
      <c r="BP265" s="16">
        <v>0</v>
      </c>
      <c r="BQ265" s="16">
        <v>0</v>
      </c>
      <c r="BR265" s="16">
        <v>0</v>
      </c>
      <c r="BS265" s="16">
        <v>0</v>
      </c>
      <c r="BT265" s="16">
        <v>0</v>
      </c>
      <c r="BU265" s="16">
        <v>0</v>
      </c>
      <c r="BV265" s="16">
        <v>0</v>
      </c>
      <c r="BW265" s="16">
        <v>0</v>
      </c>
      <c r="BX265" s="16">
        <v>0</v>
      </c>
      <c r="BY265" s="16">
        <f t="shared" si="390"/>
        <v>250826</v>
      </c>
      <c r="BZ265" s="16">
        <f t="shared" si="391"/>
        <v>250826</v>
      </c>
      <c r="CA265" s="16">
        <f>SUM(CB265:CC265)</f>
        <v>250826</v>
      </c>
      <c r="CB265" s="16">
        <v>0</v>
      </c>
      <c r="CC265" s="16">
        <v>250826</v>
      </c>
      <c r="CD265" s="16">
        <f>SUM(CE265:CI265)</f>
        <v>0</v>
      </c>
      <c r="CE265" s="16">
        <v>0</v>
      </c>
      <c r="CF265" s="16">
        <v>0</v>
      </c>
      <c r="CG265" s="16">
        <v>0</v>
      </c>
      <c r="CH265" s="16">
        <v>0</v>
      </c>
      <c r="CI265" s="16">
        <v>0</v>
      </c>
      <c r="CJ265" s="16">
        <v>0</v>
      </c>
      <c r="CK265" s="16">
        <f>SUM(CL265:CP265)</f>
        <v>0</v>
      </c>
      <c r="CL265" s="16">
        <v>0</v>
      </c>
      <c r="CM265" s="16">
        <v>0</v>
      </c>
      <c r="CN265" s="16">
        <v>0</v>
      </c>
      <c r="CO265" s="16">
        <v>0</v>
      </c>
      <c r="CP265" s="16">
        <v>0</v>
      </c>
      <c r="CQ265" s="16">
        <v>0</v>
      </c>
      <c r="CR265" s="16">
        <v>0</v>
      </c>
      <c r="CS265" s="16">
        <v>0</v>
      </c>
      <c r="CT265" s="16">
        <f>SUM(CU265)</f>
        <v>0</v>
      </c>
      <c r="CU265" s="16">
        <f>SUM(CV265:CW265)</f>
        <v>0</v>
      </c>
      <c r="CV265" s="16">
        <v>0</v>
      </c>
      <c r="CW265" s="17">
        <v>0</v>
      </c>
      <c r="CX265" s="40"/>
      <c r="CY265" s="40"/>
    </row>
    <row r="266" spans="1:103" ht="15.75" x14ac:dyDescent="0.25">
      <c r="A266" s="13" t="s">
        <v>1</v>
      </c>
      <c r="B266" s="14" t="s">
        <v>1</v>
      </c>
      <c r="C266" s="14" t="s">
        <v>34</v>
      </c>
      <c r="D266" s="30" t="s">
        <v>284</v>
      </c>
      <c r="E266" s="15">
        <f t="shared" si="383"/>
        <v>1633903</v>
      </c>
      <c r="F266" s="16">
        <f t="shared" si="384"/>
        <v>1246477</v>
      </c>
      <c r="G266" s="16">
        <f t="shared" si="385"/>
        <v>1246477</v>
      </c>
      <c r="H266" s="16">
        <v>0</v>
      </c>
      <c r="I266" s="16">
        <v>0</v>
      </c>
      <c r="J266" s="16">
        <f t="shared" si="341"/>
        <v>503230</v>
      </c>
      <c r="K266" s="16">
        <v>1000</v>
      </c>
      <c r="L266" s="16">
        <v>0</v>
      </c>
      <c r="M266" s="16">
        <v>0</v>
      </c>
      <c r="N266" s="16">
        <v>0</v>
      </c>
      <c r="O266" s="16">
        <v>287044</v>
      </c>
      <c r="P266" s="16">
        <v>215186</v>
      </c>
      <c r="Q266" s="16">
        <f t="shared" si="342"/>
        <v>60000</v>
      </c>
      <c r="R266" s="16">
        <v>0</v>
      </c>
      <c r="S266" s="16">
        <v>60000</v>
      </c>
      <c r="T266" s="16">
        <v>0</v>
      </c>
      <c r="U266" s="16">
        <v>75000</v>
      </c>
      <c r="V266" s="16">
        <f t="shared" si="386"/>
        <v>291507</v>
      </c>
      <c r="W266" s="16">
        <v>20200</v>
      </c>
      <c r="X266" s="16">
        <f>48959+9082</f>
        <v>58041</v>
      </c>
      <c r="Y266" s="16">
        <f>81968+57051</f>
        <v>139019</v>
      </c>
      <c r="Z266" s="16">
        <f>10737+2822</f>
        <v>13559</v>
      </c>
      <c r="AA266" s="16">
        <v>6271</v>
      </c>
      <c r="AB266" s="16">
        <v>50000</v>
      </c>
      <c r="AC266" s="16">
        <v>0</v>
      </c>
      <c r="AD266" s="16">
        <f>3771+646</f>
        <v>4417</v>
      </c>
      <c r="AE266" s="16">
        <f t="shared" si="387"/>
        <v>316740</v>
      </c>
      <c r="AF266" s="16">
        <v>0</v>
      </c>
      <c r="AG266" s="16">
        <v>95400</v>
      </c>
      <c r="AH266" s="16">
        <v>97750</v>
      </c>
      <c r="AI266" s="16">
        <v>0</v>
      </c>
      <c r="AJ266" s="16">
        <v>19700</v>
      </c>
      <c r="AK266" s="16">
        <v>0</v>
      </c>
      <c r="AL266" s="16">
        <v>0</v>
      </c>
      <c r="AM266" s="16">
        <v>0</v>
      </c>
      <c r="AN266" s="16">
        <v>0</v>
      </c>
      <c r="AO266" s="16">
        <v>0</v>
      </c>
      <c r="AP266" s="16">
        <v>0</v>
      </c>
      <c r="AQ266" s="16">
        <v>0</v>
      </c>
      <c r="AR266" s="16">
        <v>42400</v>
      </c>
      <c r="AS266" s="16">
        <v>0</v>
      </c>
      <c r="AT266" s="16">
        <v>0</v>
      </c>
      <c r="AU266" s="16">
        <v>0</v>
      </c>
      <c r="AV266" s="16">
        <v>0</v>
      </c>
      <c r="AW266" s="16">
        <v>0</v>
      </c>
      <c r="AX266" s="16">
        <v>0</v>
      </c>
      <c r="AY266" s="16">
        <v>0</v>
      </c>
      <c r="AZ266" s="16">
        <v>61490</v>
      </c>
      <c r="BA266" s="16">
        <f t="shared" si="388"/>
        <v>0</v>
      </c>
      <c r="BB266" s="16">
        <f t="shared" si="389"/>
        <v>0</v>
      </c>
      <c r="BC266" s="16">
        <v>0</v>
      </c>
      <c r="BD266" s="16">
        <v>0</v>
      </c>
      <c r="BE266" s="16">
        <v>0</v>
      </c>
      <c r="BF266" s="16">
        <f t="shared" si="343"/>
        <v>0</v>
      </c>
      <c r="BG266" s="16">
        <v>0</v>
      </c>
      <c r="BH266" s="16">
        <v>0</v>
      </c>
      <c r="BI266" s="16">
        <v>0</v>
      </c>
      <c r="BJ266" s="16">
        <v>0</v>
      </c>
      <c r="BK266" s="16">
        <f t="shared" si="344"/>
        <v>0</v>
      </c>
      <c r="BL266" s="16">
        <v>0</v>
      </c>
      <c r="BM266" s="16">
        <f t="shared" si="345"/>
        <v>0</v>
      </c>
      <c r="BN266" s="16">
        <v>0</v>
      </c>
      <c r="BO266" s="16">
        <v>0</v>
      </c>
      <c r="BP266" s="16">
        <v>0</v>
      </c>
      <c r="BQ266" s="16">
        <v>0</v>
      </c>
      <c r="BR266" s="16">
        <v>0</v>
      </c>
      <c r="BS266" s="16">
        <v>0</v>
      </c>
      <c r="BT266" s="16">
        <v>0</v>
      </c>
      <c r="BU266" s="16">
        <v>0</v>
      </c>
      <c r="BV266" s="16">
        <v>0</v>
      </c>
      <c r="BW266" s="16">
        <v>0</v>
      </c>
      <c r="BX266" s="16">
        <v>0</v>
      </c>
      <c r="BY266" s="16">
        <f t="shared" si="390"/>
        <v>387426</v>
      </c>
      <c r="BZ266" s="16">
        <f t="shared" si="391"/>
        <v>387426</v>
      </c>
      <c r="CA266" s="16">
        <f t="shared" si="346"/>
        <v>387426</v>
      </c>
      <c r="CB266" s="16">
        <v>0</v>
      </c>
      <c r="CC266" s="16">
        <v>387426</v>
      </c>
      <c r="CD266" s="16">
        <f t="shared" si="347"/>
        <v>0</v>
      </c>
      <c r="CE266" s="16">
        <v>0</v>
      </c>
      <c r="CF266" s="16">
        <v>0</v>
      </c>
      <c r="CG266" s="16">
        <v>0</v>
      </c>
      <c r="CH266" s="16">
        <v>0</v>
      </c>
      <c r="CI266" s="16">
        <v>0</v>
      </c>
      <c r="CJ266" s="16">
        <v>0</v>
      </c>
      <c r="CK266" s="16">
        <f t="shared" si="348"/>
        <v>0</v>
      </c>
      <c r="CL266" s="16">
        <v>0</v>
      </c>
      <c r="CM266" s="16">
        <v>0</v>
      </c>
      <c r="CN266" s="16">
        <v>0</v>
      </c>
      <c r="CO266" s="16">
        <v>0</v>
      </c>
      <c r="CP266" s="16">
        <v>0</v>
      </c>
      <c r="CQ266" s="16">
        <v>0</v>
      </c>
      <c r="CR266" s="16">
        <v>0</v>
      </c>
      <c r="CS266" s="16">
        <v>0</v>
      </c>
      <c r="CT266" s="16">
        <f t="shared" si="349"/>
        <v>0</v>
      </c>
      <c r="CU266" s="16">
        <f t="shared" si="350"/>
        <v>0</v>
      </c>
      <c r="CV266" s="16">
        <v>0</v>
      </c>
      <c r="CW266" s="17">
        <v>0</v>
      </c>
      <c r="CX266" s="40"/>
      <c r="CY266" s="40"/>
    </row>
    <row r="267" spans="1:103" ht="15.75" x14ac:dyDescent="0.25">
      <c r="A267" s="13" t="s">
        <v>1</v>
      </c>
      <c r="B267" s="14" t="s">
        <v>1</v>
      </c>
      <c r="C267" s="14" t="s">
        <v>34</v>
      </c>
      <c r="D267" s="30" t="s">
        <v>285</v>
      </c>
      <c r="E267" s="15">
        <f t="shared" si="383"/>
        <v>1146821</v>
      </c>
      <c r="F267" s="16">
        <f t="shared" si="384"/>
        <v>342787</v>
      </c>
      <c r="G267" s="16">
        <f t="shared" si="385"/>
        <v>342787</v>
      </c>
      <c r="H267" s="16">
        <v>0</v>
      </c>
      <c r="I267" s="16">
        <v>0</v>
      </c>
      <c r="J267" s="16">
        <f t="shared" si="341"/>
        <v>146770</v>
      </c>
      <c r="K267" s="16">
        <v>0</v>
      </c>
      <c r="L267" s="16">
        <v>0</v>
      </c>
      <c r="M267" s="16">
        <v>0</v>
      </c>
      <c r="N267" s="16">
        <v>0</v>
      </c>
      <c r="O267" s="16">
        <v>36738</v>
      </c>
      <c r="P267" s="16">
        <v>110032</v>
      </c>
      <c r="Q267" s="16">
        <f t="shared" si="342"/>
        <v>0</v>
      </c>
      <c r="R267" s="16">
        <v>0</v>
      </c>
      <c r="S267" s="16">
        <v>0</v>
      </c>
      <c r="T267" s="16">
        <v>0</v>
      </c>
      <c r="U267" s="16">
        <v>10767</v>
      </c>
      <c r="V267" s="16">
        <f t="shared" si="386"/>
        <v>63173</v>
      </c>
      <c r="W267" s="16">
        <v>0</v>
      </c>
      <c r="X267" s="16">
        <f>30945+4146</f>
        <v>35091</v>
      </c>
      <c r="Y267" s="16">
        <f>19842+1185</f>
        <v>21027</v>
      </c>
      <c r="Z267" s="16">
        <f>3372+792</f>
        <v>4164</v>
      </c>
      <c r="AA267" s="16">
        <v>2891</v>
      </c>
      <c r="AB267" s="16">
        <v>0</v>
      </c>
      <c r="AC267" s="16">
        <v>0</v>
      </c>
      <c r="AD267" s="16">
        <v>0</v>
      </c>
      <c r="AE267" s="16">
        <f t="shared" si="387"/>
        <v>122077</v>
      </c>
      <c r="AF267" s="16">
        <v>0</v>
      </c>
      <c r="AG267" s="16">
        <v>4305</v>
      </c>
      <c r="AH267" s="16">
        <f>5237+2033</f>
        <v>7270</v>
      </c>
      <c r="AI267" s="16">
        <v>0</v>
      </c>
      <c r="AJ267" s="16">
        <v>1591</v>
      </c>
      <c r="AK267" s="16">
        <v>0</v>
      </c>
      <c r="AL267" s="16">
        <v>0</v>
      </c>
      <c r="AM267" s="16">
        <f>0+71428</f>
        <v>71428</v>
      </c>
      <c r="AN267" s="16">
        <v>0</v>
      </c>
      <c r="AO267" s="16">
        <v>0</v>
      </c>
      <c r="AP267" s="16">
        <v>0</v>
      </c>
      <c r="AQ267" s="16">
        <v>0</v>
      </c>
      <c r="AR267" s="16">
        <v>0</v>
      </c>
      <c r="AS267" s="16">
        <v>0</v>
      </c>
      <c r="AT267" s="16">
        <v>0</v>
      </c>
      <c r="AU267" s="16">
        <v>0</v>
      </c>
      <c r="AV267" s="16">
        <v>0</v>
      </c>
      <c r="AW267" s="16">
        <v>0</v>
      </c>
      <c r="AX267" s="16">
        <v>0</v>
      </c>
      <c r="AY267" s="16">
        <v>0</v>
      </c>
      <c r="AZ267" s="16">
        <v>37483</v>
      </c>
      <c r="BA267" s="16">
        <f t="shared" si="388"/>
        <v>0</v>
      </c>
      <c r="BB267" s="16">
        <f t="shared" si="389"/>
        <v>0</v>
      </c>
      <c r="BC267" s="16">
        <v>0</v>
      </c>
      <c r="BD267" s="16">
        <v>0</v>
      </c>
      <c r="BE267" s="16">
        <v>0</v>
      </c>
      <c r="BF267" s="16">
        <f t="shared" si="343"/>
        <v>0</v>
      </c>
      <c r="BG267" s="16">
        <v>0</v>
      </c>
      <c r="BH267" s="16">
        <v>0</v>
      </c>
      <c r="BI267" s="16">
        <v>0</v>
      </c>
      <c r="BJ267" s="16">
        <v>0</v>
      </c>
      <c r="BK267" s="16">
        <f t="shared" si="344"/>
        <v>0</v>
      </c>
      <c r="BL267" s="16">
        <v>0</v>
      </c>
      <c r="BM267" s="16">
        <f t="shared" si="345"/>
        <v>0</v>
      </c>
      <c r="BN267" s="16">
        <v>0</v>
      </c>
      <c r="BO267" s="16">
        <v>0</v>
      </c>
      <c r="BP267" s="16">
        <v>0</v>
      </c>
      <c r="BQ267" s="16">
        <v>0</v>
      </c>
      <c r="BR267" s="16">
        <v>0</v>
      </c>
      <c r="BS267" s="16">
        <v>0</v>
      </c>
      <c r="BT267" s="16">
        <v>0</v>
      </c>
      <c r="BU267" s="16">
        <v>0</v>
      </c>
      <c r="BV267" s="16">
        <v>0</v>
      </c>
      <c r="BW267" s="16">
        <v>0</v>
      </c>
      <c r="BX267" s="16">
        <v>0</v>
      </c>
      <c r="BY267" s="16">
        <f t="shared" si="390"/>
        <v>804034</v>
      </c>
      <c r="BZ267" s="16">
        <f t="shared" si="391"/>
        <v>804034</v>
      </c>
      <c r="CA267" s="16">
        <f t="shared" si="346"/>
        <v>268850</v>
      </c>
      <c r="CB267" s="16">
        <v>0</v>
      </c>
      <c r="CC267" s="16">
        <v>268850</v>
      </c>
      <c r="CD267" s="16">
        <f t="shared" si="347"/>
        <v>0</v>
      </c>
      <c r="CE267" s="16">
        <v>0</v>
      </c>
      <c r="CF267" s="16">
        <v>0</v>
      </c>
      <c r="CG267" s="16">
        <v>0</v>
      </c>
      <c r="CH267" s="16">
        <v>0</v>
      </c>
      <c r="CI267" s="16">
        <v>0</v>
      </c>
      <c r="CJ267" s="16">
        <v>0</v>
      </c>
      <c r="CK267" s="16">
        <f t="shared" si="348"/>
        <v>535184</v>
      </c>
      <c r="CL267" s="16">
        <v>0</v>
      </c>
      <c r="CM267" s="16">
        <v>0</v>
      </c>
      <c r="CN267" s="16">
        <v>535184</v>
      </c>
      <c r="CO267" s="16">
        <v>0</v>
      </c>
      <c r="CP267" s="16">
        <v>0</v>
      </c>
      <c r="CQ267" s="16">
        <v>0</v>
      </c>
      <c r="CR267" s="16">
        <v>0</v>
      </c>
      <c r="CS267" s="16">
        <v>0</v>
      </c>
      <c r="CT267" s="16">
        <f t="shared" si="349"/>
        <v>0</v>
      </c>
      <c r="CU267" s="16">
        <f t="shared" si="350"/>
        <v>0</v>
      </c>
      <c r="CV267" s="16">
        <v>0</v>
      </c>
      <c r="CW267" s="17">
        <v>0</v>
      </c>
      <c r="CX267" s="40"/>
      <c r="CY267" s="40"/>
    </row>
    <row r="268" spans="1:103" ht="31.5" x14ac:dyDescent="0.25">
      <c r="A268" s="13" t="s">
        <v>1</v>
      </c>
      <c r="B268" s="14" t="s">
        <v>1</v>
      </c>
      <c r="C268" s="14" t="s">
        <v>38</v>
      </c>
      <c r="D268" s="30" t="s">
        <v>508</v>
      </c>
      <c r="E268" s="15">
        <f t="shared" si="383"/>
        <v>605616</v>
      </c>
      <c r="F268" s="16">
        <f t="shared" si="384"/>
        <v>510616</v>
      </c>
      <c r="G268" s="16">
        <f t="shared" si="385"/>
        <v>510616</v>
      </c>
      <c r="H268" s="16">
        <v>138141</v>
      </c>
      <c r="I268" s="16">
        <v>32810</v>
      </c>
      <c r="J268" s="16">
        <f t="shared" si="341"/>
        <v>115000</v>
      </c>
      <c r="K268" s="16">
        <v>0</v>
      </c>
      <c r="L268" s="16">
        <v>0</v>
      </c>
      <c r="M268" s="16">
        <v>0</v>
      </c>
      <c r="N268" s="16">
        <v>0</v>
      </c>
      <c r="O268" s="16">
        <v>20000</v>
      </c>
      <c r="P268" s="16">
        <v>95000</v>
      </c>
      <c r="Q268" s="16">
        <f t="shared" si="342"/>
        <v>8616</v>
      </c>
      <c r="R268" s="16">
        <f>3000+5616</f>
        <v>8616</v>
      </c>
      <c r="S268" s="16">
        <v>0</v>
      </c>
      <c r="T268" s="16">
        <v>0</v>
      </c>
      <c r="U268" s="16">
        <v>25000</v>
      </c>
      <c r="V268" s="16">
        <f t="shared" si="386"/>
        <v>31049</v>
      </c>
      <c r="W268" s="16">
        <v>31049</v>
      </c>
      <c r="X268" s="16">
        <v>0</v>
      </c>
      <c r="Y268" s="16">
        <v>0</v>
      </c>
      <c r="Z268" s="16">
        <v>0</v>
      </c>
      <c r="AA268" s="16">
        <v>0</v>
      </c>
      <c r="AB268" s="16">
        <v>0</v>
      </c>
      <c r="AC268" s="16">
        <v>0</v>
      </c>
      <c r="AD268" s="16">
        <v>0</v>
      </c>
      <c r="AE268" s="16">
        <f t="shared" si="387"/>
        <v>160000</v>
      </c>
      <c r="AF268" s="16">
        <v>0</v>
      </c>
      <c r="AG268" s="16">
        <v>10000</v>
      </c>
      <c r="AH268" s="16">
        <v>80000</v>
      </c>
      <c r="AI268" s="16">
        <v>0</v>
      </c>
      <c r="AJ268" s="16">
        <v>5000</v>
      </c>
      <c r="AK268" s="16">
        <v>0</v>
      </c>
      <c r="AL268" s="16">
        <v>10000</v>
      </c>
      <c r="AM268" s="16">
        <v>15000</v>
      </c>
      <c r="AN268" s="16">
        <v>0</v>
      </c>
      <c r="AO268" s="16">
        <v>0</v>
      </c>
      <c r="AP268" s="16">
        <v>0</v>
      </c>
      <c r="AQ268" s="16">
        <v>0</v>
      </c>
      <c r="AR268" s="16">
        <v>20000</v>
      </c>
      <c r="AS268" s="16">
        <v>0</v>
      </c>
      <c r="AT268" s="16">
        <v>0</v>
      </c>
      <c r="AU268" s="16">
        <v>0</v>
      </c>
      <c r="AV268" s="16">
        <v>0</v>
      </c>
      <c r="AW268" s="16">
        <v>0</v>
      </c>
      <c r="AX268" s="16">
        <v>0</v>
      </c>
      <c r="AY268" s="16">
        <v>0</v>
      </c>
      <c r="AZ268" s="16">
        <v>20000</v>
      </c>
      <c r="BA268" s="16">
        <f t="shared" si="388"/>
        <v>0</v>
      </c>
      <c r="BB268" s="16">
        <f t="shared" si="389"/>
        <v>0</v>
      </c>
      <c r="BC268" s="16">
        <v>0</v>
      </c>
      <c r="BD268" s="16">
        <v>0</v>
      </c>
      <c r="BE268" s="16">
        <v>0</v>
      </c>
      <c r="BF268" s="16">
        <f t="shared" si="343"/>
        <v>0</v>
      </c>
      <c r="BG268" s="16">
        <v>0</v>
      </c>
      <c r="BH268" s="16">
        <v>0</v>
      </c>
      <c r="BI268" s="16">
        <v>0</v>
      </c>
      <c r="BJ268" s="16">
        <v>0</v>
      </c>
      <c r="BK268" s="16">
        <f t="shared" si="344"/>
        <v>0</v>
      </c>
      <c r="BL268" s="16">
        <v>0</v>
      </c>
      <c r="BM268" s="16">
        <f t="shared" si="345"/>
        <v>0</v>
      </c>
      <c r="BN268" s="16">
        <v>0</v>
      </c>
      <c r="BO268" s="16">
        <v>0</v>
      </c>
      <c r="BP268" s="16">
        <v>0</v>
      </c>
      <c r="BQ268" s="16">
        <v>0</v>
      </c>
      <c r="BR268" s="16">
        <v>0</v>
      </c>
      <c r="BS268" s="16">
        <v>0</v>
      </c>
      <c r="BT268" s="16">
        <v>0</v>
      </c>
      <c r="BU268" s="16">
        <v>0</v>
      </c>
      <c r="BV268" s="16">
        <v>0</v>
      </c>
      <c r="BW268" s="16">
        <v>0</v>
      </c>
      <c r="BX268" s="16">
        <v>0</v>
      </c>
      <c r="BY268" s="16">
        <f t="shared" si="390"/>
        <v>95000</v>
      </c>
      <c r="BZ268" s="16">
        <f t="shared" si="391"/>
        <v>95000</v>
      </c>
      <c r="CA268" s="16">
        <f t="shared" si="346"/>
        <v>95000</v>
      </c>
      <c r="CB268" s="16">
        <v>0</v>
      </c>
      <c r="CC268" s="16">
        <v>95000</v>
      </c>
      <c r="CD268" s="16">
        <f t="shared" si="347"/>
        <v>0</v>
      </c>
      <c r="CE268" s="16">
        <v>0</v>
      </c>
      <c r="CF268" s="16">
        <v>0</v>
      </c>
      <c r="CG268" s="16">
        <v>0</v>
      </c>
      <c r="CH268" s="16">
        <v>0</v>
      </c>
      <c r="CI268" s="16">
        <v>0</v>
      </c>
      <c r="CJ268" s="16">
        <v>0</v>
      </c>
      <c r="CK268" s="16">
        <f t="shared" si="348"/>
        <v>0</v>
      </c>
      <c r="CL268" s="16">
        <v>0</v>
      </c>
      <c r="CM268" s="16">
        <v>0</v>
      </c>
      <c r="CN268" s="16">
        <v>0</v>
      </c>
      <c r="CO268" s="16">
        <v>0</v>
      </c>
      <c r="CP268" s="16">
        <v>0</v>
      </c>
      <c r="CQ268" s="16">
        <v>0</v>
      </c>
      <c r="CR268" s="16">
        <v>0</v>
      </c>
      <c r="CS268" s="16">
        <v>0</v>
      </c>
      <c r="CT268" s="16">
        <f t="shared" si="349"/>
        <v>0</v>
      </c>
      <c r="CU268" s="16">
        <f t="shared" si="350"/>
        <v>0</v>
      </c>
      <c r="CV268" s="16">
        <v>0</v>
      </c>
      <c r="CW268" s="17">
        <v>0</v>
      </c>
      <c r="CX268" s="40"/>
      <c r="CY268" s="40"/>
    </row>
    <row r="269" spans="1:103" ht="31.5" x14ac:dyDescent="0.25">
      <c r="A269" s="13" t="s">
        <v>1</v>
      </c>
      <c r="B269" s="14" t="s">
        <v>1</v>
      </c>
      <c r="C269" s="14" t="s">
        <v>39</v>
      </c>
      <c r="D269" s="30" t="s">
        <v>286</v>
      </c>
      <c r="E269" s="15">
        <f t="shared" si="383"/>
        <v>304647</v>
      </c>
      <c r="F269" s="16">
        <f t="shared" si="384"/>
        <v>247318</v>
      </c>
      <c r="G269" s="16">
        <f t="shared" si="385"/>
        <v>247318</v>
      </c>
      <c r="H269" s="16">
        <v>120000</v>
      </c>
      <c r="I269" s="16">
        <v>30000</v>
      </c>
      <c r="J269" s="16">
        <f t="shared" si="341"/>
        <v>43113</v>
      </c>
      <c r="K269" s="16">
        <v>0</v>
      </c>
      <c r="L269" s="16">
        <v>0</v>
      </c>
      <c r="M269" s="16">
        <v>0</v>
      </c>
      <c r="N269" s="16">
        <v>0</v>
      </c>
      <c r="O269" s="16">
        <v>37113</v>
      </c>
      <c r="P269" s="16">
        <v>6000</v>
      </c>
      <c r="Q269" s="16">
        <f t="shared" si="342"/>
        <v>1200</v>
      </c>
      <c r="R269" s="16">
        <v>1200</v>
      </c>
      <c r="S269" s="16">
        <v>0</v>
      </c>
      <c r="T269" s="16">
        <v>0</v>
      </c>
      <c r="U269" s="16">
        <v>7524</v>
      </c>
      <c r="V269" s="16">
        <f t="shared" si="386"/>
        <v>15310</v>
      </c>
      <c r="W269" s="16">
        <v>0</v>
      </c>
      <c r="X269" s="16">
        <v>0</v>
      </c>
      <c r="Y269" s="16">
        <v>0</v>
      </c>
      <c r="Z269" s="16">
        <f>9966+1730</f>
        <v>11696</v>
      </c>
      <c r="AA269" s="16">
        <v>718</v>
      </c>
      <c r="AB269" s="16">
        <v>0</v>
      </c>
      <c r="AC269" s="16">
        <v>0</v>
      </c>
      <c r="AD269" s="16">
        <f>2766+130</f>
        <v>2896</v>
      </c>
      <c r="AE269" s="16">
        <f t="shared" si="387"/>
        <v>30171</v>
      </c>
      <c r="AF269" s="16">
        <v>4000</v>
      </c>
      <c r="AG269" s="16">
        <v>7506</v>
      </c>
      <c r="AH269" s="16">
        <v>3545</v>
      </c>
      <c r="AI269" s="16">
        <v>0</v>
      </c>
      <c r="AJ269" s="16">
        <v>6364</v>
      </c>
      <c r="AK269" s="16">
        <v>0</v>
      </c>
      <c r="AL269" s="16">
        <v>1200</v>
      </c>
      <c r="AM269" s="16">
        <v>0</v>
      </c>
      <c r="AN269" s="16">
        <v>0</v>
      </c>
      <c r="AO269" s="16">
        <v>0</v>
      </c>
      <c r="AP269" s="16">
        <v>0</v>
      </c>
      <c r="AQ269" s="16">
        <v>0</v>
      </c>
      <c r="AR269" s="16">
        <v>0</v>
      </c>
      <c r="AS269" s="16">
        <v>0</v>
      </c>
      <c r="AT269" s="16">
        <v>0</v>
      </c>
      <c r="AU269" s="16">
        <v>0</v>
      </c>
      <c r="AV269" s="16">
        <v>0</v>
      </c>
      <c r="AW269" s="16">
        <v>0</v>
      </c>
      <c r="AX269" s="16">
        <v>0</v>
      </c>
      <c r="AY269" s="16">
        <v>0</v>
      </c>
      <c r="AZ269" s="16">
        <v>7556</v>
      </c>
      <c r="BA269" s="16">
        <f t="shared" si="388"/>
        <v>0</v>
      </c>
      <c r="BB269" s="16">
        <f t="shared" si="389"/>
        <v>0</v>
      </c>
      <c r="BC269" s="16">
        <v>0</v>
      </c>
      <c r="BD269" s="16">
        <v>0</v>
      </c>
      <c r="BE269" s="16">
        <v>0</v>
      </c>
      <c r="BF269" s="16">
        <f t="shared" si="343"/>
        <v>0</v>
      </c>
      <c r="BG269" s="16">
        <v>0</v>
      </c>
      <c r="BH269" s="16">
        <v>0</v>
      </c>
      <c r="BI269" s="16">
        <v>0</v>
      </c>
      <c r="BJ269" s="16">
        <v>0</v>
      </c>
      <c r="BK269" s="16">
        <f t="shared" si="344"/>
        <v>0</v>
      </c>
      <c r="BL269" s="16">
        <v>0</v>
      </c>
      <c r="BM269" s="16">
        <f t="shared" si="345"/>
        <v>0</v>
      </c>
      <c r="BN269" s="16">
        <v>0</v>
      </c>
      <c r="BO269" s="16">
        <v>0</v>
      </c>
      <c r="BP269" s="16">
        <v>0</v>
      </c>
      <c r="BQ269" s="16">
        <v>0</v>
      </c>
      <c r="BR269" s="16">
        <v>0</v>
      </c>
      <c r="BS269" s="16">
        <v>0</v>
      </c>
      <c r="BT269" s="16">
        <v>0</v>
      </c>
      <c r="BU269" s="16">
        <v>0</v>
      </c>
      <c r="BV269" s="16">
        <v>0</v>
      </c>
      <c r="BW269" s="16">
        <v>0</v>
      </c>
      <c r="BX269" s="16">
        <v>0</v>
      </c>
      <c r="BY269" s="16">
        <f t="shared" si="390"/>
        <v>57329</v>
      </c>
      <c r="BZ269" s="16">
        <f t="shared" si="391"/>
        <v>57329</v>
      </c>
      <c r="CA269" s="16">
        <f t="shared" si="346"/>
        <v>57329</v>
      </c>
      <c r="CB269" s="16">
        <v>0</v>
      </c>
      <c r="CC269" s="16">
        <f>57442-113</f>
        <v>57329</v>
      </c>
      <c r="CD269" s="16">
        <f t="shared" si="347"/>
        <v>0</v>
      </c>
      <c r="CE269" s="16">
        <v>0</v>
      </c>
      <c r="CF269" s="16">
        <v>0</v>
      </c>
      <c r="CG269" s="16">
        <v>0</v>
      </c>
      <c r="CH269" s="16">
        <v>0</v>
      </c>
      <c r="CI269" s="16">
        <v>0</v>
      </c>
      <c r="CJ269" s="16">
        <v>0</v>
      </c>
      <c r="CK269" s="16">
        <f t="shared" si="348"/>
        <v>0</v>
      </c>
      <c r="CL269" s="16">
        <v>0</v>
      </c>
      <c r="CM269" s="16">
        <v>0</v>
      </c>
      <c r="CN269" s="16">
        <v>0</v>
      </c>
      <c r="CO269" s="16">
        <v>0</v>
      </c>
      <c r="CP269" s="16">
        <v>0</v>
      </c>
      <c r="CQ269" s="16">
        <v>0</v>
      </c>
      <c r="CR269" s="16">
        <v>0</v>
      </c>
      <c r="CS269" s="16">
        <v>0</v>
      </c>
      <c r="CT269" s="16">
        <f t="shared" si="349"/>
        <v>0</v>
      </c>
      <c r="CU269" s="16">
        <f t="shared" si="350"/>
        <v>0</v>
      </c>
      <c r="CV269" s="16">
        <v>0</v>
      </c>
      <c r="CW269" s="17">
        <v>0</v>
      </c>
      <c r="CX269" s="40"/>
      <c r="CY269" s="40"/>
    </row>
    <row r="270" spans="1:103" ht="15.75" x14ac:dyDescent="0.25">
      <c r="A270" s="13" t="s">
        <v>247</v>
      </c>
      <c r="B270" s="14" t="s">
        <v>54</v>
      </c>
      <c r="C270" s="14" t="s">
        <v>1</v>
      </c>
      <c r="D270" s="30" t="s">
        <v>289</v>
      </c>
      <c r="E270" s="15">
        <f t="shared" ref="E270:AJ270" si="392">SUM(E271:E283)</f>
        <v>67514357</v>
      </c>
      <c r="F270" s="16">
        <f t="shared" si="392"/>
        <v>1346300</v>
      </c>
      <c r="G270" s="16">
        <f t="shared" si="392"/>
        <v>1346300</v>
      </c>
      <c r="H270" s="16">
        <f t="shared" si="392"/>
        <v>0</v>
      </c>
      <c r="I270" s="16">
        <f t="shared" si="392"/>
        <v>0</v>
      </c>
      <c r="J270" s="16">
        <f t="shared" si="392"/>
        <v>0</v>
      </c>
      <c r="K270" s="16">
        <f t="shared" si="392"/>
        <v>0</v>
      </c>
      <c r="L270" s="16">
        <f t="shared" si="392"/>
        <v>0</v>
      </c>
      <c r="M270" s="16">
        <f t="shared" si="392"/>
        <v>0</v>
      </c>
      <c r="N270" s="16">
        <f t="shared" si="392"/>
        <v>0</v>
      </c>
      <c r="O270" s="16">
        <f t="shared" si="392"/>
        <v>0</v>
      </c>
      <c r="P270" s="16">
        <f t="shared" si="392"/>
        <v>0</v>
      </c>
      <c r="Q270" s="16">
        <f t="shared" si="392"/>
        <v>0</v>
      </c>
      <c r="R270" s="16">
        <f t="shared" si="392"/>
        <v>0</v>
      </c>
      <c r="S270" s="16">
        <f t="shared" si="392"/>
        <v>0</v>
      </c>
      <c r="T270" s="16">
        <f t="shared" si="392"/>
        <v>0</v>
      </c>
      <c r="U270" s="16">
        <f t="shared" si="392"/>
        <v>0</v>
      </c>
      <c r="V270" s="16">
        <f t="shared" si="392"/>
        <v>0</v>
      </c>
      <c r="W270" s="16">
        <f t="shared" si="392"/>
        <v>0</v>
      </c>
      <c r="X270" s="16">
        <f t="shared" si="392"/>
        <v>0</v>
      </c>
      <c r="Y270" s="16">
        <f t="shared" si="392"/>
        <v>0</v>
      </c>
      <c r="Z270" s="16">
        <f t="shared" si="392"/>
        <v>0</v>
      </c>
      <c r="AA270" s="16">
        <f t="shared" si="392"/>
        <v>0</v>
      </c>
      <c r="AB270" s="16">
        <f t="shared" si="392"/>
        <v>0</v>
      </c>
      <c r="AC270" s="16">
        <f t="shared" si="392"/>
        <v>0</v>
      </c>
      <c r="AD270" s="16">
        <f t="shared" ref="AD270" si="393">SUM(AD271:AD283)</f>
        <v>0</v>
      </c>
      <c r="AE270" s="16">
        <f t="shared" si="392"/>
        <v>1346300</v>
      </c>
      <c r="AF270" s="16">
        <f t="shared" si="392"/>
        <v>0</v>
      </c>
      <c r="AG270" s="16">
        <f t="shared" si="392"/>
        <v>0</v>
      </c>
      <c r="AH270" s="16">
        <f t="shared" si="392"/>
        <v>0</v>
      </c>
      <c r="AI270" s="16">
        <f t="shared" si="392"/>
        <v>0</v>
      </c>
      <c r="AJ270" s="16">
        <f t="shared" si="392"/>
        <v>0</v>
      </c>
      <c r="AK270" s="16">
        <f t="shared" ref="AK270:BP270" si="394">SUM(AK271:AK283)</f>
        <v>0</v>
      </c>
      <c r="AL270" s="16">
        <f t="shared" si="394"/>
        <v>0</v>
      </c>
      <c r="AM270" s="16">
        <f t="shared" si="394"/>
        <v>0</v>
      </c>
      <c r="AN270" s="16">
        <f t="shared" si="394"/>
        <v>0</v>
      </c>
      <c r="AO270" s="16">
        <f t="shared" si="394"/>
        <v>0</v>
      </c>
      <c r="AP270" s="16">
        <f t="shared" si="394"/>
        <v>0</v>
      </c>
      <c r="AQ270" s="16">
        <f t="shared" si="394"/>
        <v>0</v>
      </c>
      <c r="AR270" s="16">
        <f t="shared" si="394"/>
        <v>0</v>
      </c>
      <c r="AS270" s="16">
        <f t="shared" si="394"/>
        <v>0</v>
      </c>
      <c r="AT270" s="16">
        <f t="shared" si="394"/>
        <v>0</v>
      </c>
      <c r="AU270" s="16">
        <f t="shared" si="394"/>
        <v>0</v>
      </c>
      <c r="AV270" s="16">
        <f t="shared" si="394"/>
        <v>0</v>
      </c>
      <c r="AW270" s="16">
        <f t="shared" si="394"/>
        <v>0</v>
      </c>
      <c r="AX270" s="16">
        <f t="shared" si="394"/>
        <v>0</v>
      </c>
      <c r="AY270" s="16">
        <f t="shared" si="394"/>
        <v>0</v>
      </c>
      <c r="AZ270" s="16">
        <f t="shared" si="394"/>
        <v>1346300</v>
      </c>
      <c r="BA270" s="16">
        <f t="shared" si="394"/>
        <v>0</v>
      </c>
      <c r="BB270" s="16">
        <f t="shared" si="394"/>
        <v>0</v>
      </c>
      <c r="BC270" s="16">
        <f t="shared" si="394"/>
        <v>0</v>
      </c>
      <c r="BD270" s="16">
        <f t="shared" si="394"/>
        <v>0</v>
      </c>
      <c r="BE270" s="16">
        <f t="shared" si="394"/>
        <v>0</v>
      </c>
      <c r="BF270" s="16">
        <f t="shared" si="394"/>
        <v>0</v>
      </c>
      <c r="BG270" s="16">
        <f t="shared" si="394"/>
        <v>0</v>
      </c>
      <c r="BH270" s="16">
        <f t="shared" si="394"/>
        <v>0</v>
      </c>
      <c r="BI270" s="16">
        <f t="shared" si="394"/>
        <v>0</v>
      </c>
      <c r="BJ270" s="16">
        <f t="shared" si="394"/>
        <v>0</v>
      </c>
      <c r="BK270" s="16">
        <f t="shared" si="394"/>
        <v>0</v>
      </c>
      <c r="BL270" s="16">
        <f t="shared" si="394"/>
        <v>0</v>
      </c>
      <c r="BM270" s="16">
        <f t="shared" si="394"/>
        <v>0</v>
      </c>
      <c r="BN270" s="16">
        <f t="shared" si="394"/>
        <v>0</v>
      </c>
      <c r="BO270" s="16">
        <f t="shared" si="394"/>
        <v>0</v>
      </c>
      <c r="BP270" s="16">
        <f t="shared" si="394"/>
        <v>0</v>
      </c>
      <c r="BQ270" s="16">
        <f t="shared" ref="BQ270:CW270" si="395">SUM(BQ271:BQ283)</f>
        <v>0</v>
      </c>
      <c r="BR270" s="16">
        <f t="shared" si="395"/>
        <v>0</v>
      </c>
      <c r="BS270" s="16">
        <f t="shared" si="395"/>
        <v>0</v>
      </c>
      <c r="BT270" s="16">
        <f t="shared" si="395"/>
        <v>0</v>
      </c>
      <c r="BU270" s="16">
        <f t="shared" si="395"/>
        <v>0</v>
      </c>
      <c r="BV270" s="16">
        <f t="shared" si="395"/>
        <v>0</v>
      </c>
      <c r="BW270" s="16">
        <f t="shared" si="395"/>
        <v>0</v>
      </c>
      <c r="BX270" s="16">
        <f t="shared" si="395"/>
        <v>0</v>
      </c>
      <c r="BY270" s="16">
        <f t="shared" si="395"/>
        <v>66168057</v>
      </c>
      <c r="BZ270" s="16">
        <f t="shared" si="395"/>
        <v>0</v>
      </c>
      <c r="CA270" s="16">
        <f t="shared" si="395"/>
        <v>0</v>
      </c>
      <c r="CB270" s="16">
        <f t="shared" si="395"/>
        <v>0</v>
      </c>
      <c r="CC270" s="16">
        <f t="shared" si="395"/>
        <v>0</v>
      </c>
      <c r="CD270" s="16">
        <f t="shared" si="395"/>
        <v>0</v>
      </c>
      <c r="CE270" s="16">
        <f t="shared" si="395"/>
        <v>0</v>
      </c>
      <c r="CF270" s="16">
        <f t="shared" si="395"/>
        <v>0</v>
      </c>
      <c r="CG270" s="16">
        <f t="shared" si="395"/>
        <v>0</v>
      </c>
      <c r="CH270" s="16">
        <f t="shared" si="395"/>
        <v>0</v>
      </c>
      <c r="CI270" s="16">
        <f t="shared" si="395"/>
        <v>0</v>
      </c>
      <c r="CJ270" s="16">
        <f t="shared" ref="CJ270" si="396">SUM(CJ271:CJ283)</f>
        <v>0</v>
      </c>
      <c r="CK270" s="16">
        <f t="shared" si="395"/>
        <v>0</v>
      </c>
      <c r="CL270" s="16">
        <f t="shared" si="395"/>
        <v>0</v>
      </c>
      <c r="CM270" s="16">
        <f t="shared" si="395"/>
        <v>0</v>
      </c>
      <c r="CN270" s="16">
        <f t="shared" si="395"/>
        <v>0</v>
      </c>
      <c r="CO270" s="16">
        <f t="shared" si="395"/>
        <v>0</v>
      </c>
      <c r="CP270" s="16">
        <f t="shared" si="395"/>
        <v>0</v>
      </c>
      <c r="CQ270" s="16">
        <f t="shared" si="395"/>
        <v>0</v>
      </c>
      <c r="CR270" s="16">
        <f t="shared" si="395"/>
        <v>0</v>
      </c>
      <c r="CS270" s="16">
        <f t="shared" si="395"/>
        <v>66168057</v>
      </c>
      <c r="CT270" s="16">
        <f t="shared" si="395"/>
        <v>0</v>
      </c>
      <c r="CU270" s="16">
        <f t="shared" si="395"/>
        <v>0</v>
      </c>
      <c r="CV270" s="16">
        <f t="shared" si="395"/>
        <v>0</v>
      </c>
      <c r="CW270" s="17">
        <f t="shared" si="395"/>
        <v>0</v>
      </c>
      <c r="CX270" s="40"/>
      <c r="CY270" s="40"/>
    </row>
    <row r="271" spans="1:103" ht="31.5" x14ac:dyDescent="0.25">
      <c r="A271" s="13" t="s">
        <v>1</v>
      </c>
      <c r="B271" s="14" t="s">
        <v>1</v>
      </c>
      <c r="C271" s="14" t="s">
        <v>17</v>
      </c>
      <c r="D271" s="30" t="s">
        <v>526</v>
      </c>
      <c r="E271" s="15">
        <f t="shared" ref="E271:E283" si="397">SUM(F271+BY271+CT271)</f>
        <v>1346300</v>
      </c>
      <c r="F271" s="16">
        <f t="shared" ref="F271:F283" si="398">SUM(G271+BA271)</f>
        <v>1346300</v>
      </c>
      <c r="G271" s="16">
        <f t="shared" ref="G271:G283" si="399">SUM(H271+I271+J271+Q271+T271+U271+V271+AE271)</f>
        <v>1346300</v>
      </c>
      <c r="H271" s="16">
        <v>0</v>
      </c>
      <c r="I271" s="16">
        <v>0</v>
      </c>
      <c r="J271" s="16">
        <f>SUM(K271:P271)</f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  <c r="Q271" s="16">
        <f>SUM(R271:S271)</f>
        <v>0</v>
      </c>
      <c r="R271" s="16">
        <v>0</v>
      </c>
      <c r="S271" s="16">
        <v>0</v>
      </c>
      <c r="T271" s="16">
        <v>0</v>
      </c>
      <c r="U271" s="16">
        <v>0</v>
      </c>
      <c r="V271" s="16">
        <f t="shared" ref="V271:V283" si="400">SUM(W271:AD271)</f>
        <v>0</v>
      </c>
      <c r="W271" s="16">
        <v>0</v>
      </c>
      <c r="X271" s="16">
        <v>0</v>
      </c>
      <c r="Y271" s="16">
        <v>0</v>
      </c>
      <c r="Z271" s="16">
        <v>0</v>
      </c>
      <c r="AA271" s="16">
        <v>0</v>
      </c>
      <c r="AB271" s="16">
        <v>0</v>
      </c>
      <c r="AC271" s="16">
        <v>0</v>
      </c>
      <c r="AD271" s="16">
        <v>0</v>
      </c>
      <c r="AE271" s="16">
        <f t="shared" ref="AE271:AE283" si="401">SUM(AF271:AZ271)</f>
        <v>1346300</v>
      </c>
      <c r="AF271" s="16">
        <v>0</v>
      </c>
      <c r="AG271" s="16">
        <v>0</v>
      </c>
      <c r="AH271" s="16">
        <v>0</v>
      </c>
      <c r="AI271" s="16">
        <v>0</v>
      </c>
      <c r="AJ271" s="16">
        <v>0</v>
      </c>
      <c r="AK271" s="16">
        <v>0</v>
      </c>
      <c r="AL271" s="16">
        <v>0</v>
      </c>
      <c r="AM271" s="16">
        <v>0</v>
      </c>
      <c r="AN271" s="16">
        <v>0</v>
      </c>
      <c r="AO271" s="16">
        <v>0</v>
      </c>
      <c r="AP271" s="16">
        <v>0</v>
      </c>
      <c r="AQ271" s="16">
        <v>0</v>
      </c>
      <c r="AR271" s="16">
        <v>0</v>
      </c>
      <c r="AS271" s="16">
        <v>0</v>
      </c>
      <c r="AT271" s="16">
        <v>0</v>
      </c>
      <c r="AU271" s="16">
        <v>0</v>
      </c>
      <c r="AV271" s="16">
        <v>0</v>
      </c>
      <c r="AW271" s="16">
        <v>0</v>
      </c>
      <c r="AX271" s="16">
        <v>0</v>
      </c>
      <c r="AY271" s="16">
        <v>0</v>
      </c>
      <c r="AZ271" s="16">
        <v>1346300</v>
      </c>
      <c r="BA271" s="16">
        <f t="shared" ref="BA271:BA283" si="402">SUM(BB271+BF271+BI271+BK271+BM271)</f>
        <v>0</v>
      </c>
      <c r="BB271" s="16">
        <f t="shared" ref="BB271:BB283" si="403">SUM(BC271:BE271)</f>
        <v>0</v>
      </c>
      <c r="BC271" s="16">
        <v>0</v>
      </c>
      <c r="BD271" s="16">
        <v>0</v>
      </c>
      <c r="BE271" s="16">
        <v>0</v>
      </c>
      <c r="BF271" s="16">
        <f>SUM(BG271:BH271)</f>
        <v>0</v>
      </c>
      <c r="BG271" s="16">
        <v>0</v>
      </c>
      <c r="BH271" s="16">
        <v>0</v>
      </c>
      <c r="BI271" s="16">
        <v>0</v>
      </c>
      <c r="BJ271" s="16">
        <v>0</v>
      </c>
      <c r="BK271" s="16">
        <f>SUM(BL271)</f>
        <v>0</v>
      </c>
      <c r="BL271" s="16">
        <v>0</v>
      </c>
      <c r="BM271" s="16">
        <f>SUM(BN271:BX271)</f>
        <v>0</v>
      </c>
      <c r="BN271" s="16">
        <v>0</v>
      </c>
      <c r="BO271" s="16">
        <v>0</v>
      </c>
      <c r="BP271" s="16">
        <v>0</v>
      </c>
      <c r="BQ271" s="16">
        <v>0</v>
      </c>
      <c r="BR271" s="16">
        <v>0</v>
      </c>
      <c r="BS271" s="16">
        <v>0</v>
      </c>
      <c r="BT271" s="16">
        <v>0</v>
      </c>
      <c r="BU271" s="16">
        <v>0</v>
      </c>
      <c r="BV271" s="16">
        <v>0</v>
      </c>
      <c r="BW271" s="16">
        <v>0</v>
      </c>
      <c r="BX271" s="16">
        <v>0</v>
      </c>
      <c r="BY271" s="16">
        <f t="shared" ref="BY271:BY283" si="404">SUM(BZ271+CS271)</f>
        <v>0</v>
      </c>
      <c r="BZ271" s="16">
        <f t="shared" ref="BZ271:BZ283" si="405">SUM(CA271+CD271+CK271)</f>
        <v>0</v>
      </c>
      <c r="CA271" s="16">
        <f>SUM(CB271:CC271)</f>
        <v>0</v>
      </c>
      <c r="CB271" s="16">
        <v>0</v>
      </c>
      <c r="CC271" s="16">
        <v>0</v>
      </c>
      <c r="CD271" s="16">
        <f>SUM(CE271:CI271)</f>
        <v>0</v>
      </c>
      <c r="CE271" s="16">
        <v>0</v>
      </c>
      <c r="CF271" s="16">
        <v>0</v>
      </c>
      <c r="CG271" s="16">
        <v>0</v>
      </c>
      <c r="CH271" s="16">
        <v>0</v>
      </c>
      <c r="CI271" s="16">
        <v>0</v>
      </c>
      <c r="CJ271" s="16">
        <v>0</v>
      </c>
      <c r="CK271" s="16">
        <f>SUM(CL271:CP271)</f>
        <v>0</v>
      </c>
      <c r="CL271" s="16">
        <v>0</v>
      </c>
      <c r="CM271" s="16">
        <v>0</v>
      </c>
      <c r="CN271" s="16">
        <v>0</v>
      </c>
      <c r="CO271" s="16">
        <v>0</v>
      </c>
      <c r="CP271" s="16">
        <v>0</v>
      </c>
      <c r="CQ271" s="16">
        <v>0</v>
      </c>
      <c r="CR271" s="16">
        <v>0</v>
      </c>
      <c r="CS271" s="16"/>
      <c r="CT271" s="16">
        <f>SUM(CU271)</f>
        <v>0</v>
      </c>
      <c r="CU271" s="16">
        <f>SUM(CV271:CW271)</f>
        <v>0</v>
      </c>
      <c r="CV271" s="16">
        <v>0</v>
      </c>
      <c r="CW271" s="17">
        <v>0</v>
      </c>
      <c r="CX271" s="40"/>
      <c r="CY271" s="40"/>
    </row>
    <row r="272" spans="1:103" ht="31.5" x14ac:dyDescent="0.25">
      <c r="A272" s="13" t="s">
        <v>1</v>
      </c>
      <c r="B272" s="14" t="s">
        <v>1</v>
      </c>
      <c r="C272" s="14" t="s">
        <v>17</v>
      </c>
      <c r="D272" s="30" t="s">
        <v>540</v>
      </c>
      <c r="E272" s="15">
        <f t="shared" si="397"/>
        <v>8027004</v>
      </c>
      <c r="F272" s="16">
        <f t="shared" si="398"/>
        <v>0</v>
      </c>
      <c r="G272" s="16">
        <f t="shared" si="399"/>
        <v>0</v>
      </c>
      <c r="H272" s="16">
        <v>0</v>
      </c>
      <c r="I272" s="16">
        <v>0</v>
      </c>
      <c r="J272" s="16">
        <f>SUM(K272:P272)</f>
        <v>0</v>
      </c>
      <c r="K272" s="16">
        <v>0</v>
      </c>
      <c r="L272" s="16">
        <v>0</v>
      </c>
      <c r="M272" s="16">
        <v>0</v>
      </c>
      <c r="N272" s="16">
        <v>0</v>
      </c>
      <c r="O272" s="16">
        <v>0</v>
      </c>
      <c r="P272" s="16">
        <v>0</v>
      </c>
      <c r="Q272" s="16">
        <f>SUM(R272:S272)</f>
        <v>0</v>
      </c>
      <c r="R272" s="16">
        <v>0</v>
      </c>
      <c r="S272" s="16">
        <v>0</v>
      </c>
      <c r="T272" s="16">
        <v>0</v>
      </c>
      <c r="U272" s="16">
        <v>0</v>
      </c>
      <c r="V272" s="16">
        <f t="shared" si="400"/>
        <v>0</v>
      </c>
      <c r="W272" s="16">
        <v>0</v>
      </c>
      <c r="X272" s="16">
        <v>0</v>
      </c>
      <c r="Y272" s="16">
        <v>0</v>
      </c>
      <c r="Z272" s="16">
        <v>0</v>
      </c>
      <c r="AA272" s="16">
        <v>0</v>
      </c>
      <c r="AB272" s="16">
        <v>0</v>
      </c>
      <c r="AC272" s="16">
        <v>0</v>
      </c>
      <c r="AD272" s="16">
        <v>0</v>
      </c>
      <c r="AE272" s="16">
        <f>SUM(AF272:AZ272)</f>
        <v>0</v>
      </c>
      <c r="AF272" s="16">
        <v>0</v>
      </c>
      <c r="AG272" s="16">
        <v>0</v>
      </c>
      <c r="AH272" s="16">
        <v>0</v>
      </c>
      <c r="AI272" s="16">
        <v>0</v>
      </c>
      <c r="AJ272" s="16">
        <v>0</v>
      </c>
      <c r="AK272" s="16">
        <v>0</v>
      </c>
      <c r="AL272" s="16">
        <v>0</v>
      </c>
      <c r="AM272" s="16">
        <v>0</v>
      </c>
      <c r="AN272" s="16">
        <v>0</v>
      </c>
      <c r="AO272" s="16">
        <v>0</v>
      </c>
      <c r="AP272" s="16">
        <v>0</v>
      </c>
      <c r="AQ272" s="16">
        <v>0</v>
      </c>
      <c r="AR272" s="16">
        <v>0</v>
      </c>
      <c r="AS272" s="16">
        <v>0</v>
      </c>
      <c r="AT272" s="16">
        <v>0</v>
      </c>
      <c r="AU272" s="16">
        <v>0</v>
      </c>
      <c r="AV272" s="16">
        <v>0</v>
      </c>
      <c r="AW272" s="16">
        <v>0</v>
      </c>
      <c r="AX272" s="16">
        <v>0</v>
      </c>
      <c r="AY272" s="16">
        <v>0</v>
      </c>
      <c r="AZ272" s="16">
        <v>0</v>
      </c>
      <c r="BA272" s="16">
        <f t="shared" si="402"/>
        <v>0</v>
      </c>
      <c r="BB272" s="16">
        <f t="shared" si="403"/>
        <v>0</v>
      </c>
      <c r="BC272" s="16">
        <v>0</v>
      </c>
      <c r="BD272" s="16">
        <v>0</v>
      </c>
      <c r="BE272" s="16">
        <v>0</v>
      </c>
      <c r="BF272" s="16">
        <f>SUM(BG272:BH272)</f>
        <v>0</v>
      </c>
      <c r="BG272" s="16">
        <v>0</v>
      </c>
      <c r="BH272" s="16">
        <v>0</v>
      </c>
      <c r="BI272" s="16">
        <v>0</v>
      </c>
      <c r="BJ272" s="16">
        <v>0</v>
      </c>
      <c r="BK272" s="16">
        <f>SUM(BL272)</f>
        <v>0</v>
      </c>
      <c r="BL272" s="16">
        <v>0</v>
      </c>
      <c r="BM272" s="16">
        <f>SUM(BN272:BX272)</f>
        <v>0</v>
      </c>
      <c r="BN272" s="16">
        <v>0</v>
      </c>
      <c r="BO272" s="16">
        <v>0</v>
      </c>
      <c r="BP272" s="16">
        <v>0</v>
      </c>
      <c r="BQ272" s="16">
        <v>0</v>
      </c>
      <c r="BR272" s="16">
        <v>0</v>
      </c>
      <c r="BS272" s="16">
        <v>0</v>
      </c>
      <c r="BT272" s="16">
        <v>0</v>
      </c>
      <c r="BU272" s="16">
        <v>0</v>
      </c>
      <c r="BV272" s="16">
        <v>0</v>
      </c>
      <c r="BW272" s="16">
        <v>0</v>
      </c>
      <c r="BX272" s="16">
        <v>0</v>
      </c>
      <c r="BY272" s="16">
        <f t="shared" si="404"/>
        <v>8027004</v>
      </c>
      <c r="BZ272" s="16">
        <f t="shared" si="405"/>
        <v>0</v>
      </c>
      <c r="CA272" s="16">
        <f>SUM(CB272:CC272)</f>
        <v>0</v>
      </c>
      <c r="CB272" s="16">
        <v>0</v>
      </c>
      <c r="CC272" s="16">
        <v>0</v>
      </c>
      <c r="CD272" s="16">
        <f>SUM(CE272:CI272)</f>
        <v>0</v>
      </c>
      <c r="CE272" s="16">
        <v>0</v>
      </c>
      <c r="CF272" s="16">
        <v>0</v>
      </c>
      <c r="CG272" s="16">
        <v>0</v>
      </c>
      <c r="CH272" s="16">
        <v>0</v>
      </c>
      <c r="CI272" s="16">
        <v>0</v>
      </c>
      <c r="CJ272" s="16">
        <v>0</v>
      </c>
      <c r="CK272" s="16">
        <f>SUM(CL272:CP272)</f>
        <v>0</v>
      </c>
      <c r="CL272" s="16">
        <v>0</v>
      </c>
      <c r="CM272" s="16">
        <v>0</v>
      </c>
      <c r="CN272" s="16">
        <v>0</v>
      </c>
      <c r="CO272" s="16">
        <v>0</v>
      </c>
      <c r="CP272" s="16">
        <v>0</v>
      </c>
      <c r="CQ272" s="16">
        <v>0</v>
      </c>
      <c r="CR272" s="16">
        <v>0</v>
      </c>
      <c r="CS272" s="16">
        <v>8027004</v>
      </c>
      <c r="CT272" s="16">
        <f>SUM(CU272)</f>
        <v>0</v>
      </c>
      <c r="CU272" s="16">
        <f>SUM(CV272:CW272)</f>
        <v>0</v>
      </c>
      <c r="CV272" s="16">
        <v>0</v>
      </c>
      <c r="CW272" s="17">
        <v>0</v>
      </c>
      <c r="CX272" s="40"/>
      <c r="CY272" s="40"/>
    </row>
    <row r="273" spans="1:103" ht="15.75" x14ac:dyDescent="0.25">
      <c r="A273" s="13" t="s">
        <v>1</v>
      </c>
      <c r="B273" s="14" t="s">
        <v>1</v>
      </c>
      <c r="C273" s="14" t="s">
        <v>19</v>
      </c>
      <c r="D273" s="30" t="s">
        <v>509</v>
      </c>
      <c r="E273" s="15">
        <f t="shared" si="397"/>
        <v>8321340</v>
      </c>
      <c r="F273" s="16">
        <f t="shared" si="398"/>
        <v>0</v>
      </c>
      <c r="G273" s="16">
        <f t="shared" si="399"/>
        <v>0</v>
      </c>
      <c r="H273" s="16">
        <v>0</v>
      </c>
      <c r="I273" s="16">
        <v>0</v>
      </c>
      <c r="J273" s="16">
        <f t="shared" si="341"/>
        <v>0</v>
      </c>
      <c r="K273" s="16">
        <v>0</v>
      </c>
      <c r="L273" s="16">
        <v>0</v>
      </c>
      <c r="M273" s="16">
        <v>0</v>
      </c>
      <c r="N273" s="16">
        <v>0</v>
      </c>
      <c r="O273" s="16">
        <v>0</v>
      </c>
      <c r="P273" s="16">
        <v>0</v>
      </c>
      <c r="Q273" s="16">
        <f t="shared" si="342"/>
        <v>0</v>
      </c>
      <c r="R273" s="16">
        <v>0</v>
      </c>
      <c r="S273" s="16">
        <v>0</v>
      </c>
      <c r="T273" s="16">
        <v>0</v>
      </c>
      <c r="U273" s="16">
        <v>0</v>
      </c>
      <c r="V273" s="16">
        <f t="shared" si="400"/>
        <v>0</v>
      </c>
      <c r="W273" s="16">
        <v>0</v>
      </c>
      <c r="X273" s="16">
        <v>0</v>
      </c>
      <c r="Y273" s="16">
        <v>0</v>
      </c>
      <c r="Z273" s="16">
        <v>0</v>
      </c>
      <c r="AA273" s="16">
        <v>0</v>
      </c>
      <c r="AB273" s="16">
        <v>0</v>
      </c>
      <c r="AC273" s="16">
        <v>0</v>
      </c>
      <c r="AD273" s="16">
        <v>0</v>
      </c>
      <c r="AE273" s="16">
        <f t="shared" si="401"/>
        <v>0</v>
      </c>
      <c r="AF273" s="16">
        <v>0</v>
      </c>
      <c r="AG273" s="16">
        <v>0</v>
      </c>
      <c r="AH273" s="16">
        <v>0</v>
      </c>
      <c r="AI273" s="16">
        <v>0</v>
      </c>
      <c r="AJ273" s="16">
        <v>0</v>
      </c>
      <c r="AK273" s="16">
        <v>0</v>
      </c>
      <c r="AL273" s="16">
        <v>0</v>
      </c>
      <c r="AM273" s="16">
        <v>0</v>
      </c>
      <c r="AN273" s="16">
        <v>0</v>
      </c>
      <c r="AO273" s="16">
        <v>0</v>
      </c>
      <c r="AP273" s="16">
        <v>0</v>
      </c>
      <c r="AQ273" s="16">
        <v>0</v>
      </c>
      <c r="AR273" s="16">
        <v>0</v>
      </c>
      <c r="AS273" s="16">
        <v>0</v>
      </c>
      <c r="AT273" s="16">
        <v>0</v>
      </c>
      <c r="AU273" s="16">
        <v>0</v>
      </c>
      <c r="AV273" s="16">
        <v>0</v>
      </c>
      <c r="AW273" s="16">
        <v>0</v>
      </c>
      <c r="AX273" s="16">
        <v>0</v>
      </c>
      <c r="AY273" s="16">
        <v>0</v>
      </c>
      <c r="AZ273" s="16">
        <v>0</v>
      </c>
      <c r="BA273" s="16">
        <f t="shared" si="402"/>
        <v>0</v>
      </c>
      <c r="BB273" s="16">
        <f t="shared" si="403"/>
        <v>0</v>
      </c>
      <c r="BC273" s="16">
        <v>0</v>
      </c>
      <c r="BD273" s="16">
        <v>0</v>
      </c>
      <c r="BE273" s="16">
        <v>0</v>
      </c>
      <c r="BF273" s="16">
        <f t="shared" si="343"/>
        <v>0</v>
      </c>
      <c r="BG273" s="16">
        <v>0</v>
      </c>
      <c r="BH273" s="16">
        <v>0</v>
      </c>
      <c r="BI273" s="16">
        <v>0</v>
      </c>
      <c r="BJ273" s="16">
        <v>0</v>
      </c>
      <c r="BK273" s="16">
        <f t="shared" si="344"/>
        <v>0</v>
      </c>
      <c r="BL273" s="16">
        <v>0</v>
      </c>
      <c r="BM273" s="16">
        <f t="shared" si="345"/>
        <v>0</v>
      </c>
      <c r="BN273" s="16">
        <v>0</v>
      </c>
      <c r="BO273" s="16">
        <v>0</v>
      </c>
      <c r="BP273" s="16">
        <v>0</v>
      </c>
      <c r="BQ273" s="16">
        <v>0</v>
      </c>
      <c r="BR273" s="16">
        <v>0</v>
      </c>
      <c r="BS273" s="16">
        <v>0</v>
      </c>
      <c r="BT273" s="16">
        <v>0</v>
      </c>
      <c r="BU273" s="16">
        <v>0</v>
      </c>
      <c r="BV273" s="16">
        <v>0</v>
      </c>
      <c r="BW273" s="16">
        <v>0</v>
      </c>
      <c r="BX273" s="16">
        <v>0</v>
      </c>
      <c r="BY273" s="16">
        <f t="shared" si="404"/>
        <v>8321340</v>
      </c>
      <c r="BZ273" s="16">
        <f t="shared" si="405"/>
        <v>0</v>
      </c>
      <c r="CA273" s="16">
        <f t="shared" si="346"/>
        <v>0</v>
      </c>
      <c r="CB273" s="16">
        <v>0</v>
      </c>
      <c r="CC273" s="16">
        <v>0</v>
      </c>
      <c r="CD273" s="16">
        <f t="shared" si="347"/>
        <v>0</v>
      </c>
      <c r="CE273" s="16">
        <v>0</v>
      </c>
      <c r="CF273" s="16">
        <v>0</v>
      </c>
      <c r="CG273" s="16">
        <v>0</v>
      </c>
      <c r="CH273" s="16">
        <v>0</v>
      </c>
      <c r="CI273" s="16">
        <v>0</v>
      </c>
      <c r="CJ273" s="16">
        <v>0</v>
      </c>
      <c r="CK273" s="16">
        <f t="shared" si="348"/>
        <v>0</v>
      </c>
      <c r="CL273" s="16">
        <v>0</v>
      </c>
      <c r="CM273" s="16">
        <v>0</v>
      </c>
      <c r="CN273" s="16">
        <v>0</v>
      </c>
      <c r="CO273" s="16">
        <v>0</v>
      </c>
      <c r="CP273" s="16">
        <v>0</v>
      </c>
      <c r="CQ273" s="16">
        <v>0</v>
      </c>
      <c r="CR273" s="16">
        <v>0</v>
      </c>
      <c r="CS273" s="16">
        <v>8321340</v>
      </c>
      <c r="CT273" s="16">
        <f t="shared" si="349"/>
        <v>0</v>
      </c>
      <c r="CU273" s="16">
        <f t="shared" si="350"/>
        <v>0</v>
      </c>
      <c r="CV273" s="16">
        <v>0</v>
      </c>
      <c r="CW273" s="17">
        <v>0</v>
      </c>
      <c r="CX273" s="40"/>
      <c r="CY273" s="40"/>
    </row>
    <row r="274" spans="1:103" ht="15.75" x14ac:dyDescent="0.25">
      <c r="A274" s="13" t="s">
        <v>1</v>
      </c>
      <c r="B274" s="14" t="s">
        <v>1</v>
      </c>
      <c r="C274" s="14" t="s">
        <v>21</v>
      </c>
      <c r="D274" s="30" t="s">
        <v>293</v>
      </c>
      <c r="E274" s="15">
        <f t="shared" si="397"/>
        <v>9289352</v>
      </c>
      <c r="F274" s="16">
        <f t="shared" si="398"/>
        <v>0</v>
      </c>
      <c r="G274" s="16">
        <f t="shared" si="399"/>
        <v>0</v>
      </c>
      <c r="H274" s="16">
        <v>0</v>
      </c>
      <c r="I274" s="16">
        <v>0</v>
      </c>
      <c r="J274" s="16">
        <f>SUM(K274:P274)</f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f>SUM(R274:S274)</f>
        <v>0</v>
      </c>
      <c r="R274" s="16">
        <v>0</v>
      </c>
      <c r="S274" s="16">
        <v>0</v>
      </c>
      <c r="T274" s="16">
        <v>0</v>
      </c>
      <c r="U274" s="16">
        <v>0</v>
      </c>
      <c r="V274" s="16">
        <f t="shared" si="400"/>
        <v>0</v>
      </c>
      <c r="W274" s="16">
        <v>0</v>
      </c>
      <c r="X274" s="16">
        <v>0</v>
      </c>
      <c r="Y274" s="16">
        <v>0</v>
      </c>
      <c r="Z274" s="16">
        <v>0</v>
      </c>
      <c r="AA274" s="16">
        <v>0</v>
      </c>
      <c r="AB274" s="16">
        <v>0</v>
      </c>
      <c r="AC274" s="16">
        <v>0</v>
      </c>
      <c r="AD274" s="16">
        <v>0</v>
      </c>
      <c r="AE274" s="16">
        <f>SUM(AF274:AZ274)</f>
        <v>0</v>
      </c>
      <c r="AF274" s="16">
        <v>0</v>
      </c>
      <c r="AG274" s="16">
        <v>0</v>
      </c>
      <c r="AH274" s="16">
        <v>0</v>
      </c>
      <c r="AI274" s="16">
        <v>0</v>
      </c>
      <c r="AJ274" s="16">
        <v>0</v>
      </c>
      <c r="AK274" s="16">
        <v>0</v>
      </c>
      <c r="AL274" s="16">
        <v>0</v>
      </c>
      <c r="AM274" s="16">
        <v>0</v>
      </c>
      <c r="AN274" s="16">
        <v>0</v>
      </c>
      <c r="AO274" s="16">
        <v>0</v>
      </c>
      <c r="AP274" s="16">
        <v>0</v>
      </c>
      <c r="AQ274" s="16">
        <v>0</v>
      </c>
      <c r="AR274" s="16">
        <v>0</v>
      </c>
      <c r="AS274" s="16">
        <v>0</v>
      </c>
      <c r="AT274" s="16">
        <v>0</v>
      </c>
      <c r="AU274" s="16">
        <v>0</v>
      </c>
      <c r="AV274" s="16">
        <v>0</v>
      </c>
      <c r="AW274" s="16">
        <v>0</v>
      </c>
      <c r="AX274" s="16">
        <v>0</v>
      </c>
      <c r="AY274" s="16">
        <v>0</v>
      </c>
      <c r="AZ274" s="16">
        <v>0</v>
      </c>
      <c r="BA274" s="16">
        <f t="shared" si="402"/>
        <v>0</v>
      </c>
      <c r="BB274" s="16">
        <f t="shared" si="403"/>
        <v>0</v>
      </c>
      <c r="BC274" s="16">
        <v>0</v>
      </c>
      <c r="BD274" s="16">
        <v>0</v>
      </c>
      <c r="BE274" s="16">
        <v>0</v>
      </c>
      <c r="BF274" s="16">
        <f>SUM(BG274:BH274)</f>
        <v>0</v>
      </c>
      <c r="BG274" s="16">
        <v>0</v>
      </c>
      <c r="BH274" s="16">
        <v>0</v>
      </c>
      <c r="BI274" s="16">
        <v>0</v>
      </c>
      <c r="BJ274" s="16">
        <v>0</v>
      </c>
      <c r="BK274" s="16">
        <f>SUM(BL274)</f>
        <v>0</v>
      </c>
      <c r="BL274" s="16">
        <v>0</v>
      </c>
      <c r="BM274" s="16">
        <f>SUM(BN274:BX274)</f>
        <v>0</v>
      </c>
      <c r="BN274" s="16">
        <v>0</v>
      </c>
      <c r="BO274" s="16">
        <v>0</v>
      </c>
      <c r="BP274" s="16">
        <v>0</v>
      </c>
      <c r="BQ274" s="16">
        <v>0</v>
      </c>
      <c r="BR274" s="16">
        <v>0</v>
      </c>
      <c r="BS274" s="16">
        <v>0</v>
      </c>
      <c r="BT274" s="16">
        <v>0</v>
      </c>
      <c r="BU274" s="16">
        <v>0</v>
      </c>
      <c r="BV274" s="16">
        <v>0</v>
      </c>
      <c r="BW274" s="16">
        <v>0</v>
      </c>
      <c r="BX274" s="16">
        <v>0</v>
      </c>
      <c r="BY274" s="16">
        <f t="shared" si="404"/>
        <v>9289352</v>
      </c>
      <c r="BZ274" s="16">
        <f t="shared" si="405"/>
        <v>0</v>
      </c>
      <c r="CA274" s="16">
        <f>SUM(CB274:CC274)</f>
        <v>0</v>
      </c>
      <c r="CB274" s="16">
        <v>0</v>
      </c>
      <c r="CC274" s="16">
        <v>0</v>
      </c>
      <c r="CD274" s="16">
        <f>SUM(CE274:CI274)</f>
        <v>0</v>
      </c>
      <c r="CE274" s="16">
        <v>0</v>
      </c>
      <c r="CF274" s="16">
        <v>0</v>
      </c>
      <c r="CG274" s="16">
        <v>0</v>
      </c>
      <c r="CH274" s="16">
        <v>0</v>
      </c>
      <c r="CI274" s="16">
        <v>0</v>
      </c>
      <c r="CJ274" s="16">
        <v>0</v>
      </c>
      <c r="CK274" s="16">
        <f>SUM(CL274:CP274)</f>
        <v>0</v>
      </c>
      <c r="CL274" s="16">
        <v>0</v>
      </c>
      <c r="CM274" s="16">
        <v>0</v>
      </c>
      <c r="CN274" s="16">
        <v>0</v>
      </c>
      <c r="CO274" s="16">
        <v>0</v>
      </c>
      <c r="CP274" s="16">
        <v>0</v>
      </c>
      <c r="CQ274" s="16">
        <v>0</v>
      </c>
      <c r="CR274" s="16">
        <v>0</v>
      </c>
      <c r="CS274" s="16">
        <v>9289352</v>
      </c>
      <c r="CT274" s="16">
        <f>SUM(CU274)</f>
        <v>0</v>
      </c>
      <c r="CU274" s="16">
        <f>SUM(CV274:CW274)</f>
        <v>0</v>
      </c>
      <c r="CV274" s="16">
        <v>0</v>
      </c>
      <c r="CW274" s="17">
        <v>0</v>
      </c>
      <c r="CX274" s="40"/>
      <c r="CY274" s="40"/>
    </row>
    <row r="275" spans="1:103" ht="15.75" x14ac:dyDescent="0.25">
      <c r="A275" s="13" t="s">
        <v>1</v>
      </c>
      <c r="B275" s="14" t="s">
        <v>1</v>
      </c>
      <c r="C275" s="14" t="s">
        <v>21</v>
      </c>
      <c r="D275" s="30" t="s">
        <v>292</v>
      </c>
      <c r="E275" s="15">
        <f t="shared" si="397"/>
        <v>14871466</v>
      </c>
      <c r="F275" s="16">
        <f t="shared" si="398"/>
        <v>0</v>
      </c>
      <c r="G275" s="16">
        <f t="shared" si="399"/>
        <v>0</v>
      </c>
      <c r="H275" s="16">
        <v>0</v>
      </c>
      <c r="I275" s="16">
        <v>0</v>
      </c>
      <c r="J275" s="16">
        <f>SUM(K275:P275)</f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  <c r="Q275" s="16">
        <f>SUM(R275:S275)</f>
        <v>0</v>
      </c>
      <c r="R275" s="16">
        <v>0</v>
      </c>
      <c r="S275" s="16">
        <v>0</v>
      </c>
      <c r="T275" s="16">
        <v>0</v>
      </c>
      <c r="U275" s="16">
        <v>0</v>
      </c>
      <c r="V275" s="16">
        <f t="shared" si="400"/>
        <v>0</v>
      </c>
      <c r="W275" s="16">
        <v>0</v>
      </c>
      <c r="X275" s="16">
        <v>0</v>
      </c>
      <c r="Y275" s="16">
        <v>0</v>
      </c>
      <c r="Z275" s="16">
        <v>0</v>
      </c>
      <c r="AA275" s="16">
        <v>0</v>
      </c>
      <c r="AB275" s="16">
        <v>0</v>
      </c>
      <c r="AC275" s="16">
        <v>0</v>
      </c>
      <c r="AD275" s="16">
        <v>0</v>
      </c>
      <c r="AE275" s="16">
        <f>SUM(AF275:AZ275)</f>
        <v>0</v>
      </c>
      <c r="AF275" s="16">
        <v>0</v>
      </c>
      <c r="AG275" s="16">
        <v>0</v>
      </c>
      <c r="AH275" s="16">
        <v>0</v>
      </c>
      <c r="AI275" s="16">
        <v>0</v>
      </c>
      <c r="AJ275" s="16">
        <v>0</v>
      </c>
      <c r="AK275" s="16">
        <v>0</v>
      </c>
      <c r="AL275" s="16">
        <v>0</v>
      </c>
      <c r="AM275" s="16">
        <v>0</v>
      </c>
      <c r="AN275" s="16">
        <v>0</v>
      </c>
      <c r="AO275" s="16">
        <v>0</v>
      </c>
      <c r="AP275" s="16">
        <v>0</v>
      </c>
      <c r="AQ275" s="16">
        <v>0</v>
      </c>
      <c r="AR275" s="16">
        <v>0</v>
      </c>
      <c r="AS275" s="16">
        <v>0</v>
      </c>
      <c r="AT275" s="16">
        <v>0</v>
      </c>
      <c r="AU275" s="16">
        <v>0</v>
      </c>
      <c r="AV275" s="16">
        <v>0</v>
      </c>
      <c r="AW275" s="16">
        <v>0</v>
      </c>
      <c r="AX275" s="16">
        <v>0</v>
      </c>
      <c r="AY275" s="16">
        <v>0</v>
      </c>
      <c r="AZ275" s="16">
        <v>0</v>
      </c>
      <c r="BA275" s="16">
        <f t="shared" si="402"/>
        <v>0</v>
      </c>
      <c r="BB275" s="16">
        <f t="shared" si="403"/>
        <v>0</v>
      </c>
      <c r="BC275" s="16">
        <v>0</v>
      </c>
      <c r="BD275" s="16">
        <v>0</v>
      </c>
      <c r="BE275" s="16">
        <v>0</v>
      </c>
      <c r="BF275" s="16">
        <f>SUM(BG275:BH275)</f>
        <v>0</v>
      </c>
      <c r="BG275" s="16">
        <v>0</v>
      </c>
      <c r="BH275" s="16">
        <v>0</v>
      </c>
      <c r="BI275" s="16">
        <v>0</v>
      </c>
      <c r="BJ275" s="16">
        <v>0</v>
      </c>
      <c r="BK275" s="16">
        <f>SUM(BL275)</f>
        <v>0</v>
      </c>
      <c r="BL275" s="16">
        <v>0</v>
      </c>
      <c r="BM275" s="16">
        <f>SUM(BN275:BX275)</f>
        <v>0</v>
      </c>
      <c r="BN275" s="16">
        <v>0</v>
      </c>
      <c r="BO275" s="16">
        <v>0</v>
      </c>
      <c r="BP275" s="16">
        <v>0</v>
      </c>
      <c r="BQ275" s="16">
        <v>0</v>
      </c>
      <c r="BR275" s="16">
        <v>0</v>
      </c>
      <c r="BS275" s="16">
        <v>0</v>
      </c>
      <c r="BT275" s="16">
        <v>0</v>
      </c>
      <c r="BU275" s="16">
        <v>0</v>
      </c>
      <c r="BV275" s="16">
        <v>0</v>
      </c>
      <c r="BW275" s="16">
        <v>0</v>
      </c>
      <c r="BX275" s="16">
        <v>0</v>
      </c>
      <c r="BY275" s="16">
        <f t="shared" si="404"/>
        <v>14871466</v>
      </c>
      <c r="BZ275" s="16">
        <f t="shared" si="405"/>
        <v>0</v>
      </c>
      <c r="CA275" s="16">
        <f>SUM(CB275:CC275)</f>
        <v>0</v>
      </c>
      <c r="CB275" s="16">
        <v>0</v>
      </c>
      <c r="CC275" s="16">
        <v>0</v>
      </c>
      <c r="CD275" s="16">
        <f>SUM(CE275:CI275)</f>
        <v>0</v>
      </c>
      <c r="CE275" s="16">
        <v>0</v>
      </c>
      <c r="CF275" s="16">
        <v>0</v>
      </c>
      <c r="CG275" s="16">
        <v>0</v>
      </c>
      <c r="CH275" s="16">
        <v>0</v>
      </c>
      <c r="CI275" s="16">
        <v>0</v>
      </c>
      <c r="CJ275" s="16">
        <v>0</v>
      </c>
      <c r="CK275" s="16">
        <f>SUM(CL275:CP275)</f>
        <v>0</v>
      </c>
      <c r="CL275" s="16">
        <v>0</v>
      </c>
      <c r="CM275" s="16">
        <v>0</v>
      </c>
      <c r="CN275" s="16">
        <v>0</v>
      </c>
      <c r="CO275" s="16">
        <v>0</v>
      </c>
      <c r="CP275" s="16">
        <v>0</v>
      </c>
      <c r="CQ275" s="16">
        <v>0</v>
      </c>
      <c r="CR275" s="16">
        <v>0</v>
      </c>
      <c r="CS275" s="16">
        <v>14871466</v>
      </c>
      <c r="CT275" s="16">
        <f>SUM(CU275)</f>
        <v>0</v>
      </c>
      <c r="CU275" s="16">
        <f>SUM(CV275:CW275)</f>
        <v>0</v>
      </c>
      <c r="CV275" s="16">
        <v>0</v>
      </c>
      <c r="CW275" s="17">
        <v>0</v>
      </c>
      <c r="CX275" s="40"/>
      <c r="CY275" s="40"/>
    </row>
    <row r="276" spans="1:103" ht="31.5" x14ac:dyDescent="0.25">
      <c r="A276" s="13" t="s">
        <v>1</v>
      </c>
      <c r="B276" s="14" t="s">
        <v>1</v>
      </c>
      <c r="C276" s="14" t="s">
        <v>21</v>
      </c>
      <c r="D276" s="30" t="s">
        <v>291</v>
      </c>
      <c r="E276" s="15">
        <f t="shared" si="397"/>
        <v>4968407</v>
      </c>
      <c r="F276" s="16">
        <f t="shared" si="398"/>
        <v>0</v>
      </c>
      <c r="G276" s="16">
        <f t="shared" si="399"/>
        <v>0</v>
      </c>
      <c r="H276" s="16">
        <v>0</v>
      </c>
      <c r="I276" s="16">
        <v>0</v>
      </c>
      <c r="J276" s="16">
        <f>SUM(K276:P276)</f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  <c r="Q276" s="16">
        <f>SUM(R276:S276)</f>
        <v>0</v>
      </c>
      <c r="R276" s="16">
        <v>0</v>
      </c>
      <c r="S276" s="16">
        <v>0</v>
      </c>
      <c r="T276" s="16">
        <v>0</v>
      </c>
      <c r="U276" s="16">
        <v>0</v>
      </c>
      <c r="V276" s="16">
        <f t="shared" si="400"/>
        <v>0</v>
      </c>
      <c r="W276" s="16">
        <v>0</v>
      </c>
      <c r="X276" s="16">
        <v>0</v>
      </c>
      <c r="Y276" s="16">
        <v>0</v>
      </c>
      <c r="Z276" s="16">
        <v>0</v>
      </c>
      <c r="AA276" s="16">
        <v>0</v>
      </c>
      <c r="AB276" s="16">
        <v>0</v>
      </c>
      <c r="AC276" s="16">
        <v>0</v>
      </c>
      <c r="AD276" s="16">
        <v>0</v>
      </c>
      <c r="AE276" s="16">
        <f>SUM(AF276:AZ276)</f>
        <v>0</v>
      </c>
      <c r="AF276" s="16">
        <v>0</v>
      </c>
      <c r="AG276" s="16">
        <v>0</v>
      </c>
      <c r="AH276" s="16">
        <v>0</v>
      </c>
      <c r="AI276" s="16">
        <v>0</v>
      </c>
      <c r="AJ276" s="16">
        <v>0</v>
      </c>
      <c r="AK276" s="16">
        <v>0</v>
      </c>
      <c r="AL276" s="16">
        <v>0</v>
      </c>
      <c r="AM276" s="16">
        <v>0</v>
      </c>
      <c r="AN276" s="16">
        <v>0</v>
      </c>
      <c r="AO276" s="16">
        <v>0</v>
      </c>
      <c r="AP276" s="16">
        <v>0</v>
      </c>
      <c r="AQ276" s="16">
        <v>0</v>
      </c>
      <c r="AR276" s="16">
        <v>0</v>
      </c>
      <c r="AS276" s="16">
        <v>0</v>
      </c>
      <c r="AT276" s="16">
        <v>0</v>
      </c>
      <c r="AU276" s="16">
        <v>0</v>
      </c>
      <c r="AV276" s="16">
        <v>0</v>
      </c>
      <c r="AW276" s="16">
        <v>0</v>
      </c>
      <c r="AX276" s="16">
        <v>0</v>
      </c>
      <c r="AY276" s="16">
        <v>0</v>
      </c>
      <c r="AZ276" s="16">
        <v>0</v>
      </c>
      <c r="BA276" s="16">
        <f t="shared" si="402"/>
        <v>0</v>
      </c>
      <c r="BB276" s="16">
        <f t="shared" si="403"/>
        <v>0</v>
      </c>
      <c r="BC276" s="16">
        <v>0</v>
      </c>
      <c r="BD276" s="16">
        <v>0</v>
      </c>
      <c r="BE276" s="16">
        <v>0</v>
      </c>
      <c r="BF276" s="16">
        <f>SUM(BG276:BH276)</f>
        <v>0</v>
      </c>
      <c r="BG276" s="16">
        <v>0</v>
      </c>
      <c r="BH276" s="16">
        <v>0</v>
      </c>
      <c r="BI276" s="16">
        <v>0</v>
      </c>
      <c r="BJ276" s="16">
        <v>0</v>
      </c>
      <c r="BK276" s="16">
        <f>SUM(BL276)</f>
        <v>0</v>
      </c>
      <c r="BL276" s="16">
        <v>0</v>
      </c>
      <c r="BM276" s="16">
        <f>SUM(BN276:BX276)</f>
        <v>0</v>
      </c>
      <c r="BN276" s="16">
        <v>0</v>
      </c>
      <c r="BO276" s="16">
        <v>0</v>
      </c>
      <c r="BP276" s="16">
        <v>0</v>
      </c>
      <c r="BQ276" s="16">
        <v>0</v>
      </c>
      <c r="BR276" s="16">
        <v>0</v>
      </c>
      <c r="BS276" s="16">
        <v>0</v>
      </c>
      <c r="BT276" s="16">
        <v>0</v>
      </c>
      <c r="BU276" s="16">
        <v>0</v>
      </c>
      <c r="BV276" s="16">
        <v>0</v>
      </c>
      <c r="BW276" s="16">
        <v>0</v>
      </c>
      <c r="BX276" s="16">
        <v>0</v>
      </c>
      <c r="BY276" s="16">
        <f t="shared" si="404"/>
        <v>4968407</v>
      </c>
      <c r="BZ276" s="16">
        <f t="shared" si="405"/>
        <v>0</v>
      </c>
      <c r="CA276" s="16">
        <f>SUM(CB276:CC276)</f>
        <v>0</v>
      </c>
      <c r="CB276" s="16">
        <v>0</v>
      </c>
      <c r="CC276" s="16">
        <v>0</v>
      </c>
      <c r="CD276" s="16">
        <f>SUM(CE276:CI276)</f>
        <v>0</v>
      </c>
      <c r="CE276" s="16">
        <v>0</v>
      </c>
      <c r="CF276" s="16">
        <v>0</v>
      </c>
      <c r="CG276" s="16">
        <v>0</v>
      </c>
      <c r="CH276" s="16">
        <v>0</v>
      </c>
      <c r="CI276" s="16">
        <v>0</v>
      </c>
      <c r="CJ276" s="16">
        <v>0</v>
      </c>
      <c r="CK276" s="16">
        <f>SUM(CL276:CP276)</f>
        <v>0</v>
      </c>
      <c r="CL276" s="16">
        <v>0</v>
      </c>
      <c r="CM276" s="16">
        <v>0</v>
      </c>
      <c r="CN276" s="16">
        <v>0</v>
      </c>
      <c r="CO276" s="16">
        <v>0</v>
      </c>
      <c r="CP276" s="16">
        <v>0</v>
      </c>
      <c r="CQ276" s="16">
        <v>0</v>
      </c>
      <c r="CR276" s="16">
        <v>0</v>
      </c>
      <c r="CS276" s="16">
        <v>4968407</v>
      </c>
      <c r="CT276" s="16">
        <f>SUM(CU276)</f>
        <v>0</v>
      </c>
      <c r="CU276" s="16">
        <f>SUM(CV276:CW276)</f>
        <v>0</v>
      </c>
      <c r="CV276" s="16">
        <v>0</v>
      </c>
      <c r="CW276" s="17">
        <v>0</v>
      </c>
      <c r="CX276" s="40"/>
      <c r="CY276" s="40"/>
    </row>
    <row r="277" spans="1:103" ht="15.75" x14ac:dyDescent="0.25">
      <c r="A277" s="13" t="s">
        <v>1</v>
      </c>
      <c r="B277" s="14" t="s">
        <v>1</v>
      </c>
      <c r="C277" s="14" t="s">
        <v>21</v>
      </c>
      <c r="D277" s="30" t="s">
        <v>290</v>
      </c>
      <c r="E277" s="15">
        <f t="shared" si="397"/>
        <v>12619813</v>
      </c>
      <c r="F277" s="16">
        <f t="shared" si="398"/>
        <v>0</v>
      </c>
      <c r="G277" s="16">
        <f t="shared" si="399"/>
        <v>0</v>
      </c>
      <c r="H277" s="16">
        <v>0</v>
      </c>
      <c r="I277" s="16">
        <v>0</v>
      </c>
      <c r="J277" s="16">
        <f t="shared" si="341"/>
        <v>0</v>
      </c>
      <c r="K277" s="16">
        <v>0</v>
      </c>
      <c r="L277" s="16">
        <v>0</v>
      </c>
      <c r="M277" s="16">
        <v>0</v>
      </c>
      <c r="N277" s="16">
        <v>0</v>
      </c>
      <c r="O277" s="16">
        <v>0</v>
      </c>
      <c r="P277" s="16">
        <v>0</v>
      </c>
      <c r="Q277" s="16">
        <f t="shared" si="342"/>
        <v>0</v>
      </c>
      <c r="R277" s="16">
        <v>0</v>
      </c>
      <c r="S277" s="16">
        <v>0</v>
      </c>
      <c r="T277" s="16">
        <v>0</v>
      </c>
      <c r="U277" s="16">
        <v>0</v>
      </c>
      <c r="V277" s="16">
        <f t="shared" si="400"/>
        <v>0</v>
      </c>
      <c r="W277" s="16">
        <v>0</v>
      </c>
      <c r="X277" s="16">
        <v>0</v>
      </c>
      <c r="Y277" s="16">
        <v>0</v>
      </c>
      <c r="Z277" s="16">
        <v>0</v>
      </c>
      <c r="AA277" s="16">
        <v>0</v>
      </c>
      <c r="AB277" s="16">
        <v>0</v>
      </c>
      <c r="AC277" s="16">
        <v>0</v>
      </c>
      <c r="AD277" s="16">
        <v>0</v>
      </c>
      <c r="AE277" s="16">
        <f t="shared" si="401"/>
        <v>0</v>
      </c>
      <c r="AF277" s="16">
        <v>0</v>
      </c>
      <c r="AG277" s="16">
        <v>0</v>
      </c>
      <c r="AH277" s="16">
        <v>0</v>
      </c>
      <c r="AI277" s="16">
        <v>0</v>
      </c>
      <c r="AJ277" s="16">
        <v>0</v>
      </c>
      <c r="AK277" s="16">
        <v>0</v>
      </c>
      <c r="AL277" s="16">
        <v>0</v>
      </c>
      <c r="AM277" s="16">
        <v>0</v>
      </c>
      <c r="AN277" s="16">
        <v>0</v>
      </c>
      <c r="AO277" s="16">
        <v>0</v>
      </c>
      <c r="AP277" s="16">
        <v>0</v>
      </c>
      <c r="AQ277" s="16">
        <v>0</v>
      </c>
      <c r="AR277" s="16">
        <v>0</v>
      </c>
      <c r="AS277" s="16">
        <v>0</v>
      </c>
      <c r="AT277" s="16">
        <v>0</v>
      </c>
      <c r="AU277" s="16">
        <v>0</v>
      </c>
      <c r="AV277" s="16">
        <v>0</v>
      </c>
      <c r="AW277" s="16">
        <v>0</v>
      </c>
      <c r="AX277" s="16">
        <v>0</v>
      </c>
      <c r="AY277" s="16">
        <v>0</v>
      </c>
      <c r="AZ277" s="16">
        <v>0</v>
      </c>
      <c r="BA277" s="16">
        <f t="shared" si="402"/>
        <v>0</v>
      </c>
      <c r="BB277" s="16">
        <f t="shared" si="403"/>
        <v>0</v>
      </c>
      <c r="BC277" s="16">
        <v>0</v>
      </c>
      <c r="BD277" s="16">
        <v>0</v>
      </c>
      <c r="BE277" s="16">
        <v>0</v>
      </c>
      <c r="BF277" s="16">
        <f t="shared" si="343"/>
        <v>0</v>
      </c>
      <c r="BG277" s="16">
        <v>0</v>
      </c>
      <c r="BH277" s="16">
        <v>0</v>
      </c>
      <c r="BI277" s="16">
        <v>0</v>
      </c>
      <c r="BJ277" s="16">
        <v>0</v>
      </c>
      <c r="BK277" s="16">
        <f t="shared" si="344"/>
        <v>0</v>
      </c>
      <c r="BL277" s="16">
        <v>0</v>
      </c>
      <c r="BM277" s="16">
        <f t="shared" si="345"/>
        <v>0</v>
      </c>
      <c r="BN277" s="16">
        <v>0</v>
      </c>
      <c r="BO277" s="16">
        <v>0</v>
      </c>
      <c r="BP277" s="16">
        <v>0</v>
      </c>
      <c r="BQ277" s="16">
        <v>0</v>
      </c>
      <c r="BR277" s="16">
        <v>0</v>
      </c>
      <c r="BS277" s="16">
        <v>0</v>
      </c>
      <c r="BT277" s="16">
        <v>0</v>
      </c>
      <c r="BU277" s="16">
        <v>0</v>
      </c>
      <c r="BV277" s="16">
        <v>0</v>
      </c>
      <c r="BW277" s="16">
        <v>0</v>
      </c>
      <c r="BX277" s="16">
        <v>0</v>
      </c>
      <c r="BY277" s="16">
        <f t="shared" si="404"/>
        <v>12619813</v>
      </c>
      <c r="BZ277" s="16">
        <f t="shared" si="405"/>
        <v>0</v>
      </c>
      <c r="CA277" s="16">
        <f t="shared" si="346"/>
        <v>0</v>
      </c>
      <c r="CB277" s="16">
        <v>0</v>
      </c>
      <c r="CC277" s="16">
        <v>0</v>
      </c>
      <c r="CD277" s="16">
        <f t="shared" si="347"/>
        <v>0</v>
      </c>
      <c r="CE277" s="16">
        <v>0</v>
      </c>
      <c r="CF277" s="16">
        <v>0</v>
      </c>
      <c r="CG277" s="16">
        <v>0</v>
      </c>
      <c r="CH277" s="16">
        <v>0</v>
      </c>
      <c r="CI277" s="16">
        <v>0</v>
      </c>
      <c r="CJ277" s="16">
        <v>0</v>
      </c>
      <c r="CK277" s="16">
        <f t="shared" si="348"/>
        <v>0</v>
      </c>
      <c r="CL277" s="16">
        <v>0</v>
      </c>
      <c r="CM277" s="16">
        <v>0</v>
      </c>
      <c r="CN277" s="16">
        <v>0</v>
      </c>
      <c r="CO277" s="16">
        <v>0</v>
      </c>
      <c r="CP277" s="16">
        <v>0</v>
      </c>
      <c r="CQ277" s="16">
        <v>0</v>
      </c>
      <c r="CR277" s="16">
        <v>0</v>
      </c>
      <c r="CS277" s="16">
        <v>12619813</v>
      </c>
      <c r="CT277" s="16">
        <f t="shared" si="349"/>
        <v>0</v>
      </c>
      <c r="CU277" s="16">
        <f t="shared" si="350"/>
        <v>0</v>
      </c>
      <c r="CV277" s="16">
        <v>0</v>
      </c>
      <c r="CW277" s="17">
        <v>0</v>
      </c>
      <c r="CX277" s="40"/>
      <c r="CY277" s="40"/>
    </row>
    <row r="278" spans="1:103" ht="15.75" x14ac:dyDescent="0.25">
      <c r="A278" s="13" t="s">
        <v>1</v>
      </c>
      <c r="B278" s="14" t="s">
        <v>1</v>
      </c>
      <c r="C278" s="14" t="s">
        <v>23</v>
      </c>
      <c r="D278" s="30" t="s">
        <v>294</v>
      </c>
      <c r="E278" s="15">
        <f t="shared" si="397"/>
        <v>344000</v>
      </c>
      <c r="F278" s="16">
        <f t="shared" si="398"/>
        <v>0</v>
      </c>
      <c r="G278" s="16">
        <f t="shared" si="399"/>
        <v>0</v>
      </c>
      <c r="H278" s="16">
        <v>0</v>
      </c>
      <c r="I278" s="16">
        <v>0</v>
      </c>
      <c r="J278" s="16">
        <f t="shared" si="341"/>
        <v>0</v>
      </c>
      <c r="K278" s="16">
        <v>0</v>
      </c>
      <c r="L278" s="16">
        <v>0</v>
      </c>
      <c r="M278" s="16">
        <v>0</v>
      </c>
      <c r="N278" s="16">
        <v>0</v>
      </c>
      <c r="O278" s="16">
        <v>0</v>
      </c>
      <c r="P278" s="16">
        <v>0</v>
      </c>
      <c r="Q278" s="16">
        <f t="shared" si="342"/>
        <v>0</v>
      </c>
      <c r="R278" s="16">
        <v>0</v>
      </c>
      <c r="S278" s="16">
        <v>0</v>
      </c>
      <c r="T278" s="16">
        <v>0</v>
      </c>
      <c r="U278" s="16">
        <v>0</v>
      </c>
      <c r="V278" s="16">
        <f t="shared" si="400"/>
        <v>0</v>
      </c>
      <c r="W278" s="16">
        <v>0</v>
      </c>
      <c r="X278" s="16">
        <v>0</v>
      </c>
      <c r="Y278" s="16">
        <v>0</v>
      </c>
      <c r="Z278" s="16">
        <v>0</v>
      </c>
      <c r="AA278" s="16">
        <v>0</v>
      </c>
      <c r="AB278" s="16">
        <v>0</v>
      </c>
      <c r="AC278" s="16">
        <v>0</v>
      </c>
      <c r="AD278" s="16">
        <v>0</v>
      </c>
      <c r="AE278" s="16">
        <f t="shared" si="401"/>
        <v>0</v>
      </c>
      <c r="AF278" s="16">
        <v>0</v>
      </c>
      <c r="AG278" s="16">
        <v>0</v>
      </c>
      <c r="AH278" s="16">
        <v>0</v>
      </c>
      <c r="AI278" s="16">
        <v>0</v>
      </c>
      <c r="AJ278" s="16">
        <v>0</v>
      </c>
      <c r="AK278" s="16">
        <v>0</v>
      </c>
      <c r="AL278" s="16">
        <v>0</v>
      </c>
      <c r="AM278" s="16">
        <v>0</v>
      </c>
      <c r="AN278" s="16">
        <v>0</v>
      </c>
      <c r="AO278" s="16">
        <v>0</v>
      </c>
      <c r="AP278" s="16">
        <v>0</v>
      </c>
      <c r="AQ278" s="16">
        <v>0</v>
      </c>
      <c r="AR278" s="16">
        <v>0</v>
      </c>
      <c r="AS278" s="16">
        <v>0</v>
      </c>
      <c r="AT278" s="16">
        <v>0</v>
      </c>
      <c r="AU278" s="16">
        <v>0</v>
      </c>
      <c r="AV278" s="16">
        <v>0</v>
      </c>
      <c r="AW278" s="16">
        <v>0</v>
      </c>
      <c r="AX278" s="16">
        <v>0</v>
      </c>
      <c r="AY278" s="16">
        <v>0</v>
      </c>
      <c r="AZ278" s="16">
        <v>0</v>
      </c>
      <c r="BA278" s="16">
        <f t="shared" si="402"/>
        <v>0</v>
      </c>
      <c r="BB278" s="16">
        <f t="shared" si="403"/>
        <v>0</v>
      </c>
      <c r="BC278" s="16">
        <v>0</v>
      </c>
      <c r="BD278" s="16">
        <v>0</v>
      </c>
      <c r="BE278" s="16">
        <v>0</v>
      </c>
      <c r="BF278" s="16">
        <f t="shared" si="343"/>
        <v>0</v>
      </c>
      <c r="BG278" s="16">
        <v>0</v>
      </c>
      <c r="BH278" s="16">
        <v>0</v>
      </c>
      <c r="BI278" s="16">
        <v>0</v>
      </c>
      <c r="BJ278" s="16">
        <v>0</v>
      </c>
      <c r="BK278" s="16">
        <f t="shared" si="344"/>
        <v>0</v>
      </c>
      <c r="BL278" s="16">
        <v>0</v>
      </c>
      <c r="BM278" s="16">
        <f t="shared" si="345"/>
        <v>0</v>
      </c>
      <c r="BN278" s="16">
        <v>0</v>
      </c>
      <c r="BO278" s="16">
        <v>0</v>
      </c>
      <c r="BP278" s="16">
        <v>0</v>
      </c>
      <c r="BQ278" s="16">
        <v>0</v>
      </c>
      <c r="BR278" s="16">
        <v>0</v>
      </c>
      <c r="BS278" s="16">
        <v>0</v>
      </c>
      <c r="BT278" s="16">
        <v>0</v>
      </c>
      <c r="BU278" s="16">
        <v>0</v>
      </c>
      <c r="BV278" s="16">
        <v>0</v>
      </c>
      <c r="BW278" s="16">
        <v>0</v>
      </c>
      <c r="BX278" s="16">
        <v>0</v>
      </c>
      <c r="BY278" s="16">
        <f t="shared" si="404"/>
        <v>344000</v>
      </c>
      <c r="BZ278" s="16">
        <f t="shared" si="405"/>
        <v>0</v>
      </c>
      <c r="CA278" s="16">
        <f t="shared" si="346"/>
        <v>0</v>
      </c>
      <c r="CB278" s="16">
        <v>0</v>
      </c>
      <c r="CC278" s="16">
        <v>0</v>
      </c>
      <c r="CD278" s="16">
        <f t="shared" si="347"/>
        <v>0</v>
      </c>
      <c r="CE278" s="16">
        <v>0</v>
      </c>
      <c r="CF278" s="16">
        <v>0</v>
      </c>
      <c r="CG278" s="16">
        <v>0</v>
      </c>
      <c r="CH278" s="16">
        <v>0</v>
      </c>
      <c r="CI278" s="16">
        <v>0</v>
      </c>
      <c r="CJ278" s="16">
        <v>0</v>
      </c>
      <c r="CK278" s="16">
        <f t="shared" si="348"/>
        <v>0</v>
      </c>
      <c r="CL278" s="16">
        <v>0</v>
      </c>
      <c r="CM278" s="16">
        <v>0</v>
      </c>
      <c r="CN278" s="16">
        <v>0</v>
      </c>
      <c r="CO278" s="16">
        <v>0</v>
      </c>
      <c r="CP278" s="16">
        <v>0</v>
      </c>
      <c r="CQ278" s="16">
        <v>0</v>
      </c>
      <c r="CR278" s="16">
        <v>0</v>
      </c>
      <c r="CS278" s="16">
        <f>594000-250000</f>
        <v>344000</v>
      </c>
      <c r="CT278" s="16">
        <f t="shared" si="349"/>
        <v>0</v>
      </c>
      <c r="CU278" s="16">
        <f t="shared" si="350"/>
        <v>0</v>
      </c>
      <c r="CV278" s="16">
        <v>0</v>
      </c>
      <c r="CW278" s="17">
        <v>0</v>
      </c>
      <c r="CX278" s="40"/>
      <c r="CY278" s="40"/>
    </row>
    <row r="279" spans="1:103" ht="15.75" x14ac:dyDescent="0.25">
      <c r="A279" s="13" t="s">
        <v>1</v>
      </c>
      <c r="B279" s="14" t="s">
        <v>1</v>
      </c>
      <c r="C279" s="14" t="s">
        <v>29</v>
      </c>
      <c r="D279" s="30" t="s">
        <v>295</v>
      </c>
      <c r="E279" s="15">
        <f t="shared" si="397"/>
        <v>1500000</v>
      </c>
      <c r="F279" s="16">
        <f t="shared" si="398"/>
        <v>0</v>
      </c>
      <c r="G279" s="16">
        <f t="shared" si="399"/>
        <v>0</v>
      </c>
      <c r="H279" s="16">
        <v>0</v>
      </c>
      <c r="I279" s="16">
        <v>0</v>
      </c>
      <c r="J279" s="16">
        <f>SUM(K279:P279)</f>
        <v>0</v>
      </c>
      <c r="K279" s="16">
        <v>0</v>
      </c>
      <c r="L279" s="16">
        <v>0</v>
      </c>
      <c r="M279" s="16">
        <v>0</v>
      </c>
      <c r="N279" s="16">
        <v>0</v>
      </c>
      <c r="O279" s="16">
        <v>0</v>
      </c>
      <c r="P279" s="16">
        <v>0</v>
      </c>
      <c r="Q279" s="16">
        <f>SUM(R279:S279)</f>
        <v>0</v>
      </c>
      <c r="R279" s="16">
        <v>0</v>
      </c>
      <c r="S279" s="16">
        <v>0</v>
      </c>
      <c r="T279" s="16">
        <v>0</v>
      </c>
      <c r="U279" s="16">
        <v>0</v>
      </c>
      <c r="V279" s="16">
        <f t="shared" si="400"/>
        <v>0</v>
      </c>
      <c r="W279" s="16">
        <v>0</v>
      </c>
      <c r="X279" s="16">
        <v>0</v>
      </c>
      <c r="Y279" s="16">
        <v>0</v>
      </c>
      <c r="Z279" s="16">
        <v>0</v>
      </c>
      <c r="AA279" s="16">
        <v>0</v>
      </c>
      <c r="AB279" s="16">
        <v>0</v>
      </c>
      <c r="AC279" s="16">
        <v>0</v>
      </c>
      <c r="AD279" s="16">
        <v>0</v>
      </c>
      <c r="AE279" s="16">
        <f>SUM(AF279:AZ279)</f>
        <v>0</v>
      </c>
      <c r="AF279" s="16">
        <v>0</v>
      </c>
      <c r="AG279" s="16">
        <v>0</v>
      </c>
      <c r="AH279" s="16">
        <v>0</v>
      </c>
      <c r="AI279" s="16">
        <v>0</v>
      </c>
      <c r="AJ279" s="16">
        <v>0</v>
      </c>
      <c r="AK279" s="16">
        <v>0</v>
      </c>
      <c r="AL279" s="16">
        <v>0</v>
      </c>
      <c r="AM279" s="16">
        <v>0</v>
      </c>
      <c r="AN279" s="16">
        <v>0</v>
      </c>
      <c r="AO279" s="16">
        <v>0</v>
      </c>
      <c r="AP279" s="16">
        <v>0</v>
      </c>
      <c r="AQ279" s="16">
        <v>0</v>
      </c>
      <c r="AR279" s="16">
        <v>0</v>
      </c>
      <c r="AS279" s="16">
        <v>0</v>
      </c>
      <c r="AT279" s="16">
        <v>0</v>
      </c>
      <c r="AU279" s="16">
        <v>0</v>
      </c>
      <c r="AV279" s="16">
        <v>0</v>
      </c>
      <c r="AW279" s="16">
        <v>0</v>
      </c>
      <c r="AX279" s="16">
        <v>0</v>
      </c>
      <c r="AY279" s="16">
        <v>0</v>
      </c>
      <c r="AZ279" s="16">
        <v>0</v>
      </c>
      <c r="BA279" s="16">
        <f t="shared" si="402"/>
        <v>0</v>
      </c>
      <c r="BB279" s="16">
        <f t="shared" si="403"/>
        <v>0</v>
      </c>
      <c r="BC279" s="16">
        <v>0</v>
      </c>
      <c r="BD279" s="16">
        <v>0</v>
      </c>
      <c r="BE279" s="16">
        <v>0</v>
      </c>
      <c r="BF279" s="16">
        <f>SUM(BG279:BH279)</f>
        <v>0</v>
      </c>
      <c r="BG279" s="16">
        <v>0</v>
      </c>
      <c r="BH279" s="16">
        <v>0</v>
      </c>
      <c r="BI279" s="16">
        <v>0</v>
      </c>
      <c r="BJ279" s="16">
        <v>0</v>
      </c>
      <c r="BK279" s="16">
        <f>SUM(BL279)</f>
        <v>0</v>
      </c>
      <c r="BL279" s="16">
        <v>0</v>
      </c>
      <c r="BM279" s="16">
        <f>SUM(BN279:BX279)</f>
        <v>0</v>
      </c>
      <c r="BN279" s="16">
        <v>0</v>
      </c>
      <c r="BO279" s="16">
        <v>0</v>
      </c>
      <c r="BP279" s="16">
        <v>0</v>
      </c>
      <c r="BQ279" s="16">
        <v>0</v>
      </c>
      <c r="BR279" s="16">
        <v>0</v>
      </c>
      <c r="BS279" s="16">
        <v>0</v>
      </c>
      <c r="BT279" s="16">
        <v>0</v>
      </c>
      <c r="BU279" s="16">
        <v>0</v>
      </c>
      <c r="BV279" s="16">
        <v>0</v>
      </c>
      <c r="BW279" s="16">
        <v>0</v>
      </c>
      <c r="BX279" s="16">
        <v>0</v>
      </c>
      <c r="BY279" s="16">
        <f t="shared" si="404"/>
        <v>1500000</v>
      </c>
      <c r="BZ279" s="16">
        <f t="shared" si="405"/>
        <v>0</v>
      </c>
      <c r="CA279" s="16">
        <f>SUM(CB279:CC279)</f>
        <v>0</v>
      </c>
      <c r="CB279" s="16">
        <v>0</v>
      </c>
      <c r="CC279" s="16">
        <v>0</v>
      </c>
      <c r="CD279" s="16">
        <f>SUM(CE279:CI279)</f>
        <v>0</v>
      </c>
      <c r="CE279" s="16">
        <v>0</v>
      </c>
      <c r="CF279" s="16">
        <v>0</v>
      </c>
      <c r="CG279" s="16">
        <v>0</v>
      </c>
      <c r="CH279" s="16">
        <v>0</v>
      </c>
      <c r="CI279" s="16">
        <v>0</v>
      </c>
      <c r="CJ279" s="16">
        <v>0</v>
      </c>
      <c r="CK279" s="16">
        <f>SUM(CL279:CP279)</f>
        <v>0</v>
      </c>
      <c r="CL279" s="16">
        <v>0</v>
      </c>
      <c r="CM279" s="16">
        <v>0</v>
      </c>
      <c r="CN279" s="16">
        <v>0</v>
      </c>
      <c r="CO279" s="16">
        <v>0</v>
      </c>
      <c r="CP279" s="16">
        <v>0</v>
      </c>
      <c r="CQ279" s="16">
        <v>0</v>
      </c>
      <c r="CR279" s="16">
        <v>0</v>
      </c>
      <c r="CS279" s="16">
        <f>1500000+16000000-16000000</f>
        <v>1500000</v>
      </c>
      <c r="CT279" s="16">
        <f>SUM(CU279)</f>
        <v>0</v>
      </c>
      <c r="CU279" s="16">
        <f>SUM(CV279:CW279)</f>
        <v>0</v>
      </c>
      <c r="CV279" s="16">
        <v>0</v>
      </c>
      <c r="CW279" s="17">
        <v>0</v>
      </c>
      <c r="CX279" s="40"/>
      <c r="CY279" s="40"/>
    </row>
    <row r="280" spans="1:103" ht="31.5" x14ac:dyDescent="0.25">
      <c r="A280" s="13" t="s">
        <v>1</v>
      </c>
      <c r="B280" s="14" t="s">
        <v>1</v>
      </c>
      <c r="C280" s="14" t="s">
        <v>29</v>
      </c>
      <c r="D280" s="30" t="s">
        <v>510</v>
      </c>
      <c r="E280" s="15">
        <f t="shared" si="397"/>
        <v>0</v>
      </c>
      <c r="F280" s="16">
        <f t="shared" si="398"/>
        <v>0</v>
      </c>
      <c r="G280" s="16">
        <f t="shared" si="399"/>
        <v>0</v>
      </c>
      <c r="H280" s="16">
        <v>0</v>
      </c>
      <c r="I280" s="16">
        <v>0</v>
      </c>
      <c r="J280" s="16">
        <f t="shared" si="341"/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  <c r="Q280" s="16">
        <f t="shared" si="342"/>
        <v>0</v>
      </c>
      <c r="R280" s="16">
        <v>0</v>
      </c>
      <c r="S280" s="16">
        <v>0</v>
      </c>
      <c r="T280" s="16">
        <v>0</v>
      </c>
      <c r="U280" s="16">
        <v>0</v>
      </c>
      <c r="V280" s="16">
        <f t="shared" si="400"/>
        <v>0</v>
      </c>
      <c r="W280" s="16">
        <v>0</v>
      </c>
      <c r="X280" s="16">
        <v>0</v>
      </c>
      <c r="Y280" s="16">
        <v>0</v>
      </c>
      <c r="Z280" s="16">
        <v>0</v>
      </c>
      <c r="AA280" s="16">
        <v>0</v>
      </c>
      <c r="AB280" s="16">
        <v>0</v>
      </c>
      <c r="AC280" s="16">
        <v>0</v>
      </c>
      <c r="AD280" s="16">
        <v>0</v>
      </c>
      <c r="AE280" s="16">
        <f t="shared" si="401"/>
        <v>0</v>
      </c>
      <c r="AF280" s="16">
        <v>0</v>
      </c>
      <c r="AG280" s="16">
        <v>0</v>
      </c>
      <c r="AH280" s="16">
        <v>0</v>
      </c>
      <c r="AI280" s="16">
        <v>0</v>
      </c>
      <c r="AJ280" s="16">
        <v>0</v>
      </c>
      <c r="AK280" s="16">
        <v>0</v>
      </c>
      <c r="AL280" s="16">
        <v>0</v>
      </c>
      <c r="AM280" s="16">
        <v>0</v>
      </c>
      <c r="AN280" s="16">
        <v>0</v>
      </c>
      <c r="AO280" s="16">
        <v>0</v>
      </c>
      <c r="AP280" s="16">
        <v>0</v>
      </c>
      <c r="AQ280" s="16">
        <v>0</v>
      </c>
      <c r="AR280" s="16">
        <v>0</v>
      </c>
      <c r="AS280" s="16">
        <v>0</v>
      </c>
      <c r="AT280" s="16">
        <v>0</v>
      </c>
      <c r="AU280" s="16">
        <v>0</v>
      </c>
      <c r="AV280" s="16">
        <v>0</v>
      </c>
      <c r="AW280" s="16">
        <v>0</v>
      </c>
      <c r="AX280" s="16">
        <v>0</v>
      </c>
      <c r="AY280" s="16">
        <v>0</v>
      </c>
      <c r="AZ280" s="16">
        <v>0</v>
      </c>
      <c r="BA280" s="16">
        <f t="shared" si="402"/>
        <v>0</v>
      </c>
      <c r="BB280" s="16">
        <f t="shared" si="403"/>
        <v>0</v>
      </c>
      <c r="BC280" s="16">
        <v>0</v>
      </c>
      <c r="BD280" s="16">
        <v>0</v>
      </c>
      <c r="BE280" s="16">
        <v>0</v>
      </c>
      <c r="BF280" s="16">
        <f t="shared" si="343"/>
        <v>0</v>
      </c>
      <c r="BG280" s="16">
        <v>0</v>
      </c>
      <c r="BH280" s="16">
        <v>0</v>
      </c>
      <c r="BI280" s="16">
        <v>0</v>
      </c>
      <c r="BJ280" s="16">
        <v>0</v>
      </c>
      <c r="BK280" s="16">
        <f t="shared" si="344"/>
        <v>0</v>
      </c>
      <c r="BL280" s="16">
        <v>0</v>
      </c>
      <c r="BM280" s="16">
        <f t="shared" si="345"/>
        <v>0</v>
      </c>
      <c r="BN280" s="16">
        <v>0</v>
      </c>
      <c r="BO280" s="16">
        <v>0</v>
      </c>
      <c r="BP280" s="16">
        <v>0</v>
      </c>
      <c r="BQ280" s="16">
        <v>0</v>
      </c>
      <c r="BR280" s="16">
        <v>0</v>
      </c>
      <c r="BS280" s="16">
        <v>0</v>
      </c>
      <c r="BT280" s="16">
        <v>0</v>
      </c>
      <c r="BU280" s="16">
        <v>0</v>
      </c>
      <c r="BV280" s="16">
        <v>0</v>
      </c>
      <c r="BW280" s="16">
        <v>0</v>
      </c>
      <c r="BX280" s="16">
        <v>0</v>
      </c>
      <c r="BY280" s="16">
        <f t="shared" si="404"/>
        <v>0</v>
      </c>
      <c r="BZ280" s="16">
        <f t="shared" si="405"/>
        <v>0</v>
      </c>
      <c r="CA280" s="16">
        <f t="shared" si="346"/>
        <v>0</v>
      </c>
      <c r="CB280" s="16">
        <v>0</v>
      </c>
      <c r="CC280" s="16">
        <v>0</v>
      </c>
      <c r="CD280" s="16">
        <f t="shared" si="347"/>
        <v>0</v>
      </c>
      <c r="CE280" s="16">
        <v>0</v>
      </c>
      <c r="CF280" s="16">
        <v>0</v>
      </c>
      <c r="CG280" s="16">
        <v>0</v>
      </c>
      <c r="CH280" s="16">
        <v>0</v>
      </c>
      <c r="CI280" s="16">
        <v>0</v>
      </c>
      <c r="CJ280" s="16">
        <v>0</v>
      </c>
      <c r="CK280" s="16">
        <f t="shared" si="348"/>
        <v>0</v>
      </c>
      <c r="CL280" s="16">
        <v>0</v>
      </c>
      <c r="CM280" s="16">
        <v>0</v>
      </c>
      <c r="CN280" s="16">
        <v>0</v>
      </c>
      <c r="CO280" s="16">
        <v>0</v>
      </c>
      <c r="CP280" s="16">
        <v>0</v>
      </c>
      <c r="CQ280" s="16">
        <v>0</v>
      </c>
      <c r="CR280" s="16">
        <v>0</v>
      </c>
      <c r="CS280" s="16">
        <f>2124363-2124363</f>
        <v>0</v>
      </c>
      <c r="CT280" s="16">
        <f t="shared" si="349"/>
        <v>0</v>
      </c>
      <c r="CU280" s="16">
        <f t="shared" si="350"/>
        <v>0</v>
      </c>
      <c r="CV280" s="16">
        <v>0</v>
      </c>
      <c r="CW280" s="17">
        <v>0</v>
      </c>
      <c r="CX280" s="40"/>
      <c r="CY280" s="40"/>
    </row>
    <row r="281" spans="1:103" ht="31.5" x14ac:dyDescent="0.25">
      <c r="A281" s="13" t="s">
        <v>1</v>
      </c>
      <c r="B281" s="14" t="s">
        <v>1</v>
      </c>
      <c r="C281" s="14" t="s">
        <v>122</v>
      </c>
      <c r="D281" s="30" t="s">
        <v>511</v>
      </c>
      <c r="E281" s="15">
        <f t="shared" si="397"/>
        <v>912435</v>
      </c>
      <c r="F281" s="16">
        <f t="shared" si="398"/>
        <v>0</v>
      </c>
      <c r="G281" s="16">
        <f t="shared" si="399"/>
        <v>0</v>
      </c>
      <c r="H281" s="16">
        <v>0</v>
      </c>
      <c r="I281" s="16">
        <v>0</v>
      </c>
      <c r="J281" s="16">
        <f t="shared" si="341"/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f t="shared" si="342"/>
        <v>0</v>
      </c>
      <c r="R281" s="16">
        <v>0</v>
      </c>
      <c r="S281" s="16">
        <v>0</v>
      </c>
      <c r="T281" s="16">
        <v>0</v>
      </c>
      <c r="U281" s="16">
        <v>0</v>
      </c>
      <c r="V281" s="16">
        <f t="shared" si="400"/>
        <v>0</v>
      </c>
      <c r="W281" s="16">
        <v>0</v>
      </c>
      <c r="X281" s="16">
        <v>0</v>
      </c>
      <c r="Y281" s="16">
        <v>0</v>
      </c>
      <c r="Z281" s="16">
        <v>0</v>
      </c>
      <c r="AA281" s="16">
        <v>0</v>
      </c>
      <c r="AB281" s="16">
        <v>0</v>
      </c>
      <c r="AC281" s="16">
        <v>0</v>
      </c>
      <c r="AD281" s="16">
        <v>0</v>
      </c>
      <c r="AE281" s="16">
        <f t="shared" si="401"/>
        <v>0</v>
      </c>
      <c r="AF281" s="16">
        <v>0</v>
      </c>
      <c r="AG281" s="16">
        <v>0</v>
      </c>
      <c r="AH281" s="16">
        <v>0</v>
      </c>
      <c r="AI281" s="16">
        <v>0</v>
      </c>
      <c r="AJ281" s="16">
        <v>0</v>
      </c>
      <c r="AK281" s="16">
        <v>0</v>
      </c>
      <c r="AL281" s="16">
        <v>0</v>
      </c>
      <c r="AM281" s="16">
        <v>0</v>
      </c>
      <c r="AN281" s="16">
        <v>0</v>
      </c>
      <c r="AO281" s="16">
        <v>0</v>
      </c>
      <c r="AP281" s="16">
        <v>0</v>
      </c>
      <c r="AQ281" s="16">
        <v>0</v>
      </c>
      <c r="AR281" s="16">
        <v>0</v>
      </c>
      <c r="AS281" s="16">
        <v>0</v>
      </c>
      <c r="AT281" s="16">
        <v>0</v>
      </c>
      <c r="AU281" s="16">
        <v>0</v>
      </c>
      <c r="AV281" s="16">
        <v>0</v>
      </c>
      <c r="AW281" s="16">
        <v>0</v>
      </c>
      <c r="AX281" s="16">
        <v>0</v>
      </c>
      <c r="AY281" s="16">
        <v>0</v>
      </c>
      <c r="AZ281" s="16">
        <v>0</v>
      </c>
      <c r="BA281" s="16">
        <f t="shared" si="402"/>
        <v>0</v>
      </c>
      <c r="BB281" s="16">
        <f t="shared" si="403"/>
        <v>0</v>
      </c>
      <c r="BC281" s="16">
        <v>0</v>
      </c>
      <c r="BD281" s="16">
        <v>0</v>
      </c>
      <c r="BE281" s="16">
        <v>0</v>
      </c>
      <c r="BF281" s="16">
        <f t="shared" si="343"/>
        <v>0</v>
      </c>
      <c r="BG281" s="16">
        <v>0</v>
      </c>
      <c r="BH281" s="16">
        <v>0</v>
      </c>
      <c r="BI281" s="16">
        <v>0</v>
      </c>
      <c r="BJ281" s="16">
        <v>0</v>
      </c>
      <c r="BK281" s="16">
        <f t="shared" si="344"/>
        <v>0</v>
      </c>
      <c r="BL281" s="16">
        <v>0</v>
      </c>
      <c r="BM281" s="16">
        <f t="shared" si="345"/>
        <v>0</v>
      </c>
      <c r="BN281" s="16">
        <v>0</v>
      </c>
      <c r="BO281" s="16">
        <v>0</v>
      </c>
      <c r="BP281" s="16">
        <v>0</v>
      </c>
      <c r="BQ281" s="16">
        <v>0</v>
      </c>
      <c r="BR281" s="16">
        <v>0</v>
      </c>
      <c r="BS281" s="16">
        <v>0</v>
      </c>
      <c r="BT281" s="16">
        <v>0</v>
      </c>
      <c r="BU281" s="16">
        <v>0</v>
      </c>
      <c r="BV281" s="16">
        <v>0</v>
      </c>
      <c r="BW281" s="16">
        <v>0</v>
      </c>
      <c r="BX281" s="16">
        <v>0</v>
      </c>
      <c r="BY281" s="16">
        <f t="shared" si="404"/>
        <v>912435</v>
      </c>
      <c r="BZ281" s="16">
        <f t="shared" si="405"/>
        <v>0</v>
      </c>
      <c r="CA281" s="16">
        <f t="shared" si="346"/>
        <v>0</v>
      </c>
      <c r="CB281" s="16">
        <v>0</v>
      </c>
      <c r="CC281" s="16">
        <v>0</v>
      </c>
      <c r="CD281" s="16">
        <f t="shared" si="347"/>
        <v>0</v>
      </c>
      <c r="CE281" s="16">
        <v>0</v>
      </c>
      <c r="CF281" s="16">
        <v>0</v>
      </c>
      <c r="CG281" s="16">
        <v>0</v>
      </c>
      <c r="CH281" s="16">
        <v>0</v>
      </c>
      <c r="CI281" s="16">
        <v>0</v>
      </c>
      <c r="CJ281" s="16">
        <v>0</v>
      </c>
      <c r="CK281" s="16">
        <f t="shared" si="348"/>
        <v>0</v>
      </c>
      <c r="CL281" s="16">
        <v>0</v>
      </c>
      <c r="CM281" s="16">
        <v>0</v>
      </c>
      <c r="CN281" s="16">
        <v>0</v>
      </c>
      <c r="CO281" s="16">
        <v>0</v>
      </c>
      <c r="CP281" s="16">
        <v>0</v>
      </c>
      <c r="CQ281" s="16">
        <v>0</v>
      </c>
      <c r="CR281" s="16">
        <v>0</v>
      </c>
      <c r="CS281" s="16">
        <f>4662435-3750000</f>
        <v>912435</v>
      </c>
      <c r="CT281" s="16">
        <f t="shared" si="349"/>
        <v>0</v>
      </c>
      <c r="CU281" s="16">
        <f t="shared" si="350"/>
        <v>0</v>
      </c>
      <c r="CV281" s="16">
        <v>0</v>
      </c>
      <c r="CW281" s="17">
        <v>0</v>
      </c>
      <c r="CX281" s="40"/>
      <c r="CY281" s="40"/>
    </row>
    <row r="282" spans="1:103" ht="31.5" x14ac:dyDescent="0.25">
      <c r="A282" s="13" t="s">
        <v>1</v>
      </c>
      <c r="B282" s="14" t="s">
        <v>1</v>
      </c>
      <c r="C282" s="14" t="s">
        <v>287</v>
      </c>
      <c r="D282" s="30" t="s">
        <v>512</v>
      </c>
      <c r="E282" s="15">
        <f t="shared" si="397"/>
        <v>1309887</v>
      </c>
      <c r="F282" s="16">
        <f t="shared" si="398"/>
        <v>0</v>
      </c>
      <c r="G282" s="16">
        <f t="shared" si="399"/>
        <v>0</v>
      </c>
      <c r="H282" s="16">
        <v>0</v>
      </c>
      <c r="I282" s="16">
        <v>0</v>
      </c>
      <c r="J282" s="16">
        <f t="shared" si="341"/>
        <v>0</v>
      </c>
      <c r="K282" s="16">
        <v>0</v>
      </c>
      <c r="L282" s="16">
        <v>0</v>
      </c>
      <c r="M282" s="16">
        <v>0</v>
      </c>
      <c r="N282" s="16">
        <v>0</v>
      </c>
      <c r="O282" s="16">
        <v>0</v>
      </c>
      <c r="P282" s="16">
        <v>0</v>
      </c>
      <c r="Q282" s="16">
        <f t="shared" si="342"/>
        <v>0</v>
      </c>
      <c r="R282" s="16">
        <v>0</v>
      </c>
      <c r="S282" s="16">
        <v>0</v>
      </c>
      <c r="T282" s="16">
        <v>0</v>
      </c>
      <c r="U282" s="16">
        <v>0</v>
      </c>
      <c r="V282" s="16">
        <f t="shared" si="400"/>
        <v>0</v>
      </c>
      <c r="W282" s="16">
        <v>0</v>
      </c>
      <c r="X282" s="16">
        <v>0</v>
      </c>
      <c r="Y282" s="16">
        <v>0</v>
      </c>
      <c r="Z282" s="16">
        <v>0</v>
      </c>
      <c r="AA282" s="16">
        <v>0</v>
      </c>
      <c r="AB282" s="16">
        <v>0</v>
      </c>
      <c r="AC282" s="16">
        <v>0</v>
      </c>
      <c r="AD282" s="16">
        <v>0</v>
      </c>
      <c r="AE282" s="16">
        <f t="shared" si="401"/>
        <v>0</v>
      </c>
      <c r="AF282" s="16">
        <v>0</v>
      </c>
      <c r="AG282" s="16">
        <v>0</v>
      </c>
      <c r="AH282" s="16">
        <v>0</v>
      </c>
      <c r="AI282" s="16">
        <v>0</v>
      </c>
      <c r="AJ282" s="16">
        <v>0</v>
      </c>
      <c r="AK282" s="16">
        <v>0</v>
      </c>
      <c r="AL282" s="16">
        <v>0</v>
      </c>
      <c r="AM282" s="16">
        <v>0</v>
      </c>
      <c r="AN282" s="16">
        <v>0</v>
      </c>
      <c r="AO282" s="16">
        <v>0</v>
      </c>
      <c r="AP282" s="16">
        <v>0</v>
      </c>
      <c r="AQ282" s="16">
        <v>0</v>
      </c>
      <c r="AR282" s="16">
        <v>0</v>
      </c>
      <c r="AS282" s="16">
        <v>0</v>
      </c>
      <c r="AT282" s="16">
        <v>0</v>
      </c>
      <c r="AU282" s="16">
        <v>0</v>
      </c>
      <c r="AV282" s="16">
        <v>0</v>
      </c>
      <c r="AW282" s="16">
        <v>0</v>
      </c>
      <c r="AX282" s="16">
        <v>0</v>
      </c>
      <c r="AY282" s="16">
        <v>0</v>
      </c>
      <c r="AZ282" s="16">
        <v>0</v>
      </c>
      <c r="BA282" s="16">
        <f t="shared" si="402"/>
        <v>0</v>
      </c>
      <c r="BB282" s="16">
        <f t="shared" si="403"/>
        <v>0</v>
      </c>
      <c r="BC282" s="16">
        <v>0</v>
      </c>
      <c r="BD282" s="16">
        <v>0</v>
      </c>
      <c r="BE282" s="16">
        <v>0</v>
      </c>
      <c r="BF282" s="16">
        <f t="shared" si="343"/>
        <v>0</v>
      </c>
      <c r="BG282" s="16">
        <v>0</v>
      </c>
      <c r="BH282" s="16">
        <v>0</v>
      </c>
      <c r="BI282" s="16">
        <v>0</v>
      </c>
      <c r="BJ282" s="16">
        <v>0</v>
      </c>
      <c r="BK282" s="16">
        <f t="shared" si="344"/>
        <v>0</v>
      </c>
      <c r="BL282" s="16">
        <v>0</v>
      </c>
      <c r="BM282" s="16">
        <f t="shared" si="345"/>
        <v>0</v>
      </c>
      <c r="BN282" s="16">
        <v>0</v>
      </c>
      <c r="BO282" s="16">
        <v>0</v>
      </c>
      <c r="BP282" s="16">
        <v>0</v>
      </c>
      <c r="BQ282" s="16">
        <v>0</v>
      </c>
      <c r="BR282" s="16">
        <v>0</v>
      </c>
      <c r="BS282" s="16">
        <v>0</v>
      </c>
      <c r="BT282" s="16">
        <v>0</v>
      </c>
      <c r="BU282" s="16">
        <v>0</v>
      </c>
      <c r="BV282" s="16">
        <v>0</v>
      </c>
      <c r="BW282" s="16">
        <v>0</v>
      </c>
      <c r="BX282" s="16">
        <v>0</v>
      </c>
      <c r="BY282" s="16">
        <f t="shared" si="404"/>
        <v>1309887</v>
      </c>
      <c r="BZ282" s="16">
        <f t="shared" si="405"/>
        <v>0</v>
      </c>
      <c r="CA282" s="16">
        <f t="shared" si="346"/>
        <v>0</v>
      </c>
      <c r="CB282" s="16">
        <v>0</v>
      </c>
      <c r="CC282" s="16">
        <v>0</v>
      </c>
      <c r="CD282" s="16">
        <f t="shared" si="347"/>
        <v>0</v>
      </c>
      <c r="CE282" s="16">
        <v>0</v>
      </c>
      <c r="CF282" s="16">
        <v>0</v>
      </c>
      <c r="CG282" s="16">
        <v>0</v>
      </c>
      <c r="CH282" s="16">
        <v>0</v>
      </c>
      <c r="CI282" s="16">
        <v>0</v>
      </c>
      <c r="CJ282" s="16">
        <v>0</v>
      </c>
      <c r="CK282" s="16">
        <f t="shared" si="348"/>
        <v>0</v>
      </c>
      <c r="CL282" s="16">
        <v>0</v>
      </c>
      <c r="CM282" s="16">
        <v>0</v>
      </c>
      <c r="CN282" s="16">
        <v>0</v>
      </c>
      <c r="CO282" s="16">
        <v>0</v>
      </c>
      <c r="CP282" s="16">
        <v>0</v>
      </c>
      <c r="CQ282" s="16">
        <v>0</v>
      </c>
      <c r="CR282" s="16">
        <v>0</v>
      </c>
      <c r="CS282" s="16">
        <v>1309887</v>
      </c>
      <c r="CT282" s="16">
        <f t="shared" si="349"/>
        <v>0</v>
      </c>
      <c r="CU282" s="16">
        <f t="shared" si="350"/>
        <v>0</v>
      </c>
      <c r="CV282" s="16">
        <v>0</v>
      </c>
      <c r="CW282" s="17">
        <v>0</v>
      </c>
      <c r="CX282" s="40"/>
      <c r="CY282" s="40"/>
    </row>
    <row r="283" spans="1:103" ht="31.5" x14ac:dyDescent="0.25">
      <c r="A283" s="13" t="s">
        <v>1</v>
      </c>
      <c r="B283" s="14" t="s">
        <v>1</v>
      </c>
      <c r="C283" s="14" t="s">
        <v>287</v>
      </c>
      <c r="D283" s="30" t="s">
        <v>513</v>
      </c>
      <c r="E283" s="15">
        <f t="shared" si="397"/>
        <v>4004353</v>
      </c>
      <c r="F283" s="16">
        <f t="shared" si="398"/>
        <v>0</v>
      </c>
      <c r="G283" s="16">
        <f t="shared" si="399"/>
        <v>0</v>
      </c>
      <c r="H283" s="16">
        <v>0</v>
      </c>
      <c r="I283" s="16">
        <v>0</v>
      </c>
      <c r="J283" s="16">
        <f t="shared" si="341"/>
        <v>0</v>
      </c>
      <c r="K283" s="16">
        <v>0</v>
      </c>
      <c r="L283" s="16">
        <v>0</v>
      </c>
      <c r="M283" s="16">
        <v>0</v>
      </c>
      <c r="N283" s="16">
        <v>0</v>
      </c>
      <c r="O283" s="16">
        <v>0</v>
      </c>
      <c r="P283" s="16">
        <v>0</v>
      </c>
      <c r="Q283" s="16">
        <f t="shared" si="342"/>
        <v>0</v>
      </c>
      <c r="R283" s="16">
        <v>0</v>
      </c>
      <c r="S283" s="16">
        <v>0</v>
      </c>
      <c r="T283" s="16">
        <v>0</v>
      </c>
      <c r="U283" s="16">
        <v>0</v>
      </c>
      <c r="V283" s="16">
        <f t="shared" si="400"/>
        <v>0</v>
      </c>
      <c r="W283" s="16">
        <v>0</v>
      </c>
      <c r="X283" s="16">
        <v>0</v>
      </c>
      <c r="Y283" s="16">
        <v>0</v>
      </c>
      <c r="Z283" s="16">
        <v>0</v>
      </c>
      <c r="AA283" s="16">
        <v>0</v>
      </c>
      <c r="AB283" s="16">
        <v>0</v>
      </c>
      <c r="AC283" s="16">
        <v>0</v>
      </c>
      <c r="AD283" s="16">
        <v>0</v>
      </c>
      <c r="AE283" s="16">
        <f t="shared" si="401"/>
        <v>0</v>
      </c>
      <c r="AF283" s="16">
        <v>0</v>
      </c>
      <c r="AG283" s="16">
        <v>0</v>
      </c>
      <c r="AH283" s="16">
        <v>0</v>
      </c>
      <c r="AI283" s="16">
        <v>0</v>
      </c>
      <c r="AJ283" s="16">
        <v>0</v>
      </c>
      <c r="AK283" s="16">
        <v>0</v>
      </c>
      <c r="AL283" s="16">
        <v>0</v>
      </c>
      <c r="AM283" s="16">
        <v>0</v>
      </c>
      <c r="AN283" s="16">
        <v>0</v>
      </c>
      <c r="AO283" s="16">
        <v>0</v>
      </c>
      <c r="AP283" s="16">
        <v>0</v>
      </c>
      <c r="AQ283" s="16">
        <v>0</v>
      </c>
      <c r="AR283" s="16">
        <v>0</v>
      </c>
      <c r="AS283" s="16">
        <v>0</v>
      </c>
      <c r="AT283" s="16">
        <v>0</v>
      </c>
      <c r="AU283" s="16">
        <v>0</v>
      </c>
      <c r="AV283" s="16">
        <v>0</v>
      </c>
      <c r="AW283" s="16">
        <v>0</v>
      </c>
      <c r="AX283" s="16">
        <v>0</v>
      </c>
      <c r="AY283" s="16">
        <v>0</v>
      </c>
      <c r="AZ283" s="16">
        <v>0</v>
      </c>
      <c r="BA283" s="16">
        <f t="shared" si="402"/>
        <v>0</v>
      </c>
      <c r="BB283" s="16">
        <f t="shared" si="403"/>
        <v>0</v>
      </c>
      <c r="BC283" s="16">
        <v>0</v>
      </c>
      <c r="BD283" s="16">
        <v>0</v>
      </c>
      <c r="BE283" s="16">
        <v>0</v>
      </c>
      <c r="BF283" s="16">
        <f t="shared" si="343"/>
        <v>0</v>
      </c>
      <c r="BG283" s="16">
        <v>0</v>
      </c>
      <c r="BH283" s="16">
        <v>0</v>
      </c>
      <c r="BI283" s="16">
        <v>0</v>
      </c>
      <c r="BJ283" s="16">
        <v>0</v>
      </c>
      <c r="BK283" s="16">
        <f t="shared" si="344"/>
        <v>0</v>
      </c>
      <c r="BL283" s="16">
        <v>0</v>
      </c>
      <c r="BM283" s="16">
        <f t="shared" si="345"/>
        <v>0</v>
      </c>
      <c r="BN283" s="16">
        <v>0</v>
      </c>
      <c r="BO283" s="16">
        <v>0</v>
      </c>
      <c r="BP283" s="16">
        <v>0</v>
      </c>
      <c r="BQ283" s="16">
        <v>0</v>
      </c>
      <c r="BR283" s="16">
        <v>0</v>
      </c>
      <c r="BS283" s="16">
        <v>0</v>
      </c>
      <c r="BT283" s="16">
        <v>0</v>
      </c>
      <c r="BU283" s="16">
        <v>0</v>
      </c>
      <c r="BV283" s="16">
        <v>0</v>
      </c>
      <c r="BW283" s="16">
        <v>0</v>
      </c>
      <c r="BX283" s="16">
        <v>0</v>
      </c>
      <c r="BY283" s="16">
        <f t="shared" si="404"/>
        <v>4004353</v>
      </c>
      <c r="BZ283" s="16">
        <f t="shared" si="405"/>
        <v>0</v>
      </c>
      <c r="CA283" s="16">
        <f t="shared" si="346"/>
        <v>0</v>
      </c>
      <c r="CB283" s="16">
        <v>0</v>
      </c>
      <c r="CC283" s="16">
        <v>0</v>
      </c>
      <c r="CD283" s="16">
        <f t="shared" si="347"/>
        <v>0</v>
      </c>
      <c r="CE283" s="16">
        <v>0</v>
      </c>
      <c r="CF283" s="16">
        <v>0</v>
      </c>
      <c r="CG283" s="16">
        <v>0</v>
      </c>
      <c r="CH283" s="16">
        <v>0</v>
      </c>
      <c r="CI283" s="16">
        <v>0</v>
      </c>
      <c r="CJ283" s="16">
        <v>0</v>
      </c>
      <c r="CK283" s="16">
        <f t="shared" si="348"/>
        <v>0</v>
      </c>
      <c r="CL283" s="16">
        <v>0</v>
      </c>
      <c r="CM283" s="16">
        <v>0</v>
      </c>
      <c r="CN283" s="16">
        <v>0</v>
      </c>
      <c r="CO283" s="16">
        <v>0</v>
      </c>
      <c r="CP283" s="16">
        <v>0</v>
      </c>
      <c r="CQ283" s="16">
        <v>0</v>
      </c>
      <c r="CR283" s="16">
        <v>0</v>
      </c>
      <c r="CS283" s="16">
        <f>2836200+1168153</f>
        <v>4004353</v>
      </c>
      <c r="CT283" s="16">
        <f t="shared" si="349"/>
        <v>0</v>
      </c>
      <c r="CU283" s="16">
        <f t="shared" si="350"/>
        <v>0</v>
      </c>
      <c r="CV283" s="16">
        <v>0</v>
      </c>
      <c r="CW283" s="17">
        <v>0</v>
      </c>
      <c r="CX283" s="40"/>
      <c r="CY283" s="40"/>
    </row>
    <row r="284" spans="1:103" ht="15.75" x14ac:dyDescent="0.25">
      <c r="A284" s="13" t="s">
        <v>247</v>
      </c>
      <c r="B284" s="14" t="s">
        <v>107</v>
      </c>
      <c r="C284" s="14" t="s">
        <v>1</v>
      </c>
      <c r="D284" s="30" t="s">
        <v>296</v>
      </c>
      <c r="E284" s="15">
        <f t="shared" ref="E284:AJ284" si="406">SUM(E285)</f>
        <v>35000000</v>
      </c>
      <c r="F284" s="16">
        <f t="shared" si="406"/>
        <v>0</v>
      </c>
      <c r="G284" s="16">
        <f t="shared" si="406"/>
        <v>0</v>
      </c>
      <c r="H284" s="16">
        <f t="shared" si="406"/>
        <v>0</v>
      </c>
      <c r="I284" s="16">
        <f t="shared" si="406"/>
        <v>0</v>
      </c>
      <c r="J284" s="16">
        <f t="shared" si="406"/>
        <v>0</v>
      </c>
      <c r="K284" s="16">
        <f t="shared" si="406"/>
        <v>0</v>
      </c>
      <c r="L284" s="16">
        <f t="shared" si="406"/>
        <v>0</v>
      </c>
      <c r="M284" s="16">
        <f t="shared" si="406"/>
        <v>0</v>
      </c>
      <c r="N284" s="16">
        <f t="shared" si="406"/>
        <v>0</v>
      </c>
      <c r="O284" s="16">
        <f t="shared" si="406"/>
        <v>0</v>
      </c>
      <c r="P284" s="16">
        <f t="shared" si="406"/>
        <v>0</v>
      </c>
      <c r="Q284" s="16">
        <f t="shared" si="406"/>
        <v>0</v>
      </c>
      <c r="R284" s="16">
        <f t="shared" si="406"/>
        <v>0</v>
      </c>
      <c r="S284" s="16">
        <f t="shared" si="406"/>
        <v>0</v>
      </c>
      <c r="T284" s="16">
        <f t="shared" si="406"/>
        <v>0</v>
      </c>
      <c r="U284" s="16">
        <f t="shared" si="406"/>
        <v>0</v>
      </c>
      <c r="V284" s="16">
        <f t="shared" si="406"/>
        <v>0</v>
      </c>
      <c r="W284" s="16">
        <f t="shared" si="406"/>
        <v>0</v>
      </c>
      <c r="X284" s="16">
        <f t="shared" si="406"/>
        <v>0</v>
      </c>
      <c r="Y284" s="16">
        <f t="shared" si="406"/>
        <v>0</v>
      </c>
      <c r="Z284" s="16">
        <f t="shared" si="406"/>
        <v>0</v>
      </c>
      <c r="AA284" s="16">
        <f t="shared" si="406"/>
        <v>0</v>
      </c>
      <c r="AB284" s="16">
        <f t="shared" si="406"/>
        <v>0</v>
      </c>
      <c r="AC284" s="16">
        <f t="shared" si="406"/>
        <v>0</v>
      </c>
      <c r="AD284" s="16">
        <f t="shared" si="406"/>
        <v>0</v>
      </c>
      <c r="AE284" s="16">
        <f t="shared" si="406"/>
        <v>0</v>
      </c>
      <c r="AF284" s="16">
        <f t="shared" si="406"/>
        <v>0</v>
      </c>
      <c r="AG284" s="16">
        <f t="shared" si="406"/>
        <v>0</v>
      </c>
      <c r="AH284" s="16">
        <f t="shared" si="406"/>
        <v>0</v>
      </c>
      <c r="AI284" s="16">
        <f t="shared" si="406"/>
        <v>0</v>
      </c>
      <c r="AJ284" s="16">
        <f t="shared" si="406"/>
        <v>0</v>
      </c>
      <c r="AK284" s="16">
        <f t="shared" ref="AK284:BR284" si="407">SUM(AK285)</f>
        <v>0</v>
      </c>
      <c r="AL284" s="16">
        <f t="shared" si="407"/>
        <v>0</v>
      </c>
      <c r="AM284" s="16">
        <f t="shared" si="407"/>
        <v>0</v>
      </c>
      <c r="AN284" s="16">
        <f t="shared" si="407"/>
        <v>0</v>
      </c>
      <c r="AO284" s="16">
        <f t="shared" si="407"/>
        <v>0</v>
      </c>
      <c r="AP284" s="16">
        <f t="shared" si="407"/>
        <v>0</v>
      </c>
      <c r="AQ284" s="16">
        <f t="shared" si="407"/>
        <v>0</v>
      </c>
      <c r="AR284" s="16">
        <f t="shared" si="407"/>
        <v>0</v>
      </c>
      <c r="AS284" s="16">
        <f t="shared" si="407"/>
        <v>0</v>
      </c>
      <c r="AT284" s="16">
        <f t="shared" si="407"/>
        <v>0</v>
      </c>
      <c r="AU284" s="16">
        <f t="shared" si="407"/>
        <v>0</v>
      </c>
      <c r="AV284" s="16">
        <f t="shared" si="407"/>
        <v>0</v>
      </c>
      <c r="AW284" s="16">
        <f t="shared" si="407"/>
        <v>0</v>
      </c>
      <c r="AX284" s="16">
        <f t="shared" si="407"/>
        <v>0</v>
      </c>
      <c r="AY284" s="16">
        <f t="shared" si="407"/>
        <v>0</v>
      </c>
      <c r="AZ284" s="16">
        <f t="shared" si="407"/>
        <v>0</v>
      </c>
      <c r="BA284" s="16">
        <f t="shared" si="407"/>
        <v>0</v>
      </c>
      <c r="BB284" s="16">
        <f t="shared" si="407"/>
        <v>0</v>
      </c>
      <c r="BC284" s="16">
        <f t="shared" si="407"/>
        <v>0</v>
      </c>
      <c r="BD284" s="16">
        <f t="shared" si="407"/>
        <v>0</v>
      </c>
      <c r="BE284" s="16">
        <f t="shared" si="407"/>
        <v>0</v>
      </c>
      <c r="BF284" s="16">
        <f t="shared" si="407"/>
        <v>0</v>
      </c>
      <c r="BG284" s="16">
        <f t="shared" si="407"/>
        <v>0</v>
      </c>
      <c r="BH284" s="16">
        <f t="shared" si="407"/>
        <v>0</v>
      </c>
      <c r="BI284" s="16">
        <f t="shared" si="407"/>
        <v>0</v>
      </c>
      <c r="BJ284" s="16">
        <f t="shared" si="407"/>
        <v>0</v>
      </c>
      <c r="BK284" s="16">
        <f t="shared" si="407"/>
        <v>0</v>
      </c>
      <c r="BL284" s="16">
        <f t="shared" si="407"/>
        <v>0</v>
      </c>
      <c r="BM284" s="16">
        <f t="shared" si="407"/>
        <v>0</v>
      </c>
      <c r="BN284" s="16">
        <f t="shared" si="407"/>
        <v>0</v>
      </c>
      <c r="BO284" s="16">
        <f t="shared" si="407"/>
        <v>0</v>
      </c>
      <c r="BP284" s="16">
        <f t="shared" si="407"/>
        <v>0</v>
      </c>
      <c r="BQ284" s="16">
        <f t="shared" si="407"/>
        <v>0</v>
      </c>
      <c r="BR284" s="16">
        <f t="shared" si="407"/>
        <v>0</v>
      </c>
      <c r="BS284" s="16">
        <f t="shared" ref="BS284:CW284" si="408">SUM(BS285)</f>
        <v>0</v>
      </c>
      <c r="BT284" s="16">
        <f t="shared" si="408"/>
        <v>0</v>
      </c>
      <c r="BU284" s="16">
        <f t="shared" si="408"/>
        <v>0</v>
      </c>
      <c r="BV284" s="16">
        <f t="shared" si="408"/>
        <v>0</v>
      </c>
      <c r="BW284" s="16">
        <f t="shared" si="408"/>
        <v>0</v>
      </c>
      <c r="BX284" s="16">
        <f t="shared" si="408"/>
        <v>0</v>
      </c>
      <c r="BY284" s="16">
        <f t="shared" si="408"/>
        <v>35000000</v>
      </c>
      <c r="BZ284" s="16">
        <f t="shared" si="408"/>
        <v>0</v>
      </c>
      <c r="CA284" s="16">
        <f t="shared" si="408"/>
        <v>0</v>
      </c>
      <c r="CB284" s="16">
        <f t="shared" si="408"/>
        <v>0</v>
      </c>
      <c r="CC284" s="16">
        <f t="shared" si="408"/>
        <v>0</v>
      </c>
      <c r="CD284" s="16">
        <f t="shared" si="408"/>
        <v>0</v>
      </c>
      <c r="CE284" s="16">
        <f t="shared" si="408"/>
        <v>0</v>
      </c>
      <c r="CF284" s="16">
        <f t="shared" si="408"/>
        <v>0</v>
      </c>
      <c r="CG284" s="16">
        <f t="shared" si="408"/>
        <v>0</v>
      </c>
      <c r="CH284" s="16">
        <f t="shared" si="408"/>
        <v>0</v>
      </c>
      <c r="CI284" s="16">
        <f t="shared" si="408"/>
        <v>0</v>
      </c>
      <c r="CJ284" s="16">
        <f t="shared" si="408"/>
        <v>0</v>
      </c>
      <c r="CK284" s="16">
        <f t="shared" si="408"/>
        <v>0</v>
      </c>
      <c r="CL284" s="16">
        <f t="shared" si="408"/>
        <v>0</v>
      </c>
      <c r="CM284" s="16">
        <f t="shared" si="408"/>
        <v>0</v>
      </c>
      <c r="CN284" s="16">
        <f t="shared" si="408"/>
        <v>0</v>
      </c>
      <c r="CO284" s="16">
        <f t="shared" si="408"/>
        <v>0</v>
      </c>
      <c r="CP284" s="16">
        <f t="shared" si="408"/>
        <v>0</v>
      </c>
      <c r="CQ284" s="16">
        <f t="shared" si="408"/>
        <v>0</v>
      </c>
      <c r="CR284" s="16">
        <f t="shared" si="408"/>
        <v>0</v>
      </c>
      <c r="CS284" s="16">
        <f t="shared" si="408"/>
        <v>35000000</v>
      </c>
      <c r="CT284" s="16">
        <f t="shared" si="408"/>
        <v>0</v>
      </c>
      <c r="CU284" s="16">
        <f t="shared" si="408"/>
        <v>0</v>
      </c>
      <c r="CV284" s="16">
        <f t="shared" si="408"/>
        <v>0</v>
      </c>
      <c r="CW284" s="17">
        <f t="shared" si="408"/>
        <v>0</v>
      </c>
      <c r="CX284" s="40"/>
      <c r="CY284" s="40"/>
    </row>
    <row r="285" spans="1:103" ht="15.75" x14ac:dyDescent="0.25">
      <c r="A285" s="13" t="s">
        <v>1</v>
      </c>
      <c r="B285" s="14" t="s">
        <v>1</v>
      </c>
      <c r="C285" s="14" t="s">
        <v>297</v>
      </c>
      <c r="D285" s="30" t="s">
        <v>296</v>
      </c>
      <c r="E285" s="15">
        <f>SUM(F285+BY285+CT285)</f>
        <v>35000000</v>
      </c>
      <c r="F285" s="16">
        <f>SUM(G285+BA285)</f>
        <v>0</v>
      </c>
      <c r="G285" s="16">
        <f>SUM(H285+I285+J285+Q285+T285+U285+V285+AE285)</f>
        <v>0</v>
      </c>
      <c r="H285" s="16">
        <v>0</v>
      </c>
      <c r="I285" s="16">
        <v>0</v>
      </c>
      <c r="J285" s="16">
        <f t="shared" si="341"/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>
        <f t="shared" si="342"/>
        <v>0</v>
      </c>
      <c r="R285" s="16">
        <v>0</v>
      </c>
      <c r="S285" s="16">
        <v>0</v>
      </c>
      <c r="T285" s="16">
        <v>0</v>
      </c>
      <c r="U285" s="16">
        <v>0</v>
      </c>
      <c r="V285" s="16">
        <f>SUM(W285:AD285)</f>
        <v>0</v>
      </c>
      <c r="W285" s="16">
        <v>0</v>
      </c>
      <c r="X285" s="16">
        <v>0</v>
      </c>
      <c r="Y285" s="16">
        <v>0</v>
      </c>
      <c r="Z285" s="16">
        <v>0</v>
      </c>
      <c r="AA285" s="16">
        <v>0</v>
      </c>
      <c r="AB285" s="16">
        <v>0</v>
      </c>
      <c r="AC285" s="16">
        <v>0</v>
      </c>
      <c r="AD285" s="16">
        <v>0</v>
      </c>
      <c r="AE285" s="16">
        <f>SUM(AF285:AZ285)</f>
        <v>0</v>
      </c>
      <c r="AF285" s="16">
        <v>0</v>
      </c>
      <c r="AG285" s="16">
        <v>0</v>
      </c>
      <c r="AH285" s="16">
        <v>0</v>
      </c>
      <c r="AI285" s="16">
        <v>0</v>
      </c>
      <c r="AJ285" s="16">
        <v>0</v>
      </c>
      <c r="AK285" s="16">
        <v>0</v>
      </c>
      <c r="AL285" s="16">
        <v>0</v>
      </c>
      <c r="AM285" s="16">
        <v>0</v>
      </c>
      <c r="AN285" s="16">
        <v>0</v>
      </c>
      <c r="AO285" s="16">
        <v>0</v>
      </c>
      <c r="AP285" s="16">
        <v>0</v>
      </c>
      <c r="AQ285" s="16">
        <v>0</v>
      </c>
      <c r="AR285" s="16">
        <v>0</v>
      </c>
      <c r="AS285" s="16">
        <v>0</v>
      </c>
      <c r="AT285" s="16">
        <v>0</v>
      </c>
      <c r="AU285" s="16">
        <v>0</v>
      </c>
      <c r="AV285" s="16">
        <v>0</v>
      </c>
      <c r="AW285" s="16">
        <v>0</v>
      </c>
      <c r="AX285" s="16">
        <v>0</v>
      </c>
      <c r="AY285" s="16">
        <v>0</v>
      </c>
      <c r="AZ285" s="16">
        <v>0</v>
      </c>
      <c r="BA285" s="16">
        <f>SUM(BB285+BF285+BI285+BK285+BM285)</f>
        <v>0</v>
      </c>
      <c r="BB285" s="16">
        <f>SUM(BC285:BE285)</f>
        <v>0</v>
      </c>
      <c r="BC285" s="16">
        <v>0</v>
      </c>
      <c r="BD285" s="16">
        <v>0</v>
      </c>
      <c r="BE285" s="16">
        <v>0</v>
      </c>
      <c r="BF285" s="16">
        <f t="shared" si="343"/>
        <v>0</v>
      </c>
      <c r="BG285" s="16">
        <v>0</v>
      </c>
      <c r="BH285" s="16">
        <v>0</v>
      </c>
      <c r="BI285" s="16">
        <v>0</v>
      </c>
      <c r="BJ285" s="16">
        <v>0</v>
      </c>
      <c r="BK285" s="16">
        <f t="shared" si="344"/>
        <v>0</v>
      </c>
      <c r="BL285" s="16">
        <v>0</v>
      </c>
      <c r="BM285" s="16">
        <f t="shared" si="345"/>
        <v>0</v>
      </c>
      <c r="BN285" s="16">
        <v>0</v>
      </c>
      <c r="BO285" s="16">
        <v>0</v>
      </c>
      <c r="BP285" s="16">
        <v>0</v>
      </c>
      <c r="BQ285" s="16">
        <v>0</v>
      </c>
      <c r="BR285" s="16">
        <v>0</v>
      </c>
      <c r="BS285" s="16">
        <v>0</v>
      </c>
      <c r="BT285" s="16">
        <v>0</v>
      </c>
      <c r="BU285" s="16">
        <v>0</v>
      </c>
      <c r="BV285" s="16">
        <v>0</v>
      </c>
      <c r="BW285" s="16">
        <v>0</v>
      </c>
      <c r="BX285" s="16">
        <v>0</v>
      </c>
      <c r="BY285" s="16">
        <f>SUM(BZ285+CS285)</f>
        <v>35000000</v>
      </c>
      <c r="BZ285" s="16">
        <f>SUM(CA285+CD285+CK285)</f>
        <v>0</v>
      </c>
      <c r="CA285" s="16">
        <f t="shared" si="346"/>
        <v>0</v>
      </c>
      <c r="CB285" s="16">
        <v>0</v>
      </c>
      <c r="CC285" s="16">
        <v>0</v>
      </c>
      <c r="CD285" s="16">
        <f t="shared" si="347"/>
        <v>0</v>
      </c>
      <c r="CE285" s="16">
        <v>0</v>
      </c>
      <c r="CF285" s="16">
        <v>0</v>
      </c>
      <c r="CG285" s="16">
        <v>0</v>
      </c>
      <c r="CH285" s="16">
        <v>0</v>
      </c>
      <c r="CI285" s="16">
        <v>0</v>
      </c>
      <c r="CJ285" s="16">
        <v>0</v>
      </c>
      <c r="CK285" s="16">
        <f t="shared" si="348"/>
        <v>0</v>
      </c>
      <c r="CL285" s="16">
        <v>0</v>
      </c>
      <c r="CM285" s="16">
        <v>0</v>
      </c>
      <c r="CN285" s="16">
        <v>0</v>
      </c>
      <c r="CO285" s="16">
        <v>0</v>
      </c>
      <c r="CP285" s="16">
        <v>0</v>
      </c>
      <c r="CQ285" s="16">
        <v>0</v>
      </c>
      <c r="CR285" s="16">
        <v>0</v>
      </c>
      <c r="CS285" s="16">
        <f>6000000-5000+15419800+13585200</f>
        <v>35000000</v>
      </c>
      <c r="CT285" s="16">
        <f t="shared" si="349"/>
        <v>0</v>
      </c>
      <c r="CU285" s="16">
        <f t="shared" si="350"/>
        <v>0</v>
      </c>
      <c r="CV285" s="16">
        <v>0</v>
      </c>
      <c r="CW285" s="17">
        <v>0</v>
      </c>
      <c r="CX285" s="40"/>
      <c r="CY285" s="40"/>
    </row>
    <row r="286" spans="1:103" ht="31.5" x14ac:dyDescent="0.25">
      <c r="A286" s="18" t="s">
        <v>298</v>
      </c>
      <c r="B286" s="19" t="s">
        <v>1</v>
      </c>
      <c r="C286" s="19" t="s">
        <v>1</v>
      </c>
      <c r="D286" s="31" t="s">
        <v>299</v>
      </c>
      <c r="E286" s="20">
        <f>SUM(E287)</f>
        <v>100452017</v>
      </c>
      <c r="F286" s="21">
        <f t="shared" ref="F286:BS287" si="409">SUM(F287)</f>
        <v>0</v>
      </c>
      <c r="G286" s="21">
        <f t="shared" si="409"/>
        <v>0</v>
      </c>
      <c r="H286" s="21">
        <f t="shared" si="409"/>
        <v>0</v>
      </c>
      <c r="I286" s="21">
        <f t="shared" si="409"/>
        <v>0</v>
      </c>
      <c r="J286" s="21">
        <f t="shared" si="409"/>
        <v>0</v>
      </c>
      <c r="K286" s="21">
        <f t="shared" si="409"/>
        <v>0</v>
      </c>
      <c r="L286" s="21">
        <f t="shared" si="409"/>
        <v>0</v>
      </c>
      <c r="M286" s="21">
        <f t="shared" si="409"/>
        <v>0</v>
      </c>
      <c r="N286" s="21">
        <f t="shared" si="409"/>
        <v>0</v>
      </c>
      <c r="O286" s="21">
        <f t="shared" si="409"/>
        <v>0</v>
      </c>
      <c r="P286" s="21">
        <f t="shared" si="409"/>
        <v>0</v>
      </c>
      <c r="Q286" s="21">
        <f t="shared" si="409"/>
        <v>0</v>
      </c>
      <c r="R286" s="21">
        <f t="shared" si="409"/>
        <v>0</v>
      </c>
      <c r="S286" s="21">
        <f t="shared" si="409"/>
        <v>0</v>
      </c>
      <c r="T286" s="21">
        <f t="shared" si="409"/>
        <v>0</v>
      </c>
      <c r="U286" s="21">
        <f t="shared" si="409"/>
        <v>0</v>
      </c>
      <c r="V286" s="21">
        <f t="shared" si="409"/>
        <v>0</v>
      </c>
      <c r="W286" s="21">
        <f t="shared" si="409"/>
        <v>0</v>
      </c>
      <c r="X286" s="21">
        <f t="shared" si="409"/>
        <v>0</v>
      </c>
      <c r="Y286" s="21">
        <f t="shared" si="409"/>
        <v>0</v>
      </c>
      <c r="Z286" s="21">
        <f t="shared" si="409"/>
        <v>0</v>
      </c>
      <c r="AA286" s="21">
        <f t="shared" si="409"/>
        <v>0</v>
      </c>
      <c r="AB286" s="21">
        <f t="shared" si="409"/>
        <v>0</v>
      </c>
      <c r="AC286" s="21">
        <f t="shared" si="409"/>
        <v>0</v>
      </c>
      <c r="AD286" s="21">
        <f t="shared" si="409"/>
        <v>0</v>
      </c>
      <c r="AE286" s="21">
        <f t="shared" si="409"/>
        <v>0</v>
      </c>
      <c r="AF286" s="21">
        <f t="shared" si="409"/>
        <v>0</v>
      </c>
      <c r="AG286" s="21">
        <f t="shared" si="409"/>
        <v>0</v>
      </c>
      <c r="AH286" s="21">
        <f t="shared" si="409"/>
        <v>0</v>
      </c>
      <c r="AI286" s="21">
        <f t="shared" si="409"/>
        <v>0</v>
      </c>
      <c r="AJ286" s="21">
        <f t="shared" si="409"/>
        <v>0</v>
      </c>
      <c r="AK286" s="21">
        <f t="shared" si="409"/>
        <v>0</v>
      </c>
      <c r="AL286" s="21">
        <f t="shared" si="409"/>
        <v>0</v>
      </c>
      <c r="AM286" s="21">
        <f t="shared" si="409"/>
        <v>0</v>
      </c>
      <c r="AN286" s="21">
        <f t="shared" si="409"/>
        <v>0</v>
      </c>
      <c r="AO286" s="21">
        <f t="shared" si="409"/>
        <v>0</v>
      </c>
      <c r="AP286" s="21">
        <f t="shared" si="409"/>
        <v>0</v>
      </c>
      <c r="AQ286" s="21">
        <f t="shared" si="409"/>
        <v>0</v>
      </c>
      <c r="AR286" s="21">
        <f t="shared" si="409"/>
        <v>0</v>
      </c>
      <c r="AS286" s="21">
        <f t="shared" si="409"/>
        <v>0</v>
      </c>
      <c r="AT286" s="21">
        <f t="shared" si="409"/>
        <v>0</v>
      </c>
      <c r="AU286" s="21">
        <f t="shared" si="409"/>
        <v>0</v>
      </c>
      <c r="AV286" s="21">
        <f t="shared" si="409"/>
        <v>0</v>
      </c>
      <c r="AW286" s="21">
        <f t="shared" si="409"/>
        <v>0</v>
      </c>
      <c r="AX286" s="21">
        <f t="shared" si="409"/>
        <v>0</v>
      </c>
      <c r="AY286" s="21">
        <f t="shared" si="409"/>
        <v>0</v>
      </c>
      <c r="AZ286" s="21">
        <f t="shared" si="409"/>
        <v>0</v>
      </c>
      <c r="BA286" s="21">
        <f t="shared" si="409"/>
        <v>0</v>
      </c>
      <c r="BB286" s="21">
        <f t="shared" si="409"/>
        <v>0</v>
      </c>
      <c r="BC286" s="21">
        <f t="shared" si="409"/>
        <v>0</v>
      </c>
      <c r="BD286" s="21">
        <f t="shared" si="409"/>
        <v>0</v>
      </c>
      <c r="BE286" s="21">
        <f t="shared" si="409"/>
        <v>0</v>
      </c>
      <c r="BF286" s="21">
        <f t="shared" si="409"/>
        <v>0</v>
      </c>
      <c r="BG286" s="21">
        <f t="shared" si="409"/>
        <v>0</v>
      </c>
      <c r="BH286" s="21">
        <f t="shared" si="409"/>
        <v>0</v>
      </c>
      <c r="BI286" s="21">
        <f t="shared" si="409"/>
        <v>0</v>
      </c>
      <c r="BJ286" s="21">
        <f t="shared" si="409"/>
        <v>0</v>
      </c>
      <c r="BK286" s="21">
        <f t="shared" si="409"/>
        <v>0</v>
      </c>
      <c r="BL286" s="21">
        <f t="shared" si="409"/>
        <v>0</v>
      </c>
      <c r="BM286" s="21">
        <f t="shared" si="409"/>
        <v>0</v>
      </c>
      <c r="BN286" s="21">
        <f t="shared" si="409"/>
        <v>0</v>
      </c>
      <c r="BO286" s="21">
        <f t="shared" si="409"/>
        <v>0</v>
      </c>
      <c r="BP286" s="21">
        <f t="shared" si="409"/>
        <v>0</v>
      </c>
      <c r="BQ286" s="21">
        <f t="shared" si="409"/>
        <v>0</v>
      </c>
      <c r="BR286" s="21">
        <f t="shared" si="409"/>
        <v>0</v>
      </c>
      <c r="BS286" s="21">
        <f t="shared" si="409"/>
        <v>0</v>
      </c>
      <c r="BT286" s="21">
        <f t="shared" ref="BT286:CW287" si="410">SUM(BT287)</f>
        <v>0</v>
      </c>
      <c r="BU286" s="21">
        <f t="shared" si="410"/>
        <v>0</v>
      </c>
      <c r="BV286" s="21">
        <f t="shared" si="410"/>
        <v>0</v>
      </c>
      <c r="BW286" s="21">
        <f t="shared" si="410"/>
        <v>0</v>
      </c>
      <c r="BX286" s="21">
        <f t="shared" si="410"/>
        <v>0</v>
      </c>
      <c r="BY286" s="21">
        <f t="shared" si="410"/>
        <v>0</v>
      </c>
      <c r="BZ286" s="21">
        <f t="shared" si="410"/>
        <v>0</v>
      </c>
      <c r="CA286" s="21">
        <f t="shared" si="410"/>
        <v>0</v>
      </c>
      <c r="CB286" s="21">
        <f t="shared" si="410"/>
        <v>0</v>
      </c>
      <c r="CC286" s="21">
        <f t="shared" si="410"/>
        <v>0</v>
      </c>
      <c r="CD286" s="21">
        <f t="shared" si="410"/>
        <v>0</v>
      </c>
      <c r="CE286" s="21">
        <f t="shared" si="410"/>
        <v>0</v>
      </c>
      <c r="CF286" s="21">
        <f t="shared" si="410"/>
        <v>0</v>
      </c>
      <c r="CG286" s="21">
        <f t="shared" si="410"/>
        <v>0</v>
      </c>
      <c r="CH286" s="21">
        <f t="shared" si="410"/>
        <v>0</v>
      </c>
      <c r="CI286" s="21">
        <f t="shared" si="410"/>
        <v>0</v>
      </c>
      <c r="CJ286" s="21">
        <f t="shared" si="410"/>
        <v>0</v>
      </c>
      <c r="CK286" s="21">
        <f t="shared" si="410"/>
        <v>0</v>
      </c>
      <c r="CL286" s="21">
        <f t="shared" si="410"/>
        <v>0</v>
      </c>
      <c r="CM286" s="21">
        <f t="shared" si="410"/>
        <v>0</v>
      </c>
      <c r="CN286" s="21">
        <f t="shared" si="410"/>
        <v>0</v>
      </c>
      <c r="CO286" s="21">
        <f t="shared" si="410"/>
        <v>0</v>
      </c>
      <c r="CP286" s="21">
        <f t="shared" si="410"/>
        <v>0</v>
      </c>
      <c r="CQ286" s="21">
        <f t="shared" si="410"/>
        <v>0</v>
      </c>
      <c r="CR286" s="21">
        <f t="shared" si="410"/>
        <v>0</v>
      </c>
      <c r="CS286" s="21">
        <f t="shared" si="410"/>
        <v>0</v>
      </c>
      <c r="CT286" s="21">
        <f t="shared" si="410"/>
        <v>100452017</v>
      </c>
      <c r="CU286" s="21">
        <f t="shared" si="410"/>
        <v>100452017</v>
      </c>
      <c r="CV286" s="21">
        <f t="shared" si="410"/>
        <v>0</v>
      </c>
      <c r="CW286" s="22">
        <f t="shared" si="410"/>
        <v>100452017</v>
      </c>
      <c r="CX286" s="40"/>
      <c r="CY286" s="40"/>
    </row>
    <row r="287" spans="1:103" ht="15.75" x14ac:dyDescent="0.25">
      <c r="A287" s="13" t="s">
        <v>300</v>
      </c>
      <c r="B287" s="14" t="s">
        <v>3</v>
      </c>
      <c r="C287" s="14" t="s">
        <v>1</v>
      </c>
      <c r="D287" s="30" t="s">
        <v>301</v>
      </c>
      <c r="E287" s="15">
        <f>SUM(E288)</f>
        <v>100452017</v>
      </c>
      <c r="F287" s="16">
        <f t="shared" si="409"/>
        <v>0</v>
      </c>
      <c r="G287" s="16">
        <f t="shared" si="409"/>
        <v>0</v>
      </c>
      <c r="H287" s="16">
        <f t="shared" si="409"/>
        <v>0</v>
      </c>
      <c r="I287" s="16">
        <f t="shared" si="409"/>
        <v>0</v>
      </c>
      <c r="J287" s="16">
        <f t="shared" si="409"/>
        <v>0</v>
      </c>
      <c r="K287" s="16">
        <f t="shared" si="409"/>
        <v>0</v>
      </c>
      <c r="L287" s="16">
        <f t="shared" si="409"/>
        <v>0</v>
      </c>
      <c r="M287" s="16">
        <f t="shared" si="409"/>
        <v>0</v>
      </c>
      <c r="N287" s="16">
        <f t="shared" si="409"/>
        <v>0</v>
      </c>
      <c r="O287" s="16">
        <f t="shared" si="409"/>
        <v>0</v>
      </c>
      <c r="P287" s="16">
        <f t="shared" si="409"/>
        <v>0</v>
      </c>
      <c r="Q287" s="16">
        <f t="shared" si="409"/>
        <v>0</v>
      </c>
      <c r="R287" s="16">
        <f t="shared" si="409"/>
        <v>0</v>
      </c>
      <c r="S287" s="16">
        <f t="shared" si="409"/>
        <v>0</v>
      </c>
      <c r="T287" s="16">
        <f t="shared" si="409"/>
        <v>0</v>
      </c>
      <c r="U287" s="16">
        <f t="shared" si="409"/>
        <v>0</v>
      </c>
      <c r="V287" s="16">
        <f t="shared" si="409"/>
        <v>0</v>
      </c>
      <c r="W287" s="16">
        <f t="shared" si="409"/>
        <v>0</v>
      </c>
      <c r="X287" s="16">
        <f t="shared" si="409"/>
        <v>0</v>
      </c>
      <c r="Y287" s="16">
        <f t="shared" si="409"/>
        <v>0</v>
      </c>
      <c r="Z287" s="16">
        <f t="shared" si="409"/>
        <v>0</v>
      </c>
      <c r="AA287" s="16">
        <f t="shared" si="409"/>
        <v>0</v>
      </c>
      <c r="AB287" s="16">
        <f t="shared" si="409"/>
        <v>0</v>
      </c>
      <c r="AC287" s="16">
        <f t="shared" si="409"/>
        <v>0</v>
      </c>
      <c r="AD287" s="16">
        <f t="shared" si="409"/>
        <v>0</v>
      </c>
      <c r="AE287" s="16">
        <f t="shared" si="409"/>
        <v>0</v>
      </c>
      <c r="AF287" s="16">
        <f t="shared" si="409"/>
        <v>0</v>
      </c>
      <c r="AG287" s="16">
        <f t="shared" si="409"/>
        <v>0</v>
      </c>
      <c r="AH287" s="16">
        <f t="shared" si="409"/>
        <v>0</v>
      </c>
      <c r="AI287" s="16">
        <f t="shared" si="409"/>
        <v>0</v>
      </c>
      <c r="AJ287" s="16">
        <f t="shared" si="409"/>
        <v>0</v>
      </c>
      <c r="AK287" s="16">
        <f t="shared" si="409"/>
        <v>0</v>
      </c>
      <c r="AL287" s="16">
        <f t="shared" si="409"/>
        <v>0</v>
      </c>
      <c r="AM287" s="16">
        <f t="shared" si="409"/>
        <v>0</v>
      </c>
      <c r="AN287" s="16">
        <f t="shared" si="409"/>
        <v>0</v>
      </c>
      <c r="AO287" s="16">
        <f t="shared" si="409"/>
        <v>0</v>
      </c>
      <c r="AP287" s="16">
        <f t="shared" si="409"/>
        <v>0</v>
      </c>
      <c r="AQ287" s="16">
        <f t="shared" si="409"/>
        <v>0</v>
      </c>
      <c r="AR287" s="16">
        <f t="shared" si="409"/>
        <v>0</v>
      </c>
      <c r="AS287" s="16">
        <f t="shared" si="409"/>
        <v>0</v>
      </c>
      <c r="AT287" s="16">
        <f t="shared" si="409"/>
        <v>0</v>
      </c>
      <c r="AU287" s="16">
        <f t="shared" si="409"/>
        <v>0</v>
      </c>
      <c r="AV287" s="16">
        <f t="shared" si="409"/>
        <v>0</v>
      </c>
      <c r="AW287" s="16">
        <f t="shared" si="409"/>
        <v>0</v>
      </c>
      <c r="AX287" s="16">
        <f t="shared" si="409"/>
        <v>0</v>
      </c>
      <c r="AY287" s="16">
        <f t="shared" si="409"/>
        <v>0</v>
      </c>
      <c r="AZ287" s="16">
        <f t="shared" si="409"/>
        <v>0</v>
      </c>
      <c r="BA287" s="16">
        <f t="shared" si="409"/>
        <v>0</v>
      </c>
      <c r="BB287" s="16">
        <f t="shared" si="409"/>
        <v>0</v>
      </c>
      <c r="BC287" s="16">
        <f t="shared" si="409"/>
        <v>0</v>
      </c>
      <c r="BD287" s="16">
        <f t="shared" si="409"/>
        <v>0</v>
      </c>
      <c r="BE287" s="16">
        <f t="shared" si="409"/>
        <v>0</v>
      </c>
      <c r="BF287" s="16">
        <f t="shared" si="409"/>
        <v>0</v>
      </c>
      <c r="BG287" s="16">
        <f t="shared" si="409"/>
        <v>0</v>
      </c>
      <c r="BH287" s="16">
        <f t="shared" si="409"/>
        <v>0</v>
      </c>
      <c r="BI287" s="16">
        <f t="shared" si="409"/>
        <v>0</v>
      </c>
      <c r="BJ287" s="16">
        <f t="shared" si="409"/>
        <v>0</v>
      </c>
      <c r="BK287" s="16">
        <f t="shared" si="409"/>
        <v>0</v>
      </c>
      <c r="BL287" s="16">
        <f t="shared" si="409"/>
        <v>0</v>
      </c>
      <c r="BM287" s="16">
        <f t="shared" si="409"/>
        <v>0</v>
      </c>
      <c r="BN287" s="16">
        <f t="shared" si="409"/>
        <v>0</v>
      </c>
      <c r="BO287" s="16">
        <f t="shared" si="409"/>
        <v>0</v>
      </c>
      <c r="BP287" s="16">
        <f t="shared" si="409"/>
        <v>0</v>
      </c>
      <c r="BQ287" s="16">
        <f t="shared" si="409"/>
        <v>0</v>
      </c>
      <c r="BR287" s="16">
        <f t="shared" si="409"/>
        <v>0</v>
      </c>
      <c r="BS287" s="16">
        <f t="shared" si="409"/>
        <v>0</v>
      </c>
      <c r="BT287" s="16">
        <f t="shared" si="410"/>
        <v>0</v>
      </c>
      <c r="BU287" s="16">
        <f t="shared" si="410"/>
        <v>0</v>
      </c>
      <c r="BV287" s="16">
        <f t="shared" si="410"/>
        <v>0</v>
      </c>
      <c r="BW287" s="16">
        <f t="shared" si="410"/>
        <v>0</v>
      </c>
      <c r="BX287" s="16">
        <f t="shared" si="410"/>
        <v>0</v>
      </c>
      <c r="BY287" s="16">
        <f t="shared" si="410"/>
        <v>0</v>
      </c>
      <c r="BZ287" s="16">
        <f t="shared" si="410"/>
        <v>0</v>
      </c>
      <c r="CA287" s="16">
        <f t="shared" si="410"/>
        <v>0</v>
      </c>
      <c r="CB287" s="16">
        <f t="shared" si="410"/>
        <v>0</v>
      </c>
      <c r="CC287" s="16">
        <f t="shared" si="410"/>
        <v>0</v>
      </c>
      <c r="CD287" s="16">
        <f t="shared" si="410"/>
        <v>0</v>
      </c>
      <c r="CE287" s="16">
        <f t="shared" si="410"/>
        <v>0</v>
      </c>
      <c r="CF287" s="16">
        <f t="shared" si="410"/>
        <v>0</v>
      </c>
      <c r="CG287" s="16">
        <f t="shared" si="410"/>
        <v>0</v>
      </c>
      <c r="CH287" s="16">
        <f t="shared" si="410"/>
        <v>0</v>
      </c>
      <c r="CI287" s="16">
        <f t="shared" si="410"/>
        <v>0</v>
      </c>
      <c r="CJ287" s="16">
        <f t="shared" si="410"/>
        <v>0</v>
      </c>
      <c r="CK287" s="16">
        <f t="shared" si="410"/>
        <v>0</v>
      </c>
      <c r="CL287" s="16">
        <f t="shared" si="410"/>
        <v>0</v>
      </c>
      <c r="CM287" s="16">
        <f t="shared" si="410"/>
        <v>0</v>
      </c>
      <c r="CN287" s="16">
        <f t="shared" si="410"/>
        <v>0</v>
      </c>
      <c r="CO287" s="16">
        <f t="shared" si="410"/>
        <v>0</v>
      </c>
      <c r="CP287" s="16">
        <f t="shared" si="410"/>
        <v>0</v>
      </c>
      <c r="CQ287" s="16">
        <f t="shared" si="410"/>
        <v>0</v>
      </c>
      <c r="CR287" s="16">
        <f t="shared" si="410"/>
        <v>0</v>
      </c>
      <c r="CS287" s="16">
        <f t="shared" si="410"/>
        <v>0</v>
      </c>
      <c r="CT287" s="16">
        <f t="shared" si="410"/>
        <v>100452017</v>
      </c>
      <c r="CU287" s="16">
        <f t="shared" si="410"/>
        <v>100452017</v>
      </c>
      <c r="CV287" s="16">
        <f t="shared" si="410"/>
        <v>0</v>
      </c>
      <c r="CW287" s="17">
        <f t="shared" si="410"/>
        <v>100452017</v>
      </c>
      <c r="CX287" s="40"/>
      <c r="CY287" s="40"/>
    </row>
    <row r="288" spans="1:103" ht="15.75" x14ac:dyDescent="0.25">
      <c r="A288" s="13" t="s">
        <v>1</v>
      </c>
      <c r="B288" s="14" t="s">
        <v>1</v>
      </c>
      <c r="C288" s="14" t="s">
        <v>43</v>
      </c>
      <c r="D288" s="30" t="s">
        <v>302</v>
      </c>
      <c r="E288" s="15">
        <f>SUM(F288+BY288+CT288)</f>
        <v>100452017</v>
      </c>
      <c r="F288" s="16">
        <f>SUM(G288+BA288)</f>
        <v>0</v>
      </c>
      <c r="G288" s="16">
        <f>SUM(H288+I288+J288+Q288+T288+U288+V288+AE288)</f>
        <v>0</v>
      </c>
      <c r="H288" s="16">
        <v>0</v>
      </c>
      <c r="I288" s="16">
        <v>0</v>
      </c>
      <c r="J288" s="16">
        <f t="shared" si="341"/>
        <v>0</v>
      </c>
      <c r="K288" s="16">
        <v>0</v>
      </c>
      <c r="L288" s="16">
        <v>0</v>
      </c>
      <c r="M288" s="16">
        <v>0</v>
      </c>
      <c r="N288" s="16">
        <v>0</v>
      </c>
      <c r="O288" s="16">
        <v>0</v>
      </c>
      <c r="P288" s="16">
        <v>0</v>
      </c>
      <c r="Q288" s="16">
        <f t="shared" si="342"/>
        <v>0</v>
      </c>
      <c r="R288" s="16">
        <v>0</v>
      </c>
      <c r="S288" s="16">
        <v>0</v>
      </c>
      <c r="T288" s="16">
        <v>0</v>
      </c>
      <c r="U288" s="16">
        <v>0</v>
      </c>
      <c r="V288" s="16">
        <f>SUM(W288:AD288)</f>
        <v>0</v>
      </c>
      <c r="W288" s="16">
        <v>0</v>
      </c>
      <c r="X288" s="16">
        <v>0</v>
      </c>
      <c r="Y288" s="16">
        <v>0</v>
      </c>
      <c r="Z288" s="16">
        <v>0</v>
      </c>
      <c r="AA288" s="16">
        <v>0</v>
      </c>
      <c r="AB288" s="16">
        <v>0</v>
      </c>
      <c r="AC288" s="16">
        <v>0</v>
      </c>
      <c r="AD288" s="16">
        <v>0</v>
      </c>
      <c r="AE288" s="16">
        <f>SUM(AF288:AZ288)</f>
        <v>0</v>
      </c>
      <c r="AF288" s="16">
        <v>0</v>
      </c>
      <c r="AG288" s="16">
        <v>0</v>
      </c>
      <c r="AH288" s="16">
        <v>0</v>
      </c>
      <c r="AI288" s="16">
        <v>0</v>
      </c>
      <c r="AJ288" s="16">
        <v>0</v>
      </c>
      <c r="AK288" s="16">
        <v>0</v>
      </c>
      <c r="AL288" s="16">
        <v>0</v>
      </c>
      <c r="AM288" s="16">
        <v>0</v>
      </c>
      <c r="AN288" s="16">
        <v>0</v>
      </c>
      <c r="AO288" s="16">
        <v>0</v>
      </c>
      <c r="AP288" s="16">
        <v>0</v>
      </c>
      <c r="AQ288" s="16">
        <v>0</v>
      </c>
      <c r="AR288" s="16">
        <v>0</v>
      </c>
      <c r="AS288" s="16">
        <v>0</v>
      </c>
      <c r="AT288" s="16">
        <v>0</v>
      </c>
      <c r="AU288" s="16">
        <v>0</v>
      </c>
      <c r="AV288" s="16">
        <v>0</v>
      </c>
      <c r="AW288" s="16">
        <v>0</v>
      </c>
      <c r="AX288" s="16">
        <v>0</v>
      </c>
      <c r="AY288" s="16">
        <v>0</v>
      </c>
      <c r="AZ288" s="16">
        <v>0</v>
      </c>
      <c r="BA288" s="16">
        <f>SUM(BB288+BF288+BI288+BK288+BM288)</f>
        <v>0</v>
      </c>
      <c r="BB288" s="16">
        <f>SUM(BC288:BE288)</f>
        <v>0</v>
      </c>
      <c r="BC288" s="16">
        <v>0</v>
      </c>
      <c r="BD288" s="16">
        <v>0</v>
      </c>
      <c r="BE288" s="16">
        <v>0</v>
      </c>
      <c r="BF288" s="16">
        <f t="shared" si="343"/>
        <v>0</v>
      </c>
      <c r="BG288" s="16">
        <v>0</v>
      </c>
      <c r="BH288" s="16">
        <v>0</v>
      </c>
      <c r="BI288" s="16">
        <v>0</v>
      </c>
      <c r="BJ288" s="16">
        <v>0</v>
      </c>
      <c r="BK288" s="16">
        <f t="shared" si="344"/>
        <v>0</v>
      </c>
      <c r="BL288" s="16">
        <v>0</v>
      </c>
      <c r="BM288" s="16">
        <f t="shared" si="345"/>
        <v>0</v>
      </c>
      <c r="BN288" s="16">
        <v>0</v>
      </c>
      <c r="BO288" s="16">
        <v>0</v>
      </c>
      <c r="BP288" s="16">
        <v>0</v>
      </c>
      <c r="BQ288" s="16">
        <v>0</v>
      </c>
      <c r="BR288" s="16">
        <v>0</v>
      </c>
      <c r="BS288" s="16">
        <v>0</v>
      </c>
      <c r="BT288" s="16">
        <v>0</v>
      </c>
      <c r="BU288" s="16">
        <v>0</v>
      </c>
      <c r="BV288" s="16">
        <v>0</v>
      </c>
      <c r="BW288" s="16">
        <v>0</v>
      </c>
      <c r="BX288" s="16">
        <v>0</v>
      </c>
      <c r="BY288" s="16">
        <f>SUM(BZ288+CS288)</f>
        <v>0</v>
      </c>
      <c r="BZ288" s="16">
        <f>SUM(CA288+CD288+CK288)</f>
        <v>0</v>
      </c>
      <c r="CA288" s="16">
        <f t="shared" si="346"/>
        <v>0</v>
      </c>
      <c r="CB288" s="16">
        <v>0</v>
      </c>
      <c r="CC288" s="16">
        <v>0</v>
      </c>
      <c r="CD288" s="16">
        <f t="shared" si="347"/>
        <v>0</v>
      </c>
      <c r="CE288" s="16">
        <v>0</v>
      </c>
      <c r="CF288" s="16">
        <v>0</v>
      </c>
      <c r="CG288" s="16">
        <v>0</v>
      </c>
      <c r="CH288" s="16">
        <v>0</v>
      </c>
      <c r="CI288" s="16">
        <v>0</v>
      </c>
      <c r="CJ288" s="16">
        <v>0</v>
      </c>
      <c r="CK288" s="16">
        <f t="shared" si="348"/>
        <v>0</v>
      </c>
      <c r="CL288" s="16">
        <v>0</v>
      </c>
      <c r="CM288" s="16">
        <v>0</v>
      </c>
      <c r="CN288" s="16">
        <v>0</v>
      </c>
      <c r="CO288" s="16">
        <v>0</v>
      </c>
      <c r="CP288" s="16">
        <v>0</v>
      </c>
      <c r="CQ288" s="16">
        <v>0</v>
      </c>
      <c r="CR288" s="16">
        <v>0</v>
      </c>
      <c r="CS288" s="16">
        <v>0</v>
      </c>
      <c r="CT288" s="16">
        <f t="shared" si="349"/>
        <v>100452017</v>
      </c>
      <c r="CU288" s="16">
        <f t="shared" si="350"/>
        <v>100452017</v>
      </c>
      <c r="CV288" s="16">
        <v>0</v>
      </c>
      <c r="CW288" s="17">
        <f>100000000+452017</f>
        <v>100452017</v>
      </c>
      <c r="CX288" s="40"/>
      <c r="CY288" s="40"/>
    </row>
    <row r="289" spans="1:103" ht="15.75" x14ac:dyDescent="0.25">
      <c r="A289" s="18" t="s">
        <v>303</v>
      </c>
      <c r="B289" s="19" t="s">
        <v>1</v>
      </c>
      <c r="C289" s="19" t="s">
        <v>1</v>
      </c>
      <c r="D289" s="31" t="s">
        <v>304</v>
      </c>
      <c r="E289" s="20">
        <f>SUM(E290+E292+E294+E296+E298+E300+E302)</f>
        <v>424110461</v>
      </c>
      <c r="F289" s="21">
        <f t="shared" ref="F289:BS289" si="411">SUM(F290+F292+F294+F296+F298+F300+F302)</f>
        <v>157208403</v>
      </c>
      <c r="G289" s="21">
        <f t="shared" si="411"/>
        <v>101204730</v>
      </c>
      <c r="H289" s="21">
        <f t="shared" si="411"/>
        <v>30446811</v>
      </c>
      <c r="I289" s="21">
        <f t="shared" si="411"/>
        <v>754957</v>
      </c>
      <c r="J289" s="21">
        <f t="shared" si="411"/>
        <v>16782055</v>
      </c>
      <c r="K289" s="21">
        <f t="shared" si="411"/>
        <v>137984</v>
      </c>
      <c r="L289" s="21">
        <f t="shared" si="411"/>
        <v>1170870</v>
      </c>
      <c r="M289" s="21">
        <f t="shared" si="411"/>
        <v>0</v>
      </c>
      <c r="N289" s="21">
        <f t="shared" si="411"/>
        <v>16000</v>
      </c>
      <c r="O289" s="21">
        <f t="shared" si="411"/>
        <v>13214539</v>
      </c>
      <c r="P289" s="21">
        <f t="shared" si="411"/>
        <v>2242662</v>
      </c>
      <c r="Q289" s="21">
        <f t="shared" si="411"/>
        <v>70827</v>
      </c>
      <c r="R289" s="21">
        <f t="shared" si="411"/>
        <v>14057</v>
      </c>
      <c r="S289" s="21">
        <f t="shared" si="411"/>
        <v>56770</v>
      </c>
      <c r="T289" s="21">
        <f t="shared" si="411"/>
        <v>8000</v>
      </c>
      <c r="U289" s="21">
        <f t="shared" si="411"/>
        <v>389546</v>
      </c>
      <c r="V289" s="21">
        <f t="shared" si="411"/>
        <v>1129867</v>
      </c>
      <c r="W289" s="21">
        <f t="shared" si="411"/>
        <v>65088</v>
      </c>
      <c r="X289" s="21">
        <f t="shared" si="411"/>
        <v>3921</v>
      </c>
      <c r="Y289" s="21">
        <f t="shared" si="411"/>
        <v>883977</v>
      </c>
      <c r="Z289" s="21">
        <f t="shared" si="411"/>
        <v>58735</v>
      </c>
      <c r="AA289" s="21">
        <f t="shared" si="411"/>
        <v>62560</v>
      </c>
      <c r="AB289" s="21">
        <f t="shared" si="411"/>
        <v>0</v>
      </c>
      <c r="AC289" s="21">
        <f t="shared" si="411"/>
        <v>0</v>
      </c>
      <c r="AD289" s="21">
        <f t="shared" ref="AD289" si="412">SUM(AD290+AD292+AD294+AD296+AD298+AD300+AD302)</f>
        <v>55586</v>
      </c>
      <c r="AE289" s="21">
        <f t="shared" si="411"/>
        <v>51622667</v>
      </c>
      <c r="AF289" s="21">
        <f t="shared" si="411"/>
        <v>0</v>
      </c>
      <c r="AG289" s="21">
        <f t="shared" si="411"/>
        <v>138947</v>
      </c>
      <c r="AH289" s="21">
        <f t="shared" si="411"/>
        <v>136162</v>
      </c>
      <c r="AI289" s="21">
        <f t="shared" si="411"/>
        <v>0</v>
      </c>
      <c r="AJ289" s="21">
        <f t="shared" si="411"/>
        <v>6320</v>
      </c>
      <c r="AK289" s="21">
        <f t="shared" si="411"/>
        <v>29485</v>
      </c>
      <c r="AL289" s="21">
        <f t="shared" si="411"/>
        <v>1173</v>
      </c>
      <c r="AM289" s="21">
        <f t="shared" si="411"/>
        <v>27627</v>
      </c>
      <c r="AN289" s="21">
        <f t="shared" si="411"/>
        <v>14550</v>
      </c>
      <c r="AO289" s="21">
        <f t="shared" si="411"/>
        <v>0</v>
      </c>
      <c r="AP289" s="21">
        <f>SUM(AP290+AP292+AP294+AP296+AP298+AP300+AP302)</f>
        <v>0</v>
      </c>
      <c r="AQ289" s="21">
        <f t="shared" si="411"/>
        <v>0</v>
      </c>
      <c r="AR289" s="21">
        <f t="shared" si="411"/>
        <v>0</v>
      </c>
      <c r="AS289" s="21">
        <f t="shared" si="411"/>
        <v>0</v>
      </c>
      <c r="AT289" s="21">
        <f t="shared" si="411"/>
        <v>0</v>
      </c>
      <c r="AU289" s="21">
        <f t="shared" si="411"/>
        <v>0</v>
      </c>
      <c r="AV289" s="21">
        <f t="shared" si="411"/>
        <v>13031549</v>
      </c>
      <c r="AW289" s="21">
        <f t="shared" si="411"/>
        <v>9231087</v>
      </c>
      <c r="AX289" s="21">
        <f t="shared" si="411"/>
        <v>0</v>
      </c>
      <c r="AY289" s="21">
        <f t="shared" si="411"/>
        <v>268851</v>
      </c>
      <c r="AZ289" s="21">
        <f t="shared" si="411"/>
        <v>28736916</v>
      </c>
      <c r="BA289" s="21">
        <f t="shared" si="411"/>
        <v>56003673</v>
      </c>
      <c r="BB289" s="21">
        <f t="shared" si="411"/>
        <v>0</v>
      </c>
      <c r="BC289" s="21">
        <f t="shared" si="411"/>
        <v>0</v>
      </c>
      <c r="BD289" s="21">
        <f t="shared" si="411"/>
        <v>0</v>
      </c>
      <c r="BE289" s="21">
        <f t="shared" si="411"/>
        <v>0</v>
      </c>
      <c r="BF289" s="21">
        <f t="shared" si="411"/>
        <v>4776987</v>
      </c>
      <c r="BG289" s="21">
        <f t="shared" si="411"/>
        <v>0</v>
      </c>
      <c r="BH289" s="21">
        <f t="shared" si="411"/>
        <v>4776987</v>
      </c>
      <c r="BI289" s="21">
        <f t="shared" si="411"/>
        <v>8336675</v>
      </c>
      <c r="BJ289" s="21">
        <f t="shared" si="411"/>
        <v>0</v>
      </c>
      <c r="BK289" s="21">
        <f t="shared" si="411"/>
        <v>0</v>
      </c>
      <c r="BL289" s="21">
        <f t="shared" si="411"/>
        <v>0</v>
      </c>
      <c r="BM289" s="21">
        <f t="shared" si="411"/>
        <v>42890011</v>
      </c>
      <c r="BN289" s="21">
        <f t="shared" si="411"/>
        <v>0</v>
      </c>
      <c r="BO289" s="21">
        <f t="shared" si="411"/>
        <v>0</v>
      </c>
      <c r="BP289" s="21">
        <f t="shared" si="411"/>
        <v>0</v>
      </c>
      <c r="BQ289" s="21">
        <f t="shared" si="411"/>
        <v>0</v>
      </c>
      <c r="BR289" s="21">
        <f t="shared" si="411"/>
        <v>0</v>
      </c>
      <c r="BS289" s="21">
        <f t="shared" si="411"/>
        <v>0</v>
      </c>
      <c r="BT289" s="21">
        <f t="shared" ref="BT289:CW289" si="413">SUM(BT290+BT292+BT294+BT296+BT298+BT300+BT302)</f>
        <v>0</v>
      </c>
      <c r="BU289" s="21">
        <f t="shared" si="413"/>
        <v>1401135</v>
      </c>
      <c r="BV289" s="21">
        <f t="shared" si="413"/>
        <v>0</v>
      </c>
      <c r="BW289" s="21">
        <f t="shared" si="413"/>
        <v>915294</v>
      </c>
      <c r="BX289" s="21">
        <f t="shared" si="413"/>
        <v>40573582</v>
      </c>
      <c r="BY289" s="21">
        <f t="shared" si="413"/>
        <v>266902058</v>
      </c>
      <c r="BZ289" s="21">
        <f t="shared" si="413"/>
        <v>254802058</v>
      </c>
      <c r="CA289" s="21">
        <f t="shared" si="413"/>
        <v>42251875</v>
      </c>
      <c r="CB289" s="21">
        <f t="shared" si="413"/>
        <v>299196</v>
      </c>
      <c r="CC289" s="21">
        <f t="shared" si="413"/>
        <v>41952679</v>
      </c>
      <c r="CD289" s="21">
        <f t="shared" si="413"/>
        <v>117950656</v>
      </c>
      <c r="CE289" s="21">
        <f t="shared" si="413"/>
        <v>0</v>
      </c>
      <c r="CF289" s="21">
        <f>SUM(CF290+CF292+CF294+CF296+CF298+CF300+CF302)</f>
        <v>0</v>
      </c>
      <c r="CG289" s="21">
        <f t="shared" si="413"/>
        <v>100359432</v>
      </c>
      <c r="CH289" s="21">
        <f t="shared" si="413"/>
        <v>10703103</v>
      </c>
      <c r="CI289" s="21">
        <f t="shared" si="413"/>
        <v>6647854</v>
      </c>
      <c r="CJ289" s="21">
        <f t="shared" ref="CJ289" si="414">SUM(CJ290+CJ292+CJ294+CJ296+CJ298+CJ300+CJ302)</f>
        <v>240267</v>
      </c>
      <c r="CK289" s="21">
        <f t="shared" si="413"/>
        <v>94599527</v>
      </c>
      <c r="CL289" s="21">
        <f t="shared" si="413"/>
        <v>1594966</v>
      </c>
      <c r="CM289" s="21">
        <f>SUM(CM290+CM292+CM294+CM296+CM298+CM300+CM302)</f>
        <v>0</v>
      </c>
      <c r="CN289" s="21">
        <f t="shared" si="413"/>
        <v>77686125</v>
      </c>
      <c r="CO289" s="21">
        <f t="shared" si="413"/>
        <v>5318436</v>
      </c>
      <c r="CP289" s="21">
        <f t="shared" si="413"/>
        <v>10000000</v>
      </c>
      <c r="CQ289" s="21">
        <f t="shared" si="413"/>
        <v>0</v>
      </c>
      <c r="CR289" s="21">
        <f t="shared" si="413"/>
        <v>0</v>
      </c>
      <c r="CS289" s="21">
        <f t="shared" si="413"/>
        <v>12100000</v>
      </c>
      <c r="CT289" s="21">
        <f t="shared" si="413"/>
        <v>0</v>
      </c>
      <c r="CU289" s="21">
        <f t="shared" si="413"/>
        <v>0</v>
      </c>
      <c r="CV289" s="21">
        <f t="shared" si="413"/>
        <v>0</v>
      </c>
      <c r="CW289" s="22">
        <f t="shared" si="413"/>
        <v>0</v>
      </c>
      <c r="CX289" s="40"/>
      <c r="CY289" s="40"/>
    </row>
    <row r="290" spans="1:103" ht="15.75" x14ac:dyDescent="0.25">
      <c r="A290" s="13" t="s">
        <v>305</v>
      </c>
      <c r="B290" s="14" t="s">
        <v>7</v>
      </c>
      <c r="C290" s="14" t="s">
        <v>1</v>
      </c>
      <c r="D290" s="30" t="s">
        <v>306</v>
      </c>
      <c r="E290" s="15">
        <f t="shared" ref="E290:AJ290" si="415">SUM(E291)</f>
        <v>4776987</v>
      </c>
      <c r="F290" s="16">
        <f t="shared" si="415"/>
        <v>4776987</v>
      </c>
      <c r="G290" s="16">
        <f t="shared" si="415"/>
        <v>0</v>
      </c>
      <c r="H290" s="16">
        <f t="shared" si="415"/>
        <v>0</v>
      </c>
      <c r="I290" s="16">
        <f t="shared" si="415"/>
        <v>0</v>
      </c>
      <c r="J290" s="16">
        <f t="shared" si="415"/>
        <v>0</v>
      </c>
      <c r="K290" s="16">
        <f t="shared" si="415"/>
        <v>0</v>
      </c>
      <c r="L290" s="16">
        <f t="shared" si="415"/>
        <v>0</v>
      </c>
      <c r="M290" s="16">
        <f t="shared" si="415"/>
        <v>0</v>
      </c>
      <c r="N290" s="16">
        <f t="shared" si="415"/>
        <v>0</v>
      </c>
      <c r="O290" s="16">
        <f t="shared" si="415"/>
        <v>0</v>
      </c>
      <c r="P290" s="16">
        <f t="shared" si="415"/>
        <v>0</v>
      </c>
      <c r="Q290" s="16">
        <f t="shared" si="415"/>
        <v>0</v>
      </c>
      <c r="R290" s="16">
        <f t="shared" si="415"/>
        <v>0</v>
      </c>
      <c r="S290" s="16">
        <f t="shared" si="415"/>
        <v>0</v>
      </c>
      <c r="T290" s="16">
        <f t="shared" si="415"/>
        <v>0</v>
      </c>
      <c r="U290" s="16">
        <f t="shared" si="415"/>
        <v>0</v>
      </c>
      <c r="V290" s="16">
        <f t="shared" si="415"/>
        <v>0</v>
      </c>
      <c r="W290" s="16">
        <f t="shared" si="415"/>
        <v>0</v>
      </c>
      <c r="X290" s="16">
        <f t="shared" si="415"/>
        <v>0</v>
      </c>
      <c r="Y290" s="16">
        <f t="shared" si="415"/>
        <v>0</v>
      </c>
      <c r="Z290" s="16">
        <f t="shared" si="415"/>
        <v>0</v>
      </c>
      <c r="AA290" s="16">
        <f t="shared" si="415"/>
        <v>0</v>
      </c>
      <c r="AB290" s="16">
        <f t="shared" si="415"/>
        <v>0</v>
      </c>
      <c r="AC290" s="16">
        <f t="shared" si="415"/>
        <v>0</v>
      </c>
      <c r="AD290" s="16">
        <f t="shared" si="415"/>
        <v>0</v>
      </c>
      <c r="AE290" s="16">
        <f t="shared" si="415"/>
        <v>0</v>
      </c>
      <c r="AF290" s="16">
        <f t="shared" si="415"/>
        <v>0</v>
      </c>
      <c r="AG290" s="16">
        <f t="shared" si="415"/>
        <v>0</v>
      </c>
      <c r="AH290" s="16">
        <f t="shared" si="415"/>
        <v>0</v>
      </c>
      <c r="AI290" s="16">
        <f t="shared" si="415"/>
        <v>0</v>
      </c>
      <c r="AJ290" s="16">
        <f t="shared" si="415"/>
        <v>0</v>
      </c>
      <c r="AK290" s="16">
        <f t="shared" ref="AK290:BR290" si="416">SUM(AK291)</f>
        <v>0</v>
      </c>
      <c r="AL290" s="16">
        <f t="shared" si="416"/>
        <v>0</v>
      </c>
      <c r="AM290" s="16">
        <f t="shared" si="416"/>
        <v>0</v>
      </c>
      <c r="AN290" s="16">
        <f t="shared" si="416"/>
        <v>0</v>
      </c>
      <c r="AO290" s="16">
        <f t="shared" si="416"/>
        <v>0</v>
      </c>
      <c r="AP290" s="16">
        <f t="shared" si="416"/>
        <v>0</v>
      </c>
      <c r="AQ290" s="16">
        <f t="shared" si="416"/>
        <v>0</v>
      </c>
      <c r="AR290" s="16">
        <f t="shared" si="416"/>
        <v>0</v>
      </c>
      <c r="AS290" s="16">
        <f t="shared" si="416"/>
        <v>0</v>
      </c>
      <c r="AT290" s="16">
        <f t="shared" si="416"/>
        <v>0</v>
      </c>
      <c r="AU290" s="16">
        <f t="shared" si="416"/>
        <v>0</v>
      </c>
      <c r="AV290" s="16">
        <f t="shared" si="416"/>
        <v>0</v>
      </c>
      <c r="AW290" s="16">
        <f t="shared" si="416"/>
        <v>0</v>
      </c>
      <c r="AX290" s="16">
        <f t="shared" si="416"/>
        <v>0</v>
      </c>
      <c r="AY290" s="16">
        <f t="shared" si="416"/>
        <v>0</v>
      </c>
      <c r="AZ290" s="16">
        <f t="shared" si="416"/>
        <v>0</v>
      </c>
      <c r="BA290" s="16">
        <f t="shared" si="416"/>
        <v>4776987</v>
      </c>
      <c r="BB290" s="16">
        <f t="shared" si="416"/>
        <v>0</v>
      </c>
      <c r="BC290" s="16">
        <f t="shared" si="416"/>
        <v>0</v>
      </c>
      <c r="BD290" s="16">
        <f t="shared" si="416"/>
        <v>0</v>
      </c>
      <c r="BE290" s="16">
        <f t="shared" si="416"/>
        <v>0</v>
      </c>
      <c r="BF290" s="16">
        <f t="shared" si="416"/>
        <v>4776987</v>
      </c>
      <c r="BG290" s="16">
        <f t="shared" si="416"/>
        <v>0</v>
      </c>
      <c r="BH290" s="16">
        <f t="shared" si="416"/>
        <v>4776987</v>
      </c>
      <c r="BI290" s="16">
        <f t="shared" si="416"/>
        <v>0</v>
      </c>
      <c r="BJ290" s="16">
        <f t="shared" si="416"/>
        <v>0</v>
      </c>
      <c r="BK290" s="16">
        <f t="shared" si="416"/>
        <v>0</v>
      </c>
      <c r="BL290" s="16">
        <f t="shared" si="416"/>
        <v>0</v>
      </c>
      <c r="BM290" s="16">
        <f t="shared" si="416"/>
        <v>0</v>
      </c>
      <c r="BN290" s="16">
        <f t="shared" si="416"/>
        <v>0</v>
      </c>
      <c r="BO290" s="16">
        <f t="shared" si="416"/>
        <v>0</v>
      </c>
      <c r="BP290" s="16">
        <f t="shared" si="416"/>
        <v>0</v>
      </c>
      <c r="BQ290" s="16">
        <f t="shared" si="416"/>
        <v>0</v>
      </c>
      <c r="BR290" s="16">
        <f t="shared" si="416"/>
        <v>0</v>
      </c>
      <c r="BS290" s="16">
        <f t="shared" ref="BS290:CW290" si="417">SUM(BS291)</f>
        <v>0</v>
      </c>
      <c r="BT290" s="16">
        <f t="shared" si="417"/>
        <v>0</v>
      </c>
      <c r="BU290" s="16">
        <f t="shared" si="417"/>
        <v>0</v>
      </c>
      <c r="BV290" s="16">
        <f t="shared" si="417"/>
        <v>0</v>
      </c>
      <c r="BW290" s="16">
        <f t="shared" si="417"/>
        <v>0</v>
      </c>
      <c r="BX290" s="16">
        <f t="shared" si="417"/>
        <v>0</v>
      </c>
      <c r="BY290" s="16">
        <f t="shared" si="417"/>
        <v>0</v>
      </c>
      <c r="BZ290" s="16">
        <f t="shared" si="417"/>
        <v>0</v>
      </c>
      <c r="CA290" s="16">
        <f t="shared" si="417"/>
        <v>0</v>
      </c>
      <c r="CB290" s="16">
        <f t="shared" si="417"/>
        <v>0</v>
      </c>
      <c r="CC290" s="16">
        <f t="shared" si="417"/>
        <v>0</v>
      </c>
      <c r="CD290" s="16">
        <f t="shared" si="417"/>
        <v>0</v>
      </c>
      <c r="CE290" s="16">
        <f t="shared" si="417"/>
        <v>0</v>
      </c>
      <c r="CF290" s="16">
        <f t="shared" si="417"/>
        <v>0</v>
      </c>
      <c r="CG290" s="16">
        <f t="shared" si="417"/>
        <v>0</v>
      </c>
      <c r="CH290" s="16">
        <f t="shared" si="417"/>
        <v>0</v>
      </c>
      <c r="CI290" s="16">
        <f t="shared" si="417"/>
        <v>0</v>
      </c>
      <c r="CJ290" s="16">
        <f t="shared" si="417"/>
        <v>0</v>
      </c>
      <c r="CK290" s="16">
        <f t="shared" si="417"/>
        <v>0</v>
      </c>
      <c r="CL290" s="16">
        <f t="shared" si="417"/>
        <v>0</v>
      </c>
      <c r="CM290" s="16">
        <f t="shared" si="417"/>
        <v>0</v>
      </c>
      <c r="CN290" s="16">
        <f t="shared" si="417"/>
        <v>0</v>
      </c>
      <c r="CO290" s="16">
        <f t="shared" si="417"/>
        <v>0</v>
      </c>
      <c r="CP290" s="16">
        <f t="shared" si="417"/>
        <v>0</v>
      </c>
      <c r="CQ290" s="16">
        <f t="shared" si="417"/>
        <v>0</v>
      </c>
      <c r="CR290" s="16">
        <f t="shared" si="417"/>
        <v>0</v>
      </c>
      <c r="CS290" s="16">
        <f t="shared" si="417"/>
        <v>0</v>
      </c>
      <c r="CT290" s="16">
        <f t="shared" si="417"/>
        <v>0</v>
      </c>
      <c r="CU290" s="16">
        <f t="shared" si="417"/>
        <v>0</v>
      </c>
      <c r="CV290" s="16">
        <f t="shared" si="417"/>
        <v>0</v>
      </c>
      <c r="CW290" s="17">
        <f t="shared" si="417"/>
        <v>0</v>
      </c>
      <c r="CX290" s="40"/>
      <c r="CY290" s="40"/>
    </row>
    <row r="291" spans="1:103" ht="15.75" x14ac:dyDescent="0.25">
      <c r="A291" s="13" t="s">
        <v>1</v>
      </c>
      <c r="B291" s="14" t="s">
        <v>1</v>
      </c>
      <c r="C291" s="14" t="s">
        <v>307</v>
      </c>
      <c r="D291" s="30" t="s">
        <v>306</v>
      </c>
      <c r="E291" s="15">
        <f>SUM(F291+BY291+CT291)</f>
        <v>4776987</v>
      </c>
      <c r="F291" s="16">
        <f>SUM(G291+BA291)</f>
        <v>4776987</v>
      </c>
      <c r="G291" s="16">
        <f>SUM(H291+I291+J291+Q291+T291+U291+V291+AE291)</f>
        <v>0</v>
      </c>
      <c r="H291" s="16">
        <v>0</v>
      </c>
      <c r="I291" s="16">
        <v>0</v>
      </c>
      <c r="J291" s="16">
        <f t="shared" ref="J291:J303" si="418">SUM(K291:P291)</f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  <c r="Q291" s="16">
        <f t="shared" ref="Q291:Q303" si="419">SUM(R291:S291)</f>
        <v>0</v>
      </c>
      <c r="R291" s="16">
        <v>0</v>
      </c>
      <c r="S291" s="16">
        <v>0</v>
      </c>
      <c r="T291" s="16">
        <v>0</v>
      </c>
      <c r="U291" s="16">
        <v>0</v>
      </c>
      <c r="V291" s="16">
        <f>SUM(W291:AD291)</f>
        <v>0</v>
      </c>
      <c r="W291" s="16">
        <v>0</v>
      </c>
      <c r="X291" s="16">
        <v>0</v>
      </c>
      <c r="Y291" s="16">
        <v>0</v>
      </c>
      <c r="Z291" s="16">
        <v>0</v>
      </c>
      <c r="AA291" s="16">
        <v>0</v>
      </c>
      <c r="AB291" s="16">
        <v>0</v>
      </c>
      <c r="AC291" s="16">
        <v>0</v>
      </c>
      <c r="AD291" s="16">
        <v>0</v>
      </c>
      <c r="AE291" s="16">
        <f>SUM(AF291:AZ291)</f>
        <v>0</v>
      </c>
      <c r="AF291" s="16">
        <v>0</v>
      </c>
      <c r="AG291" s="16">
        <v>0</v>
      </c>
      <c r="AH291" s="16">
        <v>0</v>
      </c>
      <c r="AI291" s="16">
        <v>0</v>
      </c>
      <c r="AJ291" s="16">
        <v>0</v>
      </c>
      <c r="AK291" s="16">
        <v>0</v>
      </c>
      <c r="AL291" s="16">
        <v>0</v>
      </c>
      <c r="AM291" s="16">
        <v>0</v>
      </c>
      <c r="AN291" s="16">
        <v>0</v>
      </c>
      <c r="AO291" s="16">
        <v>0</v>
      </c>
      <c r="AP291" s="16">
        <v>0</v>
      </c>
      <c r="AQ291" s="16">
        <v>0</v>
      </c>
      <c r="AR291" s="16">
        <v>0</v>
      </c>
      <c r="AS291" s="16">
        <v>0</v>
      </c>
      <c r="AT291" s="16">
        <v>0</v>
      </c>
      <c r="AU291" s="16">
        <v>0</v>
      </c>
      <c r="AV291" s="16">
        <v>0</v>
      </c>
      <c r="AW291" s="16">
        <v>0</v>
      </c>
      <c r="AX291" s="16">
        <v>0</v>
      </c>
      <c r="AY291" s="16">
        <v>0</v>
      </c>
      <c r="AZ291" s="16">
        <v>0</v>
      </c>
      <c r="BA291" s="16">
        <f>SUM(BB291+BF291+BI291+BK291+BM291)</f>
        <v>4776987</v>
      </c>
      <c r="BB291" s="16">
        <f>SUM(BC291:BE291)</f>
        <v>0</v>
      </c>
      <c r="BC291" s="16">
        <v>0</v>
      </c>
      <c r="BD291" s="16">
        <v>0</v>
      </c>
      <c r="BE291" s="16">
        <v>0</v>
      </c>
      <c r="BF291" s="16">
        <f t="shared" ref="BF291:BF303" si="420">SUM(BG291:BH291)</f>
        <v>4776987</v>
      </c>
      <c r="BG291" s="16">
        <v>0</v>
      </c>
      <c r="BH291" s="16">
        <f>6578160+549620-2350793</f>
        <v>4776987</v>
      </c>
      <c r="BI291" s="16">
        <v>0</v>
      </c>
      <c r="BJ291" s="16">
        <v>0</v>
      </c>
      <c r="BK291" s="16">
        <f t="shared" ref="BK291:BK303" si="421">SUM(BL291)</f>
        <v>0</v>
      </c>
      <c r="BL291" s="16">
        <v>0</v>
      </c>
      <c r="BM291" s="16">
        <f t="shared" ref="BM291:BM303" si="422">SUM(BN291:BX291)</f>
        <v>0</v>
      </c>
      <c r="BN291" s="16">
        <v>0</v>
      </c>
      <c r="BO291" s="16">
        <v>0</v>
      </c>
      <c r="BP291" s="16">
        <v>0</v>
      </c>
      <c r="BQ291" s="16">
        <v>0</v>
      </c>
      <c r="BR291" s="16">
        <v>0</v>
      </c>
      <c r="BS291" s="16">
        <v>0</v>
      </c>
      <c r="BT291" s="16">
        <v>0</v>
      </c>
      <c r="BU291" s="16">
        <v>0</v>
      </c>
      <c r="BV291" s="16">
        <v>0</v>
      </c>
      <c r="BW291" s="16">
        <v>0</v>
      </c>
      <c r="BX291" s="16">
        <v>0</v>
      </c>
      <c r="BY291" s="16">
        <f>SUM(BZ291+CS291)</f>
        <v>0</v>
      </c>
      <c r="BZ291" s="16">
        <f>SUM(CA291+CD291+CK291)</f>
        <v>0</v>
      </c>
      <c r="CA291" s="16">
        <f t="shared" ref="CA291:CA303" si="423">SUM(CB291:CC291)</f>
        <v>0</v>
      </c>
      <c r="CB291" s="16">
        <v>0</v>
      </c>
      <c r="CC291" s="16">
        <v>0</v>
      </c>
      <c r="CD291" s="16">
        <f t="shared" ref="CD291:CD303" si="424">SUM(CE291:CI291)</f>
        <v>0</v>
      </c>
      <c r="CE291" s="16">
        <v>0</v>
      </c>
      <c r="CF291" s="16">
        <v>0</v>
      </c>
      <c r="CG291" s="16">
        <v>0</v>
      </c>
      <c r="CH291" s="16">
        <v>0</v>
      </c>
      <c r="CI291" s="16">
        <v>0</v>
      </c>
      <c r="CJ291" s="16">
        <v>0</v>
      </c>
      <c r="CK291" s="16">
        <f t="shared" ref="CK291:CK303" si="425">SUM(CL291:CP291)</f>
        <v>0</v>
      </c>
      <c r="CL291" s="16">
        <v>0</v>
      </c>
      <c r="CM291" s="16">
        <v>0</v>
      </c>
      <c r="CN291" s="16">
        <v>0</v>
      </c>
      <c r="CO291" s="16">
        <v>0</v>
      </c>
      <c r="CP291" s="16">
        <v>0</v>
      </c>
      <c r="CQ291" s="16">
        <v>0</v>
      </c>
      <c r="CR291" s="16">
        <v>0</v>
      </c>
      <c r="CS291" s="16">
        <v>0</v>
      </c>
      <c r="CT291" s="16">
        <f t="shared" ref="CT291:CT303" si="426">SUM(CU291)</f>
        <v>0</v>
      </c>
      <c r="CU291" s="16">
        <f t="shared" ref="CU291:CU303" si="427">SUM(CV291:CW291)</f>
        <v>0</v>
      </c>
      <c r="CV291" s="16">
        <v>0</v>
      </c>
      <c r="CW291" s="17">
        <v>0</v>
      </c>
      <c r="CX291" s="40"/>
      <c r="CY291" s="40"/>
    </row>
    <row r="292" spans="1:103" ht="31.5" x14ac:dyDescent="0.25">
      <c r="A292" s="13" t="s">
        <v>305</v>
      </c>
      <c r="B292" s="14" t="s">
        <v>47</v>
      </c>
      <c r="C292" s="14" t="s">
        <v>1</v>
      </c>
      <c r="D292" s="30" t="s">
        <v>308</v>
      </c>
      <c r="E292" s="15">
        <f t="shared" ref="E292:AJ292" si="428">SUM(E293)</f>
        <v>64927109</v>
      </c>
      <c r="F292" s="16">
        <f t="shared" si="428"/>
        <v>61523020</v>
      </c>
      <c r="G292" s="16">
        <f t="shared" si="428"/>
        <v>51709739</v>
      </c>
      <c r="H292" s="16">
        <f t="shared" si="428"/>
        <v>30446811</v>
      </c>
      <c r="I292" s="16">
        <f t="shared" si="428"/>
        <v>754957</v>
      </c>
      <c r="J292" s="16">
        <f t="shared" si="428"/>
        <v>3871109</v>
      </c>
      <c r="K292" s="16">
        <f t="shared" si="428"/>
        <v>137984</v>
      </c>
      <c r="L292" s="16">
        <f t="shared" si="428"/>
        <v>1083970</v>
      </c>
      <c r="M292" s="16">
        <f t="shared" si="428"/>
        <v>0</v>
      </c>
      <c r="N292" s="16">
        <f t="shared" si="428"/>
        <v>16000</v>
      </c>
      <c r="O292" s="16">
        <f t="shared" si="428"/>
        <v>1760695</v>
      </c>
      <c r="P292" s="16">
        <f t="shared" si="428"/>
        <v>872460</v>
      </c>
      <c r="Q292" s="16">
        <f t="shared" si="428"/>
        <v>70827</v>
      </c>
      <c r="R292" s="16">
        <f t="shared" si="428"/>
        <v>14057</v>
      </c>
      <c r="S292" s="16">
        <f t="shared" si="428"/>
        <v>56770</v>
      </c>
      <c r="T292" s="16">
        <f t="shared" si="428"/>
        <v>8000</v>
      </c>
      <c r="U292" s="16">
        <f t="shared" si="428"/>
        <v>389546</v>
      </c>
      <c r="V292" s="16">
        <f t="shared" si="428"/>
        <v>1129867</v>
      </c>
      <c r="W292" s="16">
        <f t="shared" si="428"/>
        <v>65088</v>
      </c>
      <c r="X292" s="16">
        <f t="shared" si="428"/>
        <v>3921</v>
      </c>
      <c r="Y292" s="16">
        <f t="shared" si="428"/>
        <v>883977</v>
      </c>
      <c r="Z292" s="16">
        <f t="shared" si="428"/>
        <v>58735</v>
      </c>
      <c r="AA292" s="16">
        <f t="shared" si="428"/>
        <v>62560</v>
      </c>
      <c r="AB292" s="16">
        <f t="shared" si="428"/>
        <v>0</v>
      </c>
      <c r="AC292" s="16">
        <f t="shared" si="428"/>
        <v>0</v>
      </c>
      <c r="AD292" s="16">
        <f t="shared" si="428"/>
        <v>55586</v>
      </c>
      <c r="AE292" s="16">
        <f t="shared" si="428"/>
        <v>15038622</v>
      </c>
      <c r="AF292" s="16">
        <f t="shared" si="428"/>
        <v>0</v>
      </c>
      <c r="AG292" s="16">
        <f t="shared" si="428"/>
        <v>138947</v>
      </c>
      <c r="AH292" s="16">
        <f t="shared" si="428"/>
        <v>136162</v>
      </c>
      <c r="AI292" s="16">
        <f t="shared" si="428"/>
        <v>0</v>
      </c>
      <c r="AJ292" s="16">
        <f t="shared" si="428"/>
        <v>6320</v>
      </c>
      <c r="AK292" s="16">
        <f t="shared" ref="AK292:BR292" si="429">SUM(AK293)</f>
        <v>29485</v>
      </c>
      <c r="AL292" s="16">
        <f t="shared" si="429"/>
        <v>1173</v>
      </c>
      <c r="AM292" s="16">
        <f t="shared" si="429"/>
        <v>27627</v>
      </c>
      <c r="AN292" s="16">
        <f t="shared" si="429"/>
        <v>14550</v>
      </c>
      <c r="AO292" s="16">
        <f t="shared" si="429"/>
        <v>0</v>
      </c>
      <c r="AP292" s="16">
        <f t="shared" si="429"/>
        <v>0</v>
      </c>
      <c r="AQ292" s="16">
        <f t="shared" si="429"/>
        <v>0</v>
      </c>
      <c r="AR292" s="16">
        <f t="shared" si="429"/>
        <v>0</v>
      </c>
      <c r="AS292" s="16">
        <f t="shared" si="429"/>
        <v>0</v>
      </c>
      <c r="AT292" s="16">
        <f t="shared" si="429"/>
        <v>0</v>
      </c>
      <c r="AU292" s="16">
        <f t="shared" si="429"/>
        <v>0</v>
      </c>
      <c r="AV292" s="16">
        <f t="shared" si="429"/>
        <v>0</v>
      </c>
      <c r="AW292" s="16">
        <f t="shared" si="429"/>
        <v>9231087</v>
      </c>
      <c r="AX292" s="16">
        <f t="shared" si="429"/>
        <v>0</v>
      </c>
      <c r="AY292" s="16">
        <f t="shared" si="429"/>
        <v>268851</v>
      </c>
      <c r="AZ292" s="16">
        <f t="shared" si="429"/>
        <v>5184420</v>
      </c>
      <c r="BA292" s="16">
        <f t="shared" si="429"/>
        <v>9813281</v>
      </c>
      <c r="BB292" s="16">
        <f t="shared" si="429"/>
        <v>0</v>
      </c>
      <c r="BC292" s="16">
        <f t="shared" si="429"/>
        <v>0</v>
      </c>
      <c r="BD292" s="16">
        <f t="shared" si="429"/>
        <v>0</v>
      </c>
      <c r="BE292" s="16">
        <f t="shared" si="429"/>
        <v>0</v>
      </c>
      <c r="BF292" s="16">
        <f t="shared" si="429"/>
        <v>0</v>
      </c>
      <c r="BG292" s="16">
        <f t="shared" si="429"/>
        <v>0</v>
      </c>
      <c r="BH292" s="16">
        <f t="shared" si="429"/>
        <v>0</v>
      </c>
      <c r="BI292" s="16">
        <f t="shared" si="429"/>
        <v>0</v>
      </c>
      <c r="BJ292" s="16">
        <f t="shared" si="429"/>
        <v>0</v>
      </c>
      <c r="BK292" s="16">
        <f t="shared" si="429"/>
        <v>0</v>
      </c>
      <c r="BL292" s="16">
        <f t="shared" si="429"/>
        <v>0</v>
      </c>
      <c r="BM292" s="16">
        <f t="shared" si="429"/>
        <v>9813281</v>
      </c>
      <c r="BN292" s="16">
        <f t="shared" si="429"/>
        <v>0</v>
      </c>
      <c r="BO292" s="16">
        <f t="shared" si="429"/>
        <v>0</v>
      </c>
      <c r="BP292" s="16">
        <f t="shared" si="429"/>
        <v>0</v>
      </c>
      <c r="BQ292" s="16">
        <f t="shared" si="429"/>
        <v>0</v>
      </c>
      <c r="BR292" s="16">
        <f t="shared" si="429"/>
        <v>0</v>
      </c>
      <c r="BS292" s="16">
        <f t="shared" ref="BS292:CW292" si="430">SUM(BS293)</f>
        <v>0</v>
      </c>
      <c r="BT292" s="16">
        <f t="shared" si="430"/>
        <v>0</v>
      </c>
      <c r="BU292" s="16">
        <f t="shared" si="430"/>
        <v>0</v>
      </c>
      <c r="BV292" s="16">
        <f t="shared" si="430"/>
        <v>0</v>
      </c>
      <c r="BW292" s="16">
        <f t="shared" si="430"/>
        <v>915294</v>
      </c>
      <c r="BX292" s="16">
        <f t="shared" si="430"/>
        <v>8897987</v>
      </c>
      <c r="BY292" s="16">
        <f t="shared" si="430"/>
        <v>3404089</v>
      </c>
      <c r="BZ292" s="16">
        <f t="shared" si="430"/>
        <v>3404089</v>
      </c>
      <c r="CA292" s="16">
        <f t="shared" si="430"/>
        <v>2354041</v>
      </c>
      <c r="CB292" s="16">
        <f t="shared" si="430"/>
        <v>0</v>
      </c>
      <c r="CC292" s="16">
        <f t="shared" si="430"/>
        <v>2354041</v>
      </c>
      <c r="CD292" s="16">
        <f t="shared" si="430"/>
        <v>569664</v>
      </c>
      <c r="CE292" s="16">
        <f t="shared" si="430"/>
        <v>0</v>
      </c>
      <c r="CF292" s="16">
        <f t="shared" si="430"/>
        <v>0</v>
      </c>
      <c r="CG292" s="16">
        <f t="shared" si="430"/>
        <v>0</v>
      </c>
      <c r="CH292" s="16">
        <f t="shared" si="430"/>
        <v>329397</v>
      </c>
      <c r="CI292" s="16">
        <f t="shared" si="430"/>
        <v>0</v>
      </c>
      <c r="CJ292" s="16">
        <f t="shared" si="430"/>
        <v>240267</v>
      </c>
      <c r="CK292" s="16">
        <f t="shared" si="430"/>
        <v>480384</v>
      </c>
      <c r="CL292" s="16">
        <f t="shared" si="430"/>
        <v>0</v>
      </c>
      <c r="CM292" s="16">
        <f t="shared" si="430"/>
        <v>0</v>
      </c>
      <c r="CN292" s="16">
        <f t="shared" si="430"/>
        <v>250000</v>
      </c>
      <c r="CO292" s="16">
        <f t="shared" si="430"/>
        <v>230384</v>
      </c>
      <c r="CP292" s="16">
        <f t="shared" si="430"/>
        <v>0</v>
      </c>
      <c r="CQ292" s="16">
        <f t="shared" si="430"/>
        <v>0</v>
      </c>
      <c r="CR292" s="16">
        <f t="shared" si="430"/>
        <v>0</v>
      </c>
      <c r="CS292" s="16">
        <f t="shared" si="430"/>
        <v>0</v>
      </c>
      <c r="CT292" s="16">
        <f t="shared" si="430"/>
        <v>0</v>
      </c>
      <c r="CU292" s="16">
        <f t="shared" si="430"/>
        <v>0</v>
      </c>
      <c r="CV292" s="16">
        <f t="shared" si="430"/>
        <v>0</v>
      </c>
      <c r="CW292" s="17">
        <f t="shared" si="430"/>
        <v>0</v>
      </c>
      <c r="CX292" s="40"/>
      <c r="CY292" s="40"/>
    </row>
    <row r="293" spans="1:103" ht="31.5" x14ac:dyDescent="0.25">
      <c r="A293" s="13" t="s">
        <v>1</v>
      </c>
      <c r="B293" s="14" t="s">
        <v>1</v>
      </c>
      <c r="C293" s="14" t="s">
        <v>211</v>
      </c>
      <c r="D293" s="30" t="s">
        <v>308</v>
      </c>
      <c r="E293" s="15">
        <f>SUM(F293+BY293+CT293)</f>
        <v>64927109</v>
      </c>
      <c r="F293" s="16">
        <f>SUM(G293+BA293)</f>
        <v>61523020</v>
      </c>
      <c r="G293" s="16">
        <f>SUM(H293+I293+J293+Q293+T293+U293+V293+AE293)</f>
        <v>51709739</v>
      </c>
      <c r="H293" s="16">
        <f>32048779-1601968</f>
        <v>30446811</v>
      </c>
      <c r="I293" s="16">
        <f>1218144-463187</f>
        <v>754957</v>
      </c>
      <c r="J293" s="16">
        <f t="shared" si="418"/>
        <v>3871109</v>
      </c>
      <c r="K293" s="16">
        <f>77600+60384</f>
        <v>137984</v>
      </c>
      <c r="L293" s="16">
        <f>1720316-636346</f>
        <v>1083970</v>
      </c>
      <c r="M293" s="16">
        <v>0</v>
      </c>
      <c r="N293" s="16">
        <f>38102-22102</f>
        <v>16000</v>
      </c>
      <c r="O293" s="16">
        <f>2357171-596476</f>
        <v>1760695</v>
      </c>
      <c r="P293" s="16">
        <f>1189729-317269</f>
        <v>872460</v>
      </c>
      <c r="Q293" s="16">
        <f t="shared" si="419"/>
        <v>70827</v>
      </c>
      <c r="R293" s="16">
        <f>5073+8984</f>
        <v>14057</v>
      </c>
      <c r="S293" s="16">
        <f>248321-191551</f>
        <v>56770</v>
      </c>
      <c r="T293" s="16">
        <f>12820-4820</f>
        <v>8000</v>
      </c>
      <c r="U293" s="16">
        <f>475143-85597</f>
        <v>389546</v>
      </c>
      <c r="V293" s="16">
        <f>SUM(W293:AD293)</f>
        <v>1129867</v>
      </c>
      <c r="W293" s="16">
        <f>94170-29082</f>
        <v>65088</v>
      </c>
      <c r="X293" s="16">
        <f>3876+45</f>
        <v>3921</v>
      </c>
      <c r="Y293" s="16">
        <f>834175+49802</f>
        <v>883977</v>
      </c>
      <c r="Z293" s="16">
        <f>50032+8703</f>
        <v>58735</v>
      </c>
      <c r="AA293" s="16">
        <f>86169-23609</f>
        <v>62560</v>
      </c>
      <c r="AB293" s="16">
        <v>0</v>
      </c>
      <c r="AC293" s="16">
        <v>0</v>
      </c>
      <c r="AD293" s="16">
        <f>53085+2501</f>
        <v>55586</v>
      </c>
      <c r="AE293" s="16">
        <f>SUM(AF293:AZ293)</f>
        <v>15038622</v>
      </c>
      <c r="AF293" s="16">
        <v>0</v>
      </c>
      <c r="AG293" s="16">
        <f>181187-61051+18811</f>
        <v>138947</v>
      </c>
      <c r="AH293" s="16">
        <f>414761-278599</f>
        <v>136162</v>
      </c>
      <c r="AI293" s="16">
        <v>0</v>
      </c>
      <c r="AJ293" s="16">
        <f>22086-15766</f>
        <v>6320</v>
      </c>
      <c r="AK293" s="16">
        <f>107095-77610</f>
        <v>29485</v>
      </c>
      <c r="AL293" s="16">
        <f>320488-319315</f>
        <v>1173</v>
      </c>
      <c r="AM293" s="16">
        <f>28450+4-827</f>
        <v>27627</v>
      </c>
      <c r="AN293" s="16">
        <v>14550</v>
      </c>
      <c r="AO293" s="16">
        <v>0</v>
      </c>
      <c r="AP293" s="16">
        <v>0</v>
      </c>
      <c r="AQ293" s="16">
        <v>0</v>
      </c>
      <c r="AR293" s="16">
        <v>0</v>
      </c>
      <c r="AS293" s="16">
        <v>0</v>
      </c>
      <c r="AT293" s="16">
        <v>0</v>
      </c>
      <c r="AU293" s="16">
        <v>0</v>
      </c>
      <c r="AV293" s="16">
        <v>0</v>
      </c>
      <c r="AW293" s="16">
        <f>0+9231087</f>
        <v>9231087</v>
      </c>
      <c r="AX293" s="16">
        <v>0</v>
      </c>
      <c r="AY293" s="16">
        <f>0+268851</f>
        <v>268851</v>
      </c>
      <c r="AZ293" s="16">
        <f>6693110-4-1508686</f>
        <v>5184420</v>
      </c>
      <c r="BA293" s="16">
        <f>SUM(BB293+BF293+BI293+BK293+BM293)</f>
        <v>9813281</v>
      </c>
      <c r="BB293" s="16">
        <f>SUM(BC293:BE293)</f>
        <v>0</v>
      </c>
      <c r="BC293" s="16">
        <v>0</v>
      </c>
      <c r="BD293" s="16">
        <v>0</v>
      </c>
      <c r="BE293" s="16">
        <v>0</v>
      </c>
      <c r="BF293" s="16">
        <f t="shared" si="420"/>
        <v>0</v>
      </c>
      <c r="BG293" s="16">
        <v>0</v>
      </c>
      <c r="BH293" s="16">
        <v>0</v>
      </c>
      <c r="BI293" s="16">
        <v>0</v>
      </c>
      <c r="BJ293" s="16">
        <v>0</v>
      </c>
      <c r="BK293" s="16">
        <f t="shared" si="421"/>
        <v>0</v>
      </c>
      <c r="BL293" s="16">
        <v>0</v>
      </c>
      <c r="BM293" s="16">
        <f t="shared" si="422"/>
        <v>9813281</v>
      </c>
      <c r="BN293" s="16">
        <v>0</v>
      </c>
      <c r="BO293" s="16">
        <v>0</v>
      </c>
      <c r="BP293" s="16">
        <v>0</v>
      </c>
      <c r="BQ293" s="16">
        <v>0</v>
      </c>
      <c r="BR293" s="16">
        <v>0</v>
      </c>
      <c r="BS293" s="16">
        <v>0</v>
      </c>
      <c r="BT293" s="16">
        <v>0</v>
      </c>
      <c r="BU293" s="16">
        <v>0</v>
      </c>
      <c r="BV293" s="16">
        <v>0</v>
      </c>
      <c r="BW293" s="16">
        <f>1060010-144716</f>
        <v>915294</v>
      </c>
      <c r="BX293" s="16">
        <f>18579386-9681399</f>
        <v>8897987</v>
      </c>
      <c r="BY293" s="16">
        <f>SUM(BZ293+CS293)</f>
        <v>3404089</v>
      </c>
      <c r="BZ293" s="16">
        <f>SUM(CA293+CD293+CK293)</f>
        <v>3404089</v>
      </c>
      <c r="CA293" s="16">
        <f t="shared" si="423"/>
        <v>2354041</v>
      </c>
      <c r="CB293" s="16">
        <v>0</v>
      </c>
      <c r="CC293" s="16">
        <f>3106000-751959</f>
        <v>2354041</v>
      </c>
      <c r="CD293" s="16">
        <f>SUM(CE293:CJ293)</f>
        <v>569664</v>
      </c>
      <c r="CE293" s="16">
        <v>0</v>
      </c>
      <c r="CF293" s="16">
        <v>0</v>
      </c>
      <c r="CG293" s="16">
        <v>0</v>
      </c>
      <c r="CH293" s="16">
        <f>656654-327257</f>
        <v>329397</v>
      </c>
      <c r="CI293" s="16">
        <v>0</v>
      </c>
      <c r="CJ293" s="16">
        <f>0+240267</f>
        <v>240267</v>
      </c>
      <c r="CK293" s="16">
        <f t="shared" si="425"/>
        <v>480384</v>
      </c>
      <c r="CL293" s="16">
        <v>0</v>
      </c>
      <c r="CM293" s="16">
        <v>0</v>
      </c>
      <c r="CN293" s="16">
        <f>0+250000</f>
        <v>250000</v>
      </c>
      <c r="CO293" s="16">
        <f>0+230384</f>
        <v>230384</v>
      </c>
      <c r="CP293" s="16">
        <v>0</v>
      </c>
      <c r="CQ293" s="16">
        <v>0</v>
      </c>
      <c r="CR293" s="16">
        <v>0</v>
      </c>
      <c r="CS293" s="16">
        <v>0</v>
      </c>
      <c r="CT293" s="16">
        <f t="shared" si="426"/>
        <v>0</v>
      </c>
      <c r="CU293" s="16">
        <f t="shared" si="427"/>
        <v>0</v>
      </c>
      <c r="CV293" s="16">
        <v>0</v>
      </c>
      <c r="CW293" s="17">
        <v>0</v>
      </c>
      <c r="CX293" s="40"/>
      <c r="CY293" s="40"/>
    </row>
    <row r="294" spans="1:103" ht="31.5" x14ac:dyDescent="0.25">
      <c r="A294" s="13" t="s">
        <v>305</v>
      </c>
      <c r="B294" s="14" t="s">
        <v>117</v>
      </c>
      <c r="C294" s="14" t="s">
        <v>1</v>
      </c>
      <c r="D294" s="30" t="s">
        <v>309</v>
      </c>
      <c r="E294" s="15">
        <f t="shared" ref="E294:AJ294" si="431">SUM(E295)</f>
        <v>31675595</v>
      </c>
      <c r="F294" s="16">
        <f t="shared" si="431"/>
        <v>31675595</v>
      </c>
      <c r="G294" s="16">
        <f t="shared" si="431"/>
        <v>0</v>
      </c>
      <c r="H294" s="16">
        <f t="shared" si="431"/>
        <v>0</v>
      </c>
      <c r="I294" s="16">
        <f t="shared" si="431"/>
        <v>0</v>
      </c>
      <c r="J294" s="16">
        <f t="shared" si="431"/>
        <v>0</v>
      </c>
      <c r="K294" s="16">
        <f t="shared" si="431"/>
        <v>0</v>
      </c>
      <c r="L294" s="16">
        <f t="shared" si="431"/>
        <v>0</v>
      </c>
      <c r="M294" s="16">
        <f t="shared" si="431"/>
        <v>0</v>
      </c>
      <c r="N294" s="16">
        <f t="shared" si="431"/>
        <v>0</v>
      </c>
      <c r="O294" s="16">
        <f t="shared" si="431"/>
        <v>0</v>
      </c>
      <c r="P294" s="16">
        <f t="shared" si="431"/>
        <v>0</v>
      </c>
      <c r="Q294" s="16">
        <f t="shared" si="431"/>
        <v>0</v>
      </c>
      <c r="R294" s="16">
        <f t="shared" si="431"/>
        <v>0</v>
      </c>
      <c r="S294" s="16">
        <f t="shared" si="431"/>
        <v>0</v>
      </c>
      <c r="T294" s="16">
        <f t="shared" si="431"/>
        <v>0</v>
      </c>
      <c r="U294" s="16">
        <f t="shared" si="431"/>
        <v>0</v>
      </c>
      <c r="V294" s="16">
        <f t="shared" si="431"/>
        <v>0</v>
      </c>
      <c r="W294" s="16">
        <f t="shared" si="431"/>
        <v>0</v>
      </c>
      <c r="X294" s="16">
        <f t="shared" si="431"/>
        <v>0</v>
      </c>
      <c r="Y294" s="16">
        <f t="shared" si="431"/>
        <v>0</v>
      </c>
      <c r="Z294" s="16">
        <f t="shared" si="431"/>
        <v>0</v>
      </c>
      <c r="AA294" s="16">
        <f t="shared" si="431"/>
        <v>0</v>
      </c>
      <c r="AB294" s="16">
        <f t="shared" si="431"/>
        <v>0</v>
      </c>
      <c r="AC294" s="16">
        <f t="shared" si="431"/>
        <v>0</v>
      </c>
      <c r="AD294" s="16">
        <f t="shared" si="431"/>
        <v>0</v>
      </c>
      <c r="AE294" s="16">
        <f t="shared" si="431"/>
        <v>0</v>
      </c>
      <c r="AF294" s="16">
        <f t="shared" si="431"/>
        <v>0</v>
      </c>
      <c r="AG294" s="16">
        <f t="shared" si="431"/>
        <v>0</v>
      </c>
      <c r="AH294" s="16">
        <f t="shared" si="431"/>
        <v>0</v>
      </c>
      <c r="AI294" s="16">
        <f t="shared" si="431"/>
        <v>0</v>
      </c>
      <c r="AJ294" s="16">
        <f t="shared" si="431"/>
        <v>0</v>
      </c>
      <c r="AK294" s="16">
        <f t="shared" ref="AK294:BR294" si="432">SUM(AK295)</f>
        <v>0</v>
      </c>
      <c r="AL294" s="16">
        <f t="shared" si="432"/>
        <v>0</v>
      </c>
      <c r="AM294" s="16">
        <f t="shared" si="432"/>
        <v>0</v>
      </c>
      <c r="AN294" s="16">
        <f t="shared" si="432"/>
        <v>0</v>
      </c>
      <c r="AO294" s="16">
        <f t="shared" si="432"/>
        <v>0</v>
      </c>
      <c r="AP294" s="16">
        <f t="shared" si="432"/>
        <v>0</v>
      </c>
      <c r="AQ294" s="16">
        <f t="shared" si="432"/>
        <v>0</v>
      </c>
      <c r="AR294" s="16">
        <f t="shared" si="432"/>
        <v>0</v>
      </c>
      <c r="AS294" s="16">
        <f t="shared" si="432"/>
        <v>0</v>
      </c>
      <c r="AT294" s="16">
        <f t="shared" si="432"/>
        <v>0</v>
      </c>
      <c r="AU294" s="16">
        <f t="shared" si="432"/>
        <v>0</v>
      </c>
      <c r="AV294" s="16">
        <f t="shared" si="432"/>
        <v>0</v>
      </c>
      <c r="AW294" s="16">
        <f t="shared" si="432"/>
        <v>0</v>
      </c>
      <c r="AX294" s="16">
        <f t="shared" si="432"/>
        <v>0</v>
      </c>
      <c r="AY294" s="16">
        <f t="shared" si="432"/>
        <v>0</v>
      </c>
      <c r="AZ294" s="16">
        <f t="shared" si="432"/>
        <v>0</v>
      </c>
      <c r="BA294" s="16">
        <f t="shared" si="432"/>
        <v>31675595</v>
      </c>
      <c r="BB294" s="16">
        <f t="shared" si="432"/>
        <v>0</v>
      </c>
      <c r="BC294" s="16">
        <f t="shared" si="432"/>
        <v>0</v>
      </c>
      <c r="BD294" s="16">
        <f t="shared" si="432"/>
        <v>0</v>
      </c>
      <c r="BE294" s="16">
        <f t="shared" si="432"/>
        <v>0</v>
      </c>
      <c r="BF294" s="16">
        <f t="shared" si="432"/>
        <v>0</v>
      </c>
      <c r="BG294" s="16">
        <f t="shared" si="432"/>
        <v>0</v>
      </c>
      <c r="BH294" s="16">
        <f t="shared" si="432"/>
        <v>0</v>
      </c>
      <c r="BI294" s="16">
        <f t="shared" si="432"/>
        <v>0</v>
      </c>
      <c r="BJ294" s="16">
        <f t="shared" si="432"/>
        <v>0</v>
      </c>
      <c r="BK294" s="16">
        <f t="shared" si="432"/>
        <v>0</v>
      </c>
      <c r="BL294" s="16">
        <f t="shared" si="432"/>
        <v>0</v>
      </c>
      <c r="BM294" s="16">
        <f t="shared" si="432"/>
        <v>31675595</v>
      </c>
      <c r="BN294" s="16">
        <f t="shared" si="432"/>
        <v>0</v>
      </c>
      <c r="BO294" s="16">
        <f t="shared" si="432"/>
        <v>0</v>
      </c>
      <c r="BP294" s="16">
        <f t="shared" si="432"/>
        <v>0</v>
      </c>
      <c r="BQ294" s="16">
        <f t="shared" si="432"/>
        <v>0</v>
      </c>
      <c r="BR294" s="16">
        <f t="shared" si="432"/>
        <v>0</v>
      </c>
      <c r="BS294" s="16">
        <f t="shared" ref="BS294:CW294" si="433">SUM(BS295)</f>
        <v>0</v>
      </c>
      <c r="BT294" s="16">
        <f t="shared" si="433"/>
        <v>0</v>
      </c>
      <c r="BU294" s="16">
        <f t="shared" si="433"/>
        <v>0</v>
      </c>
      <c r="BV294" s="16">
        <f t="shared" si="433"/>
        <v>0</v>
      </c>
      <c r="BW294" s="16">
        <f t="shared" si="433"/>
        <v>0</v>
      </c>
      <c r="BX294" s="16">
        <f t="shared" si="433"/>
        <v>31675595</v>
      </c>
      <c r="BY294" s="16">
        <f t="shared" si="433"/>
        <v>0</v>
      </c>
      <c r="BZ294" s="16">
        <f t="shared" si="433"/>
        <v>0</v>
      </c>
      <c r="CA294" s="16">
        <f t="shared" si="433"/>
        <v>0</v>
      </c>
      <c r="CB294" s="16">
        <f t="shared" si="433"/>
        <v>0</v>
      </c>
      <c r="CC294" s="16">
        <f t="shared" si="433"/>
        <v>0</v>
      </c>
      <c r="CD294" s="16">
        <f t="shared" si="433"/>
        <v>0</v>
      </c>
      <c r="CE294" s="16">
        <f t="shared" si="433"/>
        <v>0</v>
      </c>
      <c r="CF294" s="16">
        <f t="shared" si="433"/>
        <v>0</v>
      </c>
      <c r="CG294" s="16">
        <f t="shared" si="433"/>
        <v>0</v>
      </c>
      <c r="CH294" s="16">
        <f t="shared" si="433"/>
        <v>0</v>
      </c>
      <c r="CI294" s="16">
        <f t="shared" si="433"/>
        <v>0</v>
      </c>
      <c r="CJ294" s="16">
        <f t="shared" si="433"/>
        <v>0</v>
      </c>
      <c r="CK294" s="16">
        <f t="shared" si="433"/>
        <v>0</v>
      </c>
      <c r="CL294" s="16">
        <f t="shared" si="433"/>
        <v>0</v>
      </c>
      <c r="CM294" s="16">
        <f t="shared" si="433"/>
        <v>0</v>
      </c>
      <c r="CN294" s="16">
        <f t="shared" si="433"/>
        <v>0</v>
      </c>
      <c r="CO294" s="16">
        <f t="shared" si="433"/>
        <v>0</v>
      </c>
      <c r="CP294" s="16">
        <f t="shared" si="433"/>
        <v>0</v>
      </c>
      <c r="CQ294" s="16">
        <f t="shared" si="433"/>
        <v>0</v>
      </c>
      <c r="CR294" s="16">
        <f t="shared" si="433"/>
        <v>0</v>
      </c>
      <c r="CS294" s="16">
        <f t="shared" si="433"/>
        <v>0</v>
      </c>
      <c r="CT294" s="16">
        <f t="shared" si="433"/>
        <v>0</v>
      </c>
      <c r="CU294" s="16">
        <f t="shared" si="433"/>
        <v>0</v>
      </c>
      <c r="CV294" s="16">
        <f t="shared" si="433"/>
        <v>0</v>
      </c>
      <c r="CW294" s="17">
        <f t="shared" si="433"/>
        <v>0</v>
      </c>
      <c r="CX294" s="40"/>
      <c r="CY294" s="40"/>
    </row>
    <row r="295" spans="1:103" ht="31.5" x14ac:dyDescent="0.25">
      <c r="A295" s="13" t="s">
        <v>1</v>
      </c>
      <c r="B295" s="14" t="s">
        <v>1</v>
      </c>
      <c r="C295" s="14" t="s">
        <v>29</v>
      </c>
      <c r="D295" s="30" t="s">
        <v>310</v>
      </c>
      <c r="E295" s="15">
        <f>SUM(F295+BY295+CT295)</f>
        <v>31675595</v>
      </c>
      <c r="F295" s="16">
        <f>SUM(G295+BA295)</f>
        <v>31675595</v>
      </c>
      <c r="G295" s="16">
        <f>SUM(H295+I295+J295+Q295+T295+U295+V295+AE295)</f>
        <v>0</v>
      </c>
      <c r="H295" s="16">
        <v>0</v>
      </c>
      <c r="I295" s="16">
        <v>0</v>
      </c>
      <c r="J295" s="16">
        <f t="shared" si="418"/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  <c r="Q295" s="16">
        <f t="shared" si="419"/>
        <v>0</v>
      </c>
      <c r="R295" s="16">
        <v>0</v>
      </c>
      <c r="S295" s="16">
        <v>0</v>
      </c>
      <c r="T295" s="16">
        <v>0</v>
      </c>
      <c r="U295" s="16">
        <v>0</v>
      </c>
      <c r="V295" s="16">
        <f>SUM(W295:AD295)</f>
        <v>0</v>
      </c>
      <c r="W295" s="16">
        <v>0</v>
      </c>
      <c r="X295" s="16">
        <v>0</v>
      </c>
      <c r="Y295" s="16">
        <v>0</v>
      </c>
      <c r="Z295" s="16">
        <v>0</v>
      </c>
      <c r="AA295" s="16">
        <v>0</v>
      </c>
      <c r="AB295" s="16">
        <v>0</v>
      </c>
      <c r="AC295" s="16">
        <v>0</v>
      </c>
      <c r="AD295" s="16">
        <v>0</v>
      </c>
      <c r="AE295" s="16">
        <f>SUM(AF295:AZ295)</f>
        <v>0</v>
      </c>
      <c r="AF295" s="16">
        <v>0</v>
      </c>
      <c r="AG295" s="16">
        <v>0</v>
      </c>
      <c r="AH295" s="16">
        <v>0</v>
      </c>
      <c r="AI295" s="16">
        <v>0</v>
      </c>
      <c r="AJ295" s="16">
        <v>0</v>
      </c>
      <c r="AK295" s="16">
        <v>0</v>
      </c>
      <c r="AL295" s="16">
        <v>0</v>
      </c>
      <c r="AM295" s="16">
        <v>0</v>
      </c>
      <c r="AN295" s="16">
        <v>0</v>
      </c>
      <c r="AO295" s="16">
        <v>0</v>
      </c>
      <c r="AP295" s="16">
        <v>0</v>
      </c>
      <c r="AQ295" s="16">
        <v>0</v>
      </c>
      <c r="AR295" s="16">
        <v>0</v>
      </c>
      <c r="AS295" s="16">
        <v>0</v>
      </c>
      <c r="AT295" s="16">
        <v>0</v>
      </c>
      <c r="AU295" s="16">
        <v>0</v>
      </c>
      <c r="AV295" s="16">
        <v>0</v>
      </c>
      <c r="AW295" s="16">
        <v>0</v>
      </c>
      <c r="AX295" s="16">
        <v>0</v>
      </c>
      <c r="AY295" s="16">
        <v>0</v>
      </c>
      <c r="AZ295" s="16">
        <v>0</v>
      </c>
      <c r="BA295" s="16">
        <f>SUM(BB295+BF295+BI295+BK295+BM295)</f>
        <v>31675595</v>
      </c>
      <c r="BB295" s="16">
        <f>SUM(BC295:BE295)</f>
        <v>0</v>
      </c>
      <c r="BC295" s="16">
        <v>0</v>
      </c>
      <c r="BD295" s="16">
        <v>0</v>
      </c>
      <c r="BE295" s="16">
        <v>0</v>
      </c>
      <c r="BF295" s="16">
        <f t="shared" si="420"/>
        <v>0</v>
      </c>
      <c r="BG295" s="16">
        <v>0</v>
      </c>
      <c r="BH295" s="16">
        <v>0</v>
      </c>
      <c r="BI295" s="16">
        <v>0</v>
      </c>
      <c r="BJ295" s="16">
        <v>0</v>
      </c>
      <c r="BK295" s="16">
        <f t="shared" si="421"/>
        <v>0</v>
      </c>
      <c r="BL295" s="16">
        <v>0</v>
      </c>
      <c r="BM295" s="16">
        <f t="shared" si="422"/>
        <v>31675595</v>
      </c>
      <c r="BN295" s="16">
        <v>0</v>
      </c>
      <c r="BO295" s="16">
        <v>0</v>
      </c>
      <c r="BP295" s="16">
        <v>0</v>
      </c>
      <c r="BQ295" s="16">
        <v>0</v>
      </c>
      <c r="BR295" s="16">
        <v>0</v>
      </c>
      <c r="BS295" s="16">
        <v>0</v>
      </c>
      <c r="BT295" s="16">
        <v>0</v>
      </c>
      <c r="BU295" s="16">
        <v>0</v>
      </c>
      <c r="BV295" s="16">
        <v>0</v>
      </c>
      <c r="BW295" s="16">
        <v>0</v>
      </c>
      <c r="BX295" s="16">
        <f>45653982-13978387</f>
        <v>31675595</v>
      </c>
      <c r="BY295" s="16">
        <f>SUM(BZ295+CS295)</f>
        <v>0</v>
      </c>
      <c r="BZ295" s="16">
        <f>SUM(CA295+CD295+CK295)</f>
        <v>0</v>
      </c>
      <c r="CA295" s="16">
        <f t="shared" si="423"/>
        <v>0</v>
      </c>
      <c r="CB295" s="16">
        <v>0</v>
      </c>
      <c r="CC295" s="16">
        <v>0</v>
      </c>
      <c r="CD295" s="16">
        <f t="shared" si="424"/>
        <v>0</v>
      </c>
      <c r="CE295" s="16">
        <v>0</v>
      </c>
      <c r="CF295" s="16">
        <v>0</v>
      </c>
      <c r="CG295" s="16">
        <v>0</v>
      </c>
      <c r="CH295" s="16">
        <v>0</v>
      </c>
      <c r="CI295" s="16">
        <v>0</v>
      </c>
      <c r="CJ295" s="16">
        <v>0</v>
      </c>
      <c r="CK295" s="16">
        <f t="shared" si="425"/>
        <v>0</v>
      </c>
      <c r="CL295" s="16">
        <v>0</v>
      </c>
      <c r="CM295" s="16">
        <v>0</v>
      </c>
      <c r="CN295" s="16">
        <v>0</v>
      </c>
      <c r="CO295" s="16">
        <v>0</v>
      </c>
      <c r="CP295" s="16">
        <v>0</v>
      </c>
      <c r="CQ295" s="16">
        <v>0</v>
      </c>
      <c r="CR295" s="16">
        <v>0</v>
      </c>
      <c r="CS295" s="16">
        <v>0</v>
      </c>
      <c r="CT295" s="16">
        <f t="shared" si="426"/>
        <v>0</v>
      </c>
      <c r="CU295" s="16">
        <f t="shared" si="427"/>
        <v>0</v>
      </c>
      <c r="CV295" s="16">
        <v>0</v>
      </c>
      <c r="CW295" s="17">
        <v>0</v>
      </c>
      <c r="CX295" s="40"/>
      <c r="CY295" s="40"/>
    </row>
    <row r="296" spans="1:103" ht="15.75" x14ac:dyDescent="0.25">
      <c r="A296" s="13" t="s">
        <v>305</v>
      </c>
      <c r="B296" s="14" t="s">
        <v>100</v>
      </c>
      <c r="C296" s="14" t="s">
        <v>1</v>
      </c>
      <c r="D296" s="30" t="s">
        <v>311</v>
      </c>
      <c r="E296" s="15">
        <f t="shared" ref="E296:AJ296" si="434">SUM(E297)</f>
        <v>290841599</v>
      </c>
      <c r="F296" s="16">
        <f t="shared" si="434"/>
        <v>27343630</v>
      </c>
      <c r="G296" s="16">
        <f t="shared" si="434"/>
        <v>25942495</v>
      </c>
      <c r="H296" s="16">
        <f t="shared" si="434"/>
        <v>0</v>
      </c>
      <c r="I296" s="16">
        <f t="shared" si="434"/>
        <v>0</v>
      </c>
      <c r="J296" s="16">
        <f t="shared" si="434"/>
        <v>12910946</v>
      </c>
      <c r="K296" s="16">
        <f t="shared" si="434"/>
        <v>0</v>
      </c>
      <c r="L296" s="16">
        <f t="shared" si="434"/>
        <v>86900</v>
      </c>
      <c r="M296" s="16">
        <f t="shared" si="434"/>
        <v>0</v>
      </c>
      <c r="N296" s="16">
        <f t="shared" si="434"/>
        <v>0</v>
      </c>
      <c r="O296" s="16">
        <f t="shared" si="434"/>
        <v>11453844</v>
      </c>
      <c r="P296" s="16">
        <f t="shared" si="434"/>
        <v>1370202</v>
      </c>
      <c r="Q296" s="16">
        <f t="shared" si="434"/>
        <v>0</v>
      </c>
      <c r="R296" s="16">
        <f t="shared" si="434"/>
        <v>0</v>
      </c>
      <c r="S296" s="16">
        <f t="shared" si="434"/>
        <v>0</v>
      </c>
      <c r="T296" s="16">
        <f t="shared" si="434"/>
        <v>0</v>
      </c>
      <c r="U296" s="16">
        <f t="shared" si="434"/>
        <v>0</v>
      </c>
      <c r="V296" s="16">
        <f t="shared" si="434"/>
        <v>0</v>
      </c>
      <c r="W296" s="16">
        <f t="shared" si="434"/>
        <v>0</v>
      </c>
      <c r="X296" s="16">
        <f t="shared" si="434"/>
        <v>0</v>
      </c>
      <c r="Y296" s="16">
        <f t="shared" si="434"/>
        <v>0</v>
      </c>
      <c r="Z296" s="16">
        <f t="shared" si="434"/>
        <v>0</v>
      </c>
      <c r="AA296" s="16">
        <f t="shared" si="434"/>
        <v>0</v>
      </c>
      <c r="AB296" s="16">
        <f t="shared" si="434"/>
        <v>0</v>
      </c>
      <c r="AC296" s="16">
        <f t="shared" si="434"/>
        <v>0</v>
      </c>
      <c r="AD296" s="16">
        <f t="shared" si="434"/>
        <v>0</v>
      </c>
      <c r="AE296" s="16">
        <f t="shared" si="434"/>
        <v>13031549</v>
      </c>
      <c r="AF296" s="16">
        <f t="shared" si="434"/>
        <v>0</v>
      </c>
      <c r="AG296" s="16">
        <f t="shared" si="434"/>
        <v>0</v>
      </c>
      <c r="AH296" s="16">
        <f t="shared" si="434"/>
        <v>0</v>
      </c>
      <c r="AI296" s="16">
        <f t="shared" si="434"/>
        <v>0</v>
      </c>
      <c r="AJ296" s="16">
        <f t="shared" si="434"/>
        <v>0</v>
      </c>
      <c r="AK296" s="16">
        <f t="shared" ref="AK296:BR296" si="435">SUM(AK297)</f>
        <v>0</v>
      </c>
      <c r="AL296" s="16">
        <f t="shared" si="435"/>
        <v>0</v>
      </c>
      <c r="AM296" s="16">
        <f t="shared" si="435"/>
        <v>0</v>
      </c>
      <c r="AN296" s="16">
        <f t="shared" si="435"/>
        <v>0</v>
      </c>
      <c r="AO296" s="16">
        <f t="shared" si="435"/>
        <v>0</v>
      </c>
      <c r="AP296" s="16">
        <f t="shared" si="435"/>
        <v>0</v>
      </c>
      <c r="AQ296" s="16">
        <f t="shared" si="435"/>
        <v>0</v>
      </c>
      <c r="AR296" s="16">
        <f t="shared" si="435"/>
        <v>0</v>
      </c>
      <c r="AS296" s="16">
        <f t="shared" si="435"/>
        <v>0</v>
      </c>
      <c r="AT296" s="16">
        <f t="shared" si="435"/>
        <v>0</v>
      </c>
      <c r="AU296" s="16">
        <f t="shared" si="435"/>
        <v>0</v>
      </c>
      <c r="AV296" s="16">
        <f t="shared" si="435"/>
        <v>13031549</v>
      </c>
      <c r="AW296" s="16">
        <f t="shared" si="435"/>
        <v>0</v>
      </c>
      <c r="AX296" s="16">
        <f t="shared" si="435"/>
        <v>0</v>
      </c>
      <c r="AY296" s="16">
        <f t="shared" si="435"/>
        <v>0</v>
      </c>
      <c r="AZ296" s="16">
        <f t="shared" si="435"/>
        <v>0</v>
      </c>
      <c r="BA296" s="16">
        <f t="shared" si="435"/>
        <v>1401135</v>
      </c>
      <c r="BB296" s="16">
        <f t="shared" si="435"/>
        <v>0</v>
      </c>
      <c r="BC296" s="16">
        <f t="shared" si="435"/>
        <v>0</v>
      </c>
      <c r="BD296" s="16">
        <f t="shared" si="435"/>
        <v>0</v>
      </c>
      <c r="BE296" s="16">
        <f t="shared" si="435"/>
        <v>0</v>
      </c>
      <c r="BF296" s="16">
        <f t="shared" si="435"/>
        <v>0</v>
      </c>
      <c r="BG296" s="16">
        <f t="shared" si="435"/>
        <v>0</v>
      </c>
      <c r="BH296" s="16">
        <f t="shared" si="435"/>
        <v>0</v>
      </c>
      <c r="BI296" s="16">
        <f t="shared" si="435"/>
        <v>0</v>
      </c>
      <c r="BJ296" s="16">
        <f t="shared" si="435"/>
        <v>0</v>
      </c>
      <c r="BK296" s="16">
        <f t="shared" si="435"/>
        <v>0</v>
      </c>
      <c r="BL296" s="16">
        <f t="shared" si="435"/>
        <v>0</v>
      </c>
      <c r="BM296" s="16">
        <f t="shared" si="435"/>
        <v>1401135</v>
      </c>
      <c r="BN296" s="16">
        <f t="shared" si="435"/>
        <v>0</v>
      </c>
      <c r="BO296" s="16">
        <f t="shared" si="435"/>
        <v>0</v>
      </c>
      <c r="BP296" s="16">
        <f t="shared" si="435"/>
        <v>0</v>
      </c>
      <c r="BQ296" s="16">
        <f t="shared" si="435"/>
        <v>0</v>
      </c>
      <c r="BR296" s="16">
        <f t="shared" si="435"/>
        <v>0</v>
      </c>
      <c r="BS296" s="16">
        <f t="shared" ref="BS296:CW296" si="436">SUM(BS297)</f>
        <v>0</v>
      </c>
      <c r="BT296" s="16">
        <f t="shared" si="436"/>
        <v>0</v>
      </c>
      <c r="BU296" s="16">
        <f t="shared" si="436"/>
        <v>1401135</v>
      </c>
      <c r="BV296" s="16">
        <f t="shared" si="436"/>
        <v>0</v>
      </c>
      <c r="BW296" s="16">
        <f t="shared" si="436"/>
        <v>0</v>
      </c>
      <c r="BX296" s="16">
        <f t="shared" si="436"/>
        <v>0</v>
      </c>
      <c r="BY296" s="16">
        <f t="shared" si="436"/>
        <v>263497969</v>
      </c>
      <c r="BZ296" s="16">
        <f t="shared" si="436"/>
        <v>251397969</v>
      </c>
      <c r="CA296" s="16">
        <f t="shared" si="436"/>
        <v>39897834</v>
      </c>
      <c r="CB296" s="16">
        <f t="shared" si="436"/>
        <v>299196</v>
      </c>
      <c r="CC296" s="16">
        <f t="shared" si="436"/>
        <v>39598638</v>
      </c>
      <c r="CD296" s="16">
        <f t="shared" si="436"/>
        <v>117380992</v>
      </c>
      <c r="CE296" s="16">
        <f t="shared" si="436"/>
        <v>0</v>
      </c>
      <c r="CF296" s="16">
        <f t="shared" si="436"/>
        <v>0</v>
      </c>
      <c r="CG296" s="16">
        <f t="shared" si="436"/>
        <v>100359432</v>
      </c>
      <c r="CH296" s="16">
        <f t="shared" si="436"/>
        <v>10373706</v>
      </c>
      <c r="CI296" s="16">
        <f t="shared" si="436"/>
        <v>6647854</v>
      </c>
      <c r="CJ296" s="16">
        <f t="shared" si="436"/>
        <v>0</v>
      </c>
      <c r="CK296" s="16">
        <f t="shared" si="436"/>
        <v>94119143</v>
      </c>
      <c r="CL296" s="16">
        <f t="shared" si="436"/>
        <v>1594966</v>
      </c>
      <c r="CM296" s="16">
        <f t="shared" si="436"/>
        <v>0</v>
      </c>
      <c r="CN296" s="16">
        <f t="shared" si="436"/>
        <v>77436125</v>
      </c>
      <c r="CO296" s="16">
        <f t="shared" si="436"/>
        <v>5088052</v>
      </c>
      <c r="CP296" s="16">
        <f t="shared" si="436"/>
        <v>10000000</v>
      </c>
      <c r="CQ296" s="16">
        <f t="shared" si="436"/>
        <v>0</v>
      </c>
      <c r="CR296" s="16">
        <f t="shared" si="436"/>
        <v>0</v>
      </c>
      <c r="CS296" s="16">
        <f t="shared" si="436"/>
        <v>12100000</v>
      </c>
      <c r="CT296" s="16">
        <f t="shared" si="436"/>
        <v>0</v>
      </c>
      <c r="CU296" s="16">
        <f t="shared" si="436"/>
        <v>0</v>
      </c>
      <c r="CV296" s="16">
        <f t="shared" si="436"/>
        <v>0</v>
      </c>
      <c r="CW296" s="17">
        <f t="shared" si="436"/>
        <v>0</v>
      </c>
      <c r="CX296" s="40"/>
      <c r="CY296" s="40"/>
    </row>
    <row r="297" spans="1:103" ht="15.75" x14ac:dyDescent="0.25">
      <c r="A297" s="13" t="s">
        <v>1</v>
      </c>
      <c r="B297" s="14" t="s">
        <v>1</v>
      </c>
      <c r="C297" s="14" t="s">
        <v>312</v>
      </c>
      <c r="D297" s="30" t="s">
        <v>311</v>
      </c>
      <c r="E297" s="15">
        <f>SUM(F297+BY297+CT297)</f>
        <v>290841599</v>
      </c>
      <c r="F297" s="16">
        <f>SUM(G297+BA297)</f>
        <v>27343630</v>
      </c>
      <c r="G297" s="16">
        <f>SUM(H297+I297+J297+Q297+T297+U297+V297+AE297)</f>
        <v>25942495</v>
      </c>
      <c r="H297" s="16">
        <v>0</v>
      </c>
      <c r="I297" s="16">
        <v>0</v>
      </c>
      <c r="J297" s="16">
        <f t="shared" si="418"/>
        <v>12910946</v>
      </c>
      <c r="K297" s="16">
        <f>3111047-3111047</f>
        <v>0</v>
      </c>
      <c r="L297" s="16">
        <v>86900</v>
      </c>
      <c r="M297" s="16">
        <v>0</v>
      </c>
      <c r="N297" s="16">
        <v>0</v>
      </c>
      <c r="O297" s="16">
        <f>11331550+122294</f>
        <v>11453844</v>
      </c>
      <c r="P297" s="16">
        <f>2122009+57686-836439+26946</f>
        <v>1370202</v>
      </c>
      <c r="Q297" s="16">
        <f t="shared" si="419"/>
        <v>0</v>
      </c>
      <c r="R297" s="16">
        <v>0</v>
      </c>
      <c r="S297" s="16">
        <v>0</v>
      </c>
      <c r="T297" s="16">
        <v>0</v>
      </c>
      <c r="U297" s="16">
        <v>0</v>
      </c>
      <c r="V297" s="16">
        <f>SUM(W297:AD297)</f>
        <v>0</v>
      </c>
      <c r="W297" s="16">
        <v>0</v>
      </c>
      <c r="X297" s="16">
        <v>0</v>
      </c>
      <c r="Y297" s="16">
        <v>0</v>
      </c>
      <c r="Z297" s="16">
        <v>0</v>
      </c>
      <c r="AA297" s="16">
        <v>0</v>
      </c>
      <c r="AB297" s="16">
        <v>0</v>
      </c>
      <c r="AC297" s="16">
        <v>0</v>
      </c>
      <c r="AD297" s="16">
        <v>0</v>
      </c>
      <c r="AE297" s="16">
        <f>SUM(AF297:AZ297)</f>
        <v>13031549</v>
      </c>
      <c r="AF297" s="16">
        <v>0</v>
      </c>
      <c r="AG297" s="16">
        <v>0</v>
      </c>
      <c r="AH297" s="16">
        <v>0</v>
      </c>
      <c r="AI297" s="16">
        <v>0</v>
      </c>
      <c r="AJ297" s="16">
        <v>0</v>
      </c>
      <c r="AK297" s="16">
        <v>0</v>
      </c>
      <c r="AL297" s="16">
        <v>0</v>
      </c>
      <c r="AM297" s="16">
        <v>0</v>
      </c>
      <c r="AN297" s="16">
        <v>0</v>
      </c>
      <c r="AO297" s="16">
        <v>0</v>
      </c>
      <c r="AP297" s="16">
        <v>0</v>
      </c>
      <c r="AQ297" s="16">
        <v>0</v>
      </c>
      <c r="AR297" s="16">
        <v>0</v>
      </c>
      <c r="AS297" s="16">
        <v>0</v>
      </c>
      <c r="AT297" s="16">
        <v>0</v>
      </c>
      <c r="AU297" s="16">
        <v>0</v>
      </c>
      <c r="AV297" s="16">
        <f>11974851+1056698</f>
        <v>13031549</v>
      </c>
      <c r="AW297" s="16">
        <v>0</v>
      </c>
      <c r="AX297" s="16">
        <v>0</v>
      </c>
      <c r="AY297" s="16">
        <v>0</v>
      </c>
      <c r="AZ297" s="16">
        <v>0</v>
      </c>
      <c r="BA297" s="16">
        <f>SUM(BB297+BF297+BI297+BK297+BM297)</f>
        <v>1401135</v>
      </c>
      <c r="BB297" s="16">
        <f>SUM(BC297:BE297)</f>
        <v>0</v>
      </c>
      <c r="BC297" s="16">
        <v>0</v>
      </c>
      <c r="BD297" s="16">
        <v>0</v>
      </c>
      <c r="BE297" s="16">
        <v>0</v>
      </c>
      <c r="BF297" s="16">
        <f t="shared" si="420"/>
        <v>0</v>
      </c>
      <c r="BG297" s="16">
        <v>0</v>
      </c>
      <c r="BH297" s="16">
        <v>0</v>
      </c>
      <c r="BI297" s="16">
        <v>0</v>
      </c>
      <c r="BJ297" s="16">
        <v>0</v>
      </c>
      <c r="BK297" s="16">
        <f t="shared" si="421"/>
        <v>0</v>
      </c>
      <c r="BL297" s="16">
        <v>0</v>
      </c>
      <c r="BM297" s="16">
        <f t="shared" si="422"/>
        <v>1401135</v>
      </c>
      <c r="BN297" s="16">
        <v>0</v>
      </c>
      <c r="BO297" s="16">
        <v>0</v>
      </c>
      <c r="BP297" s="16">
        <v>0</v>
      </c>
      <c r="BQ297" s="16">
        <v>0</v>
      </c>
      <c r="BR297" s="16">
        <v>0</v>
      </c>
      <c r="BS297" s="16">
        <v>0</v>
      </c>
      <c r="BT297" s="16">
        <v>0</v>
      </c>
      <c r="BU297" s="16">
        <v>1401135</v>
      </c>
      <c r="BV297" s="16">
        <v>0</v>
      </c>
      <c r="BW297" s="16">
        <v>0</v>
      </c>
      <c r="BX297" s="16">
        <v>0</v>
      </c>
      <c r="BY297" s="16">
        <f>SUM(BZ297+CS297)</f>
        <v>263497969</v>
      </c>
      <c r="BZ297" s="16">
        <f>SUM(CA297+CD297+CK297)</f>
        <v>251397969</v>
      </c>
      <c r="CA297" s="16">
        <f t="shared" si="423"/>
        <v>39897834</v>
      </c>
      <c r="CB297" s="16">
        <f>9200000-1253218-7647586</f>
        <v>299196</v>
      </c>
      <c r="CC297" s="16">
        <f>42553434+3781831+14279769-30683748+8000000+1667352</f>
        <v>39598638</v>
      </c>
      <c r="CD297" s="16">
        <f t="shared" si="424"/>
        <v>117380992</v>
      </c>
      <c r="CE297" s="16">
        <v>0</v>
      </c>
      <c r="CF297" s="16">
        <f>535000-535000</f>
        <v>0</v>
      </c>
      <c r="CG297" s="16">
        <f>56721870+43684815-47253</f>
        <v>100359432</v>
      </c>
      <c r="CH297" s="16">
        <f>11878757+775280-2280331</f>
        <v>10373706</v>
      </c>
      <c r="CI297" s="16">
        <f>19356246+223729-12932121</f>
        <v>6647854</v>
      </c>
      <c r="CJ297" s="16"/>
      <c r="CK297" s="16">
        <f t="shared" si="425"/>
        <v>94119143</v>
      </c>
      <c r="CL297" s="16">
        <v>1594966</v>
      </c>
      <c r="CM297" s="16">
        <f>998000-998000</f>
        <v>0</v>
      </c>
      <c r="CN297" s="16">
        <f>92081157+2588545-16967125+1427846-1694298</f>
        <v>77436125</v>
      </c>
      <c r="CO297" s="16">
        <f>12007156+309913-7229017</f>
        <v>5088052</v>
      </c>
      <c r="CP297" s="16">
        <f>2000000+7000000+1000000</f>
        <v>10000000</v>
      </c>
      <c r="CQ297" s="16">
        <v>0</v>
      </c>
      <c r="CR297" s="16">
        <v>0</v>
      </c>
      <c r="CS297" s="16">
        <f>15100000-3000000</f>
        <v>12100000</v>
      </c>
      <c r="CT297" s="16">
        <f t="shared" si="426"/>
        <v>0</v>
      </c>
      <c r="CU297" s="16">
        <f t="shared" si="427"/>
        <v>0</v>
      </c>
      <c r="CV297" s="16">
        <v>0</v>
      </c>
      <c r="CW297" s="17">
        <v>0</v>
      </c>
      <c r="CX297" s="40"/>
      <c r="CY297" s="40"/>
    </row>
    <row r="298" spans="1:103" ht="15.75" x14ac:dyDescent="0.25">
      <c r="A298" s="13" t="s">
        <v>305</v>
      </c>
      <c r="B298" s="14" t="s">
        <v>54</v>
      </c>
      <c r="C298" s="14" t="s">
        <v>1</v>
      </c>
      <c r="D298" s="30" t="s">
        <v>313</v>
      </c>
      <c r="E298" s="15">
        <f t="shared" ref="E298:AJ298" si="437">SUM(E299)</f>
        <v>23552496</v>
      </c>
      <c r="F298" s="16">
        <f t="shared" si="437"/>
        <v>23552496</v>
      </c>
      <c r="G298" s="16">
        <f t="shared" si="437"/>
        <v>23552496</v>
      </c>
      <c r="H298" s="16">
        <f t="shared" si="437"/>
        <v>0</v>
      </c>
      <c r="I298" s="16">
        <f t="shared" si="437"/>
        <v>0</v>
      </c>
      <c r="J298" s="16">
        <f t="shared" si="437"/>
        <v>0</v>
      </c>
      <c r="K298" s="16">
        <f t="shared" si="437"/>
        <v>0</v>
      </c>
      <c r="L298" s="16">
        <f t="shared" si="437"/>
        <v>0</v>
      </c>
      <c r="M298" s="16">
        <f t="shared" si="437"/>
        <v>0</v>
      </c>
      <c r="N298" s="16">
        <f t="shared" si="437"/>
        <v>0</v>
      </c>
      <c r="O298" s="16">
        <f t="shared" si="437"/>
        <v>0</v>
      </c>
      <c r="P298" s="16">
        <f t="shared" si="437"/>
        <v>0</v>
      </c>
      <c r="Q298" s="16">
        <f t="shared" si="437"/>
        <v>0</v>
      </c>
      <c r="R298" s="16">
        <f t="shared" si="437"/>
        <v>0</v>
      </c>
      <c r="S298" s="16">
        <f t="shared" si="437"/>
        <v>0</v>
      </c>
      <c r="T298" s="16">
        <f t="shared" si="437"/>
        <v>0</v>
      </c>
      <c r="U298" s="16">
        <f t="shared" si="437"/>
        <v>0</v>
      </c>
      <c r="V298" s="16">
        <f t="shared" si="437"/>
        <v>0</v>
      </c>
      <c r="W298" s="16">
        <f t="shared" si="437"/>
        <v>0</v>
      </c>
      <c r="X298" s="16">
        <f t="shared" si="437"/>
        <v>0</v>
      </c>
      <c r="Y298" s="16">
        <f t="shared" si="437"/>
        <v>0</v>
      </c>
      <c r="Z298" s="16">
        <f t="shared" si="437"/>
        <v>0</v>
      </c>
      <c r="AA298" s="16">
        <f t="shared" si="437"/>
        <v>0</v>
      </c>
      <c r="AB298" s="16">
        <f t="shared" si="437"/>
        <v>0</v>
      </c>
      <c r="AC298" s="16">
        <f t="shared" si="437"/>
        <v>0</v>
      </c>
      <c r="AD298" s="16">
        <f t="shared" si="437"/>
        <v>0</v>
      </c>
      <c r="AE298" s="16">
        <f t="shared" si="437"/>
        <v>23552496</v>
      </c>
      <c r="AF298" s="16">
        <f t="shared" si="437"/>
        <v>0</v>
      </c>
      <c r="AG298" s="16">
        <f t="shared" si="437"/>
        <v>0</v>
      </c>
      <c r="AH298" s="16">
        <f t="shared" si="437"/>
        <v>0</v>
      </c>
      <c r="AI298" s="16">
        <f t="shared" si="437"/>
        <v>0</v>
      </c>
      <c r="AJ298" s="16">
        <f t="shared" si="437"/>
        <v>0</v>
      </c>
      <c r="AK298" s="16">
        <f t="shared" ref="AK298:BR298" si="438">SUM(AK299)</f>
        <v>0</v>
      </c>
      <c r="AL298" s="16">
        <f t="shared" si="438"/>
        <v>0</v>
      </c>
      <c r="AM298" s="16">
        <f t="shared" si="438"/>
        <v>0</v>
      </c>
      <c r="AN298" s="16">
        <f t="shared" si="438"/>
        <v>0</v>
      </c>
      <c r="AO298" s="16">
        <f t="shared" si="438"/>
        <v>0</v>
      </c>
      <c r="AP298" s="16">
        <f t="shared" si="438"/>
        <v>0</v>
      </c>
      <c r="AQ298" s="16">
        <f t="shared" si="438"/>
        <v>0</v>
      </c>
      <c r="AR298" s="16">
        <f t="shared" si="438"/>
        <v>0</v>
      </c>
      <c r="AS298" s="16">
        <f t="shared" si="438"/>
        <v>0</v>
      </c>
      <c r="AT298" s="16">
        <f t="shared" si="438"/>
        <v>0</v>
      </c>
      <c r="AU298" s="16">
        <f t="shared" si="438"/>
        <v>0</v>
      </c>
      <c r="AV298" s="16">
        <f t="shared" si="438"/>
        <v>0</v>
      </c>
      <c r="AW298" s="16">
        <f t="shared" si="438"/>
        <v>0</v>
      </c>
      <c r="AX298" s="16">
        <f t="shared" si="438"/>
        <v>0</v>
      </c>
      <c r="AY298" s="16">
        <f t="shared" si="438"/>
        <v>0</v>
      </c>
      <c r="AZ298" s="16">
        <f t="shared" si="438"/>
        <v>23552496</v>
      </c>
      <c r="BA298" s="16">
        <f t="shared" si="438"/>
        <v>0</v>
      </c>
      <c r="BB298" s="16">
        <f t="shared" si="438"/>
        <v>0</v>
      </c>
      <c r="BC298" s="16">
        <f t="shared" si="438"/>
        <v>0</v>
      </c>
      <c r="BD298" s="16">
        <f t="shared" si="438"/>
        <v>0</v>
      </c>
      <c r="BE298" s="16">
        <f t="shared" si="438"/>
        <v>0</v>
      </c>
      <c r="BF298" s="16">
        <f t="shared" si="438"/>
        <v>0</v>
      </c>
      <c r="BG298" s="16">
        <f t="shared" si="438"/>
        <v>0</v>
      </c>
      <c r="BH298" s="16">
        <f t="shared" si="438"/>
        <v>0</v>
      </c>
      <c r="BI298" s="16">
        <f t="shared" si="438"/>
        <v>0</v>
      </c>
      <c r="BJ298" s="16">
        <f t="shared" si="438"/>
        <v>0</v>
      </c>
      <c r="BK298" s="16">
        <f t="shared" si="438"/>
        <v>0</v>
      </c>
      <c r="BL298" s="16">
        <f t="shared" si="438"/>
        <v>0</v>
      </c>
      <c r="BM298" s="16">
        <f t="shared" si="438"/>
        <v>0</v>
      </c>
      <c r="BN298" s="16">
        <f t="shared" si="438"/>
        <v>0</v>
      </c>
      <c r="BO298" s="16">
        <f t="shared" si="438"/>
        <v>0</v>
      </c>
      <c r="BP298" s="16">
        <f t="shared" si="438"/>
        <v>0</v>
      </c>
      <c r="BQ298" s="16">
        <f t="shared" si="438"/>
        <v>0</v>
      </c>
      <c r="BR298" s="16">
        <f t="shared" si="438"/>
        <v>0</v>
      </c>
      <c r="BS298" s="16">
        <f t="shared" ref="BS298:CW298" si="439">SUM(BS299)</f>
        <v>0</v>
      </c>
      <c r="BT298" s="16">
        <f t="shared" si="439"/>
        <v>0</v>
      </c>
      <c r="BU298" s="16">
        <f t="shared" si="439"/>
        <v>0</v>
      </c>
      <c r="BV298" s="16">
        <f t="shared" si="439"/>
        <v>0</v>
      </c>
      <c r="BW298" s="16">
        <f t="shared" si="439"/>
        <v>0</v>
      </c>
      <c r="BX298" s="16">
        <f t="shared" si="439"/>
        <v>0</v>
      </c>
      <c r="BY298" s="16">
        <f t="shared" si="439"/>
        <v>0</v>
      </c>
      <c r="BZ298" s="16">
        <f t="shared" si="439"/>
        <v>0</v>
      </c>
      <c r="CA298" s="16">
        <f t="shared" si="439"/>
        <v>0</v>
      </c>
      <c r="CB298" s="16">
        <f t="shared" si="439"/>
        <v>0</v>
      </c>
      <c r="CC298" s="16">
        <f t="shared" si="439"/>
        <v>0</v>
      </c>
      <c r="CD298" s="16">
        <f t="shared" si="439"/>
        <v>0</v>
      </c>
      <c r="CE298" s="16">
        <f t="shared" si="439"/>
        <v>0</v>
      </c>
      <c r="CF298" s="16">
        <f t="shared" si="439"/>
        <v>0</v>
      </c>
      <c r="CG298" s="16">
        <f t="shared" si="439"/>
        <v>0</v>
      </c>
      <c r="CH298" s="16">
        <f t="shared" si="439"/>
        <v>0</v>
      </c>
      <c r="CI298" s="16">
        <f t="shared" si="439"/>
        <v>0</v>
      </c>
      <c r="CJ298" s="16">
        <f t="shared" si="439"/>
        <v>0</v>
      </c>
      <c r="CK298" s="16">
        <f t="shared" si="439"/>
        <v>0</v>
      </c>
      <c r="CL298" s="16">
        <f t="shared" si="439"/>
        <v>0</v>
      </c>
      <c r="CM298" s="16">
        <f t="shared" si="439"/>
        <v>0</v>
      </c>
      <c r="CN298" s="16">
        <f t="shared" si="439"/>
        <v>0</v>
      </c>
      <c r="CO298" s="16">
        <f t="shared" si="439"/>
        <v>0</v>
      </c>
      <c r="CP298" s="16">
        <f t="shared" si="439"/>
        <v>0</v>
      </c>
      <c r="CQ298" s="16">
        <f t="shared" si="439"/>
        <v>0</v>
      </c>
      <c r="CR298" s="16">
        <f t="shared" si="439"/>
        <v>0</v>
      </c>
      <c r="CS298" s="16">
        <f t="shared" si="439"/>
        <v>0</v>
      </c>
      <c r="CT298" s="16">
        <f t="shared" si="439"/>
        <v>0</v>
      </c>
      <c r="CU298" s="16">
        <f t="shared" si="439"/>
        <v>0</v>
      </c>
      <c r="CV298" s="16">
        <f t="shared" si="439"/>
        <v>0</v>
      </c>
      <c r="CW298" s="17">
        <f t="shared" si="439"/>
        <v>0</v>
      </c>
      <c r="CX298" s="40"/>
      <c r="CY298" s="40"/>
    </row>
    <row r="299" spans="1:103" s="37" customFormat="1" ht="15.75" x14ac:dyDescent="0.25">
      <c r="A299" s="13" t="s">
        <v>1</v>
      </c>
      <c r="B299" s="14" t="s">
        <v>1</v>
      </c>
      <c r="C299" s="14" t="s">
        <v>287</v>
      </c>
      <c r="D299" s="30" t="s">
        <v>313</v>
      </c>
      <c r="E299" s="15">
        <f>SUM(F299+BY299+CT299)</f>
        <v>23552496</v>
      </c>
      <c r="F299" s="16">
        <f>SUM(G299+BA299)</f>
        <v>23552496</v>
      </c>
      <c r="G299" s="16">
        <f>SUM(H299+I299+J299+Q299+T299+U299+V299+AE299)</f>
        <v>23552496</v>
      </c>
      <c r="H299" s="16">
        <v>0</v>
      </c>
      <c r="I299" s="16">
        <v>0</v>
      </c>
      <c r="J299" s="16">
        <f t="shared" si="418"/>
        <v>0</v>
      </c>
      <c r="K299" s="16">
        <v>0</v>
      </c>
      <c r="L299" s="16">
        <v>0</v>
      </c>
      <c r="M299" s="16">
        <v>0</v>
      </c>
      <c r="N299" s="16">
        <v>0</v>
      </c>
      <c r="O299" s="16">
        <v>0</v>
      </c>
      <c r="P299" s="16">
        <v>0</v>
      </c>
      <c r="Q299" s="16">
        <f t="shared" si="419"/>
        <v>0</v>
      </c>
      <c r="R299" s="16">
        <v>0</v>
      </c>
      <c r="S299" s="16">
        <v>0</v>
      </c>
      <c r="T299" s="16">
        <v>0</v>
      </c>
      <c r="U299" s="16">
        <v>0</v>
      </c>
      <c r="V299" s="16">
        <f>SUM(W299:AD299)</f>
        <v>0</v>
      </c>
      <c r="W299" s="16">
        <v>0</v>
      </c>
      <c r="X299" s="16">
        <v>0</v>
      </c>
      <c r="Y299" s="16">
        <v>0</v>
      </c>
      <c r="Z299" s="16">
        <v>0</v>
      </c>
      <c r="AA299" s="16">
        <v>0</v>
      </c>
      <c r="AB299" s="16">
        <v>0</v>
      </c>
      <c r="AC299" s="16">
        <v>0</v>
      </c>
      <c r="AD299" s="16">
        <v>0</v>
      </c>
      <c r="AE299" s="16">
        <f>SUM(AF299:AZ299)</f>
        <v>23552496</v>
      </c>
      <c r="AF299" s="16">
        <v>0</v>
      </c>
      <c r="AG299" s="16">
        <v>0</v>
      </c>
      <c r="AH299" s="16">
        <v>0</v>
      </c>
      <c r="AI299" s="16">
        <v>0</v>
      </c>
      <c r="AJ299" s="16">
        <v>0</v>
      </c>
      <c r="AK299" s="16">
        <v>0</v>
      </c>
      <c r="AL299" s="16">
        <v>0</v>
      </c>
      <c r="AM299" s="16">
        <v>0</v>
      </c>
      <c r="AN299" s="16">
        <v>0</v>
      </c>
      <c r="AO299" s="16">
        <v>0</v>
      </c>
      <c r="AP299" s="16">
        <v>0</v>
      </c>
      <c r="AQ299" s="16">
        <v>0</v>
      </c>
      <c r="AR299" s="16">
        <v>0</v>
      </c>
      <c r="AS299" s="16">
        <v>0</v>
      </c>
      <c r="AT299" s="16">
        <v>0</v>
      </c>
      <c r="AU299" s="16">
        <v>0</v>
      </c>
      <c r="AV299" s="16">
        <v>0</v>
      </c>
      <c r="AW299" s="16">
        <v>0</v>
      </c>
      <c r="AX299" s="16">
        <v>0</v>
      </c>
      <c r="AY299" s="16">
        <v>0</v>
      </c>
      <c r="AZ299" s="16">
        <f>23163034+8387867-7998405</f>
        <v>23552496</v>
      </c>
      <c r="BA299" s="16">
        <f>SUM(BB299+BF299+BI299+BK299+BM299)</f>
        <v>0</v>
      </c>
      <c r="BB299" s="16">
        <f>SUM(BC299:BE299)</f>
        <v>0</v>
      </c>
      <c r="BC299" s="16">
        <v>0</v>
      </c>
      <c r="BD299" s="16">
        <v>0</v>
      </c>
      <c r="BE299" s="16">
        <v>0</v>
      </c>
      <c r="BF299" s="16">
        <f t="shared" si="420"/>
        <v>0</v>
      </c>
      <c r="BG299" s="16">
        <v>0</v>
      </c>
      <c r="BH299" s="16">
        <v>0</v>
      </c>
      <c r="BI299" s="16">
        <v>0</v>
      </c>
      <c r="BJ299" s="16">
        <v>0</v>
      </c>
      <c r="BK299" s="16">
        <f t="shared" si="421"/>
        <v>0</v>
      </c>
      <c r="BL299" s="16">
        <v>0</v>
      </c>
      <c r="BM299" s="16">
        <f t="shared" si="422"/>
        <v>0</v>
      </c>
      <c r="BN299" s="16">
        <v>0</v>
      </c>
      <c r="BO299" s="16">
        <v>0</v>
      </c>
      <c r="BP299" s="16">
        <v>0</v>
      </c>
      <c r="BQ299" s="16">
        <v>0</v>
      </c>
      <c r="BR299" s="16">
        <v>0</v>
      </c>
      <c r="BS299" s="16">
        <v>0</v>
      </c>
      <c r="BT299" s="16">
        <v>0</v>
      </c>
      <c r="BU299" s="16">
        <v>0</v>
      </c>
      <c r="BV299" s="16">
        <v>0</v>
      </c>
      <c r="BW299" s="16">
        <v>0</v>
      </c>
      <c r="BX299" s="16">
        <v>0</v>
      </c>
      <c r="BY299" s="16">
        <f>SUM(BZ299+CS299)</f>
        <v>0</v>
      </c>
      <c r="BZ299" s="16">
        <f>SUM(CA299+CD299+CK299)</f>
        <v>0</v>
      </c>
      <c r="CA299" s="16">
        <f t="shared" si="423"/>
        <v>0</v>
      </c>
      <c r="CB299" s="16">
        <v>0</v>
      </c>
      <c r="CC299" s="16">
        <v>0</v>
      </c>
      <c r="CD299" s="16">
        <f t="shared" si="424"/>
        <v>0</v>
      </c>
      <c r="CE299" s="16">
        <v>0</v>
      </c>
      <c r="CF299" s="16">
        <v>0</v>
      </c>
      <c r="CG299" s="16">
        <v>0</v>
      </c>
      <c r="CH299" s="16">
        <v>0</v>
      </c>
      <c r="CI299" s="16">
        <v>0</v>
      </c>
      <c r="CJ299" s="16">
        <v>0</v>
      </c>
      <c r="CK299" s="16">
        <f t="shared" si="425"/>
        <v>0</v>
      </c>
      <c r="CL299" s="16">
        <v>0</v>
      </c>
      <c r="CM299" s="16">
        <v>0</v>
      </c>
      <c r="CN299" s="16">
        <v>0</v>
      </c>
      <c r="CO299" s="16">
        <v>0</v>
      </c>
      <c r="CP299" s="16">
        <v>0</v>
      </c>
      <c r="CQ299" s="16">
        <v>0</v>
      </c>
      <c r="CR299" s="16">
        <v>0</v>
      </c>
      <c r="CS299" s="16">
        <v>0</v>
      </c>
      <c r="CT299" s="16">
        <f t="shared" si="426"/>
        <v>0</v>
      </c>
      <c r="CU299" s="16">
        <f t="shared" si="427"/>
        <v>0</v>
      </c>
      <c r="CV299" s="16">
        <v>0</v>
      </c>
      <c r="CW299" s="17">
        <v>0</v>
      </c>
      <c r="CX299" s="40"/>
      <c r="CY299" s="40"/>
    </row>
    <row r="300" spans="1:103" ht="15.75" x14ac:dyDescent="0.25">
      <c r="A300" s="13" t="s">
        <v>305</v>
      </c>
      <c r="B300" s="14" t="s">
        <v>107</v>
      </c>
      <c r="C300" s="14" t="s">
        <v>1</v>
      </c>
      <c r="D300" s="30" t="s">
        <v>314</v>
      </c>
      <c r="E300" s="15">
        <f t="shared" ref="E300:AJ300" si="440">SUM(E301)</f>
        <v>0</v>
      </c>
      <c r="F300" s="16">
        <f t="shared" si="440"/>
        <v>0</v>
      </c>
      <c r="G300" s="16">
        <f t="shared" si="440"/>
        <v>0</v>
      </c>
      <c r="H300" s="16">
        <f t="shared" si="440"/>
        <v>0</v>
      </c>
      <c r="I300" s="16">
        <f t="shared" si="440"/>
        <v>0</v>
      </c>
      <c r="J300" s="16">
        <f t="shared" si="440"/>
        <v>0</v>
      </c>
      <c r="K300" s="16">
        <f t="shared" si="440"/>
        <v>0</v>
      </c>
      <c r="L300" s="16">
        <f t="shared" si="440"/>
        <v>0</v>
      </c>
      <c r="M300" s="16">
        <f t="shared" si="440"/>
        <v>0</v>
      </c>
      <c r="N300" s="16">
        <f t="shared" si="440"/>
        <v>0</v>
      </c>
      <c r="O300" s="16">
        <f t="shared" si="440"/>
        <v>0</v>
      </c>
      <c r="P300" s="16">
        <f t="shared" si="440"/>
        <v>0</v>
      </c>
      <c r="Q300" s="16">
        <f t="shared" si="440"/>
        <v>0</v>
      </c>
      <c r="R300" s="16">
        <f t="shared" si="440"/>
        <v>0</v>
      </c>
      <c r="S300" s="16">
        <f t="shared" si="440"/>
        <v>0</v>
      </c>
      <c r="T300" s="16">
        <f t="shared" si="440"/>
        <v>0</v>
      </c>
      <c r="U300" s="16">
        <f t="shared" si="440"/>
        <v>0</v>
      </c>
      <c r="V300" s="16">
        <f t="shared" si="440"/>
        <v>0</v>
      </c>
      <c r="W300" s="16">
        <f t="shared" si="440"/>
        <v>0</v>
      </c>
      <c r="X300" s="16">
        <f t="shared" si="440"/>
        <v>0</v>
      </c>
      <c r="Y300" s="16">
        <f t="shared" si="440"/>
        <v>0</v>
      </c>
      <c r="Z300" s="16">
        <f t="shared" si="440"/>
        <v>0</v>
      </c>
      <c r="AA300" s="16">
        <f t="shared" si="440"/>
        <v>0</v>
      </c>
      <c r="AB300" s="16">
        <f t="shared" si="440"/>
        <v>0</v>
      </c>
      <c r="AC300" s="16">
        <f t="shared" si="440"/>
        <v>0</v>
      </c>
      <c r="AD300" s="16">
        <f t="shared" si="440"/>
        <v>0</v>
      </c>
      <c r="AE300" s="16">
        <f t="shared" si="440"/>
        <v>0</v>
      </c>
      <c r="AF300" s="16">
        <f t="shared" si="440"/>
        <v>0</v>
      </c>
      <c r="AG300" s="16">
        <f t="shared" si="440"/>
        <v>0</v>
      </c>
      <c r="AH300" s="16">
        <f t="shared" si="440"/>
        <v>0</v>
      </c>
      <c r="AI300" s="16">
        <f t="shared" si="440"/>
        <v>0</v>
      </c>
      <c r="AJ300" s="16">
        <f t="shared" si="440"/>
        <v>0</v>
      </c>
      <c r="AK300" s="16">
        <f t="shared" ref="AK300:BR300" si="441">SUM(AK301)</f>
        <v>0</v>
      </c>
      <c r="AL300" s="16">
        <f t="shared" si="441"/>
        <v>0</v>
      </c>
      <c r="AM300" s="16">
        <f t="shared" si="441"/>
        <v>0</v>
      </c>
      <c r="AN300" s="16">
        <f t="shared" si="441"/>
        <v>0</v>
      </c>
      <c r="AO300" s="16">
        <f t="shared" si="441"/>
        <v>0</v>
      </c>
      <c r="AP300" s="16">
        <f t="shared" si="441"/>
        <v>0</v>
      </c>
      <c r="AQ300" s="16">
        <f t="shared" si="441"/>
        <v>0</v>
      </c>
      <c r="AR300" s="16">
        <f t="shared" si="441"/>
        <v>0</v>
      </c>
      <c r="AS300" s="16">
        <f t="shared" si="441"/>
        <v>0</v>
      </c>
      <c r="AT300" s="16">
        <f t="shared" si="441"/>
        <v>0</v>
      </c>
      <c r="AU300" s="16">
        <f t="shared" si="441"/>
        <v>0</v>
      </c>
      <c r="AV300" s="16">
        <f t="shared" si="441"/>
        <v>0</v>
      </c>
      <c r="AW300" s="16">
        <f t="shared" si="441"/>
        <v>0</v>
      </c>
      <c r="AX300" s="16">
        <f t="shared" si="441"/>
        <v>0</v>
      </c>
      <c r="AY300" s="16">
        <f t="shared" si="441"/>
        <v>0</v>
      </c>
      <c r="AZ300" s="16">
        <f t="shared" si="441"/>
        <v>0</v>
      </c>
      <c r="BA300" s="16">
        <f t="shared" si="441"/>
        <v>0</v>
      </c>
      <c r="BB300" s="16">
        <f t="shared" si="441"/>
        <v>0</v>
      </c>
      <c r="BC300" s="16">
        <f t="shared" si="441"/>
        <v>0</v>
      </c>
      <c r="BD300" s="16">
        <f t="shared" si="441"/>
        <v>0</v>
      </c>
      <c r="BE300" s="16">
        <f t="shared" si="441"/>
        <v>0</v>
      </c>
      <c r="BF300" s="16">
        <f t="shared" si="441"/>
        <v>0</v>
      </c>
      <c r="BG300" s="16">
        <f t="shared" si="441"/>
        <v>0</v>
      </c>
      <c r="BH300" s="16">
        <f t="shared" si="441"/>
        <v>0</v>
      </c>
      <c r="BI300" s="16">
        <f t="shared" si="441"/>
        <v>0</v>
      </c>
      <c r="BJ300" s="16">
        <f t="shared" si="441"/>
        <v>0</v>
      </c>
      <c r="BK300" s="16">
        <f t="shared" si="441"/>
        <v>0</v>
      </c>
      <c r="BL300" s="16">
        <f t="shared" si="441"/>
        <v>0</v>
      </c>
      <c r="BM300" s="16">
        <f t="shared" si="441"/>
        <v>0</v>
      </c>
      <c r="BN300" s="16">
        <f t="shared" si="441"/>
        <v>0</v>
      </c>
      <c r="BO300" s="16">
        <f t="shared" si="441"/>
        <v>0</v>
      </c>
      <c r="BP300" s="16">
        <f t="shared" si="441"/>
        <v>0</v>
      </c>
      <c r="BQ300" s="16">
        <f t="shared" si="441"/>
        <v>0</v>
      </c>
      <c r="BR300" s="16">
        <f t="shared" si="441"/>
        <v>0</v>
      </c>
      <c r="BS300" s="16">
        <f t="shared" ref="BS300:CW300" si="442">SUM(BS301)</f>
        <v>0</v>
      </c>
      <c r="BT300" s="16">
        <f t="shared" si="442"/>
        <v>0</v>
      </c>
      <c r="BU300" s="16">
        <f t="shared" si="442"/>
        <v>0</v>
      </c>
      <c r="BV300" s="16">
        <f t="shared" si="442"/>
        <v>0</v>
      </c>
      <c r="BW300" s="16">
        <f t="shared" si="442"/>
        <v>0</v>
      </c>
      <c r="BX300" s="16">
        <f t="shared" si="442"/>
        <v>0</v>
      </c>
      <c r="BY300" s="16">
        <f t="shared" si="442"/>
        <v>0</v>
      </c>
      <c r="BZ300" s="16">
        <f t="shared" si="442"/>
        <v>0</v>
      </c>
      <c r="CA300" s="16">
        <f t="shared" si="442"/>
        <v>0</v>
      </c>
      <c r="CB300" s="16">
        <f t="shared" si="442"/>
        <v>0</v>
      </c>
      <c r="CC300" s="16">
        <f t="shared" si="442"/>
        <v>0</v>
      </c>
      <c r="CD300" s="16">
        <f t="shared" si="442"/>
        <v>0</v>
      </c>
      <c r="CE300" s="16">
        <f t="shared" si="442"/>
        <v>0</v>
      </c>
      <c r="CF300" s="16">
        <f t="shared" si="442"/>
        <v>0</v>
      </c>
      <c r="CG300" s="16">
        <f t="shared" si="442"/>
        <v>0</v>
      </c>
      <c r="CH300" s="16">
        <f t="shared" si="442"/>
        <v>0</v>
      </c>
      <c r="CI300" s="16">
        <f t="shared" si="442"/>
        <v>0</v>
      </c>
      <c r="CJ300" s="16">
        <f t="shared" si="442"/>
        <v>0</v>
      </c>
      <c r="CK300" s="16">
        <f t="shared" si="442"/>
        <v>0</v>
      </c>
      <c r="CL300" s="16">
        <f t="shared" si="442"/>
        <v>0</v>
      </c>
      <c r="CM300" s="16">
        <f t="shared" si="442"/>
        <v>0</v>
      </c>
      <c r="CN300" s="16">
        <f t="shared" si="442"/>
        <v>0</v>
      </c>
      <c r="CO300" s="16">
        <f t="shared" si="442"/>
        <v>0</v>
      </c>
      <c r="CP300" s="16">
        <f t="shared" si="442"/>
        <v>0</v>
      </c>
      <c r="CQ300" s="16">
        <f t="shared" si="442"/>
        <v>0</v>
      </c>
      <c r="CR300" s="16">
        <f t="shared" si="442"/>
        <v>0</v>
      </c>
      <c r="CS300" s="16">
        <f t="shared" si="442"/>
        <v>0</v>
      </c>
      <c r="CT300" s="16">
        <f t="shared" si="442"/>
        <v>0</v>
      </c>
      <c r="CU300" s="16">
        <f t="shared" si="442"/>
        <v>0</v>
      </c>
      <c r="CV300" s="16">
        <f t="shared" si="442"/>
        <v>0</v>
      </c>
      <c r="CW300" s="17">
        <f t="shared" si="442"/>
        <v>0</v>
      </c>
      <c r="CX300" s="40"/>
      <c r="CY300" s="40"/>
    </row>
    <row r="301" spans="1:103" ht="15.75" x14ac:dyDescent="0.25">
      <c r="A301" s="13" t="s">
        <v>1</v>
      </c>
      <c r="B301" s="14" t="s">
        <v>1</v>
      </c>
      <c r="C301" s="14" t="s">
        <v>287</v>
      </c>
      <c r="D301" s="30" t="s">
        <v>314</v>
      </c>
      <c r="E301" s="15">
        <f>SUM(F301+BY301+CT301)</f>
        <v>0</v>
      </c>
      <c r="F301" s="16">
        <f>SUM(G301+BA301)</f>
        <v>0</v>
      </c>
      <c r="G301" s="16">
        <f>SUM(H301+I301+J301+Q301+T301+U301+V301+AE301)</f>
        <v>0</v>
      </c>
      <c r="H301" s="16">
        <v>0</v>
      </c>
      <c r="I301" s="16">
        <v>0</v>
      </c>
      <c r="J301" s="16">
        <f t="shared" si="418"/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f t="shared" si="419"/>
        <v>0</v>
      </c>
      <c r="R301" s="16">
        <v>0</v>
      </c>
      <c r="S301" s="16">
        <v>0</v>
      </c>
      <c r="T301" s="16">
        <v>0</v>
      </c>
      <c r="U301" s="16">
        <v>0</v>
      </c>
      <c r="V301" s="16">
        <f>SUM(W301:AD301)</f>
        <v>0</v>
      </c>
      <c r="W301" s="16">
        <v>0</v>
      </c>
      <c r="X301" s="16">
        <v>0</v>
      </c>
      <c r="Y301" s="16">
        <v>0</v>
      </c>
      <c r="Z301" s="16">
        <v>0</v>
      </c>
      <c r="AA301" s="16">
        <v>0</v>
      </c>
      <c r="AB301" s="16">
        <v>0</v>
      </c>
      <c r="AC301" s="16">
        <v>0</v>
      </c>
      <c r="AD301" s="16">
        <v>0</v>
      </c>
      <c r="AE301" s="16">
        <f>SUM(AF301:AZ301)</f>
        <v>0</v>
      </c>
      <c r="AF301" s="16">
        <v>0</v>
      </c>
      <c r="AG301" s="16">
        <v>0</v>
      </c>
      <c r="AH301" s="16">
        <v>0</v>
      </c>
      <c r="AI301" s="16">
        <v>0</v>
      </c>
      <c r="AJ301" s="16">
        <v>0</v>
      </c>
      <c r="AK301" s="16">
        <v>0</v>
      </c>
      <c r="AL301" s="16">
        <v>0</v>
      </c>
      <c r="AM301" s="16">
        <v>0</v>
      </c>
      <c r="AN301" s="16">
        <v>0</v>
      </c>
      <c r="AO301" s="16">
        <v>0</v>
      </c>
      <c r="AP301" s="16">
        <v>0</v>
      </c>
      <c r="AQ301" s="16">
        <v>0</v>
      </c>
      <c r="AR301" s="16">
        <v>0</v>
      </c>
      <c r="AS301" s="16">
        <v>0</v>
      </c>
      <c r="AT301" s="16">
        <v>0</v>
      </c>
      <c r="AU301" s="16">
        <v>0</v>
      </c>
      <c r="AV301" s="16">
        <v>0</v>
      </c>
      <c r="AW301" s="16">
        <v>0</v>
      </c>
      <c r="AX301" s="16">
        <v>0</v>
      </c>
      <c r="AY301" s="16">
        <v>0</v>
      </c>
      <c r="AZ301" s="16">
        <v>0</v>
      </c>
      <c r="BA301" s="16">
        <f>SUM(BB301+BF301+BI301+BK301+BM301)</f>
        <v>0</v>
      </c>
      <c r="BB301" s="16">
        <f>SUM(BC301:BE301)</f>
        <v>0</v>
      </c>
      <c r="BC301" s="16">
        <v>0</v>
      </c>
      <c r="BD301" s="16">
        <v>0</v>
      </c>
      <c r="BE301" s="16">
        <v>0</v>
      </c>
      <c r="BF301" s="16">
        <f t="shared" si="420"/>
        <v>0</v>
      </c>
      <c r="BG301" s="16">
        <v>0</v>
      </c>
      <c r="BH301" s="16">
        <v>0</v>
      </c>
      <c r="BI301" s="16">
        <v>0</v>
      </c>
      <c r="BJ301" s="16">
        <v>0</v>
      </c>
      <c r="BK301" s="16">
        <f t="shared" si="421"/>
        <v>0</v>
      </c>
      <c r="BL301" s="16">
        <v>0</v>
      </c>
      <c r="BM301" s="16">
        <f t="shared" si="422"/>
        <v>0</v>
      </c>
      <c r="BN301" s="16">
        <v>0</v>
      </c>
      <c r="BO301" s="16">
        <v>0</v>
      </c>
      <c r="BP301" s="16">
        <v>0</v>
      </c>
      <c r="BQ301" s="16">
        <v>0</v>
      </c>
      <c r="BR301" s="16">
        <v>0</v>
      </c>
      <c r="BS301" s="16">
        <v>0</v>
      </c>
      <c r="BT301" s="16">
        <v>0</v>
      </c>
      <c r="BU301" s="16">
        <v>0</v>
      </c>
      <c r="BV301" s="16">
        <v>0</v>
      </c>
      <c r="BW301" s="16">
        <v>0</v>
      </c>
      <c r="BX301" s="16">
        <f>15000000-15000000</f>
        <v>0</v>
      </c>
      <c r="BY301" s="16">
        <f>SUM(BZ301+CS301)</f>
        <v>0</v>
      </c>
      <c r="BZ301" s="16">
        <f>SUM(CA301+CD301+CK301)</f>
        <v>0</v>
      </c>
      <c r="CA301" s="16">
        <f t="shared" si="423"/>
        <v>0</v>
      </c>
      <c r="CB301" s="16">
        <v>0</v>
      </c>
      <c r="CC301" s="16">
        <v>0</v>
      </c>
      <c r="CD301" s="16">
        <f t="shared" si="424"/>
        <v>0</v>
      </c>
      <c r="CE301" s="16">
        <v>0</v>
      </c>
      <c r="CF301" s="16">
        <v>0</v>
      </c>
      <c r="CG301" s="16">
        <v>0</v>
      </c>
      <c r="CH301" s="16">
        <v>0</v>
      </c>
      <c r="CI301" s="16">
        <v>0</v>
      </c>
      <c r="CJ301" s="16">
        <v>0</v>
      </c>
      <c r="CK301" s="16">
        <f t="shared" si="425"/>
        <v>0</v>
      </c>
      <c r="CL301" s="16">
        <v>0</v>
      </c>
      <c r="CM301" s="16">
        <v>0</v>
      </c>
      <c r="CN301" s="16">
        <v>0</v>
      </c>
      <c r="CO301" s="16">
        <v>0</v>
      </c>
      <c r="CP301" s="16">
        <v>0</v>
      </c>
      <c r="CQ301" s="16">
        <v>0</v>
      </c>
      <c r="CR301" s="16">
        <v>0</v>
      </c>
      <c r="CS301" s="16">
        <v>0</v>
      </c>
      <c r="CT301" s="16">
        <f t="shared" si="426"/>
        <v>0</v>
      </c>
      <c r="CU301" s="16">
        <f t="shared" si="427"/>
        <v>0</v>
      </c>
      <c r="CV301" s="16">
        <v>0</v>
      </c>
      <c r="CW301" s="17">
        <v>0</v>
      </c>
      <c r="CX301" s="40"/>
      <c r="CY301" s="40"/>
    </row>
    <row r="302" spans="1:103" ht="15.75" x14ac:dyDescent="0.25">
      <c r="A302" s="13" t="s">
        <v>305</v>
      </c>
      <c r="B302" s="14" t="s">
        <v>57</v>
      </c>
      <c r="C302" s="14" t="s">
        <v>1</v>
      </c>
      <c r="D302" s="30" t="s">
        <v>315</v>
      </c>
      <c r="E302" s="15">
        <f t="shared" ref="E302:AJ302" si="443">SUM(E303)</f>
        <v>8336675</v>
      </c>
      <c r="F302" s="16">
        <f t="shared" si="443"/>
        <v>8336675</v>
      </c>
      <c r="G302" s="16">
        <f t="shared" si="443"/>
        <v>0</v>
      </c>
      <c r="H302" s="16">
        <f t="shared" si="443"/>
        <v>0</v>
      </c>
      <c r="I302" s="16">
        <f t="shared" si="443"/>
        <v>0</v>
      </c>
      <c r="J302" s="16">
        <f t="shared" si="443"/>
        <v>0</v>
      </c>
      <c r="K302" s="16">
        <f t="shared" si="443"/>
        <v>0</v>
      </c>
      <c r="L302" s="16">
        <f t="shared" si="443"/>
        <v>0</v>
      </c>
      <c r="M302" s="16">
        <f t="shared" si="443"/>
        <v>0</v>
      </c>
      <c r="N302" s="16">
        <f t="shared" si="443"/>
        <v>0</v>
      </c>
      <c r="O302" s="16">
        <f t="shared" si="443"/>
        <v>0</v>
      </c>
      <c r="P302" s="16">
        <f t="shared" si="443"/>
        <v>0</v>
      </c>
      <c r="Q302" s="16">
        <f t="shared" si="443"/>
        <v>0</v>
      </c>
      <c r="R302" s="16">
        <f t="shared" si="443"/>
        <v>0</v>
      </c>
      <c r="S302" s="16">
        <f t="shared" si="443"/>
        <v>0</v>
      </c>
      <c r="T302" s="16">
        <f t="shared" si="443"/>
        <v>0</v>
      </c>
      <c r="U302" s="16">
        <f t="shared" si="443"/>
        <v>0</v>
      </c>
      <c r="V302" s="16">
        <f t="shared" si="443"/>
        <v>0</v>
      </c>
      <c r="W302" s="16">
        <f t="shared" si="443"/>
        <v>0</v>
      </c>
      <c r="X302" s="16">
        <f t="shared" si="443"/>
        <v>0</v>
      </c>
      <c r="Y302" s="16">
        <f t="shared" si="443"/>
        <v>0</v>
      </c>
      <c r="Z302" s="16">
        <f t="shared" si="443"/>
        <v>0</v>
      </c>
      <c r="AA302" s="16">
        <f t="shared" si="443"/>
        <v>0</v>
      </c>
      <c r="AB302" s="16">
        <f t="shared" si="443"/>
        <v>0</v>
      </c>
      <c r="AC302" s="16">
        <f t="shared" si="443"/>
        <v>0</v>
      </c>
      <c r="AD302" s="16">
        <f t="shared" si="443"/>
        <v>0</v>
      </c>
      <c r="AE302" s="16">
        <f t="shared" si="443"/>
        <v>0</v>
      </c>
      <c r="AF302" s="16">
        <f t="shared" si="443"/>
        <v>0</v>
      </c>
      <c r="AG302" s="16">
        <f t="shared" si="443"/>
        <v>0</v>
      </c>
      <c r="AH302" s="16">
        <f t="shared" si="443"/>
        <v>0</v>
      </c>
      <c r="AI302" s="16">
        <f t="shared" si="443"/>
        <v>0</v>
      </c>
      <c r="AJ302" s="16">
        <f t="shared" si="443"/>
        <v>0</v>
      </c>
      <c r="AK302" s="16">
        <f t="shared" ref="AK302:BR302" si="444">SUM(AK303)</f>
        <v>0</v>
      </c>
      <c r="AL302" s="16">
        <f t="shared" si="444"/>
        <v>0</v>
      </c>
      <c r="AM302" s="16">
        <f t="shared" si="444"/>
        <v>0</v>
      </c>
      <c r="AN302" s="16">
        <f t="shared" si="444"/>
        <v>0</v>
      </c>
      <c r="AO302" s="16">
        <f t="shared" si="444"/>
        <v>0</v>
      </c>
      <c r="AP302" s="16">
        <f t="shared" si="444"/>
        <v>0</v>
      </c>
      <c r="AQ302" s="16">
        <f t="shared" si="444"/>
        <v>0</v>
      </c>
      <c r="AR302" s="16">
        <f t="shared" si="444"/>
        <v>0</v>
      </c>
      <c r="AS302" s="16">
        <f t="shared" si="444"/>
        <v>0</v>
      </c>
      <c r="AT302" s="16">
        <f t="shared" si="444"/>
        <v>0</v>
      </c>
      <c r="AU302" s="16">
        <f t="shared" si="444"/>
        <v>0</v>
      </c>
      <c r="AV302" s="16">
        <f t="shared" si="444"/>
        <v>0</v>
      </c>
      <c r="AW302" s="16">
        <f t="shared" si="444"/>
        <v>0</v>
      </c>
      <c r="AX302" s="16">
        <f t="shared" si="444"/>
        <v>0</v>
      </c>
      <c r="AY302" s="16">
        <f t="shared" si="444"/>
        <v>0</v>
      </c>
      <c r="AZ302" s="16">
        <f t="shared" si="444"/>
        <v>0</v>
      </c>
      <c r="BA302" s="16">
        <f t="shared" si="444"/>
        <v>8336675</v>
      </c>
      <c r="BB302" s="16">
        <f t="shared" si="444"/>
        <v>0</v>
      </c>
      <c r="BC302" s="16">
        <f t="shared" si="444"/>
        <v>0</v>
      </c>
      <c r="BD302" s="16">
        <f t="shared" si="444"/>
        <v>0</v>
      </c>
      <c r="BE302" s="16">
        <f t="shared" si="444"/>
        <v>0</v>
      </c>
      <c r="BF302" s="16">
        <f t="shared" si="444"/>
        <v>0</v>
      </c>
      <c r="BG302" s="16">
        <f t="shared" si="444"/>
        <v>0</v>
      </c>
      <c r="BH302" s="16">
        <f t="shared" si="444"/>
        <v>0</v>
      </c>
      <c r="BI302" s="16">
        <f t="shared" si="444"/>
        <v>8336675</v>
      </c>
      <c r="BJ302" s="16">
        <f t="shared" si="444"/>
        <v>0</v>
      </c>
      <c r="BK302" s="16">
        <f t="shared" si="444"/>
        <v>0</v>
      </c>
      <c r="BL302" s="16">
        <f t="shared" si="444"/>
        <v>0</v>
      </c>
      <c r="BM302" s="16">
        <f t="shared" si="444"/>
        <v>0</v>
      </c>
      <c r="BN302" s="16">
        <f t="shared" si="444"/>
        <v>0</v>
      </c>
      <c r="BO302" s="16">
        <f t="shared" si="444"/>
        <v>0</v>
      </c>
      <c r="BP302" s="16">
        <f t="shared" si="444"/>
        <v>0</v>
      </c>
      <c r="BQ302" s="16">
        <f t="shared" si="444"/>
        <v>0</v>
      </c>
      <c r="BR302" s="16">
        <f t="shared" si="444"/>
        <v>0</v>
      </c>
      <c r="BS302" s="16">
        <f t="shared" ref="BS302:CW302" si="445">SUM(BS303)</f>
        <v>0</v>
      </c>
      <c r="BT302" s="16">
        <f t="shared" si="445"/>
        <v>0</v>
      </c>
      <c r="BU302" s="16">
        <f t="shared" si="445"/>
        <v>0</v>
      </c>
      <c r="BV302" s="16">
        <f t="shared" si="445"/>
        <v>0</v>
      </c>
      <c r="BW302" s="16">
        <f t="shared" si="445"/>
        <v>0</v>
      </c>
      <c r="BX302" s="16">
        <f t="shared" si="445"/>
        <v>0</v>
      </c>
      <c r="BY302" s="16">
        <f t="shared" si="445"/>
        <v>0</v>
      </c>
      <c r="BZ302" s="16">
        <f t="shared" si="445"/>
        <v>0</v>
      </c>
      <c r="CA302" s="16">
        <f t="shared" si="445"/>
        <v>0</v>
      </c>
      <c r="CB302" s="16">
        <f t="shared" si="445"/>
        <v>0</v>
      </c>
      <c r="CC302" s="16">
        <f t="shared" si="445"/>
        <v>0</v>
      </c>
      <c r="CD302" s="16">
        <f t="shared" si="445"/>
        <v>0</v>
      </c>
      <c r="CE302" s="16">
        <f t="shared" si="445"/>
        <v>0</v>
      </c>
      <c r="CF302" s="16">
        <f t="shared" si="445"/>
        <v>0</v>
      </c>
      <c r="CG302" s="16">
        <f t="shared" si="445"/>
        <v>0</v>
      </c>
      <c r="CH302" s="16">
        <f t="shared" si="445"/>
        <v>0</v>
      </c>
      <c r="CI302" s="16">
        <f t="shared" si="445"/>
        <v>0</v>
      </c>
      <c r="CJ302" s="16">
        <f t="shared" si="445"/>
        <v>0</v>
      </c>
      <c r="CK302" s="16">
        <f t="shared" si="445"/>
        <v>0</v>
      </c>
      <c r="CL302" s="16">
        <f t="shared" si="445"/>
        <v>0</v>
      </c>
      <c r="CM302" s="16">
        <f t="shared" si="445"/>
        <v>0</v>
      </c>
      <c r="CN302" s="16">
        <f t="shared" si="445"/>
        <v>0</v>
      </c>
      <c r="CO302" s="16">
        <f t="shared" si="445"/>
        <v>0</v>
      </c>
      <c r="CP302" s="16">
        <f t="shared" si="445"/>
        <v>0</v>
      </c>
      <c r="CQ302" s="16">
        <f t="shared" si="445"/>
        <v>0</v>
      </c>
      <c r="CR302" s="16">
        <f t="shared" si="445"/>
        <v>0</v>
      </c>
      <c r="CS302" s="16">
        <f t="shared" si="445"/>
        <v>0</v>
      </c>
      <c r="CT302" s="16">
        <f t="shared" si="445"/>
        <v>0</v>
      </c>
      <c r="CU302" s="16">
        <f t="shared" si="445"/>
        <v>0</v>
      </c>
      <c r="CV302" s="16">
        <f t="shared" si="445"/>
        <v>0</v>
      </c>
      <c r="CW302" s="17">
        <f t="shared" si="445"/>
        <v>0</v>
      </c>
      <c r="CX302" s="40"/>
      <c r="CY302" s="40"/>
    </row>
    <row r="303" spans="1:103" ht="15.75" x14ac:dyDescent="0.25">
      <c r="A303" s="13" t="s">
        <v>1</v>
      </c>
      <c r="B303" s="14" t="s">
        <v>1</v>
      </c>
      <c r="C303" s="14" t="s">
        <v>43</v>
      </c>
      <c r="D303" s="30" t="s">
        <v>316</v>
      </c>
      <c r="E303" s="15">
        <f>SUM(F303+BY303+CT303)</f>
        <v>8336675</v>
      </c>
      <c r="F303" s="16">
        <f>SUM(G303+BA303)</f>
        <v>8336675</v>
      </c>
      <c r="G303" s="16">
        <f>SUM(H303+I303+J303+Q303+T303+U303+V303+AE303)</f>
        <v>0</v>
      </c>
      <c r="H303" s="16">
        <v>0</v>
      </c>
      <c r="I303" s="16">
        <v>0</v>
      </c>
      <c r="J303" s="16">
        <f t="shared" si="418"/>
        <v>0</v>
      </c>
      <c r="K303" s="16">
        <v>0</v>
      </c>
      <c r="L303" s="16">
        <v>0</v>
      </c>
      <c r="M303" s="16">
        <v>0</v>
      </c>
      <c r="N303" s="16">
        <v>0</v>
      </c>
      <c r="O303" s="16">
        <v>0</v>
      </c>
      <c r="P303" s="16">
        <v>0</v>
      </c>
      <c r="Q303" s="16">
        <f t="shared" si="419"/>
        <v>0</v>
      </c>
      <c r="R303" s="16">
        <v>0</v>
      </c>
      <c r="S303" s="16">
        <v>0</v>
      </c>
      <c r="T303" s="16">
        <v>0</v>
      </c>
      <c r="U303" s="16">
        <v>0</v>
      </c>
      <c r="V303" s="16">
        <f>SUM(W303:AD303)</f>
        <v>0</v>
      </c>
      <c r="W303" s="16">
        <v>0</v>
      </c>
      <c r="X303" s="16">
        <v>0</v>
      </c>
      <c r="Y303" s="16">
        <v>0</v>
      </c>
      <c r="Z303" s="16">
        <v>0</v>
      </c>
      <c r="AA303" s="16">
        <v>0</v>
      </c>
      <c r="AB303" s="16">
        <v>0</v>
      </c>
      <c r="AC303" s="16">
        <v>0</v>
      </c>
      <c r="AD303" s="16">
        <v>0</v>
      </c>
      <c r="AE303" s="16">
        <f>SUM(AF303:AZ303)</f>
        <v>0</v>
      </c>
      <c r="AF303" s="16">
        <v>0</v>
      </c>
      <c r="AG303" s="16">
        <v>0</v>
      </c>
      <c r="AH303" s="16">
        <v>0</v>
      </c>
      <c r="AI303" s="16">
        <v>0</v>
      </c>
      <c r="AJ303" s="16">
        <v>0</v>
      </c>
      <c r="AK303" s="16">
        <v>0</v>
      </c>
      <c r="AL303" s="16">
        <v>0</v>
      </c>
      <c r="AM303" s="16">
        <v>0</v>
      </c>
      <c r="AN303" s="16">
        <v>0</v>
      </c>
      <c r="AO303" s="16">
        <v>0</v>
      </c>
      <c r="AP303" s="16">
        <v>0</v>
      </c>
      <c r="AQ303" s="16">
        <v>0</v>
      </c>
      <c r="AR303" s="16">
        <v>0</v>
      </c>
      <c r="AS303" s="16">
        <v>0</v>
      </c>
      <c r="AT303" s="16">
        <v>0</v>
      </c>
      <c r="AU303" s="16">
        <v>0</v>
      </c>
      <c r="AV303" s="16">
        <v>0</v>
      </c>
      <c r="AW303" s="16">
        <v>0</v>
      </c>
      <c r="AX303" s="16">
        <v>0</v>
      </c>
      <c r="AY303" s="16">
        <v>0</v>
      </c>
      <c r="AZ303" s="16">
        <v>0</v>
      </c>
      <c r="BA303" s="16">
        <f>SUM(BB303+BF303+BI303+BK303+BM303)</f>
        <v>8336675</v>
      </c>
      <c r="BB303" s="16">
        <f>SUM(BC303:BE303)</f>
        <v>0</v>
      </c>
      <c r="BC303" s="16">
        <v>0</v>
      </c>
      <c r="BD303" s="16">
        <v>0</v>
      </c>
      <c r="BE303" s="16">
        <v>0</v>
      </c>
      <c r="BF303" s="16">
        <f t="shared" si="420"/>
        <v>0</v>
      </c>
      <c r="BG303" s="16">
        <v>0</v>
      </c>
      <c r="BH303" s="16">
        <v>0</v>
      </c>
      <c r="BI303" s="16">
        <f>11645390-3308715</f>
        <v>8336675</v>
      </c>
      <c r="BJ303" s="16">
        <v>0</v>
      </c>
      <c r="BK303" s="16">
        <f t="shared" si="421"/>
        <v>0</v>
      </c>
      <c r="BL303" s="16">
        <v>0</v>
      </c>
      <c r="BM303" s="16">
        <f t="shared" si="422"/>
        <v>0</v>
      </c>
      <c r="BN303" s="16">
        <v>0</v>
      </c>
      <c r="BO303" s="16">
        <v>0</v>
      </c>
      <c r="BP303" s="16">
        <v>0</v>
      </c>
      <c r="BQ303" s="16">
        <v>0</v>
      </c>
      <c r="BR303" s="16">
        <v>0</v>
      </c>
      <c r="BS303" s="16">
        <v>0</v>
      </c>
      <c r="BT303" s="16">
        <v>0</v>
      </c>
      <c r="BU303" s="16">
        <v>0</v>
      </c>
      <c r="BV303" s="16">
        <v>0</v>
      </c>
      <c r="BW303" s="16">
        <v>0</v>
      </c>
      <c r="BX303" s="16">
        <v>0</v>
      </c>
      <c r="BY303" s="16">
        <f>SUM(BZ303+CS303)</f>
        <v>0</v>
      </c>
      <c r="BZ303" s="16">
        <f>SUM(CA303+CD303+CK303)</f>
        <v>0</v>
      </c>
      <c r="CA303" s="16">
        <f t="shared" si="423"/>
        <v>0</v>
      </c>
      <c r="CB303" s="16">
        <v>0</v>
      </c>
      <c r="CC303" s="16">
        <v>0</v>
      </c>
      <c r="CD303" s="16">
        <f t="shared" si="424"/>
        <v>0</v>
      </c>
      <c r="CE303" s="16">
        <v>0</v>
      </c>
      <c r="CF303" s="16">
        <v>0</v>
      </c>
      <c r="CG303" s="16">
        <v>0</v>
      </c>
      <c r="CH303" s="16">
        <v>0</v>
      </c>
      <c r="CI303" s="16">
        <v>0</v>
      </c>
      <c r="CJ303" s="16">
        <v>0</v>
      </c>
      <c r="CK303" s="16">
        <f t="shared" si="425"/>
        <v>0</v>
      </c>
      <c r="CL303" s="16">
        <v>0</v>
      </c>
      <c r="CM303" s="16">
        <v>0</v>
      </c>
      <c r="CN303" s="16">
        <v>0</v>
      </c>
      <c r="CO303" s="16">
        <v>0</v>
      </c>
      <c r="CP303" s="16">
        <v>0</v>
      </c>
      <c r="CQ303" s="16">
        <v>0</v>
      </c>
      <c r="CR303" s="16">
        <v>0</v>
      </c>
      <c r="CS303" s="16">
        <v>0</v>
      </c>
      <c r="CT303" s="16">
        <f t="shared" si="426"/>
        <v>0</v>
      </c>
      <c r="CU303" s="16">
        <f t="shared" si="427"/>
        <v>0</v>
      </c>
      <c r="CV303" s="16">
        <v>0</v>
      </c>
      <c r="CW303" s="17">
        <v>0</v>
      </c>
      <c r="CX303" s="40"/>
      <c r="CY303" s="40"/>
    </row>
    <row r="304" spans="1:103" ht="16.5" thickBot="1" x14ac:dyDescent="0.3">
      <c r="A304" s="24" t="s">
        <v>1</v>
      </c>
      <c r="B304" s="25" t="s">
        <v>1</v>
      </c>
      <c r="C304" s="25" t="s">
        <v>1</v>
      </c>
      <c r="D304" s="32" t="s">
        <v>514</v>
      </c>
      <c r="E304" s="26">
        <f t="shared" ref="E304:AJ304" si="446">E16+E52+E63+E68+E73+E89+E105+E108+E112+E117+E126+E147+E161+E168+E181+E206+E212+E216+E286+E289+E209</f>
        <v>4123811789</v>
      </c>
      <c r="F304" s="27">
        <f t="shared" si="446"/>
        <v>3578241600</v>
      </c>
      <c r="G304" s="27">
        <f t="shared" si="446"/>
        <v>2561685946</v>
      </c>
      <c r="H304" s="27">
        <f t="shared" si="446"/>
        <v>1490033163</v>
      </c>
      <c r="I304" s="27">
        <f t="shared" si="446"/>
        <v>228663177</v>
      </c>
      <c r="J304" s="27">
        <f t="shared" si="446"/>
        <v>401687657</v>
      </c>
      <c r="K304" s="27">
        <f t="shared" si="446"/>
        <v>130697920</v>
      </c>
      <c r="L304" s="27">
        <f t="shared" si="446"/>
        <v>66817772</v>
      </c>
      <c r="M304" s="27">
        <f t="shared" si="446"/>
        <v>94363094</v>
      </c>
      <c r="N304" s="27">
        <f t="shared" si="446"/>
        <v>4492473</v>
      </c>
      <c r="O304" s="27">
        <f t="shared" si="446"/>
        <v>76526351</v>
      </c>
      <c r="P304" s="27">
        <f t="shared" si="446"/>
        <v>28790047</v>
      </c>
      <c r="Q304" s="27">
        <f t="shared" si="446"/>
        <v>10401130</v>
      </c>
      <c r="R304" s="27">
        <f t="shared" si="446"/>
        <v>595967</v>
      </c>
      <c r="S304" s="27">
        <f t="shared" si="446"/>
        <v>9805163</v>
      </c>
      <c r="T304" s="27">
        <f t="shared" si="446"/>
        <v>316024</v>
      </c>
      <c r="U304" s="27">
        <f t="shared" si="446"/>
        <v>18561623</v>
      </c>
      <c r="V304" s="27">
        <f t="shared" si="446"/>
        <v>120619767</v>
      </c>
      <c r="W304" s="27">
        <f t="shared" si="446"/>
        <v>12107032</v>
      </c>
      <c r="X304" s="27">
        <f t="shared" si="446"/>
        <v>14748805</v>
      </c>
      <c r="Y304" s="27">
        <f t="shared" si="446"/>
        <v>21233528</v>
      </c>
      <c r="Z304" s="27">
        <f t="shared" si="446"/>
        <v>5690371</v>
      </c>
      <c r="AA304" s="27">
        <f t="shared" si="446"/>
        <v>2695838</v>
      </c>
      <c r="AB304" s="27">
        <f t="shared" si="446"/>
        <v>1938558</v>
      </c>
      <c r="AC304" s="27">
        <f t="shared" si="446"/>
        <v>61396038</v>
      </c>
      <c r="AD304" s="27">
        <f t="shared" ref="AD304" si="447">AD16+AD52+AD63+AD68+AD73+AD89+AD105+AD108+AD112+AD117+AD126+AD147+AD161+AD168+AD181+AD206+AD212+AD216+AD286+AD289+AD209</f>
        <v>809597</v>
      </c>
      <c r="AE304" s="27">
        <f t="shared" si="446"/>
        <v>291403405</v>
      </c>
      <c r="AF304" s="27">
        <f t="shared" si="446"/>
        <v>8956735</v>
      </c>
      <c r="AG304" s="27">
        <f t="shared" si="446"/>
        <v>4712492</v>
      </c>
      <c r="AH304" s="27">
        <f t="shared" si="446"/>
        <v>16854212</v>
      </c>
      <c r="AI304" s="27">
        <f t="shared" si="446"/>
        <v>2057644</v>
      </c>
      <c r="AJ304" s="27">
        <f t="shared" si="446"/>
        <v>3713106</v>
      </c>
      <c r="AK304" s="27">
        <f t="shared" ref="AK304:BP304" si="448">AK16+AK52+AK63+AK68+AK73+AK89+AK105+AK108+AK112+AK117+AK126+AK147+AK161+AK168+AK181+AK206+AK212+AK216+AK286+AK289+AK209</f>
        <v>1268500</v>
      </c>
      <c r="AL304" s="27">
        <f t="shared" si="448"/>
        <v>7974494</v>
      </c>
      <c r="AM304" s="27">
        <f t="shared" si="448"/>
        <v>8636021</v>
      </c>
      <c r="AN304" s="27">
        <f t="shared" si="448"/>
        <v>5063237</v>
      </c>
      <c r="AO304" s="27">
        <f t="shared" si="448"/>
        <v>450481</v>
      </c>
      <c r="AP304" s="27">
        <f t="shared" si="448"/>
        <v>974849</v>
      </c>
      <c r="AQ304" s="27">
        <f t="shared" si="448"/>
        <v>10506379</v>
      </c>
      <c r="AR304" s="27">
        <f t="shared" si="448"/>
        <v>3475996</v>
      </c>
      <c r="AS304" s="27">
        <f t="shared" si="448"/>
        <v>918101</v>
      </c>
      <c r="AT304" s="27">
        <f t="shared" si="448"/>
        <v>524239</v>
      </c>
      <c r="AU304" s="27">
        <f t="shared" si="448"/>
        <v>4565391</v>
      </c>
      <c r="AV304" s="27">
        <f t="shared" si="448"/>
        <v>17654826</v>
      </c>
      <c r="AW304" s="27">
        <f t="shared" si="448"/>
        <v>49899670</v>
      </c>
      <c r="AX304" s="27">
        <f t="shared" si="448"/>
        <v>46800</v>
      </c>
      <c r="AY304" s="27">
        <f t="shared" si="448"/>
        <v>312511</v>
      </c>
      <c r="AZ304" s="27">
        <f t="shared" si="448"/>
        <v>142837721</v>
      </c>
      <c r="BA304" s="27">
        <f t="shared" si="448"/>
        <v>1016555654</v>
      </c>
      <c r="BB304" s="27">
        <f t="shared" si="448"/>
        <v>172603239</v>
      </c>
      <c r="BC304" s="27">
        <f t="shared" si="448"/>
        <v>145393426</v>
      </c>
      <c r="BD304" s="27">
        <f t="shared" si="448"/>
        <v>6980711</v>
      </c>
      <c r="BE304" s="27">
        <f t="shared" si="448"/>
        <v>20229102</v>
      </c>
      <c r="BF304" s="27">
        <f t="shared" si="448"/>
        <v>13419070</v>
      </c>
      <c r="BG304" s="27">
        <f t="shared" si="448"/>
        <v>8642083</v>
      </c>
      <c r="BH304" s="27">
        <f t="shared" si="448"/>
        <v>4776987</v>
      </c>
      <c r="BI304" s="27">
        <f t="shared" si="448"/>
        <v>344548528</v>
      </c>
      <c r="BJ304" s="27">
        <f t="shared" si="448"/>
        <v>4214513</v>
      </c>
      <c r="BK304" s="27">
        <f t="shared" si="448"/>
        <v>744656</v>
      </c>
      <c r="BL304" s="27">
        <f t="shared" si="448"/>
        <v>744656</v>
      </c>
      <c r="BM304" s="27">
        <f t="shared" si="448"/>
        <v>485240161</v>
      </c>
      <c r="BN304" s="27">
        <f t="shared" si="448"/>
        <v>59749651</v>
      </c>
      <c r="BO304" s="27">
        <f t="shared" si="448"/>
        <v>4583424</v>
      </c>
      <c r="BP304" s="27">
        <f t="shared" si="448"/>
        <v>16593310</v>
      </c>
      <c r="BQ304" s="27">
        <f t="shared" ref="BQ304:CW304" si="449">BQ16+BQ52+BQ63+BQ68+BQ73+BQ89+BQ105+BQ108+BQ112+BQ117+BQ126+BQ147+BQ161+BQ168+BQ181+BQ206+BQ212+BQ216+BQ286+BQ289+BQ209</f>
        <v>14134363</v>
      </c>
      <c r="BR304" s="27">
        <f t="shared" si="449"/>
        <v>100000</v>
      </c>
      <c r="BS304" s="27">
        <f t="shared" si="449"/>
        <v>407888</v>
      </c>
      <c r="BT304" s="27">
        <f t="shared" si="449"/>
        <v>167368528</v>
      </c>
      <c r="BU304" s="27">
        <f t="shared" si="449"/>
        <v>1401135</v>
      </c>
      <c r="BV304" s="27">
        <f t="shared" si="449"/>
        <v>230042</v>
      </c>
      <c r="BW304" s="27">
        <f t="shared" si="449"/>
        <v>147588547</v>
      </c>
      <c r="BX304" s="27">
        <f t="shared" si="449"/>
        <v>73083273</v>
      </c>
      <c r="BY304" s="27">
        <f t="shared" si="449"/>
        <v>445083672</v>
      </c>
      <c r="BZ304" s="27">
        <f t="shared" si="449"/>
        <v>322431525</v>
      </c>
      <c r="CA304" s="27">
        <f t="shared" si="449"/>
        <v>96836188</v>
      </c>
      <c r="CB304" s="27">
        <f t="shared" si="449"/>
        <v>2287761</v>
      </c>
      <c r="CC304" s="27">
        <f t="shared" si="449"/>
        <v>94548427</v>
      </c>
      <c r="CD304" s="27">
        <f t="shared" si="449"/>
        <v>123978531</v>
      </c>
      <c r="CE304" s="27">
        <f t="shared" si="449"/>
        <v>1267875</v>
      </c>
      <c r="CF304" s="27">
        <f t="shared" si="449"/>
        <v>0</v>
      </c>
      <c r="CG304" s="27">
        <f t="shared" si="449"/>
        <v>100359432</v>
      </c>
      <c r="CH304" s="27">
        <f t="shared" si="449"/>
        <v>15463103</v>
      </c>
      <c r="CI304" s="27">
        <f t="shared" si="449"/>
        <v>6647854</v>
      </c>
      <c r="CJ304" s="27">
        <f t="shared" si="449"/>
        <v>240267</v>
      </c>
      <c r="CK304" s="27">
        <f t="shared" si="449"/>
        <v>101616806</v>
      </c>
      <c r="CL304" s="27">
        <f t="shared" si="449"/>
        <v>1594966</v>
      </c>
      <c r="CM304" s="27">
        <f t="shared" si="449"/>
        <v>0</v>
      </c>
      <c r="CN304" s="27">
        <f t="shared" si="449"/>
        <v>81929262</v>
      </c>
      <c r="CO304" s="27">
        <f t="shared" si="449"/>
        <v>8092578</v>
      </c>
      <c r="CP304" s="27">
        <f t="shared" si="449"/>
        <v>10000000</v>
      </c>
      <c r="CQ304" s="27">
        <f t="shared" si="449"/>
        <v>3875517</v>
      </c>
      <c r="CR304" s="27">
        <f t="shared" si="449"/>
        <v>3875517</v>
      </c>
      <c r="CS304" s="27">
        <f t="shared" si="449"/>
        <v>118776630</v>
      </c>
      <c r="CT304" s="27">
        <f t="shared" si="449"/>
        <v>100486517</v>
      </c>
      <c r="CU304" s="27">
        <f t="shared" si="449"/>
        <v>100486517</v>
      </c>
      <c r="CV304" s="27">
        <f t="shared" si="449"/>
        <v>34500</v>
      </c>
      <c r="CW304" s="28">
        <f t="shared" si="449"/>
        <v>100452017</v>
      </c>
      <c r="CX304" s="40"/>
      <c r="CY304" s="40"/>
    </row>
    <row r="305" spans="1:103" x14ac:dyDescent="0.25">
      <c r="A305" s="33" t="s">
        <v>1</v>
      </c>
      <c r="B305" s="33" t="s">
        <v>1</v>
      </c>
      <c r="C305" s="33" t="s">
        <v>1</v>
      </c>
      <c r="D305" s="34" t="s">
        <v>1</v>
      </c>
      <c r="E305" s="35">
        <v>0</v>
      </c>
      <c r="F305" s="36">
        <v>0</v>
      </c>
      <c r="G305" s="36">
        <v>0</v>
      </c>
      <c r="H305" s="36">
        <v>0</v>
      </c>
      <c r="I305" s="36">
        <v>0</v>
      </c>
      <c r="J305" s="36">
        <v>0</v>
      </c>
      <c r="K305" s="36">
        <v>0</v>
      </c>
      <c r="L305" s="36">
        <v>0</v>
      </c>
      <c r="M305" s="36">
        <v>0</v>
      </c>
      <c r="N305" s="36">
        <v>0</v>
      </c>
      <c r="O305" s="36">
        <v>0</v>
      </c>
      <c r="P305" s="36">
        <v>0</v>
      </c>
      <c r="Q305" s="36">
        <v>0</v>
      </c>
      <c r="R305" s="36">
        <v>0</v>
      </c>
      <c r="S305" s="36">
        <v>0</v>
      </c>
      <c r="T305" s="36">
        <v>0</v>
      </c>
      <c r="U305" s="36">
        <v>0</v>
      </c>
      <c r="V305" s="36">
        <v>0</v>
      </c>
      <c r="W305" s="36">
        <v>0</v>
      </c>
      <c r="X305" s="36">
        <v>0</v>
      </c>
      <c r="Y305" s="36">
        <v>0</v>
      </c>
      <c r="Z305" s="36">
        <v>0</v>
      </c>
      <c r="AA305" s="36">
        <v>0</v>
      </c>
      <c r="AB305" s="36">
        <v>0</v>
      </c>
      <c r="AC305" s="36">
        <v>0</v>
      </c>
      <c r="AD305" s="36">
        <v>0</v>
      </c>
      <c r="AE305" s="36">
        <v>0</v>
      </c>
      <c r="AF305" s="36">
        <v>0</v>
      </c>
      <c r="AG305" s="36">
        <v>0</v>
      </c>
      <c r="AH305" s="36">
        <v>0</v>
      </c>
      <c r="AI305" s="36">
        <v>0</v>
      </c>
      <c r="AJ305" s="36">
        <v>0</v>
      </c>
      <c r="AK305" s="36">
        <v>0</v>
      </c>
      <c r="AL305" s="36">
        <v>0</v>
      </c>
      <c r="AM305" s="36">
        <v>0</v>
      </c>
      <c r="AN305" s="36">
        <v>0</v>
      </c>
      <c r="AO305" s="36">
        <v>0</v>
      </c>
      <c r="AP305" s="36">
        <v>0</v>
      </c>
      <c r="AQ305" s="36">
        <v>0</v>
      </c>
      <c r="AR305" s="36">
        <v>0</v>
      </c>
      <c r="AS305" s="36">
        <v>0</v>
      </c>
      <c r="AT305" s="36">
        <v>0</v>
      </c>
      <c r="AU305" s="36">
        <v>0</v>
      </c>
      <c r="AV305" s="36">
        <v>0</v>
      </c>
      <c r="AW305" s="36">
        <v>0</v>
      </c>
      <c r="AX305" s="36">
        <v>0</v>
      </c>
      <c r="AY305" s="36">
        <v>0</v>
      </c>
      <c r="AZ305" s="36">
        <v>0</v>
      </c>
      <c r="BA305" s="36">
        <v>0</v>
      </c>
      <c r="BB305" s="36">
        <v>0</v>
      </c>
      <c r="BC305" s="36">
        <v>0</v>
      </c>
      <c r="BD305" s="36">
        <v>0</v>
      </c>
      <c r="BE305" s="36">
        <v>0</v>
      </c>
      <c r="BF305" s="36">
        <v>0</v>
      </c>
      <c r="BG305" s="36">
        <v>0</v>
      </c>
      <c r="BH305" s="36">
        <v>0</v>
      </c>
      <c r="BI305" s="36">
        <v>0</v>
      </c>
      <c r="BJ305" s="36">
        <v>0</v>
      </c>
      <c r="BK305" s="36">
        <v>0</v>
      </c>
      <c r="BL305" s="36">
        <v>0</v>
      </c>
      <c r="BM305" s="36">
        <v>0</v>
      </c>
      <c r="BN305" s="36">
        <v>0</v>
      </c>
      <c r="BO305" s="36">
        <v>0</v>
      </c>
      <c r="BP305" s="36">
        <v>0</v>
      </c>
      <c r="BQ305" s="36">
        <v>0</v>
      </c>
      <c r="BR305" s="36">
        <v>0</v>
      </c>
      <c r="BS305" s="36">
        <v>0</v>
      </c>
      <c r="BT305" s="36">
        <v>0</v>
      </c>
      <c r="BU305" s="36">
        <v>0</v>
      </c>
      <c r="BV305" s="36">
        <v>0</v>
      </c>
      <c r="BW305" s="36">
        <v>0</v>
      </c>
      <c r="BX305" s="36">
        <v>0</v>
      </c>
      <c r="BY305" s="36">
        <v>0</v>
      </c>
      <c r="BZ305" s="36">
        <v>0</v>
      </c>
      <c r="CA305" s="36">
        <v>0</v>
      </c>
      <c r="CB305" s="36">
        <v>0</v>
      </c>
      <c r="CC305" s="36">
        <v>0</v>
      </c>
      <c r="CD305" s="36">
        <v>0</v>
      </c>
      <c r="CE305" s="36">
        <v>0</v>
      </c>
      <c r="CF305" s="36">
        <v>0</v>
      </c>
      <c r="CG305" s="36">
        <v>0</v>
      </c>
      <c r="CH305" s="36">
        <v>0</v>
      </c>
      <c r="CI305" s="36">
        <v>0</v>
      </c>
      <c r="CJ305" s="36"/>
      <c r="CK305" s="36">
        <v>0</v>
      </c>
      <c r="CL305" s="36">
        <v>0</v>
      </c>
      <c r="CM305" s="36">
        <v>0</v>
      </c>
      <c r="CN305" s="36">
        <v>0</v>
      </c>
      <c r="CO305" s="36">
        <v>0</v>
      </c>
      <c r="CP305" s="36">
        <v>0</v>
      </c>
      <c r="CQ305" s="36">
        <v>0</v>
      </c>
      <c r="CR305" s="36">
        <v>0</v>
      </c>
      <c r="CS305" s="36">
        <v>0</v>
      </c>
      <c r="CT305" s="36">
        <v>0</v>
      </c>
      <c r="CU305" s="36">
        <v>0</v>
      </c>
      <c r="CV305" s="36">
        <v>0</v>
      </c>
      <c r="CW305" s="36">
        <v>0</v>
      </c>
      <c r="CX305" s="40"/>
      <c r="CY305" s="40"/>
    </row>
  </sheetData>
  <mergeCells count="103">
    <mergeCell ref="CV13:CV14"/>
    <mergeCell ref="CW13:CW14"/>
    <mergeCell ref="CH13:CH14"/>
    <mergeCell ref="CI13:CI14"/>
    <mergeCell ref="CK13:CK14"/>
    <mergeCell ref="CL13:CL14"/>
    <mergeCell ref="CN13:CN14"/>
    <mergeCell ref="AZ13:AZ14"/>
    <mergeCell ref="CP13:CP14"/>
    <mergeCell ref="CS13:CS14"/>
    <mergeCell ref="CO13:CO14"/>
    <mergeCell ref="BU13:BU14"/>
    <mergeCell ref="BT13:BT14"/>
    <mergeCell ref="BW13:BW14"/>
    <mergeCell ref="CF13:CF14"/>
    <mergeCell ref="BV13:BV14"/>
    <mergeCell ref="BY13:BY14"/>
    <mergeCell ref="CG13:CG14"/>
    <mergeCell ref="CR13:CR14"/>
    <mergeCell ref="CU13:CU14"/>
    <mergeCell ref="CM13:CM14"/>
    <mergeCell ref="BZ13:BZ14"/>
    <mergeCell ref="CA13:CA14"/>
    <mergeCell ref="BX13:BX14"/>
    <mergeCell ref="BO13:BO14"/>
    <mergeCell ref="BQ13:BQ14"/>
    <mergeCell ref="BR13:BR14"/>
    <mergeCell ref="BS13:BS14"/>
    <mergeCell ref="BP13:BP14"/>
    <mergeCell ref="CT13:CT14"/>
    <mergeCell ref="CB13:CB14"/>
    <mergeCell ref="CC13:CC14"/>
    <mergeCell ref="CD13:CD14"/>
    <mergeCell ref="CE13:CE14"/>
    <mergeCell ref="CQ13:CQ14"/>
    <mergeCell ref="CJ13:CJ14"/>
    <mergeCell ref="BN13:BN14"/>
    <mergeCell ref="AQ13:AQ14"/>
    <mergeCell ref="BE13:BE14"/>
    <mergeCell ref="BL13:BL14"/>
    <mergeCell ref="BM13:BM14"/>
    <mergeCell ref="BK13:BK14"/>
    <mergeCell ref="BH13:BH14"/>
    <mergeCell ref="AX13:AX14"/>
    <mergeCell ref="BF13:BF14"/>
    <mergeCell ref="AU13:AU14"/>
    <mergeCell ref="AT13:AT14"/>
    <mergeCell ref="BG13:BG14"/>
    <mergeCell ref="BI13:BI14"/>
    <mergeCell ref="BJ13:BJ14"/>
    <mergeCell ref="BA13:BA14"/>
    <mergeCell ref="BB13:BB14"/>
    <mergeCell ref="BC13:BC14"/>
    <mergeCell ref="BD13:BD14"/>
    <mergeCell ref="AI13:AI14"/>
    <mergeCell ref="AB13:AB14"/>
    <mergeCell ref="AY13:AY14"/>
    <mergeCell ref="AV13:AV14"/>
    <mergeCell ref="AW13:AW14"/>
    <mergeCell ref="AR13:AR14"/>
    <mergeCell ref="AS13:AS14"/>
    <mergeCell ref="AM13:AM14"/>
    <mergeCell ref="AN13:AN14"/>
    <mergeCell ref="AJ13:AJ14"/>
    <mergeCell ref="AP13:AP14"/>
    <mergeCell ref="A11:J11"/>
    <mergeCell ref="L13:L14"/>
    <mergeCell ref="S13:S14"/>
    <mergeCell ref="AE13:AE14"/>
    <mergeCell ref="AF13:AF14"/>
    <mergeCell ref="AA13:AA14"/>
    <mergeCell ref="W13:W14"/>
    <mergeCell ref="X13:X14"/>
    <mergeCell ref="D13:D15"/>
    <mergeCell ref="I13:I14"/>
    <mergeCell ref="J13:J14"/>
    <mergeCell ref="E13:E15"/>
    <mergeCell ref="F13:F14"/>
    <mergeCell ref="G13:G14"/>
    <mergeCell ref="H13:H14"/>
    <mergeCell ref="Q13:Q14"/>
    <mergeCell ref="K13:K14"/>
    <mergeCell ref="AD13:AD14"/>
    <mergeCell ref="O13:O14"/>
    <mergeCell ref="R13:R14"/>
    <mergeCell ref="Y13:Y14"/>
    <mergeCell ref="Z13:Z14"/>
    <mergeCell ref="T13:T14"/>
    <mergeCell ref="U13:U14"/>
    <mergeCell ref="V13:V14"/>
    <mergeCell ref="AK13:AK14"/>
    <mergeCell ref="AL13:AL14"/>
    <mergeCell ref="AO13:AO14"/>
    <mergeCell ref="P13:P14"/>
    <mergeCell ref="AH13:AH14"/>
    <mergeCell ref="A13:B13"/>
    <mergeCell ref="A14:A15"/>
    <mergeCell ref="B14:B15"/>
    <mergeCell ref="C13:C15"/>
    <mergeCell ref="M13:M14"/>
    <mergeCell ref="N13:N14"/>
    <mergeCell ref="AC13:AC14"/>
    <mergeCell ref="AG13:AG14"/>
  </mergeCells>
  <phoneticPr fontId="6" type="noConversion"/>
  <pageMargins left="0.15748031496062992" right="0.15748031496062992" top="0.78740157480314965" bottom="0.19685039370078741" header="0" footer="0"/>
  <pageSetup paperSize="9" firstPageNumber="31" orientation="landscape" useFirstPageNumber="1" r:id="rId1"/>
  <headerFooter>
    <oddHeader>&amp;C&amp;"Times New Roman,обычный"&amp;10&amp;P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Расходы РБ</vt:lpstr>
      <vt:lpstr>'Расходы РБ'!Заголовки_для_печати</vt:lpstr>
      <vt:lpstr>'Расходы РБ'!Область_печати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Мога Лариса</dc:creator>
  <cp:lastModifiedBy>Дротенко</cp:lastModifiedBy>
  <cp:lastPrinted>2020-07-29T08:44:48Z</cp:lastPrinted>
  <dcterms:created xsi:type="dcterms:W3CDTF">2019-12-19T08:12:45Z</dcterms:created>
  <dcterms:modified xsi:type="dcterms:W3CDTF">2020-07-29T08:45:08Z</dcterms:modified>
</cp:coreProperties>
</file>