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1160"/>
  </bookViews>
  <sheets>
    <sheet name="Приложение №3" sheetId="1" r:id="rId1"/>
  </sheets>
  <definedNames>
    <definedName name="_xlnm.Print_Titles" localSheetId="0">'Приложение №3'!$15:$15</definedName>
    <definedName name="_xlnm.Print_Area" localSheetId="0">'Приложение №3'!$A$1:$K$67</definedName>
  </definedNames>
  <calcPr calcId="152511"/>
</workbook>
</file>

<file path=xl/calcChain.xml><?xml version="1.0" encoding="utf-8"?>
<calcChain xmlns="http://schemas.openxmlformats.org/spreadsheetml/2006/main">
  <c r="J66" i="1" l="1"/>
  <c r="I66" i="1"/>
  <c r="H66" i="1"/>
  <c r="G66" i="1"/>
  <c r="G64" i="1"/>
  <c r="F66" i="1"/>
  <c r="E66" i="1"/>
  <c r="D66" i="1"/>
  <c r="C66" i="1"/>
  <c r="J64" i="1"/>
  <c r="I64" i="1"/>
  <c r="H64" i="1"/>
  <c r="F64" i="1"/>
  <c r="E64" i="1"/>
  <c r="D64" i="1"/>
  <c r="C64" i="1"/>
  <c r="J41" i="1"/>
  <c r="I41" i="1"/>
  <c r="H41" i="1"/>
  <c r="G41" i="1"/>
  <c r="F41" i="1"/>
  <c r="E41" i="1"/>
  <c r="D41" i="1"/>
  <c r="C41" i="1"/>
  <c r="J36" i="1"/>
  <c r="I36" i="1"/>
  <c r="H36" i="1"/>
  <c r="G36" i="1"/>
  <c r="F36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C32" i="1"/>
  <c r="J30" i="1"/>
  <c r="I30" i="1"/>
  <c r="H30" i="1"/>
  <c r="G30" i="1"/>
  <c r="F30" i="1"/>
  <c r="E30" i="1"/>
  <c r="D30" i="1"/>
  <c r="C30" i="1"/>
  <c r="J28" i="1"/>
  <c r="I28" i="1"/>
  <c r="H28" i="1"/>
  <c r="G28" i="1"/>
  <c r="F28" i="1"/>
  <c r="E28" i="1"/>
  <c r="D28" i="1"/>
  <c r="C28" i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K35" i="1"/>
  <c r="K2" i="1" l="1"/>
  <c r="K5" i="1"/>
  <c r="K19" i="1"/>
  <c r="K66" i="1"/>
  <c r="J17" i="1"/>
  <c r="I17" i="1"/>
  <c r="H17" i="1"/>
  <c r="G17" i="1"/>
  <c r="F17" i="1"/>
  <c r="E17" i="1"/>
  <c r="D17" i="1"/>
  <c r="K52" i="1"/>
  <c r="C17" i="1"/>
  <c r="K20" i="1"/>
  <c r="K64" i="1"/>
  <c r="J63" i="1"/>
  <c r="I63" i="1"/>
  <c r="H63" i="1"/>
  <c r="G63" i="1"/>
  <c r="F63" i="1"/>
  <c r="E63" i="1"/>
  <c r="D63" i="1"/>
  <c r="C63" i="1"/>
  <c r="K61" i="1"/>
  <c r="K59" i="1"/>
  <c r="K57" i="1"/>
  <c r="K55" i="1"/>
  <c r="K53" i="1"/>
  <c r="K50" i="1"/>
  <c r="K49" i="1"/>
  <c r="K48" i="1"/>
  <c r="K47" i="1"/>
  <c r="K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K42" i="1"/>
  <c r="K41" i="1"/>
  <c r="J40" i="1"/>
  <c r="I40" i="1"/>
  <c r="H40" i="1"/>
  <c r="G40" i="1"/>
  <c r="F40" i="1"/>
  <c r="E40" i="1"/>
  <c r="D40" i="1"/>
  <c r="C40" i="1"/>
  <c r="K38" i="1"/>
  <c r="K34" i="1"/>
  <c r="K33" i="1"/>
  <c r="K32" i="1"/>
  <c r="J31" i="1"/>
  <c r="I31" i="1"/>
  <c r="H31" i="1"/>
  <c r="G31" i="1"/>
  <c r="F31" i="1"/>
  <c r="E31" i="1"/>
  <c r="D31" i="1"/>
  <c r="C31" i="1"/>
  <c r="K28" i="1"/>
  <c r="K26" i="1"/>
  <c r="D25" i="1"/>
  <c r="C25" i="1"/>
  <c r="K21" i="1"/>
  <c r="K18" i="1"/>
  <c r="C16" i="1" l="1"/>
  <c r="K25" i="1"/>
  <c r="K45" i="1"/>
  <c r="K63" i="1"/>
  <c r="K23" i="1"/>
  <c r="G16" i="1"/>
  <c r="K30" i="1"/>
  <c r="K17" i="1"/>
  <c r="J16" i="1"/>
  <c r="D16" i="1"/>
  <c r="E16" i="1"/>
  <c r="I16" i="1"/>
  <c r="K31" i="1"/>
  <c r="H16" i="1"/>
  <c r="K40" i="1"/>
  <c r="K22" i="1"/>
  <c r="K36" i="1"/>
  <c r="F16" i="1"/>
  <c r="F67" i="1" l="1"/>
  <c r="H67" i="1"/>
  <c r="I67" i="1"/>
  <c r="D67" i="1"/>
  <c r="G67" i="1"/>
  <c r="K44" i="1"/>
  <c r="K16" i="1"/>
  <c r="E67" i="1"/>
  <c r="J67" i="1"/>
  <c r="C67" i="1"/>
  <c r="K67" i="1" l="1"/>
</calcChain>
</file>

<file path=xl/sharedStrings.xml><?xml version="1.0" encoding="utf-8"?>
<sst xmlns="http://schemas.openxmlformats.org/spreadsheetml/2006/main" count="60" uniqueCount="60">
  <si>
    <t xml:space="preserve">к Закону Приднестровской Молдавской Республики </t>
  </si>
  <si>
    <t>Приложение № 1.3</t>
  </si>
  <si>
    <t>Планирование доходной части бюджетов городов и районов</t>
  </si>
  <si>
    <t xml:space="preserve">в разрезе основных видов налоговых, неналоговых и иных обязательных платежей </t>
  </si>
  <si>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</si>
  <si>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</si>
  <si>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</si>
  <si>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</si>
  <si>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</si>
  <si>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</si>
  <si>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</si>
  <si>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</si>
  <si>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</si>
  <si>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</si>
  <si>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</si>
  <si>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</si>
  <si>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</si>
  <si>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</si>
  <si>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</si>
  <si>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</si>
  <si>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выручки организаций, применяющих упрощенную систему налогообложения, бухгалтерского учета и отчетности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</si>
  <si>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</si>
  <si>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</si>
  <si>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</si>
  <si>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</si>
  <si>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</si>
  <si>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</si>
  <si>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</si>
  <si>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</si>
  <si>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</si>
  <si>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</si>
  <si>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Налоги на внешнюю торговлю и внешнеэкономические операции</t>
  </si>
  <si>
    <t>Прочие налоги, пошлины и сборы</t>
  </si>
  <si>
    <t>Местные налоги и сборы</t>
  </si>
  <si>
    <t>Отчисления средств от платы за патент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</si>
  <si>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</si>
  <si>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</si>
  <si>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</si>
  <si>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</si>
  <si>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</si>
  <si>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</si>
  <si>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</si>
  <si>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</si>
  <si>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</si>
  <si>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</si>
  <si>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</si>
  <si>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от внешнеэкономической деятельности</t>
  </si>
  <si>
    <t>Прочие неналоговые доходы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</si>
  <si>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</si>
  <si>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</si>
  <si>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</si>
  <si>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</si>
  <si>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>на 2020 год</t>
  </si>
  <si>
    <t>"О республиканском бюджете на 2020 год"</t>
  </si>
  <si>
    <t>Налог с потенциально возможного к получению годового дохода для индивидуальных предпринимателей</t>
  </si>
  <si>
    <t xml:space="preserve">Налог с выручки индивидуальных предпринимателей, применяющих упрощенную систему налогообложения </t>
  </si>
  <si>
    <t xml:space="preserve"> в Закон Приднестровской Молдавской Республики </t>
  </si>
  <si>
    <t>"О внесении изменений и дополнений</t>
  </si>
  <si>
    <t>Платежи за пользование водными ресурсами в пределах установленных нормативов и лимитов</t>
  </si>
  <si>
    <t>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</si>
</sst>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_р_._-;\-* #,##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164" fontId="12" fillId="4" borderId="1" xfId="0" applyNumberFormat="1" applyFont="1" applyFill="1" applyBorder="1" applyAlignment="1">
      <alignment horizontal="center" vertical="center"/>
    </xf>
    <xf numFmtId="164" fontId="12" fillId="4" borderId="7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 wrapText="1"/>
    </xf>
    <xf numFmtId="164" fontId="13" fillId="0" borderId="9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164" fontId="13" fillId="0" borderId="10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 wrapText="1"/>
    </xf>
    <xf numFmtId="164" fontId="13" fillId="0" borderId="4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 wrapText="1"/>
    </xf>
    <xf numFmtId="164" fontId="14" fillId="0" borderId="11" xfId="0" applyNumberFormat="1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0" fontId="15" fillId="0" borderId="0" xfId="0" applyFont="1"/>
    <xf numFmtId="0" fontId="2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 applyFill="1"/>
    <xf numFmtId="0" fontId="7" fillId="3" borderId="0" xfId="0" applyFont="1" applyFill="1"/>
    <xf numFmtId="0" fontId="7" fillId="0" borderId="0" xfId="0" applyFont="1"/>
    <xf numFmtId="0" fontId="15" fillId="2" borderId="0" xfId="0" applyFont="1" applyFill="1"/>
    <xf numFmtId="0" fontId="16" fillId="3" borderId="0" xfId="0" applyFont="1" applyFill="1"/>
    <xf numFmtId="2" fontId="16" fillId="3" borderId="0" xfId="0" applyNumberFormat="1" applyFont="1" applyFill="1"/>
    <xf numFmtId="164" fontId="15" fillId="3" borderId="0" xfId="0" applyNumberFormat="1" applyFont="1" applyFill="1"/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7"/>
  <sheetViews>
    <sheetView tabSelected="1" view="pageBreakPreview" zoomScale="80" zoomScaleNormal="90" zoomScaleSheetLayoutView="80" workbookViewId="0">
      <pane xSplit="2" ySplit="15" topLeftCell="C28" activePane="bottomRight" state="frozen"/>
      <selection pane="topRight" activeCell="C1" sqref="C1"/>
      <selection pane="bottomLeft" activeCell="A16" sqref="A16"/>
      <selection pane="bottomRight" activeCell="K2" sqref="K2"/>
    </sheetView>
  </sheetViews>
  <sheetFormatPr defaultRowHeight="15" x14ac:dyDescent="0.25"/>
  <cols>
    <col min="1" max="1" width="9.28515625" style="66" bestFit="1" customWidth="1"/>
    <col min="2" max="2" width="43.7109375" style="66" customWidth="1"/>
    <col min="3" max="3" width="15.7109375" style="66" bestFit="1" customWidth="1"/>
    <col min="4" max="4" width="14.28515625" style="66" customWidth="1"/>
    <col min="5" max="5" width="15.85546875" style="66" bestFit="1" customWidth="1"/>
    <col min="6" max="6" width="15.7109375" style="66" bestFit="1" customWidth="1"/>
    <col min="7" max="7" width="14.7109375" style="66" bestFit="1" customWidth="1"/>
    <col min="8" max="8" width="15.7109375" style="66" bestFit="1" customWidth="1"/>
    <col min="9" max="9" width="14.5703125" style="66" customWidth="1"/>
    <col min="10" max="10" width="14.7109375" style="66" bestFit="1" customWidth="1"/>
    <col min="11" max="11" width="16.5703125" style="66" customWidth="1"/>
    <col min="12" max="12" width="16.7109375" style="68" bestFit="1" customWidth="1"/>
    <col min="13" max="13" width="15" style="68" bestFit="1" customWidth="1"/>
    <col min="14" max="59" width="10.28515625" style="68" customWidth="1"/>
    <col min="60" max="16384" width="9.140625" style="66"/>
  </cols>
  <sheetData>
    <row r="1" spans="1:13" ht="15.75" x14ac:dyDescent="0.25">
      <c r="K1" s="67" t="s">
        <v>59</v>
      </c>
    </row>
    <row r="2" spans="1:13" ht="15.75" x14ac:dyDescent="0.25">
      <c r="K2" s="67" t="str">
        <f t="shared" ref="K2" si="0">A8</f>
        <v xml:space="preserve">к Закону Приднестровской Молдавской Республики </v>
      </c>
    </row>
    <row r="3" spans="1:13" ht="15.75" x14ac:dyDescent="0.25">
      <c r="K3" s="67" t="s">
        <v>57</v>
      </c>
    </row>
    <row r="4" spans="1:13" ht="15.75" x14ac:dyDescent="0.25">
      <c r="K4" s="67" t="s">
        <v>56</v>
      </c>
    </row>
    <row r="5" spans="1:13" ht="15.75" x14ac:dyDescent="0.25">
      <c r="K5" s="67" t="str">
        <f>A9</f>
        <v>"О республиканском бюджете на 2020 год"</v>
      </c>
    </row>
    <row r="7" spans="1:13" ht="15.75" x14ac:dyDescent="0.25">
      <c r="A7" s="77" t="s">
        <v>1</v>
      </c>
      <c r="B7" s="77"/>
      <c r="C7" s="77"/>
      <c r="D7" s="77"/>
      <c r="E7" s="77"/>
      <c r="F7" s="77"/>
      <c r="G7" s="77"/>
      <c r="H7" s="77"/>
      <c r="I7" s="77"/>
      <c r="J7" s="77"/>
      <c r="K7" s="77"/>
    </row>
    <row r="8" spans="1:13" ht="15.75" x14ac:dyDescent="0.25">
      <c r="A8" s="77" t="s">
        <v>0</v>
      </c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3" ht="15.75" x14ac:dyDescent="0.25">
      <c r="A9" s="77" t="s">
        <v>53</v>
      </c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3" ht="15.75" x14ac:dyDescent="0.2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</row>
    <row r="11" spans="1:13" ht="16.5" x14ac:dyDescent="0.25">
      <c r="A11" s="76" t="s">
        <v>2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3" ht="16.5" x14ac:dyDescent="0.25">
      <c r="A12" s="76" t="s">
        <v>3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spans="1:13" ht="16.5" x14ac:dyDescent="0.25">
      <c r="A13" s="76" t="s">
        <v>52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</row>
    <row r="14" spans="1:13" ht="16.5" thickBot="1" x14ac:dyDescent="0.3">
      <c r="A14" s="1"/>
      <c r="B14" s="1"/>
      <c r="C14" s="2"/>
      <c r="D14" s="2"/>
      <c r="E14" s="2"/>
      <c r="F14" s="2"/>
      <c r="G14" s="2"/>
      <c r="H14" s="2"/>
      <c r="I14" s="2"/>
      <c r="J14" s="2"/>
      <c r="K14" s="6" t="s">
        <v>4</v>
      </c>
    </row>
    <row r="15" spans="1:13" ht="30.75" thickBot="1" x14ac:dyDescent="0.3">
      <c r="A15" s="3" t="s">
        <v>5</v>
      </c>
      <c r="B15" s="4" t="s">
        <v>6</v>
      </c>
      <c r="C15" s="5" t="s">
        <v>7</v>
      </c>
      <c r="D15" s="5" t="s">
        <v>8</v>
      </c>
      <c r="E15" s="5" t="s">
        <v>9</v>
      </c>
      <c r="F15" s="5" t="s">
        <v>10</v>
      </c>
      <c r="G15" s="5" t="s">
        <v>11</v>
      </c>
      <c r="H15" s="5" t="s">
        <v>12</v>
      </c>
      <c r="I15" s="5" t="s">
        <v>13</v>
      </c>
      <c r="J15" s="5" t="s">
        <v>14</v>
      </c>
      <c r="K15" s="5" t="s">
        <v>15</v>
      </c>
    </row>
    <row r="16" spans="1:13" ht="15.75" thickBot="1" x14ac:dyDescent="0.3">
      <c r="A16" s="18">
        <v>1000000</v>
      </c>
      <c r="B16" s="19" t="s">
        <v>16</v>
      </c>
      <c r="C16" s="15">
        <f t="shared" ref="C16:K16" si="1">SUM(C17+C25+C28+C30+C38+C40)</f>
        <v>270570010</v>
      </c>
      <c r="D16" s="45">
        <f t="shared" si="1"/>
        <v>28237296</v>
      </c>
      <c r="E16" s="45">
        <f t="shared" si="1"/>
        <v>205719354</v>
      </c>
      <c r="F16" s="45">
        <f t="shared" si="1"/>
        <v>165170217</v>
      </c>
      <c r="G16" s="45">
        <f t="shared" si="1"/>
        <v>75724978</v>
      </c>
      <c r="H16" s="45">
        <f t="shared" si="1"/>
        <v>100913981</v>
      </c>
      <c r="I16" s="46">
        <f t="shared" si="1"/>
        <v>51029041</v>
      </c>
      <c r="J16" s="45">
        <f t="shared" si="1"/>
        <v>29350456</v>
      </c>
      <c r="K16" s="46">
        <f t="shared" si="1"/>
        <v>926715333</v>
      </c>
      <c r="L16" s="75"/>
      <c r="M16" s="75"/>
    </row>
    <row r="17" spans="1:59" ht="15.75" x14ac:dyDescent="0.25">
      <c r="A17" s="20">
        <v>1010000</v>
      </c>
      <c r="B17" s="21" t="s">
        <v>17</v>
      </c>
      <c r="C17" s="13">
        <f t="shared" ref="C17:J17" si="2">SUM(C18:C23)</f>
        <v>240816384</v>
      </c>
      <c r="D17" s="47">
        <f t="shared" si="2"/>
        <v>22461285</v>
      </c>
      <c r="E17" s="47">
        <f t="shared" si="2"/>
        <v>187043164</v>
      </c>
      <c r="F17" s="47">
        <f t="shared" si="2"/>
        <v>142085832</v>
      </c>
      <c r="G17" s="47">
        <f t="shared" si="2"/>
        <v>63524752</v>
      </c>
      <c r="H17" s="47">
        <f t="shared" si="2"/>
        <v>72465744</v>
      </c>
      <c r="I17" s="47">
        <f t="shared" si="2"/>
        <v>37266287</v>
      </c>
      <c r="J17" s="48">
        <f t="shared" si="2"/>
        <v>22859470</v>
      </c>
      <c r="K17" s="47">
        <f>SUM(C17:J17)</f>
        <v>788522918</v>
      </c>
      <c r="L17" s="75"/>
      <c r="M17" s="75"/>
    </row>
    <row r="18" spans="1:59" s="69" customFormat="1" ht="15.75" x14ac:dyDescent="0.25">
      <c r="A18" s="14">
        <v>1010100</v>
      </c>
      <c r="B18" s="17" t="s">
        <v>18</v>
      </c>
      <c r="C18" s="8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f t="shared" ref="K18:K23" si="3">C18+D18+E18+F18+G18+H18+I18+J18</f>
        <v>0</v>
      </c>
      <c r="L18" s="75"/>
      <c r="M18" s="75"/>
    </row>
    <row r="19" spans="1:59" ht="47.25" x14ac:dyDescent="0.25">
      <c r="A19" s="14">
        <v>1010200</v>
      </c>
      <c r="B19" s="17" t="s">
        <v>19</v>
      </c>
      <c r="C19" s="8">
        <f>82806464-5003932</f>
        <v>77802532</v>
      </c>
      <c r="D19" s="49">
        <f>6762997-408683</f>
        <v>6354314</v>
      </c>
      <c r="E19" s="49">
        <f>105553293-6378505</f>
        <v>99174788</v>
      </c>
      <c r="F19" s="49">
        <f>83182081-9748292+1206017-4510427</f>
        <v>70129379</v>
      </c>
      <c r="G19" s="49">
        <f>40981289-2476468</f>
        <v>38504821</v>
      </c>
      <c r="H19" s="49">
        <f>45814256-2768521</f>
        <v>43045735</v>
      </c>
      <c r="I19" s="49">
        <f>18610955-1124645</f>
        <v>17486310</v>
      </c>
      <c r="J19" s="49">
        <f>13754980-831203</f>
        <v>12923777</v>
      </c>
      <c r="K19" s="49">
        <f t="shared" si="3"/>
        <v>365421656</v>
      </c>
      <c r="L19" s="75"/>
      <c r="M19" s="75"/>
    </row>
    <row r="20" spans="1:59" ht="47.25" x14ac:dyDescent="0.25">
      <c r="A20" s="14">
        <v>1010500</v>
      </c>
      <c r="B20" s="17" t="s">
        <v>54</v>
      </c>
      <c r="C20" s="8">
        <f>5819869-727484</f>
        <v>5092385</v>
      </c>
      <c r="D20" s="49">
        <f>174887-21861</f>
        <v>153026</v>
      </c>
      <c r="E20" s="49">
        <f>3811604-476450</f>
        <v>3335154</v>
      </c>
      <c r="F20" s="49">
        <f>2984143-373018</f>
        <v>2611125</v>
      </c>
      <c r="G20" s="49">
        <f>1432119-179015</f>
        <v>1253104</v>
      </c>
      <c r="H20" s="49">
        <f>3063381-382922</f>
        <v>2680459</v>
      </c>
      <c r="I20" s="49">
        <f>2428519-303565</f>
        <v>2124954</v>
      </c>
      <c r="J20" s="49">
        <f>1069744-133718</f>
        <v>936026</v>
      </c>
      <c r="K20" s="49">
        <f t="shared" si="3"/>
        <v>18186233</v>
      </c>
      <c r="L20" s="75"/>
      <c r="M20" s="75"/>
    </row>
    <row r="21" spans="1:59" ht="63" x14ac:dyDescent="0.25">
      <c r="A21" s="14">
        <v>1010600</v>
      </c>
      <c r="B21" s="17" t="s">
        <v>20</v>
      </c>
      <c r="C21" s="8">
        <f>1380309-172996</f>
        <v>1207313</v>
      </c>
      <c r="D21" s="49">
        <f>8816-1105</f>
        <v>7711</v>
      </c>
      <c r="E21" s="49">
        <f>3404828-425604</f>
        <v>2979224</v>
      </c>
      <c r="F21" s="49">
        <f>801247-100156</f>
        <v>701091</v>
      </c>
      <c r="G21" s="49">
        <f>60926-7616</f>
        <v>53310</v>
      </c>
      <c r="H21" s="49">
        <f>963830-120479</f>
        <v>843351</v>
      </c>
      <c r="I21" s="49">
        <f>89526-11191</f>
        <v>78335</v>
      </c>
      <c r="J21" s="49">
        <f>5772-721</f>
        <v>5051</v>
      </c>
      <c r="K21" s="49">
        <f t="shared" si="3"/>
        <v>5875386</v>
      </c>
      <c r="L21" s="75"/>
      <c r="M21" s="75"/>
    </row>
    <row r="22" spans="1:59" ht="47.25" x14ac:dyDescent="0.25">
      <c r="A22" s="14">
        <v>1010601</v>
      </c>
      <c r="B22" s="17" t="s">
        <v>55</v>
      </c>
      <c r="C22" s="8">
        <f>1723424+658178-298132</f>
        <v>2083470</v>
      </c>
      <c r="D22" s="49">
        <f>713+4341-1072</f>
        <v>3982</v>
      </c>
      <c r="E22" s="49">
        <f>3210172+766582-497095</f>
        <v>3479659</v>
      </c>
      <c r="F22" s="49">
        <f>724772+633673-169805</f>
        <v>1188640</v>
      </c>
      <c r="G22" s="49">
        <f>794687+209621-125539</f>
        <v>878769</v>
      </c>
      <c r="H22" s="49">
        <f>710972+728748-179965</f>
        <v>1259755</v>
      </c>
      <c r="I22" s="49">
        <f>884030-298025-73251</f>
        <v>512754</v>
      </c>
      <c r="J22" s="49">
        <f>138252+47552-23225</f>
        <v>162579</v>
      </c>
      <c r="K22" s="49">
        <f t="shared" si="3"/>
        <v>9569608</v>
      </c>
      <c r="L22" s="75"/>
      <c r="M22" s="75"/>
    </row>
    <row r="23" spans="1:59" s="69" customFormat="1" ht="15.75" x14ac:dyDescent="0.25">
      <c r="A23" s="14">
        <v>1010700</v>
      </c>
      <c r="B23" s="17" t="s">
        <v>21</v>
      </c>
      <c r="C23" s="8">
        <f>194049390+1625662+52914-26030922+101396-15167756</f>
        <v>154630684</v>
      </c>
      <c r="D23" s="49">
        <f>15188947+131885+12225+2167759+2976-1561540</f>
        <v>15942252</v>
      </c>
      <c r="E23" s="49">
        <f>84730420+714068+200975+79942-7651066</f>
        <v>78074339</v>
      </c>
      <c r="F23" s="49">
        <f>73999006+67050-6610459</f>
        <v>67455597</v>
      </c>
      <c r="G23" s="49">
        <f>24803606+209268+50671+8944-2237741</f>
        <v>22834748</v>
      </c>
      <c r="H23" s="49">
        <f>26681048+221738+88694+59266-2414302</f>
        <v>24636444</v>
      </c>
      <c r="I23" s="49">
        <f>18456100+156556+113348+10148-1672218</f>
        <v>17063934</v>
      </c>
      <c r="J23" s="49">
        <f>9575521+80770+38272+2989-865515</f>
        <v>8832037</v>
      </c>
      <c r="K23" s="49">
        <f t="shared" si="3"/>
        <v>389470035</v>
      </c>
      <c r="L23" s="75"/>
      <c r="M23" s="75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</row>
    <row r="24" spans="1:59" s="71" customFormat="1" x14ac:dyDescent="0.25">
      <c r="A24" s="35"/>
      <c r="B24" s="41"/>
      <c r="C24" s="38"/>
      <c r="D24" s="49"/>
      <c r="E24" s="49"/>
      <c r="F24" s="49"/>
      <c r="G24" s="49"/>
      <c r="H24" s="49"/>
      <c r="I24" s="49"/>
      <c r="J24" s="49"/>
      <c r="K24" s="50"/>
      <c r="L24" s="75"/>
      <c r="M24" s="75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</row>
    <row r="25" spans="1:59" ht="47.25" x14ac:dyDescent="0.25">
      <c r="A25" s="14">
        <v>1020000</v>
      </c>
      <c r="B25" s="17" t="s">
        <v>22</v>
      </c>
      <c r="C25" s="8">
        <f>SUM(C26)</f>
        <v>0</v>
      </c>
      <c r="D25" s="49">
        <f>SUM(D26)</f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51">
        <v>0</v>
      </c>
      <c r="K25" s="49">
        <f>SUM(K26)</f>
        <v>0</v>
      </c>
      <c r="L25" s="75"/>
      <c r="M25" s="75"/>
    </row>
    <row r="26" spans="1:59" ht="15.75" x14ac:dyDescent="0.25">
      <c r="A26" s="14">
        <v>1020100</v>
      </c>
      <c r="B26" s="17" t="s">
        <v>23</v>
      </c>
      <c r="C26" s="8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f>C26+D26+E26+F26+G26+H26+I26+J26</f>
        <v>0</v>
      </c>
      <c r="L26" s="75"/>
      <c r="M26" s="75"/>
    </row>
    <row r="27" spans="1:59" s="71" customFormat="1" x14ac:dyDescent="0.25">
      <c r="A27" s="42"/>
      <c r="B27" s="41"/>
      <c r="C27" s="38"/>
      <c r="D27" s="49"/>
      <c r="E27" s="49"/>
      <c r="F27" s="49"/>
      <c r="G27" s="49"/>
      <c r="H27" s="49"/>
      <c r="I27" s="49"/>
      <c r="J27" s="49"/>
      <c r="K27" s="50"/>
      <c r="L27" s="75"/>
      <c r="M27" s="75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</row>
    <row r="28" spans="1:59" ht="15.75" x14ac:dyDescent="0.25">
      <c r="A28" s="14">
        <v>1040000</v>
      </c>
      <c r="B28" s="17" t="s">
        <v>24</v>
      </c>
      <c r="C28" s="8">
        <f>3578932-8982</f>
        <v>3569950</v>
      </c>
      <c r="D28" s="49">
        <f>227751-572</f>
        <v>227179</v>
      </c>
      <c r="E28" s="49">
        <f>2827493-7096</f>
        <v>2820397</v>
      </c>
      <c r="F28" s="49">
        <f>1949112-4892</f>
        <v>1944220</v>
      </c>
      <c r="G28" s="49">
        <f>1621216-4069</f>
        <v>1617147</v>
      </c>
      <c r="H28" s="49">
        <f>2223099-5580</f>
        <v>2217519</v>
      </c>
      <c r="I28" s="49">
        <f>1183272-2970</f>
        <v>1180302</v>
      </c>
      <c r="J28" s="49">
        <f>736187-1848</f>
        <v>734339</v>
      </c>
      <c r="K28" s="49">
        <f>C28+D28+E28+F28+G28+H28+I28+J28</f>
        <v>14311053</v>
      </c>
      <c r="L28" s="75"/>
      <c r="M28" s="75"/>
    </row>
    <row r="29" spans="1:59" s="71" customFormat="1" x14ac:dyDescent="0.25">
      <c r="A29" s="35"/>
      <c r="B29" s="36"/>
      <c r="C29" s="38"/>
      <c r="D29" s="49"/>
      <c r="E29" s="49"/>
      <c r="F29" s="49"/>
      <c r="G29" s="49"/>
      <c r="H29" s="49"/>
      <c r="I29" s="49"/>
      <c r="J29" s="49"/>
      <c r="K29" s="50"/>
      <c r="L29" s="75"/>
      <c r="M29" s="75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</row>
    <row r="30" spans="1:59" ht="31.5" x14ac:dyDescent="0.25">
      <c r="A30" s="14">
        <v>1050000</v>
      </c>
      <c r="B30" s="17" t="s">
        <v>25</v>
      </c>
      <c r="C30" s="8">
        <f>7939154-62996-923102</f>
        <v>6953056</v>
      </c>
      <c r="D30" s="49">
        <f>74882-8047</f>
        <v>66835</v>
      </c>
      <c r="E30" s="49">
        <f>8621470-1232-1118360</f>
        <v>7501878</v>
      </c>
      <c r="F30" s="49">
        <f>19789370+1232596+674807-5906496</f>
        <v>15790277</v>
      </c>
      <c r="G30" s="49">
        <f>9830601-2333617</f>
        <v>7496984</v>
      </c>
      <c r="H30" s="49">
        <f>25571931+714956+138988-6573280</f>
        <v>19852595</v>
      </c>
      <c r="I30" s="49">
        <f>13373150+1005435+853632-5340639</f>
        <v>9891578</v>
      </c>
      <c r="J30" s="51">
        <f>4907402+478904+213980-1758242</f>
        <v>3842044</v>
      </c>
      <c r="K30" s="49">
        <f>C30+D30+E30+F30+G30+H30+I30+J30</f>
        <v>71395247</v>
      </c>
      <c r="L30" s="75"/>
      <c r="M30" s="75"/>
    </row>
    <row r="31" spans="1:59" s="72" customFormat="1" ht="15.75" x14ac:dyDescent="0.25">
      <c r="A31" s="14">
        <v>1050100</v>
      </c>
      <c r="B31" s="17" t="s">
        <v>26</v>
      </c>
      <c r="C31" s="8">
        <f t="shared" ref="C31:K31" si="4">SUM(C32:C34)</f>
        <v>6858366</v>
      </c>
      <c r="D31" s="49">
        <f t="shared" si="4"/>
        <v>66835</v>
      </c>
      <c r="E31" s="49">
        <f t="shared" si="4"/>
        <v>7501631</v>
      </c>
      <c r="F31" s="49">
        <f t="shared" si="4"/>
        <v>13909772</v>
      </c>
      <c r="G31" s="49">
        <f t="shared" si="4"/>
        <v>7424579</v>
      </c>
      <c r="H31" s="49">
        <f t="shared" si="4"/>
        <v>18686251</v>
      </c>
      <c r="I31" s="49">
        <f t="shared" si="4"/>
        <v>7728424</v>
      </c>
      <c r="J31" s="49">
        <f t="shared" si="4"/>
        <v>3190778</v>
      </c>
      <c r="K31" s="49">
        <f t="shared" si="4"/>
        <v>65366636</v>
      </c>
      <c r="L31" s="75"/>
      <c r="M31" s="75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</row>
    <row r="32" spans="1:59" s="72" customFormat="1" ht="31.5" x14ac:dyDescent="0.25">
      <c r="A32" s="22">
        <v>1050101</v>
      </c>
      <c r="B32" s="23" t="s">
        <v>27</v>
      </c>
      <c r="C32" s="10">
        <f>417325-116603</f>
        <v>300722</v>
      </c>
      <c r="D32" s="52">
        <v>0</v>
      </c>
      <c r="E32" s="52">
        <f>1046989-292534</f>
        <v>754455</v>
      </c>
      <c r="F32" s="52">
        <f>8208115-2293390</f>
        <v>5914725</v>
      </c>
      <c r="G32" s="52">
        <f>7060597-1972768</f>
        <v>5087829</v>
      </c>
      <c r="H32" s="52">
        <f>14300125-3995530</f>
        <v>10304595</v>
      </c>
      <c r="I32" s="52">
        <f>7159171-2000310</f>
        <v>5158861</v>
      </c>
      <c r="J32" s="52">
        <f>2588003-723102</f>
        <v>1864901</v>
      </c>
      <c r="K32" s="52">
        <f>C32+D32+E32+F32+G32+H32+I32+J32</f>
        <v>29386088</v>
      </c>
      <c r="L32" s="75"/>
      <c r="M32" s="75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</row>
    <row r="33" spans="1:59" s="72" customFormat="1" ht="31.5" x14ac:dyDescent="0.25">
      <c r="A33" s="22">
        <v>1050102</v>
      </c>
      <c r="B33" s="23" t="s">
        <v>28</v>
      </c>
      <c r="C33" s="10">
        <f>7253136-806479</f>
        <v>6446657</v>
      </c>
      <c r="D33" s="52">
        <f>72374-8047</f>
        <v>64327</v>
      </c>
      <c r="E33" s="52">
        <f>7426933-825804</f>
        <v>6601129</v>
      </c>
      <c r="F33" s="52">
        <f>8352745-928745</f>
        <v>7424000</v>
      </c>
      <c r="G33" s="52">
        <f>2371582-263697</f>
        <v>2107885</v>
      </c>
      <c r="H33" s="52">
        <f>8536183-949141</f>
        <v>7587042</v>
      </c>
      <c r="I33" s="52">
        <f>2405021-267415</f>
        <v>2137606</v>
      </c>
      <c r="J33" s="52">
        <f>911847-101389</f>
        <v>810458</v>
      </c>
      <c r="K33" s="52">
        <f>C33+D33+E33+F33+G33+H33+I33+J33</f>
        <v>33179104</v>
      </c>
      <c r="L33" s="75"/>
      <c r="M33" s="75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</row>
    <row r="34" spans="1:59" s="72" customFormat="1" ht="15.75" x14ac:dyDescent="0.25">
      <c r="A34" s="22">
        <v>1050103</v>
      </c>
      <c r="B34" s="23" t="s">
        <v>29</v>
      </c>
      <c r="C34" s="10">
        <v>110987</v>
      </c>
      <c r="D34" s="52">
        <v>2508</v>
      </c>
      <c r="E34" s="52">
        <v>146047</v>
      </c>
      <c r="F34" s="52">
        <v>571047</v>
      </c>
      <c r="G34" s="52">
        <v>228865</v>
      </c>
      <c r="H34" s="52">
        <v>794614</v>
      </c>
      <c r="I34" s="52">
        <v>431957</v>
      </c>
      <c r="J34" s="52">
        <v>515419</v>
      </c>
      <c r="K34" s="52">
        <f>C34+D34+E34+F34+G34+H34+I34+J34</f>
        <v>2801444</v>
      </c>
      <c r="L34" s="75"/>
      <c r="M34" s="75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</row>
    <row r="35" spans="1:59" ht="47.25" x14ac:dyDescent="0.25">
      <c r="A35" s="14">
        <v>1050200</v>
      </c>
      <c r="B35" s="17" t="s">
        <v>58</v>
      </c>
      <c r="C35" s="8"/>
      <c r="D35" s="49"/>
      <c r="E35" s="49"/>
      <c r="F35" s="49"/>
      <c r="G35" s="49"/>
      <c r="H35" s="49"/>
      <c r="I35" s="49"/>
      <c r="J35" s="49"/>
      <c r="K35" s="49">
        <f>C35+D35+E35+F35+G35+H35+I35+J35</f>
        <v>0</v>
      </c>
      <c r="L35" s="75"/>
      <c r="M35" s="75"/>
    </row>
    <row r="36" spans="1:59" s="71" customFormat="1" ht="31.5" x14ac:dyDescent="0.25">
      <c r="A36" s="14">
        <v>1051100</v>
      </c>
      <c r="B36" s="17" t="s">
        <v>30</v>
      </c>
      <c r="C36" s="8">
        <v>0</v>
      </c>
      <c r="D36" s="49">
        <v>0</v>
      </c>
      <c r="E36" s="49">
        <v>0</v>
      </c>
      <c r="F36" s="49">
        <f>3890059+663807-2684318</f>
        <v>1869548</v>
      </c>
      <c r="G36" s="49">
        <f>164776-97129</f>
        <v>67647</v>
      </c>
      <c r="H36" s="49">
        <f>2655965+106823-1628550</f>
        <v>1134238</v>
      </c>
      <c r="I36" s="49">
        <f>4382436+830632-3072890</f>
        <v>2140178</v>
      </c>
      <c r="J36" s="49">
        <f>1371037+213030-933743</f>
        <v>650324</v>
      </c>
      <c r="K36" s="49">
        <f>C36+D36+E36+F36+G36+H36+I36+J36</f>
        <v>5861935</v>
      </c>
      <c r="L36" s="75"/>
      <c r="M36" s="75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</row>
    <row r="37" spans="1:59" x14ac:dyDescent="0.25">
      <c r="A37" s="35"/>
      <c r="B37" s="36"/>
      <c r="C37" s="40"/>
      <c r="D37" s="52"/>
      <c r="E37" s="52"/>
      <c r="F37" s="52"/>
      <c r="G37" s="52"/>
      <c r="H37" s="52"/>
      <c r="I37" s="52"/>
      <c r="J37" s="52"/>
      <c r="K37" s="50"/>
      <c r="L37" s="75"/>
      <c r="M37" s="75"/>
    </row>
    <row r="38" spans="1:59" s="71" customFormat="1" ht="31.5" x14ac:dyDescent="0.25">
      <c r="A38" s="14">
        <v>1060000</v>
      </c>
      <c r="B38" s="17" t="s">
        <v>31</v>
      </c>
      <c r="C38" s="8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f>C38+D38+E38+F38+G38+H38+I38+J38</f>
        <v>0</v>
      </c>
      <c r="L38" s="75"/>
      <c r="M38" s="75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</row>
    <row r="39" spans="1:59" x14ac:dyDescent="0.25">
      <c r="A39" s="42"/>
      <c r="B39" s="41"/>
      <c r="C39" s="38"/>
      <c r="D39" s="49"/>
      <c r="E39" s="49"/>
      <c r="F39" s="49"/>
      <c r="G39" s="49"/>
      <c r="H39" s="49"/>
      <c r="I39" s="49"/>
      <c r="J39" s="49"/>
      <c r="K39" s="50"/>
      <c r="L39" s="75"/>
      <c r="M39" s="75"/>
    </row>
    <row r="40" spans="1:59" ht="15.75" x14ac:dyDescent="0.25">
      <c r="A40" s="14">
        <v>1400000</v>
      </c>
      <c r="B40" s="17" t="s">
        <v>32</v>
      </c>
      <c r="C40" s="8">
        <f t="shared" ref="C40:K40" si="5">SUM(C41:C42)</f>
        <v>19230620</v>
      </c>
      <c r="D40" s="49">
        <f t="shared" si="5"/>
        <v>5481997</v>
      </c>
      <c r="E40" s="49">
        <f t="shared" si="5"/>
        <v>8353915</v>
      </c>
      <c r="F40" s="49">
        <f t="shared" si="5"/>
        <v>5349888</v>
      </c>
      <c r="G40" s="49">
        <f t="shared" si="5"/>
        <v>3086095</v>
      </c>
      <c r="H40" s="49">
        <f t="shared" si="5"/>
        <v>6378123</v>
      </c>
      <c r="I40" s="49">
        <f t="shared" si="5"/>
        <v>2690874</v>
      </c>
      <c r="J40" s="53">
        <f t="shared" si="5"/>
        <v>1914603</v>
      </c>
      <c r="K40" s="49">
        <f t="shared" si="5"/>
        <v>52486115</v>
      </c>
      <c r="L40" s="75"/>
      <c r="M40" s="75"/>
      <c r="N40" s="73"/>
    </row>
    <row r="41" spans="1:59" ht="15.75" x14ac:dyDescent="0.25">
      <c r="A41" s="14">
        <v>1400400</v>
      </c>
      <c r="B41" s="17" t="s">
        <v>33</v>
      </c>
      <c r="C41" s="10">
        <f>20196053-965433</f>
        <v>19230620</v>
      </c>
      <c r="D41" s="52">
        <f>5830981-348984</f>
        <v>5481997</v>
      </c>
      <c r="E41" s="52">
        <f>8787147-433232</f>
        <v>8353915</v>
      </c>
      <c r="F41" s="52">
        <f>6824926-1206017-269021</f>
        <v>5349888</v>
      </c>
      <c r="G41" s="52">
        <f>3211929-125834</f>
        <v>3086095</v>
      </c>
      <c r="H41" s="52">
        <f>6610567-232444</f>
        <v>6378123</v>
      </c>
      <c r="I41" s="52">
        <f>2778150-87276</f>
        <v>2690874</v>
      </c>
      <c r="J41" s="54">
        <f>1975382-60779</f>
        <v>1914603</v>
      </c>
      <c r="K41" s="52">
        <f>C41+D41+E41+F41+G41+H41+I41+J41</f>
        <v>52486115</v>
      </c>
      <c r="L41" s="75"/>
      <c r="M41" s="75"/>
      <c r="N41" s="74"/>
    </row>
    <row r="42" spans="1:59" s="71" customFormat="1" ht="15.75" x14ac:dyDescent="0.25">
      <c r="A42" s="14">
        <v>1400500</v>
      </c>
      <c r="B42" s="17" t="s">
        <v>34</v>
      </c>
      <c r="C42" s="12">
        <v>0</v>
      </c>
      <c r="D42" s="55">
        <v>0</v>
      </c>
      <c r="E42" s="55">
        <v>0</v>
      </c>
      <c r="F42" s="55">
        <v>0</v>
      </c>
      <c r="G42" s="52">
        <v>0</v>
      </c>
      <c r="H42" s="52">
        <v>0</v>
      </c>
      <c r="I42" s="52">
        <v>0</v>
      </c>
      <c r="J42" s="55">
        <v>0</v>
      </c>
      <c r="K42" s="52">
        <f>C42+D42+E42+F42+G42+H42+I42+J42</f>
        <v>0</v>
      </c>
      <c r="L42" s="75"/>
      <c r="M42" s="75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</row>
    <row r="43" spans="1:59" ht="15.75" thickBot="1" x14ac:dyDescent="0.3">
      <c r="A43" s="33"/>
      <c r="B43" s="43"/>
      <c r="C43" s="44"/>
      <c r="D43" s="56"/>
      <c r="E43" s="56"/>
      <c r="F43" s="56"/>
      <c r="G43" s="56"/>
      <c r="H43" s="56"/>
      <c r="I43" s="56"/>
      <c r="J43" s="55"/>
      <c r="K43" s="57"/>
      <c r="L43" s="75"/>
      <c r="M43" s="75"/>
    </row>
    <row r="44" spans="1:59" ht="16.5" thickBot="1" x14ac:dyDescent="0.3">
      <c r="A44" s="24">
        <v>2000000</v>
      </c>
      <c r="B44" s="25" t="s">
        <v>35</v>
      </c>
      <c r="C44" s="16">
        <f>SUM(C45+C52+C55+C57+C59+C61)</f>
        <v>5399527</v>
      </c>
      <c r="D44" s="46">
        <f t="shared" ref="D44:K44" si="6">SUM(D45+D52+D55+D57+D59+D61)</f>
        <v>242614</v>
      </c>
      <c r="E44" s="58">
        <f t="shared" si="6"/>
        <v>5675494</v>
      </c>
      <c r="F44" s="46">
        <f t="shared" si="6"/>
        <v>4065351</v>
      </c>
      <c r="G44" s="46">
        <f t="shared" si="6"/>
        <v>1395574</v>
      </c>
      <c r="H44" s="46">
        <f t="shared" si="6"/>
        <v>1885055</v>
      </c>
      <c r="I44" s="46">
        <f t="shared" si="6"/>
        <v>4858356</v>
      </c>
      <c r="J44" s="46">
        <f t="shared" si="6"/>
        <v>2808939</v>
      </c>
      <c r="K44" s="46">
        <f t="shared" si="6"/>
        <v>26330910</v>
      </c>
      <c r="L44" s="75"/>
      <c r="M44" s="75"/>
    </row>
    <row r="45" spans="1:59" ht="47.25" x14ac:dyDescent="0.25">
      <c r="A45" s="20">
        <v>2010000</v>
      </c>
      <c r="B45" s="17" t="s">
        <v>36</v>
      </c>
      <c r="C45" s="9">
        <f>SUM(C46:C50)</f>
        <v>2450389</v>
      </c>
      <c r="D45" s="51">
        <f t="shared" ref="D45:I45" si="7">SUM(D46:D50)</f>
        <v>104987</v>
      </c>
      <c r="E45" s="51">
        <f t="shared" si="7"/>
        <v>3531186</v>
      </c>
      <c r="F45" s="51">
        <f t="shared" si="7"/>
        <v>1778655</v>
      </c>
      <c r="G45" s="51">
        <f t="shared" si="7"/>
        <v>610415</v>
      </c>
      <c r="H45" s="51">
        <f t="shared" si="7"/>
        <v>1142046</v>
      </c>
      <c r="I45" s="51">
        <f t="shared" si="7"/>
        <v>4466117</v>
      </c>
      <c r="J45" s="51">
        <f>SUM(J46:J50)</f>
        <v>2520919</v>
      </c>
      <c r="K45" s="49">
        <f t="shared" ref="K45:K50" si="8">C45+D45+E45+F45+G45+H45+I45+J45</f>
        <v>16604714</v>
      </c>
      <c r="L45" s="75"/>
      <c r="M45" s="75"/>
    </row>
    <row r="46" spans="1:59" ht="47.25" x14ac:dyDescent="0.25">
      <c r="A46" s="14">
        <v>2010200</v>
      </c>
      <c r="B46" s="17" t="s">
        <v>37</v>
      </c>
      <c r="C46" s="9">
        <v>1720358</v>
      </c>
      <c r="D46" s="51">
        <v>96285</v>
      </c>
      <c r="E46" s="51">
        <v>2466161</v>
      </c>
      <c r="F46" s="51">
        <v>762771</v>
      </c>
      <c r="G46" s="51">
        <v>265047</v>
      </c>
      <c r="H46" s="51">
        <v>570520</v>
      </c>
      <c r="I46" s="51">
        <v>562504</v>
      </c>
      <c r="J46" s="49">
        <v>396025</v>
      </c>
      <c r="K46" s="49">
        <f t="shared" si="8"/>
        <v>6839671</v>
      </c>
      <c r="L46" s="75"/>
      <c r="M46" s="75"/>
    </row>
    <row r="47" spans="1:59" ht="47.25" x14ac:dyDescent="0.25">
      <c r="A47" s="14">
        <v>2010300</v>
      </c>
      <c r="B47" s="17" t="s">
        <v>38</v>
      </c>
      <c r="C47" s="9">
        <v>21565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49">
        <v>0</v>
      </c>
      <c r="K47" s="49">
        <f t="shared" si="8"/>
        <v>21565</v>
      </c>
      <c r="L47" s="75"/>
      <c r="M47" s="75"/>
    </row>
    <row r="48" spans="1:59" ht="31.5" x14ac:dyDescent="0.25">
      <c r="A48" s="14">
        <v>2010400</v>
      </c>
      <c r="B48" s="17" t="s">
        <v>39</v>
      </c>
      <c r="C48" s="9">
        <v>529132</v>
      </c>
      <c r="D48" s="51">
        <v>0</v>
      </c>
      <c r="E48" s="51">
        <v>418330</v>
      </c>
      <c r="F48" s="51">
        <v>934034</v>
      </c>
      <c r="G48" s="51">
        <v>337334</v>
      </c>
      <c r="H48" s="51">
        <v>548745</v>
      </c>
      <c r="I48" s="51">
        <v>3854494</v>
      </c>
      <c r="J48" s="49">
        <v>2093364</v>
      </c>
      <c r="K48" s="49">
        <f t="shared" si="8"/>
        <v>8715433</v>
      </c>
      <c r="L48" s="75"/>
      <c r="M48" s="75"/>
    </row>
    <row r="49" spans="1:59" ht="31.5" x14ac:dyDescent="0.25">
      <c r="A49" s="14">
        <v>2010500</v>
      </c>
      <c r="B49" s="17" t="s">
        <v>40</v>
      </c>
      <c r="C49" s="9">
        <v>19695</v>
      </c>
      <c r="D49" s="51">
        <v>0</v>
      </c>
      <c r="E49" s="51">
        <v>8727</v>
      </c>
      <c r="F49" s="51">
        <v>15000</v>
      </c>
      <c r="G49" s="51">
        <v>8034</v>
      </c>
      <c r="H49" s="51">
        <v>2844</v>
      </c>
      <c r="I49" s="51">
        <v>41944</v>
      </c>
      <c r="J49" s="49">
        <v>20766</v>
      </c>
      <c r="K49" s="49">
        <f t="shared" si="8"/>
        <v>117010</v>
      </c>
      <c r="L49" s="75"/>
      <c r="M49" s="75"/>
    </row>
    <row r="50" spans="1:59" s="71" customFormat="1" ht="31.5" x14ac:dyDescent="0.25">
      <c r="A50" s="14">
        <v>2010900</v>
      </c>
      <c r="B50" s="17" t="s">
        <v>41</v>
      </c>
      <c r="C50" s="9">
        <v>159639</v>
      </c>
      <c r="D50" s="51">
        <v>8702</v>
      </c>
      <c r="E50" s="51">
        <v>637968</v>
      </c>
      <c r="F50" s="51">
        <v>66850</v>
      </c>
      <c r="G50" s="51">
        <v>0</v>
      </c>
      <c r="H50" s="51">
        <v>19937</v>
      </c>
      <c r="I50" s="51">
        <v>7175</v>
      </c>
      <c r="J50" s="49">
        <v>10764</v>
      </c>
      <c r="K50" s="49">
        <f t="shared" si="8"/>
        <v>911035</v>
      </c>
      <c r="L50" s="75"/>
      <c r="M50" s="75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</row>
    <row r="51" spans="1:59" x14ac:dyDescent="0.25">
      <c r="A51" s="42"/>
      <c r="B51" s="41"/>
      <c r="C51" s="37"/>
      <c r="D51" s="51"/>
      <c r="E51" s="51"/>
      <c r="F51" s="51"/>
      <c r="G51" s="51"/>
      <c r="H51" s="51"/>
      <c r="I51" s="51"/>
      <c r="J51" s="49"/>
      <c r="K51" s="49"/>
      <c r="L51" s="75"/>
      <c r="M51" s="75"/>
    </row>
    <row r="52" spans="1:59" ht="47.25" x14ac:dyDescent="0.25">
      <c r="A52" s="14">
        <v>2020000</v>
      </c>
      <c r="B52" s="17" t="s">
        <v>42</v>
      </c>
      <c r="C52" s="9">
        <v>1086119</v>
      </c>
      <c r="D52" s="51">
        <v>82333</v>
      </c>
      <c r="E52" s="51">
        <v>623270</v>
      </c>
      <c r="F52" s="51">
        <v>1536069</v>
      </c>
      <c r="G52" s="51">
        <v>102455</v>
      </c>
      <c r="H52" s="51">
        <v>56995</v>
      </c>
      <c r="I52" s="51">
        <v>30938</v>
      </c>
      <c r="J52" s="49">
        <v>82997</v>
      </c>
      <c r="K52" s="49">
        <f>C52+D52+E52+F52+G52+H52+I52+J52</f>
        <v>3601176</v>
      </c>
      <c r="L52" s="75"/>
      <c r="M52" s="75"/>
    </row>
    <row r="53" spans="1:59" s="71" customFormat="1" ht="47.25" x14ac:dyDescent="0.25">
      <c r="A53" s="22">
        <v>2020100</v>
      </c>
      <c r="B53" s="26" t="s">
        <v>43</v>
      </c>
      <c r="C53" s="11">
        <v>750000</v>
      </c>
      <c r="D53" s="54">
        <v>69896</v>
      </c>
      <c r="E53" s="54">
        <v>500000</v>
      </c>
      <c r="F53" s="54">
        <v>1500000</v>
      </c>
      <c r="G53" s="54">
        <v>77000</v>
      </c>
      <c r="H53" s="54">
        <v>50000</v>
      </c>
      <c r="I53" s="54">
        <v>12000</v>
      </c>
      <c r="J53" s="52">
        <v>82997</v>
      </c>
      <c r="K53" s="52">
        <f>C53+D53+E53+F53+G53+H53+I53+J53</f>
        <v>3041893</v>
      </c>
      <c r="L53" s="75"/>
      <c r="M53" s="75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</row>
    <row r="54" spans="1:59" x14ac:dyDescent="0.25">
      <c r="A54" s="35"/>
      <c r="B54" s="36"/>
      <c r="C54" s="39"/>
      <c r="D54" s="54"/>
      <c r="E54" s="54"/>
      <c r="F54" s="54"/>
      <c r="G54" s="54"/>
      <c r="H54" s="54"/>
      <c r="I54" s="54"/>
      <c r="J54" s="52"/>
      <c r="K54" s="49"/>
      <c r="L54" s="75"/>
      <c r="M54" s="75"/>
    </row>
    <row r="55" spans="1:59" s="71" customFormat="1" ht="15.75" x14ac:dyDescent="0.25">
      <c r="A55" s="14">
        <v>2060000</v>
      </c>
      <c r="B55" s="17" t="s">
        <v>44</v>
      </c>
      <c r="C55" s="9">
        <v>16485</v>
      </c>
      <c r="D55" s="51">
        <v>0</v>
      </c>
      <c r="E55" s="51">
        <v>59901</v>
      </c>
      <c r="F55" s="51">
        <v>10092</v>
      </c>
      <c r="G55" s="51">
        <v>8430</v>
      </c>
      <c r="H55" s="51">
        <v>35890</v>
      </c>
      <c r="I55" s="51">
        <v>359</v>
      </c>
      <c r="J55" s="49">
        <v>22775</v>
      </c>
      <c r="K55" s="49">
        <f>C55+D55+E55+F55+G55+H55+I55+J55</f>
        <v>153932</v>
      </c>
      <c r="L55" s="75"/>
      <c r="M55" s="75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</row>
    <row r="56" spans="1:59" x14ac:dyDescent="0.25">
      <c r="A56" s="35"/>
      <c r="B56" s="36"/>
      <c r="C56" s="37"/>
      <c r="D56" s="51"/>
      <c r="E56" s="51"/>
      <c r="F56" s="51"/>
      <c r="G56" s="51"/>
      <c r="H56" s="51"/>
      <c r="I56" s="51"/>
      <c r="J56" s="49"/>
      <c r="K56" s="49"/>
      <c r="L56" s="75"/>
      <c r="M56" s="75"/>
    </row>
    <row r="57" spans="1:59" s="71" customFormat="1" ht="31.5" x14ac:dyDescent="0.25">
      <c r="A57" s="14">
        <v>2070000</v>
      </c>
      <c r="B57" s="17" t="s">
        <v>45</v>
      </c>
      <c r="C57" s="9">
        <v>1846534</v>
      </c>
      <c r="D57" s="51">
        <v>55294</v>
      </c>
      <c r="E57" s="51">
        <v>1461137</v>
      </c>
      <c r="F57" s="51">
        <v>740535</v>
      </c>
      <c r="G57" s="51">
        <v>674274</v>
      </c>
      <c r="H57" s="51">
        <v>650124</v>
      </c>
      <c r="I57" s="51">
        <v>360942</v>
      </c>
      <c r="J57" s="49">
        <v>182248</v>
      </c>
      <c r="K57" s="49">
        <f>C57+D57+E57+F57+G57+H57+I57+J57</f>
        <v>5971088</v>
      </c>
      <c r="L57" s="75"/>
      <c r="M57" s="75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</row>
    <row r="58" spans="1:59" x14ac:dyDescent="0.25">
      <c r="A58" s="35"/>
      <c r="B58" s="36"/>
      <c r="C58" s="37"/>
      <c r="D58" s="51"/>
      <c r="E58" s="51"/>
      <c r="F58" s="51"/>
      <c r="G58" s="51"/>
      <c r="H58" s="51"/>
      <c r="I58" s="51"/>
      <c r="J58" s="49"/>
      <c r="K58" s="49"/>
      <c r="L58" s="75"/>
      <c r="M58" s="75"/>
    </row>
    <row r="59" spans="1:59" s="71" customFormat="1" ht="31.5" x14ac:dyDescent="0.25">
      <c r="A59" s="14">
        <v>2080000</v>
      </c>
      <c r="B59" s="17" t="s">
        <v>46</v>
      </c>
      <c r="C59" s="9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49">
        <v>0</v>
      </c>
      <c r="K59" s="49">
        <f>C59+D59+E59+F59+G59+H59+I59+J59</f>
        <v>0</v>
      </c>
      <c r="L59" s="75"/>
      <c r="M59" s="75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</row>
    <row r="60" spans="1:59" x14ac:dyDescent="0.25">
      <c r="A60" s="35"/>
      <c r="B60" s="36"/>
      <c r="C60" s="37"/>
      <c r="D60" s="51"/>
      <c r="E60" s="51"/>
      <c r="F60" s="51"/>
      <c r="G60" s="51"/>
      <c r="H60" s="51"/>
      <c r="I60" s="51"/>
      <c r="J60" s="49"/>
      <c r="K60" s="49"/>
      <c r="L60" s="75"/>
      <c r="M60" s="75"/>
    </row>
    <row r="61" spans="1:59" s="71" customFormat="1" ht="15.75" x14ac:dyDescent="0.25">
      <c r="A61" s="14">
        <v>2090000</v>
      </c>
      <c r="B61" s="17" t="s">
        <v>47</v>
      </c>
      <c r="C61" s="9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49">
        <v>0</v>
      </c>
      <c r="K61" s="49">
        <f>C61+D61+E61+F61+G61+H61+I61+J61</f>
        <v>0</v>
      </c>
      <c r="L61" s="75"/>
      <c r="M61" s="75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</row>
    <row r="62" spans="1:59" s="68" customFormat="1" ht="15.75" thickBot="1" x14ac:dyDescent="0.3">
      <c r="A62" s="33"/>
      <c r="B62" s="31"/>
      <c r="C62" s="34"/>
      <c r="D62" s="59"/>
      <c r="E62" s="59"/>
      <c r="F62" s="59"/>
      <c r="G62" s="59"/>
      <c r="H62" s="59"/>
      <c r="I62" s="59"/>
      <c r="J62" s="60"/>
      <c r="K62" s="60"/>
      <c r="L62" s="75"/>
      <c r="M62" s="75"/>
    </row>
    <row r="63" spans="1:59" s="68" customFormat="1" ht="16.5" thickBot="1" x14ac:dyDescent="0.3">
      <c r="A63" s="24">
        <v>4000000</v>
      </c>
      <c r="B63" s="25" t="s">
        <v>48</v>
      </c>
      <c r="C63" s="16">
        <f t="shared" ref="C63:K63" si="9">SUM(C64)</f>
        <v>4179110</v>
      </c>
      <c r="D63" s="58">
        <f t="shared" si="9"/>
        <v>1892309</v>
      </c>
      <c r="E63" s="58">
        <f t="shared" si="9"/>
        <v>1630425</v>
      </c>
      <c r="F63" s="58">
        <f t="shared" si="9"/>
        <v>2475678</v>
      </c>
      <c r="G63" s="58">
        <f t="shared" si="9"/>
        <v>544064</v>
      </c>
      <c r="H63" s="58">
        <f t="shared" si="9"/>
        <v>1637865</v>
      </c>
      <c r="I63" s="58">
        <f t="shared" si="9"/>
        <v>535106</v>
      </c>
      <c r="J63" s="46">
        <f t="shared" si="9"/>
        <v>386259</v>
      </c>
      <c r="K63" s="46">
        <f t="shared" si="9"/>
        <v>13280816</v>
      </c>
      <c r="L63" s="75"/>
      <c r="M63" s="75"/>
    </row>
    <row r="64" spans="1:59" s="71" customFormat="1" ht="31.5" x14ac:dyDescent="0.25">
      <c r="A64" s="14">
        <v>4020200</v>
      </c>
      <c r="B64" s="17" t="s">
        <v>49</v>
      </c>
      <c r="C64" s="9">
        <f>4906923-727813</f>
        <v>4179110</v>
      </c>
      <c r="D64" s="51">
        <f>2221864-329555</f>
        <v>1892309</v>
      </c>
      <c r="E64" s="51">
        <f>1914371-283946</f>
        <v>1630425</v>
      </c>
      <c r="F64" s="51">
        <f>2906829-431151</f>
        <v>2475678</v>
      </c>
      <c r="G64" s="48">
        <f>638816-94752</f>
        <v>544064</v>
      </c>
      <c r="H64" s="48">
        <f>1923107-285242</f>
        <v>1637865</v>
      </c>
      <c r="I64" s="48">
        <f>628297-93191</f>
        <v>535106</v>
      </c>
      <c r="J64" s="49">
        <f>453528-67269</f>
        <v>386259</v>
      </c>
      <c r="K64" s="47">
        <f>C64+D64+E64+F64+G64+H64+I64+J64</f>
        <v>13280816</v>
      </c>
      <c r="L64" s="75"/>
      <c r="M64" s="75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</row>
    <row r="65" spans="1:13" ht="15.75" thickBot="1" x14ac:dyDescent="0.3">
      <c r="A65" s="30"/>
      <c r="B65" s="31"/>
      <c r="C65" s="32"/>
      <c r="D65" s="61"/>
      <c r="E65" s="61"/>
      <c r="F65" s="61"/>
      <c r="G65" s="61"/>
      <c r="H65" s="61"/>
      <c r="I65" s="61"/>
      <c r="J65" s="62"/>
      <c r="K65" s="62"/>
      <c r="L65" s="75"/>
      <c r="M65" s="75"/>
    </row>
    <row r="66" spans="1:13" ht="32.25" thickBot="1" x14ac:dyDescent="0.3">
      <c r="A66" s="24">
        <v>5000000</v>
      </c>
      <c r="B66" s="27" t="s">
        <v>50</v>
      </c>
      <c r="C66" s="16">
        <f>25252698-7777474</f>
        <v>17475224</v>
      </c>
      <c r="D66" s="58">
        <f>1074213-505000</f>
        <v>569213</v>
      </c>
      <c r="E66" s="58">
        <f>17816885-4110000</f>
        <v>13706885</v>
      </c>
      <c r="F66" s="58">
        <f>9854411+32300-1290000</f>
        <v>8596711</v>
      </c>
      <c r="G66" s="58">
        <f>3729615-2918179</f>
        <v>811436</v>
      </c>
      <c r="H66" s="58">
        <f>7548425-2131928</f>
        <v>5416497</v>
      </c>
      <c r="I66" s="58">
        <f>5842912-2225500</f>
        <v>3617412</v>
      </c>
      <c r="J66" s="46">
        <f>3135011-1119625</f>
        <v>2015386</v>
      </c>
      <c r="K66" s="46">
        <f>C66+D66+E66+F66+G66+H66+I66+J66</f>
        <v>52208764</v>
      </c>
      <c r="L66" s="75"/>
      <c r="M66" s="75"/>
    </row>
    <row r="67" spans="1:13" ht="16.5" thickBot="1" x14ac:dyDescent="0.3">
      <c r="A67" s="28"/>
      <c r="B67" s="29" t="s">
        <v>51</v>
      </c>
      <c r="C67" s="7">
        <f t="shared" ref="C67:K67" si="10">SUM(C16+C44+C63+C66)</f>
        <v>297623871</v>
      </c>
      <c r="D67" s="63">
        <f t="shared" si="10"/>
        <v>30941432</v>
      </c>
      <c r="E67" s="64">
        <f t="shared" si="10"/>
        <v>226732158</v>
      </c>
      <c r="F67" s="64">
        <f t="shared" si="10"/>
        <v>180307957</v>
      </c>
      <c r="G67" s="63">
        <f t="shared" si="10"/>
        <v>78476052</v>
      </c>
      <c r="H67" s="64">
        <f t="shared" si="10"/>
        <v>109853398</v>
      </c>
      <c r="I67" s="65">
        <f t="shared" si="10"/>
        <v>60039915</v>
      </c>
      <c r="J67" s="63">
        <f t="shared" si="10"/>
        <v>34561040</v>
      </c>
      <c r="K67" s="63">
        <f t="shared" si="10"/>
        <v>1018535823</v>
      </c>
      <c r="L67" s="75"/>
      <c r="M67" s="75"/>
    </row>
  </sheetData>
  <mergeCells count="7">
    <mergeCell ref="A13:K13"/>
    <mergeCell ref="A7:K7"/>
    <mergeCell ref="A8:K8"/>
    <mergeCell ref="A9:K9"/>
    <mergeCell ref="A10:K10"/>
    <mergeCell ref="A11:K11"/>
    <mergeCell ref="A12:K12"/>
  </mergeCells>
  <phoneticPr fontId="7" type="noConversion"/>
  <printOptions horizontalCentered="1"/>
  <pageMargins left="0.39370078740157483" right="0.39370078740157483" top="0.78740157480314965" bottom="0.39370078740157483" header="0" footer="0"/>
  <pageSetup paperSize="9" scale="72" firstPageNumber="28" fitToHeight="7" orientation="landscape" useFirstPageNumber="1" verticalDpi="18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№3</vt:lpstr>
      <vt:lpstr>'Приложение №3'!Заголовки_для_печати</vt:lpstr>
      <vt:lpstr>'Приложение №3'!Область_печати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2019-12-24T14:06:20Z</cp:lastPrinted>
  <dcterms:created xsi:type="dcterms:W3CDTF">2006-09-28T05:33:49Z</dcterms:created>
  <dcterms:modified xsi:type="dcterms:W3CDTF">2020-07-29T06:35:40Z</dcterms:modified>
</cp:coreProperties>
</file>