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832" tabRatio="390"/>
  </bookViews>
  <sheets>
    <sheet name="после папки 117" sheetId="1" r:id="rId1"/>
  </sheets>
  <definedNames>
    <definedName name="_xlnm.Print_Titles" localSheetId="0">'после папки 117'!$A:$C,'после папки 117'!$15:$15</definedName>
    <definedName name="_xlnm.Print_Area" localSheetId="0">'после папки 117'!$A$1:$DC$322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Y308" i="1" l="1"/>
  <c r="CO315" i="1"/>
  <c r="CU315" i="1"/>
  <c r="DC295" i="1"/>
  <c r="AY257" i="1"/>
  <c r="CY237" i="1"/>
  <c r="CW237" i="1" s="1"/>
  <c r="BL226" i="1"/>
  <c r="DB223" i="1"/>
  <c r="CB204" i="1"/>
  <c r="L191" i="1"/>
  <c r="L190" i="1"/>
  <c r="CB188" i="1"/>
  <c r="CB187" i="1"/>
  <c r="L176" i="1"/>
  <c r="L171" i="1"/>
  <c r="L141" i="1"/>
  <c r="L137" i="1"/>
  <c r="L136" i="1"/>
  <c r="L134" i="1"/>
  <c r="L132" i="1"/>
  <c r="L131" i="1"/>
  <c r="L129" i="1"/>
  <c r="L128" i="1"/>
  <c r="BE100" i="1"/>
  <c r="L85" i="1"/>
  <c r="L75" i="1"/>
  <c r="L73" i="1"/>
  <c r="L70" i="1"/>
  <c r="L67" i="1"/>
  <c r="L65" i="1"/>
  <c r="CP315" i="1"/>
  <c r="CK315" i="1"/>
  <c r="CL313" i="1"/>
  <c r="CU288" i="1"/>
  <c r="CU287" i="1"/>
  <c r="CU286" i="1"/>
  <c r="CU285" i="1"/>
  <c r="CU284" i="1"/>
  <c r="CU283" i="1"/>
  <c r="CU282" i="1"/>
  <c r="CU281" i="1"/>
  <c r="CU280" i="1"/>
  <c r="CU278" i="1"/>
  <c r="CU277" i="1"/>
  <c r="CU275" i="1"/>
  <c r="CU274" i="1"/>
  <c r="CU271" i="1"/>
  <c r="CU269" i="1"/>
  <c r="CJ315" i="1"/>
  <c r="BL305" i="1"/>
  <c r="BL302" i="1"/>
  <c r="BL292" i="1"/>
  <c r="AY279" i="1"/>
  <c r="AI239" i="1"/>
  <c r="AI238" i="1"/>
  <c r="AB218" i="1"/>
  <c r="AB215" i="1"/>
  <c r="AB214" i="1"/>
  <c r="AB213" i="1"/>
  <c r="AB212" i="1"/>
  <c r="CB206" i="1"/>
  <c r="BU196" i="1"/>
  <c r="AY171" i="1"/>
  <c r="BT137" i="1"/>
  <c r="BT134" i="1"/>
  <c r="BT132" i="1"/>
  <c r="BT131" i="1"/>
  <c r="AF94" i="1"/>
  <c r="AF93" i="1"/>
  <c r="AF92" i="1"/>
  <c r="AF91" i="1"/>
  <c r="CG35" i="1"/>
  <c r="AY35" i="1"/>
  <c r="CY311" i="1"/>
  <c r="CY297" i="1"/>
  <c r="CY233" i="1"/>
  <c r="CY227" i="1" s="1"/>
  <c r="CY224" i="1"/>
  <c r="CY221" i="1"/>
  <c r="CY209" i="1"/>
  <c r="CY186" i="1"/>
  <c r="CY180" i="1"/>
  <c r="CY169" i="1" s="1"/>
  <c r="CY160" i="1"/>
  <c r="CY146" i="1"/>
  <c r="CY133" i="1"/>
  <c r="CY125" i="1" s="1"/>
  <c r="CY112" i="1"/>
  <c r="CY111" i="1" s="1"/>
  <c r="CY104" i="1"/>
  <c r="CY101" i="1"/>
  <c r="CY96" i="1"/>
  <c r="CY86" i="1"/>
  <c r="CY68" i="1"/>
  <c r="CY63" i="1"/>
  <c r="CY60" i="1"/>
  <c r="CY49" i="1"/>
  <c r="CY17" i="1"/>
  <c r="CY296" i="1" l="1"/>
  <c r="CY322" i="1"/>
  <c r="AC26" i="1"/>
  <c r="Z26" i="1"/>
  <c r="AY321" i="1"/>
  <c r="BE321" i="1"/>
  <c r="CG253" i="1"/>
  <c r="CG252" i="1" l="1"/>
  <c r="W174" i="1"/>
  <c r="CG267" i="1" l="1"/>
  <c r="CG265" i="1"/>
  <c r="CO262" i="1"/>
  <c r="CG262" i="1"/>
  <c r="CG258" i="1"/>
  <c r="CG256" i="1"/>
  <c r="CG250" i="1"/>
  <c r="AM267" i="1"/>
  <c r="AH266" i="1"/>
  <c r="AG266" i="1"/>
  <c r="AC266" i="1"/>
  <c r="AM265" i="1"/>
  <c r="AG265" i="1"/>
  <c r="AC264" i="1"/>
  <c r="AY262" i="1"/>
  <c r="AR262" i="1"/>
  <c r="AM262" i="1"/>
  <c r="AL262" i="1"/>
  <c r="AY260" i="1"/>
  <c r="AH260" i="1"/>
  <c r="AG260" i="1"/>
  <c r="AC260" i="1"/>
  <c r="AY258" i="1"/>
  <c r="AM258" i="1"/>
  <c r="AL258" i="1"/>
  <c r="AJ258" i="1"/>
  <c r="AI258" i="1"/>
  <c r="AH258" i="1"/>
  <c r="AG258" i="1"/>
  <c r="AC258" i="1"/>
  <c r="AC255" i="1"/>
  <c r="AY254" i="1"/>
  <c r="AQ254" i="1"/>
  <c r="AC254" i="1"/>
  <c r="AY253" i="1"/>
  <c r="AR253" i="1"/>
  <c r="AG253" i="1"/>
  <c r="AA253" i="1"/>
  <c r="AC252" i="1"/>
  <c r="AM251" i="1"/>
  <c r="AY250" i="1"/>
  <c r="AM250" i="1"/>
  <c r="AH250" i="1"/>
  <c r="AG250" i="1"/>
  <c r="AC249" i="1"/>
  <c r="AC248" i="1"/>
  <c r="AC247" i="1"/>
  <c r="AY245" i="1"/>
  <c r="AY244" i="1"/>
  <c r="Y267" i="1"/>
  <c r="X267" i="1"/>
  <c r="W267" i="1"/>
  <c r="Y266" i="1"/>
  <c r="X266" i="1"/>
  <c r="W266" i="1"/>
  <c r="O266" i="1"/>
  <c r="N266" i="1"/>
  <c r="V265" i="1"/>
  <c r="H264" i="1"/>
  <c r="G264" i="1"/>
  <c r="H263" i="1"/>
  <c r="G263" i="1"/>
  <c r="Z262" i="1"/>
  <c r="Y262" i="1"/>
  <c r="X262" i="1"/>
  <c r="W262" i="1"/>
  <c r="O262" i="1"/>
  <c r="N262" i="1"/>
  <c r="J262" i="1"/>
  <c r="H262" i="1"/>
  <c r="G262" i="1"/>
  <c r="O261" i="1"/>
  <c r="J261" i="1"/>
  <c r="Y260" i="1"/>
  <c r="X260" i="1"/>
  <c r="V260" i="1"/>
  <c r="O260" i="1"/>
  <c r="T259" i="1"/>
  <c r="Z258" i="1"/>
  <c r="Y258" i="1"/>
  <c r="X258" i="1"/>
  <c r="W258" i="1"/>
  <c r="V258" i="1"/>
  <c r="T258" i="1"/>
  <c r="R258" i="1"/>
  <c r="O258" i="1"/>
  <c r="N258" i="1"/>
  <c r="L258" i="1"/>
  <c r="K258" i="1"/>
  <c r="J258" i="1"/>
  <c r="X256" i="1"/>
  <c r="W256" i="1"/>
  <c r="Y255" i="1"/>
  <c r="O255" i="1"/>
  <c r="Y254" i="1"/>
  <c r="X254" i="1"/>
  <c r="W254" i="1"/>
  <c r="J254" i="1"/>
  <c r="T253" i="1"/>
  <c r="S253" i="1"/>
  <c r="O253" i="1"/>
  <c r="N253" i="1"/>
  <c r="H253" i="1"/>
  <c r="G253" i="1"/>
  <c r="Y252" i="1"/>
  <c r="X252" i="1"/>
  <c r="W252" i="1"/>
  <c r="V252" i="1"/>
  <c r="O252" i="1"/>
  <c r="N252" i="1"/>
  <c r="J252" i="1"/>
  <c r="H252" i="1"/>
  <c r="Z250" i="1"/>
  <c r="Y250" i="1"/>
  <c r="X250" i="1"/>
  <c r="W250" i="1"/>
  <c r="V250" i="1"/>
  <c r="T250" i="1"/>
  <c r="O250" i="1"/>
  <c r="N250" i="1"/>
  <c r="L250" i="1"/>
  <c r="H250" i="1"/>
  <c r="G250" i="1"/>
  <c r="H249" i="1"/>
  <c r="G249" i="1"/>
  <c r="Y249" i="1"/>
  <c r="X249" i="1"/>
  <c r="W249" i="1"/>
  <c r="Y248" i="1"/>
  <c r="X248" i="1"/>
  <c r="W248" i="1"/>
  <c r="T248" i="1"/>
  <c r="L248" i="1"/>
  <c r="J248" i="1"/>
  <c r="H248" i="1"/>
  <c r="G248" i="1"/>
  <c r="Y247" i="1"/>
  <c r="X247" i="1"/>
  <c r="W247" i="1"/>
  <c r="T247" i="1"/>
  <c r="L247" i="1"/>
  <c r="J247" i="1"/>
  <c r="H247" i="1"/>
  <c r="G247" i="1"/>
  <c r="W246" i="1"/>
  <c r="Z245" i="1"/>
  <c r="V245" i="1"/>
  <c r="L245" i="1"/>
  <c r="H245" i="1"/>
  <c r="G245" i="1"/>
  <c r="AY315" i="1"/>
  <c r="BK310" i="1"/>
  <c r="BL303" i="1"/>
  <c r="BL300" i="1"/>
  <c r="DA300" i="1"/>
  <c r="CZ300" i="1" s="1"/>
  <c r="CN300" i="1"/>
  <c r="CH300" i="1"/>
  <c r="CE300" i="1"/>
  <c r="BQ300" i="1"/>
  <c r="BN300" i="1"/>
  <c r="BH300" i="1"/>
  <c r="BD300" i="1"/>
  <c r="AD300" i="1"/>
  <c r="U300" i="1"/>
  <c r="P300" i="1"/>
  <c r="I300" i="1"/>
  <c r="DA303" i="1"/>
  <c r="CZ303" i="1" s="1"/>
  <c r="CN303" i="1"/>
  <c r="CH303" i="1"/>
  <c r="CE303" i="1"/>
  <c r="BQ303" i="1"/>
  <c r="BN303" i="1"/>
  <c r="BH303" i="1"/>
  <c r="BD303" i="1"/>
  <c r="AD303" i="1"/>
  <c r="U303" i="1"/>
  <c r="P303" i="1"/>
  <c r="I303" i="1"/>
  <c r="BL301" i="1"/>
  <c r="BL299" i="1"/>
  <c r="DA302" i="1"/>
  <c r="CZ302" i="1" s="1"/>
  <c r="CN302" i="1"/>
  <c r="CH302" i="1"/>
  <c r="CE302" i="1"/>
  <c r="BQ302" i="1"/>
  <c r="BN302" i="1"/>
  <c r="BH302" i="1"/>
  <c r="BD302" i="1"/>
  <c r="AD302" i="1"/>
  <c r="U302" i="1"/>
  <c r="P302" i="1"/>
  <c r="I302" i="1"/>
  <c r="DA304" i="1"/>
  <c r="CZ304" i="1" s="1"/>
  <c r="CN304" i="1"/>
  <c r="CH304" i="1"/>
  <c r="CE304" i="1"/>
  <c r="BQ304" i="1"/>
  <c r="BN304" i="1"/>
  <c r="BH304" i="1"/>
  <c r="BD304" i="1"/>
  <c r="AD304" i="1"/>
  <c r="U304" i="1"/>
  <c r="P304" i="1"/>
  <c r="I304" i="1"/>
  <c r="BI307" i="1"/>
  <c r="BI306" i="1"/>
  <c r="DA301" i="1"/>
  <c r="CZ301" i="1" s="1"/>
  <c r="CN301" i="1"/>
  <c r="CH301" i="1"/>
  <c r="CE301" i="1"/>
  <c r="BQ301" i="1"/>
  <c r="BN301" i="1"/>
  <c r="BH301" i="1"/>
  <c r="BD301" i="1"/>
  <c r="AD301" i="1"/>
  <c r="U301" i="1"/>
  <c r="P301" i="1"/>
  <c r="I301" i="1"/>
  <c r="AY298" i="1"/>
  <c r="CU270" i="1"/>
  <c r="Y231" i="1"/>
  <c r="X231" i="1"/>
  <c r="W231" i="1"/>
  <c r="F300" i="1" l="1"/>
  <c r="F304" i="1"/>
  <c r="CD304" i="1"/>
  <c r="CC304" i="1" s="1"/>
  <c r="F302" i="1"/>
  <c r="CD302" i="1"/>
  <c r="CC302" i="1" s="1"/>
  <c r="F301" i="1"/>
  <c r="CD301" i="1"/>
  <c r="CC301" i="1" s="1"/>
  <c r="BC302" i="1"/>
  <c r="E302" i="1" s="1"/>
  <c r="D302" i="1" s="1"/>
  <c r="BC301" i="1"/>
  <c r="BC300" i="1"/>
  <c r="BC304" i="1"/>
  <c r="CD300" i="1"/>
  <c r="CC300" i="1" s="1"/>
  <c r="BC303" i="1"/>
  <c r="F303" i="1"/>
  <c r="E303" i="1" s="1"/>
  <c r="CD303" i="1"/>
  <c r="CC303" i="1" s="1"/>
  <c r="E304" i="1" l="1"/>
  <c r="D304" i="1" s="1"/>
  <c r="E300" i="1"/>
  <c r="D300" i="1" s="1"/>
  <c r="D303" i="1"/>
  <c r="E301" i="1"/>
  <c r="D301" i="1" s="1"/>
  <c r="DB222" i="1" l="1"/>
  <c r="DB221" i="1" s="1"/>
  <c r="CN223" i="1"/>
  <c r="CN222" i="1" s="1"/>
  <c r="CN221" i="1" s="1"/>
  <c r="CH223" i="1"/>
  <c r="CH222" i="1" s="1"/>
  <c r="CH221" i="1" s="1"/>
  <c r="CE223" i="1"/>
  <c r="CE222" i="1" s="1"/>
  <c r="CE221" i="1" s="1"/>
  <c r="BQ223" i="1"/>
  <c r="BQ222" i="1" s="1"/>
  <c r="BQ221" i="1" s="1"/>
  <c r="BN223" i="1"/>
  <c r="BN222" i="1" s="1"/>
  <c r="BN221" i="1" s="1"/>
  <c r="BH223" i="1"/>
  <c r="BH222" i="1" s="1"/>
  <c r="BH221" i="1" s="1"/>
  <c r="BD223" i="1"/>
  <c r="BD222" i="1" s="1"/>
  <c r="BD221" i="1" s="1"/>
  <c r="AD223" i="1"/>
  <c r="AD222" i="1" s="1"/>
  <c r="AD221" i="1" s="1"/>
  <c r="U223" i="1"/>
  <c r="U222" i="1" s="1"/>
  <c r="U221" i="1" s="1"/>
  <c r="P223" i="1"/>
  <c r="P222" i="1" s="1"/>
  <c r="P221" i="1" s="1"/>
  <c r="I223" i="1"/>
  <c r="I222" i="1" s="1"/>
  <c r="I221" i="1" s="1"/>
  <c r="DC222" i="1"/>
  <c r="DC221" i="1" s="1"/>
  <c r="CU222" i="1"/>
  <c r="CU221" i="1" s="1"/>
  <c r="CP222" i="1"/>
  <c r="CP221" i="1" s="1"/>
  <c r="CO222" i="1"/>
  <c r="CO221" i="1" s="1"/>
  <c r="CM222" i="1"/>
  <c r="CM221" i="1" s="1"/>
  <c r="CL222" i="1"/>
  <c r="CL221" i="1" s="1"/>
  <c r="CK222" i="1"/>
  <c r="CK221" i="1" s="1"/>
  <c r="CJ222" i="1"/>
  <c r="CJ221" i="1" s="1"/>
  <c r="CI222" i="1"/>
  <c r="CI221" i="1" s="1"/>
  <c r="CG222" i="1"/>
  <c r="CG221" i="1" s="1"/>
  <c r="CF222" i="1"/>
  <c r="CF221" i="1" s="1"/>
  <c r="CB222" i="1"/>
  <c r="CB221" i="1" s="1"/>
  <c r="CA222" i="1"/>
  <c r="CA221" i="1" s="1"/>
  <c r="BZ222" i="1"/>
  <c r="BY222" i="1"/>
  <c r="BY221" i="1" s="1"/>
  <c r="BX222" i="1"/>
  <c r="BX221" i="1" s="1"/>
  <c r="BW222" i="1"/>
  <c r="BV222" i="1"/>
  <c r="BV221" i="1" s="1"/>
  <c r="BU222" i="1"/>
  <c r="BU221" i="1" s="1"/>
  <c r="BT222" i="1"/>
  <c r="BT221" i="1" s="1"/>
  <c r="BS222" i="1"/>
  <c r="BS221" i="1" s="1"/>
  <c r="BR222" i="1"/>
  <c r="BR221" i="1" s="1"/>
  <c r="BP222" i="1"/>
  <c r="BP221" i="1" s="1"/>
  <c r="BO222" i="1"/>
  <c r="BO221" i="1" s="1"/>
  <c r="BM222" i="1"/>
  <c r="BL222" i="1"/>
  <c r="BL221" i="1" s="1"/>
  <c r="BK222" i="1"/>
  <c r="BK221" i="1" s="1"/>
  <c r="BJ222" i="1"/>
  <c r="BJ221" i="1" s="1"/>
  <c r="BI222" i="1"/>
  <c r="BI221" i="1" s="1"/>
  <c r="BG222" i="1"/>
  <c r="BG221" i="1" s="1"/>
  <c r="BF222" i="1"/>
  <c r="BF221" i="1" s="1"/>
  <c r="BE222" i="1"/>
  <c r="BE221" i="1" s="1"/>
  <c r="AY222" i="1"/>
  <c r="AY221" i="1" s="1"/>
  <c r="AW222" i="1"/>
  <c r="AW221" i="1" s="1"/>
  <c r="AV222" i="1"/>
  <c r="AV221" i="1" s="1"/>
  <c r="AU222" i="1"/>
  <c r="AU221" i="1" s="1"/>
  <c r="AR222" i="1"/>
  <c r="AR221" i="1" s="1"/>
  <c r="AQ222" i="1"/>
  <c r="AQ221" i="1" s="1"/>
  <c r="AP222" i="1"/>
  <c r="AP221" i="1" s="1"/>
  <c r="AO222" i="1"/>
  <c r="AN222" i="1"/>
  <c r="AN221" i="1" s="1"/>
  <c r="AM222" i="1"/>
  <c r="AM221" i="1" s="1"/>
  <c r="AL222" i="1"/>
  <c r="AL221" i="1" s="1"/>
  <c r="AK222" i="1"/>
  <c r="AK221" i="1" s="1"/>
  <c r="AJ222" i="1"/>
  <c r="AJ221" i="1" s="1"/>
  <c r="AI222" i="1"/>
  <c r="AI221" i="1" s="1"/>
  <c r="AH222" i="1"/>
  <c r="AH221" i="1" s="1"/>
  <c r="AG222" i="1"/>
  <c r="AF222" i="1"/>
  <c r="AF221" i="1" s="1"/>
  <c r="AE222" i="1"/>
  <c r="AE221" i="1" s="1"/>
  <c r="AC222" i="1"/>
  <c r="AC221" i="1" s="1"/>
  <c r="AB222" i="1"/>
  <c r="AB221" i="1" s="1"/>
  <c r="AA222" i="1"/>
  <c r="AA221" i="1" s="1"/>
  <c r="Z222" i="1"/>
  <c r="Z221" i="1" s="1"/>
  <c r="Y222" i="1"/>
  <c r="Y221" i="1" s="1"/>
  <c r="X222" i="1"/>
  <c r="W222" i="1"/>
  <c r="W221" i="1" s="1"/>
  <c r="V222" i="1"/>
  <c r="V221" i="1" s="1"/>
  <c r="T222" i="1"/>
  <c r="T221" i="1" s="1"/>
  <c r="S222" i="1"/>
  <c r="S221" i="1" s="1"/>
  <c r="R222" i="1"/>
  <c r="R221" i="1" s="1"/>
  <c r="Q222" i="1"/>
  <c r="Q221" i="1" s="1"/>
  <c r="O222" i="1"/>
  <c r="O221" i="1" s="1"/>
  <c r="N222" i="1"/>
  <c r="N221" i="1" s="1"/>
  <c r="M222" i="1"/>
  <c r="M221" i="1" s="1"/>
  <c r="L222" i="1"/>
  <c r="L221" i="1" s="1"/>
  <c r="K222" i="1"/>
  <c r="K221" i="1" s="1"/>
  <c r="J222" i="1"/>
  <c r="J221" i="1" s="1"/>
  <c r="H222" i="1"/>
  <c r="H221" i="1" s="1"/>
  <c r="G222" i="1"/>
  <c r="G221" i="1" s="1"/>
  <c r="CX221" i="1"/>
  <c r="CW221" i="1"/>
  <c r="CV221" i="1"/>
  <c r="BZ221" i="1"/>
  <c r="BW221" i="1"/>
  <c r="BM221" i="1"/>
  <c r="BB221" i="1"/>
  <c r="BA221" i="1"/>
  <c r="AZ221" i="1"/>
  <c r="AO221" i="1"/>
  <c r="AG221" i="1"/>
  <c r="X221" i="1"/>
  <c r="CA207" i="1"/>
  <c r="CA206" i="1"/>
  <c r="CB205" i="1"/>
  <c r="CA204" i="1"/>
  <c r="CA194" i="1"/>
  <c r="BX194" i="1"/>
  <c r="Y192" i="1"/>
  <c r="X192" i="1"/>
  <c r="W192" i="1"/>
  <c r="AC191" i="1"/>
  <c r="Y191" i="1"/>
  <c r="X191" i="1"/>
  <c r="W191" i="1"/>
  <c r="AC190" i="1"/>
  <c r="Y190" i="1"/>
  <c r="X190" i="1"/>
  <c r="W190" i="1"/>
  <c r="AC177" i="1"/>
  <c r="Y177" i="1"/>
  <c r="X177" i="1"/>
  <c r="W177" i="1"/>
  <c r="AC176" i="1"/>
  <c r="Y176" i="1"/>
  <c r="X176" i="1"/>
  <c r="Y174" i="1"/>
  <c r="X174" i="1"/>
  <c r="AC173" i="1"/>
  <c r="Y173" i="1"/>
  <c r="X173" i="1"/>
  <c r="DA223" i="1" l="1"/>
  <c r="CZ223" i="1" s="1"/>
  <c r="CZ222" i="1" s="1"/>
  <c r="CZ221" i="1" s="1"/>
  <c r="F223" i="1"/>
  <c r="F222" i="1" s="1"/>
  <c r="F221" i="1" s="1"/>
  <c r="CD223" i="1"/>
  <c r="BC223" i="1"/>
  <c r="BC222" i="1" s="1"/>
  <c r="BC221" i="1" s="1"/>
  <c r="W173" i="1"/>
  <c r="N173" i="1"/>
  <c r="AC171" i="1"/>
  <c r="Y171" i="1"/>
  <c r="X171" i="1"/>
  <c r="W171" i="1"/>
  <c r="Y168" i="1"/>
  <c r="X168" i="1"/>
  <c r="W168" i="1"/>
  <c r="AQ162" i="1"/>
  <c r="X162" i="1"/>
  <c r="N162" i="1"/>
  <c r="Y156" i="1"/>
  <c r="X156" i="1"/>
  <c r="W156" i="1"/>
  <c r="Y155" i="1"/>
  <c r="X155" i="1"/>
  <c r="W155" i="1"/>
  <c r="Y149" i="1"/>
  <c r="X149" i="1"/>
  <c r="W149" i="1"/>
  <c r="AC148" i="1"/>
  <c r="Y148" i="1"/>
  <c r="X148" i="1"/>
  <c r="Y141" i="1"/>
  <c r="X141" i="1"/>
  <c r="W141" i="1"/>
  <c r="Y139" i="1"/>
  <c r="X139" i="1"/>
  <c r="W139" i="1"/>
  <c r="Y137" i="1"/>
  <c r="X137" i="1"/>
  <c r="W137" i="1"/>
  <c r="AC136" i="1"/>
  <c r="Y136" i="1"/>
  <c r="X136" i="1"/>
  <c r="W136" i="1"/>
  <c r="Y134" i="1"/>
  <c r="X134" i="1"/>
  <c r="W134" i="1"/>
  <c r="Y132" i="1"/>
  <c r="X132" i="1"/>
  <c r="W132" i="1"/>
  <c r="AC131" i="1"/>
  <c r="Y131" i="1"/>
  <c r="X131" i="1"/>
  <c r="W131" i="1"/>
  <c r="Y129" i="1"/>
  <c r="X129" i="1"/>
  <c r="W129" i="1"/>
  <c r="AC128" i="1"/>
  <c r="Y128" i="1"/>
  <c r="X128" i="1"/>
  <c r="W128" i="1"/>
  <c r="AC127" i="1"/>
  <c r="Y127" i="1"/>
  <c r="X127" i="1"/>
  <c r="W127" i="1"/>
  <c r="X110" i="1"/>
  <c r="W110" i="1"/>
  <c r="X89" i="1"/>
  <c r="Y88" i="1"/>
  <c r="X88" i="1"/>
  <c r="W88" i="1"/>
  <c r="DA222" i="1" l="1"/>
  <c r="DA221" i="1" s="1"/>
  <c r="CD222" i="1"/>
  <c r="CD221" i="1" s="1"/>
  <c r="CC223" i="1"/>
  <c r="CC222" i="1" s="1"/>
  <c r="CC221" i="1" s="1"/>
  <c r="E223" i="1"/>
  <c r="AC85" i="1"/>
  <c r="Y85" i="1"/>
  <c r="X85" i="1"/>
  <c r="O85" i="1"/>
  <c r="AC83" i="1"/>
  <c r="Y83" i="1"/>
  <c r="X83" i="1"/>
  <c r="W83" i="1"/>
  <c r="Y81" i="1"/>
  <c r="X81" i="1"/>
  <c r="W81" i="1"/>
  <c r="AC79" i="1"/>
  <c r="Y79" i="1"/>
  <c r="X79" i="1"/>
  <c r="W79" i="1"/>
  <c r="Y77" i="1"/>
  <c r="X77" i="1"/>
  <c r="W77" i="1"/>
  <c r="AC75" i="1"/>
  <c r="Y75" i="1"/>
  <c r="X75" i="1"/>
  <c r="W75" i="1"/>
  <c r="AC73" i="1"/>
  <c r="Y73" i="1"/>
  <c r="X73" i="1"/>
  <c r="W73" i="1"/>
  <c r="AC72" i="1"/>
  <c r="Y72" i="1"/>
  <c r="X72" i="1"/>
  <c r="W72" i="1"/>
  <c r="AC70" i="1"/>
  <c r="Y70" i="1"/>
  <c r="X70" i="1"/>
  <c r="W70" i="1"/>
  <c r="CJ65" i="1"/>
  <c r="CG65" i="1"/>
  <c r="AY65" i="1"/>
  <c r="AQ65" i="1"/>
  <c r="AG65" i="1"/>
  <c r="AC65" i="1"/>
  <c r="Z65" i="1"/>
  <c r="Y65" i="1"/>
  <c r="X65" i="1"/>
  <c r="W65" i="1"/>
  <c r="AC57" i="1"/>
  <c r="Y57" i="1"/>
  <c r="X57" i="1"/>
  <c r="AC55" i="1"/>
  <c r="Y55" i="1"/>
  <c r="X55" i="1"/>
  <c r="W55" i="1"/>
  <c r="Y53" i="1"/>
  <c r="X53" i="1"/>
  <c r="W53" i="1"/>
  <c r="AC51" i="1"/>
  <c r="Y51" i="1"/>
  <c r="X51" i="1"/>
  <c r="Y48" i="1"/>
  <c r="X48" i="1"/>
  <c r="W48" i="1"/>
  <c r="Y46" i="1"/>
  <c r="X46" i="1"/>
  <c r="W46" i="1"/>
  <c r="AC44" i="1"/>
  <c r="Y44" i="1"/>
  <c r="X44" i="1"/>
  <c r="W44" i="1"/>
  <c r="AC43" i="1"/>
  <c r="Y43" i="1"/>
  <c r="X43" i="1"/>
  <c r="W43" i="1"/>
  <c r="X42" i="1"/>
  <c r="W42" i="1"/>
  <c r="AC39" i="1"/>
  <c r="Y39" i="1"/>
  <c r="X39" i="1"/>
  <c r="W39" i="1"/>
  <c r="Y37" i="1"/>
  <c r="X37" i="1"/>
  <c r="W37" i="1"/>
  <c r="Y36" i="1"/>
  <c r="X36" i="1"/>
  <c r="W36" i="1"/>
  <c r="Y35" i="1"/>
  <c r="X35" i="1"/>
  <c r="W35" i="1"/>
  <c r="Y34" i="1"/>
  <c r="X34" i="1"/>
  <c r="W34" i="1"/>
  <c r="Y33" i="1"/>
  <c r="X33" i="1"/>
  <c r="W33" i="1"/>
  <c r="Y32" i="1"/>
  <c r="X32" i="1"/>
  <c r="W32" i="1"/>
  <c r="AY31" i="1"/>
  <c r="Y31" i="1"/>
  <c r="X31" i="1"/>
  <c r="W31" i="1"/>
  <c r="AC30" i="1"/>
  <c r="Y30" i="1"/>
  <c r="X30" i="1"/>
  <c r="AC29" i="1"/>
  <c r="Y29" i="1"/>
  <c r="X29" i="1"/>
  <c r="W29" i="1"/>
  <c r="Y28" i="1"/>
  <c r="X28" i="1"/>
  <c r="W28" i="1"/>
  <c r="Y26" i="1"/>
  <c r="X26" i="1"/>
  <c r="W26" i="1"/>
  <c r="AC25" i="1"/>
  <c r="Y25" i="1"/>
  <c r="X25" i="1"/>
  <c r="W25" i="1"/>
  <c r="Y23" i="1"/>
  <c r="X23" i="1"/>
  <c r="W23" i="1"/>
  <c r="AC22" i="1"/>
  <c r="Y22" i="1"/>
  <c r="X22" i="1"/>
  <c r="W22" i="1"/>
  <c r="AC21" i="1"/>
  <c r="Y21" i="1"/>
  <c r="X21" i="1"/>
  <c r="W21" i="1"/>
  <c r="H21" i="1"/>
  <c r="G21" i="1"/>
  <c r="AC19" i="1"/>
  <c r="Y19" i="1"/>
  <c r="X19" i="1"/>
  <c r="W19" i="1"/>
  <c r="D223" i="1" l="1"/>
  <c r="E222" i="1"/>
  <c r="E221" i="1" s="1"/>
  <c r="AY235" i="1"/>
  <c r="DA235" i="1"/>
  <c r="CZ235" i="1" s="1"/>
  <c r="CW235" i="1"/>
  <c r="CN235" i="1"/>
  <c r="CH235" i="1"/>
  <c r="CE235" i="1"/>
  <c r="BQ235" i="1"/>
  <c r="BN235" i="1"/>
  <c r="BH235" i="1"/>
  <c r="BD235" i="1"/>
  <c r="AD235" i="1"/>
  <c r="U235" i="1"/>
  <c r="P235" i="1"/>
  <c r="I235" i="1"/>
  <c r="H177" i="1"/>
  <c r="G177" i="1"/>
  <c r="H27" i="1"/>
  <c r="G27" i="1"/>
  <c r="D222" i="1" l="1"/>
  <c r="BC235" i="1"/>
  <c r="CV235" i="1"/>
  <c r="CD235" i="1"/>
  <c r="F235" i="1"/>
  <c r="D221" i="1" l="1"/>
  <c r="CC235" i="1"/>
  <c r="E235" i="1"/>
  <c r="DA236" i="1"/>
  <c r="CZ236" i="1" s="1"/>
  <c r="CW236" i="1"/>
  <c r="CN236" i="1"/>
  <c r="CH236" i="1"/>
  <c r="CE236" i="1"/>
  <c r="BQ236" i="1"/>
  <c r="BN236" i="1"/>
  <c r="BH236" i="1"/>
  <c r="BD236" i="1"/>
  <c r="AD236" i="1"/>
  <c r="U236" i="1"/>
  <c r="P236" i="1"/>
  <c r="I236" i="1"/>
  <c r="DA183" i="1"/>
  <c r="CZ183" i="1" s="1"/>
  <c r="CN183" i="1"/>
  <c r="CH183" i="1"/>
  <c r="CE183" i="1"/>
  <c r="BQ183" i="1"/>
  <c r="BN183" i="1"/>
  <c r="BH183" i="1"/>
  <c r="BD183" i="1"/>
  <c r="AD183" i="1"/>
  <c r="U183" i="1"/>
  <c r="P183" i="1"/>
  <c r="I183" i="1"/>
  <c r="D235" i="1" l="1"/>
  <c r="CV236" i="1"/>
  <c r="BC183" i="1"/>
  <c r="CD183" i="1"/>
  <c r="CD236" i="1"/>
  <c r="F236" i="1"/>
  <c r="F183" i="1"/>
  <c r="BC236" i="1"/>
  <c r="CC183" i="1" l="1"/>
  <c r="E183" i="1"/>
  <c r="CC236" i="1"/>
  <c r="E236" i="1"/>
  <c r="Z22" i="1"/>
  <c r="T22" i="1"/>
  <c r="AL22" i="1"/>
  <c r="AJ22" i="1"/>
  <c r="V22" i="1"/>
  <c r="CN93" i="1"/>
  <c r="CH93" i="1"/>
  <c r="CE93" i="1"/>
  <c r="BQ93" i="1"/>
  <c r="BN93" i="1"/>
  <c r="BH93" i="1"/>
  <c r="BD93" i="1"/>
  <c r="AD93" i="1"/>
  <c r="U93" i="1"/>
  <c r="P93" i="1"/>
  <c r="I93" i="1"/>
  <c r="CN94" i="1"/>
  <c r="CH94" i="1"/>
  <c r="CE94" i="1"/>
  <c r="BQ94" i="1"/>
  <c r="BN94" i="1"/>
  <c r="BH94" i="1"/>
  <c r="BD94" i="1"/>
  <c r="AD94" i="1"/>
  <c r="U94" i="1"/>
  <c r="P94" i="1"/>
  <c r="I94" i="1"/>
  <c r="D183" i="1" l="1"/>
  <c r="D236" i="1"/>
  <c r="CD93" i="1"/>
  <c r="F93" i="1"/>
  <c r="BC93" i="1"/>
  <c r="F94" i="1"/>
  <c r="BC94" i="1"/>
  <c r="CD94" i="1"/>
  <c r="CC93" i="1" l="1"/>
  <c r="CC94" i="1"/>
  <c r="E93" i="1"/>
  <c r="E94" i="1"/>
  <c r="R21" i="1" l="1"/>
  <c r="AN21" i="1"/>
  <c r="CA21" i="1"/>
  <c r="CG263" i="1" l="1"/>
  <c r="BB263" i="1"/>
  <c r="CT253" i="1"/>
  <c r="I182" i="1"/>
  <c r="I184" i="1"/>
  <c r="I185" i="1"/>
  <c r="CX180" i="1"/>
  <c r="CW180" i="1"/>
  <c r="CV180" i="1"/>
  <c r="CU180" i="1"/>
  <c r="CT180" i="1"/>
  <c r="CS180" i="1"/>
  <c r="CR180" i="1"/>
  <c r="CQ180" i="1"/>
  <c r="CP180" i="1"/>
  <c r="CO180" i="1"/>
  <c r="CM180" i="1"/>
  <c r="CL180" i="1"/>
  <c r="CK180" i="1"/>
  <c r="CJ180" i="1"/>
  <c r="CI180" i="1"/>
  <c r="CG180" i="1"/>
  <c r="CF180" i="1"/>
  <c r="CB180" i="1"/>
  <c r="CA180" i="1"/>
  <c r="BZ180" i="1"/>
  <c r="BY180" i="1"/>
  <c r="BX180" i="1"/>
  <c r="BW180" i="1"/>
  <c r="BV180" i="1"/>
  <c r="BU180" i="1"/>
  <c r="BT180" i="1"/>
  <c r="BS180" i="1"/>
  <c r="BR180" i="1"/>
  <c r="BP180" i="1"/>
  <c r="BO180" i="1"/>
  <c r="BM180" i="1"/>
  <c r="BL180" i="1"/>
  <c r="BK180" i="1"/>
  <c r="BJ180" i="1"/>
  <c r="BI180" i="1"/>
  <c r="BG180" i="1"/>
  <c r="BF180" i="1"/>
  <c r="BE180" i="1"/>
  <c r="BB180" i="1"/>
  <c r="BA180" i="1"/>
  <c r="AZ180" i="1"/>
  <c r="AY180" i="1"/>
  <c r="AX180" i="1"/>
  <c r="AW180" i="1"/>
  <c r="AV180" i="1"/>
  <c r="AU180" i="1"/>
  <c r="AT180" i="1"/>
  <c r="AS180" i="1"/>
  <c r="AR180" i="1"/>
  <c r="AQ180" i="1"/>
  <c r="AP180" i="1"/>
  <c r="AO180" i="1"/>
  <c r="AN180" i="1"/>
  <c r="AM180" i="1"/>
  <c r="AL180" i="1"/>
  <c r="AK180" i="1"/>
  <c r="AJ180" i="1"/>
  <c r="AI180" i="1"/>
  <c r="AH180" i="1"/>
  <c r="AG180" i="1"/>
  <c r="AF180" i="1"/>
  <c r="AE180" i="1"/>
  <c r="AC180" i="1"/>
  <c r="AB180" i="1"/>
  <c r="AA180" i="1"/>
  <c r="Z180" i="1"/>
  <c r="Y180" i="1"/>
  <c r="X180" i="1"/>
  <c r="W180" i="1"/>
  <c r="V180" i="1"/>
  <c r="T180" i="1"/>
  <c r="S180" i="1"/>
  <c r="R180" i="1"/>
  <c r="Q180" i="1"/>
  <c r="O180" i="1"/>
  <c r="N180" i="1"/>
  <c r="M180" i="1"/>
  <c r="L180" i="1"/>
  <c r="K180" i="1"/>
  <c r="J180" i="1"/>
  <c r="H180" i="1"/>
  <c r="G180" i="1"/>
  <c r="DA185" i="1"/>
  <c r="CZ185" i="1" s="1"/>
  <c r="CN185" i="1"/>
  <c r="CH185" i="1"/>
  <c r="CE185" i="1"/>
  <c r="BQ185" i="1"/>
  <c r="BN185" i="1"/>
  <c r="BH185" i="1"/>
  <c r="BD185" i="1"/>
  <c r="AD185" i="1"/>
  <c r="U185" i="1"/>
  <c r="P185" i="1"/>
  <c r="DA184" i="1"/>
  <c r="CZ184" i="1" s="1"/>
  <c r="CN184" i="1"/>
  <c r="CH184" i="1"/>
  <c r="CE184" i="1"/>
  <c r="BQ184" i="1"/>
  <c r="BN184" i="1"/>
  <c r="BH184" i="1"/>
  <c r="BD184" i="1"/>
  <c r="AD184" i="1"/>
  <c r="U184" i="1"/>
  <c r="P184" i="1"/>
  <c r="DA182" i="1"/>
  <c r="CZ182" i="1" s="1"/>
  <c r="CN182" i="1"/>
  <c r="CH182" i="1"/>
  <c r="CE182" i="1"/>
  <c r="BQ182" i="1"/>
  <c r="BN182" i="1"/>
  <c r="BH182" i="1"/>
  <c r="BD182" i="1"/>
  <c r="AD182" i="1"/>
  <c r="U182" i="1"/>
  <c r="P182" i="1"/>
  <c r="AY173" i="1"/>
  <c r="CX297" i="1"/>
  <c r="CW297" i="1"/>
  <c r="CV297" i="1"/>
  <c r="CU297" i="1"/>
  <c r="CT297" i="1"/>
  <c r="CT296" i="1" s="1"/>
  <c r="CS297" i="1"/>
  <c r="CS296" i="1" s="1"/>
  <c r="CR297" i="1"/>
  <c r="CR296" i="1" s="1"/>
  <c r="CQ297" i="1"/>
  <c r="CP297" i="1"/>
  <c r="CO297" i="1"/>
  <c r="CM297" i="1"/>
  <c r="CL297" i="1"/>
  <c r="CK297" i="1"/>
  <c r="CJ297" i="1"/>
  <c r="CI297" i="1"/>
  <c r="CG297" i="1"/>
  <c r="CF297" i="1"/>
  <c r="CB297" i="1"/>
  <c r="CA297" i="1"/>
  <c r="BZ297" i="1"/>
  <c r="BY297" i="1"/>
  <c r="BX297" i="1"/>
  <c r="BW297" i="1"/>
  <c r="BV297" i="1"/>
  <c r="BU297" i="1"/>
  <c r="BT297" i="1"/>
  <c r="BS297" i="1"/>
  <c r="BR297" i="1"/>
  <c r="BP297" i="1"/>
  <c r="BO297" i="1"/>
  <c r="BM297" i="1"/>
  <c r="BL297" i="1"/>
  <c r="BK297" i="1"/>
  <c r="BJ297" i="1"/>
  <c r="BG297" i="1"/>
  <c r="BF297" i="1"/>
  <c r="BE297" i="1"/>
  <c r="BB297" i="1"/>
  <c r="BB296" i="1" s="1"/>
  <c r="BA297" i="1"/>
  <c r="BA296" i="1" s="1"/>
  <c r="AZ297" i="1"/>
  <c r="AZ296" i="1" s="1"/>
  <c r="AX297" i="1"/>
  <c r="AW297" i="1"/>
  <c r="AV297" i="1"/>
  <c r="AU297" i="1"/>
  <c r="AT297" i="1"/>
  <c r="AS297" i="1"/>
  <c r="AR297" i="1"/>
  <c r="AQ297" i="1"/>
  <c r="AP297" i="1"/>
  <c r="AO297" i="1"/>
  <c r="AN297" i="1"/>
  <c r="AM297" i="1"/>
  <c r="AL297" i="1"/>
  <c r="AK297" i="1"/>
  <c r="AJ297" i="1"/>
  <c r="AI297" i="1"/>
  <c r="AH297" i="1"/>
  <c r="AG297" i="1"/>
  <c r="AF297" i="1"/>
  <c r="AE297" i="1"/>
  <c r="AC297" i="1"/>
  <c r="AB297" i="1"/>
  <c r="AA297" i="1"/>
  <c r="Z297" i="1"/>
  <c r="Y297" i="1"/>
  <c r="X297" i="1"/>
  <c r="W297" i="1"/>
  <c r="V297" i="1"/>
  <c r="T297" i="1"/>
  <c r="S297" i="1"/>
  <c r="R297" i="1"/>
  <c r="Q297" i="1"/>
  <c r="O297" i="1"/>
  <c r="N297" i="1"/>
  <c r="M297" i="1"/>
  <c r="L297" i="1"/>
  <c r="K297" i="1"/>
  <c r="J297" i="1"/>
  <c r="H297" i="1"/>
  <c r="G297" i="1"/>
  <c r="DA298" i="1"/>
  <c r="CZ298" i="1" s="1"/>
  <c r="CN298" i="1"/>
  <c r="CH298" i="1"/>
  <c r="CE298" i="1"/>
  <c r="BQ298" i="1"/>
  <c r="BN298" i="1"/>
  <c r="BH298" i="1"/>
  <c r="BD298" i="1"/>
  <c r="U298" i="1"/>
  <c r="P298" i="1"/>
  <c r="I298" i="1"/>
  <c r="AY297" i="1" l="1"/>
  <c r="AD321" i="1"/>
  <c r="BI297" i="1"/>
  <c r="AD298" i="1"/>
  <c r="CD182" i="1"/>
  <c r="CD184" i="1"/>
  <c r="CD298" i="1"/>
  <c r="F182" i="1"/>
  <c r="BC182" i="1"/>
  <c r="F184" i="1"/>
  <c r="BC185" i="1"/>
  <c r="CD185" i="1"/>
  <c r="BC298" i="1"/>
  <c r="BC184" i="1"/>
  <c r="F185" i="1"/>
  <c r="AY320" i="1"/>
  <c r="F298" i="1" l="1"/>
  <c r="E298" i="1" s="1"/>
  <c r="CC298" i="1"/>
  <c r="CC184" i="1"/>
  <c r="CC182" i="1"/>
  <c r="CC185" i="1"/>
  <c r="E184" i="1"/>
  <c r="E182" i="1"/>
  <c r="E185" i="1"/>
  <c r="CU290" i="1"/>
  <c r="D298" i="1" l="1"/>
  <c r="D184" i="1"/>
  <c r="D182" i="1"/>
  <c r="D185" i="1"/>
  <c r="BD115" i="1"/>
  <c r="BD116" i="1"/>
  <c r="BC116" i="1" l="1"/>
  <c r="BC115" i="1"/>
  <c r="E115" i="1" s="1"/>
  <c r="E116" i="1"/>
  <c r="BD321" i="1"/>
  <c r="BQ312" i="1"/>
  <c r="BQ319" i="1"/>
  <c r="DA286" i="1"/>
  <c r="CZ286" i="1" s="1"/>
  <c r="CN286" i="1"/>
  <c r="CH286" i="1"/>
  <c r="CE286" i="1"/>
  <c r="BQ286" i="1"/>
  <c r="BN286" i="1"/>
  <c r="BH286" i="1"/>
  <c r="BD286" i="1"/>
  <c r="AD286" i="1"/>
  <c r="U286" i="1"/>
  <c r="P286" i="1"/>
  <c r="I286" i="1"/>
  <c r="DA285" i="1"/>
  <c r="CZ285" i="1" s="1"/>
  <c r="CN285" i="1"/>
  <c r="CH285" i="1"/>
  <c r="CE285" i="1"/>
  <c r="BQ285" i="1"/>
  <c r="BN285" i="1"/>
  <c r="BH285" i="1"/>
  <c r="BD285" i="1"/>
  <c r="AD285" i="1"/>
  <c r="U285" i="1"/>
  <c r="P285" i="1"/>
  <c r="I285" i="1"/>
  <c r="DA284" i="1"/>
  <c r="CZ284" i="1" s="1"/>
  <c r="CN284" i="1"/>
  <c r="CH284" i="1"/>
  <c r="CE284" i="1"/>
  <c r="BQ284" i="1"/>
  <c r="BN284" i="1"/>
  <c r="BH284" i="1"/>
  <c r="BD284" i="1"/>
  <c r="AD284" i="1"/>
  <c r="U284" i="1"/>
  <c r="P284" i="1"/>
  <c r="I284" i="1"/>
  <c r="DA283" i="1"/>
  <c r="CZ283" i="1" s="1"/>
  <c r="CN283" i="1"/>
  <c r="CH283" i="1"/>
  <c r="CE283" i="1"/>
  <c r="BQ283" i="1"/>
  <c r="BN283" i="1"/>
  <c r="BH283" i="1"/>
  <c r="BD283" i="1"/>
  <c r="AD283" i="1"/>
  <c r="U283" i="1"/>
  <c r="P283" i="1"/>
  <c r="I283" i="1"/>
  <c r="DA288" i="1"/>
  <c r="CZ288" i="1" s="1"/>
  <c r="CN288" i="1"/>
  <c r="CH288" i="1"/>
  <c r="CE288" i="1"/>
  <c r="BQ288" i="1"/>
  <c r="BN288" i="1"/>
  <c r="BH288" i="1"/>
  <c r="BD288" i="1"/>
  <c r="AD288" i="1"/>
  <c r="U288" i="1"/>
  <c r="P288" i="1"/>
  <c r="I288" i="1"/>
  <c r="DA287" i="1"/>
  <c r="CZ287" i="1" s="1"/>
  <c r="CN287" i="1"/>
  <c r="CH287" i="1"/>
  <c r="CE287" i="1"/>
  <c r="BQ287" i="1"/>
  <c r="BN287" i="1"/>
  <c r="BH287" i="1"/>
  <c r="BD287" i="1"/>
  <c r="AD287" i="1"/>
  <c r="U287" i="1"/>
  <c r="P287" i="1"/>
  <c r="I287" i="1"/>
  <c r="DA282" i="1"/>
  <c r="CZ282" i="1" s="1"/>
  <c r="CN282" i="1"/>
  <c r="CH282" i="1"/>
  <c r="CE282" i="1"/>
  <c r="BQ282" i="1"/>
  <c r="BN282" i="1"/>
  <c r="BH282" i="1"/>
  <c r="BD282" i="1"/>
  <c r="AD282" i="1"/>
  <c r="U282" i="1"/>
  <c r="P282" i="1"/>
  <c r="I282" i="1"/>
  <c r="DA281" i="1"/>
  <c r="CZ281" i="1" s="1"/>
  <c r="CN281" i="1"/>
  <c r="CH281" i="1"/>
  <c r="CE281" i="1"/>
  <c r="BQ281" i="1"/>
  <c r="BN281" i="1"/>
  <c r="BH281" i="1"/>
  <c r="BD281" i="1"/>
  <c r="AD281" i="1"/>
  <c r="U281" i="1"/>
  <c r="P281" i="1"/>
  <c r="I281" i="1"/>
  <c r="D116" i="1" l="1"/>
  <c r="D115" i="1"/>
  <c r="CD286" i="1"/>
  <c r="F284" i="1"/>
  <c r="BC286" i="1"/>
  <c r="BC283" i="1"/>
  <c r="CD284" i="1"/>
  <c r="CD285" i="1"/>
  <c r="BC282" i="1"/>
  <c r="BC288" i="1"/>
  <c r="BC285" i="1"/>
  <c r="CD287" i="1"/>
  <c r="F285" i="1"/>
  <c r="F281" i="1"/>
  <c r="F287" i="1"/>
  <c r="F283" i="1"/>
  <c r="BC284" i="1"/>
  <c r="F282" i="1"/>
  <c r="CD288" i="1"/>
  <c r="F286" i="1"/>
  <c r="CD283" i="1"/>
  <c r="CD281" i="1"/>
  <c r="CD282" i="1"/>
  <c r="BC281" i="1"/>
  <c r="F288" i="1"/>
  <c r="BC287" i="1"/>
  <c r="CC281" i="1" l="1"/>
  <c r="CC283" i="1"/>
  <c r="CC287" i="1"/>
  <c r="CC288" i="1"/>
  <c r="E288" i="1"/>
  <c r="E284" i="1"/>
  <c r="E283" i="1"/>
  <c r="CC285" i="1"/>
  <c r="CC286" i="1"/>
  <c r="CC282" i="1"/>
  <c r="CC284" i="1"/>
  <c r="E286" i="1"/>
  <c r="E281" i="1"/>
  <c r="E285" i="1"/>
  <c r="E287" i="1"/>
  <c r="E282" i="1"/>
  <c r="D288" i="1" l="1"/>
  <c r="D283" i="1"/>
  <c r="D281" i="1"/>
  <c r="D286" i="1"/>
  <c r="D282" i="1"/>
  <c r="D287" i="1"/>
  <c r="D284" i="1"/>
  <c r="D285" i="1"/>
  <c r="DA273" i="1"/>
  <c r="CZ273" i="1" s="1"/>
  <c r="CN273" i="1"/>
  <c r="CH273" i="1"/>
  <c r="CE273" i="1"/>
  <c r="BQ273" i="1"/>
  <c r="BN273" i="1"/>
  <c r="BH273" i="1"/>
  <c r="BD273" i="1"/>
  <c r="AD273" i="1"/>
  <c r="U273" i="1"/>
  <c r="P273" i="1"/>
  <c r="I273" i="1"/>
  <c r="DA269" i="1"/>
  <c r="CZ269" i="1" s="1"/>
  <c r="CN269" i="1"/>
  <c r="CH269" i="1"/>
  <c r="CE269" i="1"/>
  <c r="BQ269" i="1"/>
  <c r="BN269" i="1"/>
  <c r="BH269" i="1"/>
  <c r="BD269" i="1"/>
  <c r="AD269" i="1"/>
  <c r="U269" i="1"/>
  <c r="P269" i="1"/>
  <c r="I269" i="1"/>
  <c r="CS253" i="1"/>
  <c r="CQ243" i="1"/>
  <c r="CT243" i="1"/>
  <c r="CG38" i="1"/>
  <c r="CX209" i="1"/>
  <c r="CW209" i="1"/>
  <c r="CV209" i="1"/>
  <c r="CU209" i="1"/>
  <c r="CQ209" i="1"/>
  <c r="CP209" i="1"/>
  <c r="CO209" i="1"/>
  <c r="CM209" i="1"/>
  <c r="CL209" i="1"/>
  <c r="CK209" i="1"/>
  <c r="CJ209" i="1"/>
  <c r="CI209" i="1"/>
  <c r="CG209" i="1"/>
  <c r="CF209" i="1"/>
  <c r="CB209" i="1"/>
  <c r="CA209" i="1"/>
  <c r="BZ209" i="1"/>
  <c r="BY209" i="1"/>
  <c r="BX209" i="1"/>
  <c r="BW209" i="1"/>
  <c r="BV209" i="1"/>
  <c r="BU209" i="1"/>
  <c r="BT209" i="1"/>
  <c r="BS209" i="1"/>
  <c r="BR209" i="1"/>
  <c r="BP209" i="1"/>
  <c r="BO209" i="1"/>
  <c r="BM209" i="1"/>
  <c r="BL209" i="1"/>
  <c r="BK209" i="1"/>
  <c r="BJ209" i="1"/>
  <c r="BI209" i="1"/>
  <c r="BG209" i="1"/>
  <c r="BF209" i="1"/>
  <c r="BB209" i="1"/>
  <c r="BA209" i="1"/>
  <c r="AZ209" i="1"/>
  <c r="AY209" i="1"/>
  <c r="AX209" i="1"/>
  <c r="AW209" i="1"/>
  <c r="AV209" i="1"/>
  <c r="AU209" i="1"/>
  <c r="AT209" i="1"/>
  <c r="AS209" i="1"/>
  <c r="AR209" i="1"/>
  <c r="AQ209" i="1"/>
  <c r="AP209" i="1"/>
  <c r="AO209" i="1"/>
  <c r="AN209" i="1"/>
  <c r="AM209" i="1"/>
  <c r="AL209" i="1"/>
  <c r="AK209" i="1"/>
  <c r="AJ209" i="1"/>
  <c r="AI209" i="1"/>
  <c r="AH209" i="1"/>
  <c r="AG209" i="1"/>
  <c r="AF209" i="1"/>
  <c r="AE209" i="1"/>
  <c r="AC209" i="1"/>
  <c r="AB209" i="1"/>
  <c r="AA209" i="1"/>
  <c r="Z209" i="1"/>
  <c r="Y209" i="1"/>
  <c r="X209" i="1"/>
  <c r="W209" i="1"/>
  <c r="V209" i="1"/>
  <c r="T209" i="1"/>
  <c r="S209" i="1"/>
  <c r="R209" i="1"/>
  <c r="Q209" i="1"/>
  <c r="O209" i="1"/>
  <c r="N209" i="1"/>
  <c r="M209" i="1"/>
  <c r="L209" i="1"/>
  <c r="K209" i="1"/>
  <c r="J209" i="1"/>
  <c r="H209" i="1"/>
  <c r="G209" i="1"/>
  <c r="BE209" i="1"/>
  <c r="CX112" i="1"/>
  <c r="CW112" i="1"/>
  <c r="CV112" i="1"/>
  <c r="CU112" i="1"/>
  <c r="CQ112" i="1"/>
  <c r="CP112" i="1"/>
  <c r="CO112" i="1"/>
  <c r="CM112" i="1"/>
  <c r="CL112" i="1"/>
  <c r="CK112" i="1"/>
  <c r="CJ112" i="1"/>
  <c r="CI112" i="1"/>
  <c r="CG112" i="1"/>
  <c r="CF112" i="1"/>
  <c r="CB112" i="1"/>
  <c r="CA112" i="1"/>
  <c r="BZ112" i="1"/>
  <c r="BY112" i="1"/>
  <c r="BX112" i="1"/>
  <c r="BW112" i="1"/>
  <c r="BV112" i="1"/>
  <c r="BU112" i="1"/>
  <c r="BT112" i="1"/>
  <c r="BS112" i="1"/>
  <c r="BR112" i="1"/>
  <c r="BP112" i="1"/>
  <c r="BO112" i="1"/>
  <c r="BM112" i="1"/>
  <c r="BL112" i="1"/>
  <c r="BK112" i="1"/>
  <c r="BJ112" i="1"/>
  <c r="BI112" i="1"/>
  <c r="BG112" i="1"/>
  <c r="BE112" i="1"/>
  <c r="BB112" i="1"/>
  <c r="BA112" i="1"/>
  <c r="AZ112" i="1"/>
  <c r="AY112" i="1"/>
  <c r="AX112" i="1"/>
  <c r="AW112" i="1"/>
  <c r="AV112" i="1"/>
  <c r="AU112" i="1"/>
  <c r="AT112" i="1"/>
  <c r="AS112" i="1"/>
  <c r="AR112" i="1"/>
  <c r="AQ112" i="1"/>
  <c r="AP112" i="1"/>
  <c r="AO112" i="1"/>
  <c r="AN112" i="1"/>
  <c r="AM112" i="1"/>
  <c r="AL112" i="1"/>
  <c r="AK112" i="1"/>
  <c r="AJ112" i="1"/>
  <c r="AI112" i="1"/>
  <c r="AH112" i="1"/>
  <c r="AG112" i="1"/>
  <c r="AF112" i="1"/>
  <c r="AE112" i="1"/>
  <c r="AC112" i="1"/>
  <c r="AB112" i="1"/>
  <c r="AA112" i="1"/>
  <c r="Z112" i="1"/>
  <c r="Y112" i="1"/>
  <c r="X112" i="1"/>
  <c r="W112" i="1"/>
  <c r="V112" i="1"/>
  <c r="T112" i="1"/>
  <c r="S112" i="1"/>
  <c r="R112" i="1"/>
  <c r="Q112" i="1"/>
  <c r="O112" i="1"/>
  <c r="N112" i="1"/>
  <c r="M112" i="1"/>
  <c r="L112" i="1"/>
  <c r="K112" i="1"/>
  <c r="J112" i="1"/>
  <c r="H112" i="1"/>
  <c r="G112" i="1"/>
  <c r="BF112" i="1"/>
  <c r="AZ126" i="1"/>
  <c r="BA126" i="1"/>
  <c r="BB126" i="1"/>
  <c r="AZ130" i="1"/>
  <c r="BA130" i="1"/>
  <c r="BB130" i="1"/>
  <c r="AZ133" i="1"/>
  <c r="BA133" i="1"/>
  <c r="BB133" i="1"/>
  <c r="AZ140" i="1"/>
  <c r="BA140" i="1"/>
  <c r="BB140" i="1"/>
  <c r="AZ142" i="1"/>
  <c r="BA142" i="1"/>
  <c r="BB142" i="1"/>
  <c r="AZ151" i="1"/>
  <c r="BA151" i="1"/>
  <c r="BB151" i="1"/>
  <c r="AZ154" i="1"/>
  <c r="BA154" i="1"/>
  <c r="BB154" i="1"/>
  <c r="AZ161" i="1"/>
  <c r="BA161" i="1"/>
  <c r="BB161" i="1"/>
  <c r="AZ170" i="1"/>
  <c r="BA170" i="1"/>
  <c r="BB170" i="1"/>
  <c r="AZ172" i="1"/>
  <c r="BA172" i="1"/>
  <c r="BB172" i="1"/>
  <c r="AZ175" i="1"/>
  <c r="BA175" i="1"/>
  <c r="BB175" i="1"/>
  <c r="AZ189" i="1"/>
  <c r="BA189" i="1"/>
  <c r="BB189" i="1"/>
  <c r="AZ201" i="1"/>
  <c r="BA201" i="1"/>
  <c r="BB201" i="1"/>
  <c r="AZ224" i="1"/>
  <c r="BA224" i="1"/>
  <c r="BB224" i="1"/>
  <c r="AZ230" i="1"/>
  <c r="BA230" i="1"/>
  <c r="BB230" i="1"/>
  <c r="BB243" i="1"/>
  <c r="AZ268" i="1"/>
  <c r="BA268" i="1"/>
  <c r="BB268" i="1"/>
  <c r="BA263" i="1"/>
  <c r="AZ68" i="1"/>
  <c r="BA68" i="1"/>
  <c r="BB68" i="1"/>
  <c r="AZ66" i="1"/>
  <c r="BA66" i="1"/>
  <c r="BB66" i="1"/>
  <c r="AZ64" i="1"/>
  <c r="BA64" i="1"/>
  <c r="BB64" i="1"/>
  <c r="AZ61" i="1"/>
  <c r="BA61" i="1"/>
  <c r="BB61" i="1"/>
  <c r="AZ58" i="1"/>
  <c r="BA58" i="1"/>
  <c r="BB58" i="1"/>
  <c r="AZ56" i="1"/>
  <c r="BA56" i="1"/>
  <c r="BB56" i="1"/>
  <c r="AZ54" i="1"/>
  <c r="BA54" i="1"/>
  <c r="BB54" i="1"/>
  <c r="AZ52" i="1"/>
  <c r="BA52" i="1"/>
  <c r="BB52" i="1"/>
  <c r="AZ47" i="1"/>
  <c r="BA47" i="1"/>
  <c r="BB47" i="1"/>
  <c r="AZ45" i="1"/>
  <c r="BA45" i="1"/>
  <c r="BB45" i="1"/>
  <c r="AZ40" i="1"/>
  <c r="BA40" i="1"/>
  <c r="BB40" i="1"/>
  <c r="AZ38" i="1"/>
  <c r="BA38" i="1"/>
  <c r="BB38" i="1"/>
  <c r="AZ24" i="1"/>
  <c r="BA24" i="1"/>
  <c r="BB24" i="1"/>
  <c r="AZ20" i="1"/>
  <c r="BA20" i="1"/>
  <c r="BB20" i="1"/>
  <c r="AZ18" i="1"/>
  <c r="BA18" i="1"/>
  <c r="BB18" i="1"/>
  <c r="AD19" i="1"/>
  <c r="DA308" i="1"/>
  <c r="CZ308" i="1" s="1"/>
  <c r="CN308" i="1"/>
  <c r="CH308" i="1"/>
  <c r="CE308" i="1"/>
  <c r="BQ308" i="1"/>
  <c r="BN308" i="1"/>
  <c r="BH308" i="1"/>
  <c r="BD308" i="1"/>
  <c r="AD308" i="1"/>
  <c r="U308" i="1"/>
  <c r="P308" i="1"/>
  <c r="I308" i="1"/>
  <c r="DA305" i="1"/>
  <c r="CZ305" i="1" s="1"/>
  <c r="CN305" i="1"/>
  <c r="CH305" i="1"/>
  <c r="CE305" i="1"/>
  <c r="BQ305" i="1"/>
  <c r="BN305" i="1"/>
  <c r="BH305" i="1"/>
  <c r="BD305" i="1"/>
  <c r="AD305" i="1"/>
  <c r="U305" i="1"/>
  <c r="P305" i="1"/>
  <c r="I305" i="1"/>
  <c r="DA306" i="1"/>
  <c r="CZ306" i="1" s="1"/>
  <c r="CN306" i="1"/>
  <c r="CH306" i="1"/>
  <c r="CE306" i="1"/>
  <c r="BQ306" i="1"/>
  <c r="BN306" i="1"/>
  <c r="BH306" i="1"/>
  <c r="BD306" i="1"/>
  <c r="AD306" i="1"/>
  <c r="U306" i="1"/>
  <c r="P306" i="1"/>
  <c r="I306" i="1"/>
  <c r="DA307" i="1"/>
  <c r="CZ307" i="1" s="1"/>
  <c r="CN307" i="1"/>
  <c r="CH307" i="1"/>
  <c r="CE307" i="1"/>
  <c r="BQ307" i="1"/>
  <c r="BN307" i="1"/>
  <c r="BH307" i="1"/>
  <c r="BD307" i="1"/>
  <c r="AD307" i="1"/>
  <c r="U307" i="1"/>
  <c r="P307" i="1"/>
  <c r="I307" i="1"/>
  <c r="DA241" i="1"/>
  <c r="CZ241" i="1" s="1"/>
  <c r="CN241" i="1"/>
  <c r="CH241" i="1"/>
  <c r="CE241" i="1"/>
  <c r="BQ241" i="1"/>
  <c r="BN241" i="1"/>
  <c r="BH241" i="1"/>
  <c r="BD241" i="1"/>
  <c r="AD241" i="1"/>
  <c r="U241" i="1"/>
  <c r="P241" i="1"/>
  <c r="I241" i="1"/>
  <c r="DA237" i="1"/>
  <c r="CZ237" i="1" s="1"/>
  <c r="CN237" i="1"/>
  <c r="CH237" i="1"/>
  <c r="CE237" i="1"/>
  <c r="BQ237" i="1"/>
  <c r="BN237" i="1"/>
  <c r="BH237" i="1"/>
  <c r="BD237" i="1"/>
  <c r="AD237" i="1"/>
  <c r="U237" i="1"/>
  <c r="P237" i="1"/>
  <c r="I237" i="1"/>
  <c r="AY117" i="1"/>
  <c r="DA121" i="1"/>
  <c r="CZ121" i="1" s="1"/>
  <c r="CN121" i="1"/>
  <c r="CH121" i="1"/>
  <c r="CE121" i="1"/>
  <c r="BQ121" i="1"/>
  <c r="BN121" i="1"/>
  <c r="BH121" i="1"/>
  <c r="BD121" i="1"/>
  <c r="AD121" i="1"/>
  <c r="U121" i="1"/>
  <c r="P121" i="1"/>
  <c r="I121" i="1"/>
  <c r="U19" i="1"/>
  <c r="DA210" i="1"/>
  <c r="CZ210" i="1" s="1"/>
  <c r="CN210" i="1"/>
  <c r="CH210" i="1"/>
  <c r="CE210" i="1"/>
  <c r="BQ210" i="1"/>
  <c r="BN210" i="1"/>
  <c r="BH210" i="1"/>
  <c r="BD210" i="1"/>
  <c r="AD210" i="1"/>
  <c r="U210" i="1"/>
  <c r="P210" i="1"/>
  <c r="I210" i="1"/>
  <c r="AD89" i="1"/>
  <c r="AD88" i="1"/>
  <c r="AD67" i="1"/>
  <c r="CT233" i="1" l="1"/>
  <c r="CQ233" i="1"/>
  <c r="CR253" i="1"/>
  <c r="CV237" i="1"/>
  <c r="BB60" i="1"/>
  <c r="BB233" i="1"/>
  <c r="BB227" i="1" s="1"/>
  <c r="BA60" i="1"/>
  <c r="AZ60" i="1"/>
  <c r="BA243" i="1"/>
  <c r="CD273" i="1"/>
  <c r="CC273" i="1" s="1"/>
  <c r="CS243" i="1"/>
  <c r="BC273" i="1"/>
  <c r="F308" i="1"/>
  <c r="BC308" i="1"/>
  <c r="F269" i="1"/>
  <c r="BB186" i="1"/>
  <c r="CD241" i="1"/>
  <c r="CD307" i="1"/>
  <c r="F273" i="1"/>
  <c r="BB146" i="1"/>
  <c r="BA169" i="1"/>
  <c r="BA146" i="1"/>
  <c r="AZ263" i="1"/>
  <c r="BB17" i="1"/>
  <c r="BA125" i="1"/>
  <c r="CD269" i="1"/>
  <c r="AZ169" i="1"/>
  <c r="AZ125" i="1"/>
  <c r="BA186" i="1"/>
  <c r="AZ186" i="1"/>
  <c r="CD308" i="1"/>
  <c r="AZ146" i="1"/>
  <c r="BB169" i="1"/>
  <c r="BC269" i="1"/>
  <c r="BB63" i="1"/>
  <c r="BB49" i="1"/>
  <c r="BA17" i="1"/>
  <c r="BB125" i="1"/>
  <c r="F305" i="1"/>
  <c r="BA63" i="1"/>
  <c r="CD306" i="1"/>
  <c r="CD305" i="1"/>
  <c r="BA49" i="1"/>
  <c r="AZ63" i="1"/>
  <c r="AZ49" i="1"/>
  <c r="AZ17" i="1"/>
  <c r="BC306" i="1"/>
  <c r="BC305" i="1"/>
  <c r="F307" i="1"/>
  <c r="BC241" i="1"/>
  <c r="BC307" i="1"/>
  <c r="F241" i="1"/>
  <c r="F306" i="1"/>
  <c r="CD237" i="1"/>
  <c r="BC237" i="1"/>
  <c r="CD210" i="1"/>
  <c r="CD121" i="1"/>
  <c r="F237" i="1"/>
  <c r="BC210" i="1"/>
  <c r="F210" i="1"/>
  <c r="BC121" i="1"/>
  <c r="F121" i="1"/>
  <c r="BB322" i="1" l="1"/>
  <c r="CC305" i="1"/>
  <c r="CS233" i="1"/>
  <c r="CC306" i="1"/>
  <c r="CC210" i="1"/>
  <c r="CC241" i="1"/>
  <c r="CR243" i="1"/>
  <c r="CC237" i="1"/>
  <c r="CC121" i="1"/>
  <c r="AZ243" i="1"/>
  <c r="BA233" i="1"/>
  <c r="CT227" i="1"/>
  <c r="CT322" i="1" s="1"/>
  <c r="CC308" i="1"/>
  <c r="CC269" i="1"/>
  <c r="CC307" i="1"/>
  <c r="E308" i="1"/>
  <c r="E269" i="1"/>
  <c r="E273" i="1"/>
  <c r="E305" i="1"/>
  <c r="E121" i="1"/>
  <c r="E306" i="1"/>
  <c r="E210" i="1"/>
  <c r="E237" i="1"/>
  <c r="E241" i="1"/>
  <c r="E307" i="1"/>
  <c r="BA227" i="1" l="1"/>
  <c r="BA322" i="1" s="1"/>
  <c r="CR233" i="1"/>
  <c r="CS227" i="1"/>
  <c r="CS322" i="1" s="1"/>
  <c r="D121" i="1"/>
  <c r="AZ233" i="1"/>
  <c r="D269" i="1"/>
  <c r="D308" i="1"/>
  <c r="D307" i="1"/>
  <c r="D241" i="1"/>
  <c r="D237" i="1"/>
  <c r="D305" i="1"/>
  <c r="D210" i="1"/>
  <c r="D306" i="1"/>
  <c r="D273" i="1"/>
  <c r="K208" i="1"/>
  <c r="CR227" i="1" l="1"/>
  <c r="CR322" i="1" s="1"/>
  <c r="AZ227" i="1"/>
  <c r="AZ322" i="1" s="1"/>
  <c r="R162" i="1"/>
  <c r="O148" i="1"/>
  <c r="O133" i="1" l="1"/>
  <c r="BT133" i="1"/>
  <c r="AM133" i="1"/>
  <c r="Y133" i="1"/>
  <c r="W133" i="1"/>
  <c r="L133" i="1"/>
  <c r="DA134" i="1"/>
  <c r="CZ134" i="1" s="1"/>
  <c r="CN134" i="1"/>
  <c r="CH134" i="1"/>
  <c r="CE134" i="1"/>
  <c r="BN134" i="1"/>
  <c r="BH134" i="1"/>
  <c r="BD134" i="1"/>
  <c r="AD134" i="1"/>
  <c r="P134" i="1"/>
  <c r="CX133" i="1"/>
  <c r="CW133" i="1"/>
  <c r="CV133" i="1"/>
  <c r="CU133" i="1"/>
  <c r="CQ133" i="1"/>
  <c r="CP133" i="1"/>
  <c r="CO133" i="1"/>
  <c r="CM133" i="1"/>
  <c r="CL133" i="1"/>
  <c r="CK133" i="1"/>
  <c r="CJ133" i="1"/>
  <c r="CI133" i="1"/>
  <c r="CG133" i="1"/>
  <c r="CF133" i="1"/>
  <c r="CB133" i="1"/>
  <c r="CA133" i="1"/>
  <c r="BZ133" i="1"/>
  <c r="BY133" i="1"/>
  <c r="BX133" i="1"/>
  <c r="BW133" i="1"/>
  <c r="BV133" i="1"/>
  <c r="BU133" i="1"/>
  <c r="BS133" i="1"/>
  <c r="BR133" i="1"/>
  <c r="BP133" i="1"/>
  <c r="BO133" i="1"/>
  <c r="BM133" i="1"/>
  <c r="BL133" i="1"/>
  <c r="BK133" i="1"/>
  <c r="BJ133" i="1"/>
  <c r="BI133" i="1"/>
  <c r="BG133" i="1"/>
  <c r="BF133" i="1"/>
  <c r="BE133" i="1"/>
  <c r="AY133" i="1"/>
  <c r="AX133" i="1"/>
  <c r="AW133" i="1"/>
  <c r="AV133" i="1"/>
  <c r="AU133" i="1"/>
  <c r="AT133" i="1"/>
  <c r="AS133" i="1"/>
  <c r="AR133" i="1"/>
  <c r="AQ133" i="1"/>
  <c r="AP133" i="1"/>
  <c r="AO133" i="1"/>
  <c r="AN133" i="1"/>
  <c r="AL133" i="1"/>
  <c r="AK133" i="1"/>
  <c r="AJ133" i="1"/>
  <c r="AI133" i="1"/>
  <c r="AH133" i="1"/>
  <c r="AG133" i="1"/>
  <c r="AF133" i="1"/>
  <c r="AE133" i="1"/>
  <c r="AC133" i="1"/>
  <c r="AB133" i="1"/>
  <c r="AA133" i="1"/>
  <c r="Z133" i="1"/>
  <c r="V133" i="1"/>
  <c r="T133" i="1"/>
  <c r="S133" i="1"/>
  <c r="R133" i="1"/>
  <c r="Q133" i="1"/>
  <c r="M133" i="1"/>
  <c r="K133" i="1"/>
  <c r="J133" i="1"/>
  <c r="G133" i="1"/>
  <c r="CD134" i="1" l="1"/>
  <c r="U134" i="1"/>
  <c r="N133" i="1"/>
  <c r="X133" i="1"/>
  <c r="BQ134" i="1"/>
  <c r="I134" i="1"/>
  <c r="H133" i="1"/>
  <c r="BC134" i="1" l="1"/>
  <c r="F134" i="1"/>
  <c r="CC134" i="1"/>
  <c r="E134" i="1" l="1"/>
  <c r="D134" i="1"/>
  <c r="Q83" i="1"/>
  <c r="CA81" i="1"/>
  <c r="CG62" i="1" l="1"/>
  <c r="CG51" i="1"/>
  <c r="CA51" i="1"/>
  <c r="AY51" i="1"/>
  <c r="AM51" i="1"/>
  <c r="CA43" i="1"/>
  <c r="AJ40" i="1"/>
  <c r="K30" i="1"/>
  <c r="K29" i="1"/>
  <c r="CI21" i="1" l="1"/>
  <c r="CI19" i="1" l="1"/>
  <c r="BJ97" i="1" l="1"/>
  <c r="BH181" i="1"/>
  <c r="BH179" i="1"/>
  <c r="BH177" i="1"/>
  <c r="BH176" i="1"/>
  <c r="BH174" i="1"/>
  <c r="BH173" i="1"/>
  <c r="BH171" i="1"/>
  <c r="BH168" i="1"/>
  <c r="BH166" i="1"/>
  <c r="BH165" i="1"/>
  <c r="BH163" i="1"/>
  <c r="BH162" i="1"/>
  <c r="BH159" i="1"/>
  <c r="BH158" i="1"/>
  <c r="BH157" i="1"/>
  <c r="BH156" i="1"/>
  <c r="BH155" i="1"/>
  <c r="BH153" i="1"/>
  <c r="BH152" i="1"/>
  <c r="BH150" i="1"/>
  <c r="BH149" i="1"/>
  <c r="BH148" i="1"/>
  <c r="BH144" i="1"/>
  <c r="BH143" i="1"/>
  <c r="BH141" i="1"/>
  <c r="BH139" i="1"/>
  <c r="BH137" i="1"/>
  <c r="BH136" i="1"/>
  <c r="BH135" i="1"/>
  <c r="BH132" i="1"/>
  <c r="BH131" i="1"/>
  <c r="BH129" i="1"/>
  <c r="BH128" i="1"/>
  <c r="BH127" i="1"/>
  <c r="BH124" i="1"/>
  <c r="BH122" i="1"/>
  <c r="BH120" i="1"/>
  <c r="BH118" i="1"/>
  <c r="BH114" i="1"/>
  <c r="BH113" i="1"/>
  <c r="BH110" i="1"/>
  <c r="BH108" i="1"/>
  <c r="BH106" i="1"/>
  <c r="BH103" i="1"/>
  <c r="BH100" i="1"/>
  <c r="BH95" i="1"/>
  <c r="BH92" i="1"/>
  <c r="BH91" i="1"/>
  <c r="BH89" i="1"/>
  <c r="BH88" i="1"/>
  <c r="BH85" i="1"/>
  <c r="BH83" i="1"/>
  <c r="BH81" i="1"/>
  <c r="BH79" i="1"/>
  <c r="BH77" i="1"/>
  <c r="BH75" i="1"/>
  <c r="BH73" i="1"/>
  <c r="BH72" i="1"/>
  <c r="BH70" i="1"/>
  <c r="BH67" i="1"/>
  <c r="BH65" i="1"/>
  <c r="BH62" i="1"/>
  <c r="BH59" i="1"/>
  <c r="BH57" i="1"/>
  <c r="BH55" i="1"/>
  <c r="BH53" i="1"/>
  <c r="BH51" i="1"/>
  <c r="BH46" i="1"/>
  <c r="BH44" i="1"/>
  <c r="BH43" i="1"/>
  <c r="BH42" i="1"/>
  <c r="BH41" i="1"/>
  <c r="BH39" i="1"/>
  <c r="BH37" i="1"/>
  <c r="BH36" i="1"/>
  <c r="BH35" i="1"/>
  <c r="BH34" i="1"/>
  <c r="BH33" i="1"/>
  <c r="BH32" i="1"/>
  <c r="BH31" i="1"/>
  <c r="BH30" i="1"/>
  <c r="BH29" i="1"/>
  <c r="BH28" i="1"/>
  <c r="BH27" i="1"/>
  <c r="BH26" i="1"/>
  <c r="BH25" i="1"/>
  <c r="BH23" i="1"/>
  <c r="BH22" i="1"/>
  <c r="BH21" i="1"/>
  <c r="BH19" i="1"/>
  <c r="BJ320" i="1"/>
  <c r="BJ318" i="1"/>
  <c r="BJ316" i="1"/>
  <c r="BJ314" i="1"/>
  <c r="BJ311" i="1"/>
  <c r="BJ309" i="1"/>
  <c r="BJ294" i="1"/>
  <c r="BJ291" i="1"/>
  <c r="BJ289" i="1"/>
  <c r="BJ268" i="1"/>
  <c r="BJ243" i="1"/>
  <c r="BJ230" i="1"/>
  <c r="BJ228" i="1"/>
  <c r="BJ225" i="1"/>
  <c r="BJ201" i="1"/>
  <c r="BJ199" i="1"/>
  <c r="BJ197" i="1"/>
  <c r="BJ195" i="1"/>
  <c r="BJ193" i="1"/>
  <c r="BJ189" i="1"/>
  <c r="BJ178" i="1"/>
  <c r="BJ175" i="1"/>
  <c r="BJ172" i="1"/>
  <c r="BJ170" i="1"/>
  <c r="BJ167" i="1"/>
  <c r="BJ164" i="1"/>
  <c r="BJ161" i="1"/>
  <c r="BJ154" i="1"/>
  <c r="BJ151" i="1"/>
  <c r="BJ147" i="1"/>
  <c r="BJ142" i="1"/>
  <c r="BJ140" i="1"/>
  <c r="BJ138" i="1"/>
  <c r="BJ130" i="1"/>
  <c r="BJ126" i="1"/>
  <c r="BJ123" i="1"/>
  <c r="BJ119" i="1"/>
  <c r="BJ117" i="1"/>
  <c r="BJ109" i="1"/>
  <c r="BJ107" i="1"/>
  <c r="BJ105" i="1"/>
  <c r="BJ102" i="1"/>
  <c r="BJ99" i="1"/>
  <c r="BJ90" i="1"/>
  <c r="BJ87" i="1"/>
  <c r="BJ84" i="1"/>
  <c r="BJ82" i="1"/>
  <c r="BJ80" i="1"/>
  <c r="BJ78" i="1"/>
  <c r="BJ76" i="1"/>
  <c r="BJ74" i="1"/>
  <c r="BJ71" i="1"/>
  <c r="BJ69" i="1"/>
  <c r="BJ66" i="1"/>
  <c r="BJ64" i="1"/>
  <c r="BJ61" i="1"/>
  <c r="BJ58" i="1"/>
  <c r="BJ56" i="1"/>
  <c r="BJ54" i="1"/>
  <c r="BJ52" i="1"/>
  <c r="BJ50" i="1"/>
  <c r="BJ47" i="1"/>
  <c r="BJ45" i="1"/>
  <c r="BJ40" i="1"/>
  <c r="BJ38" i="1"/>
  <c r="BJ24" i="1"/>
  <c r="BJ20" i="1"/>
  <c r="BJ18" i="1"/>
  <c r="CX96" i="1"/>
  <c r="CW96" i="1"/>
  <c r="CV96" i="1"/>
  <c r="CQ96" i="1"/>
  <c r="AX96" i="1"/>
  <c r="AT96" i="1"/>
  <c r="AS96" i="1"/>
  <c r="DA98" i="1"/>
  <c r="CZ98" i="1" s="1"/>
  <c r="CZ97" i="1" s="1"/>
  <c r="CN98" i="1"/>
  <c r="CH98" i="1"/>
  <c r="CE98" i="1"/>
  <c r="BQ98" i="1"/>
  <c r="BN98" i="1"/>
  <c r="BE97" i="1"/>
  <c r="AD98" i="1"/>
  <c r="U98" i="1"/>
  <c r="P98" i="1"/>
  <c r="I98" i="1"/>
  <c r="DC97" i="1"/>
  <c r="DB97" i="1"/>
  <c r="CU97" i="1"/>
  <c r="CP97" i="1"/>
  <c r="CO97" i="1"/>
  <c r="CM97" i="1"/>
  <c r="CL97" i="1"/>
  <c r="CK97" i="1"/>
  <c r="CJ97" i="1"/>
  <c r="CI97" i="1"/>
  <c r="CG97" i="1"/>
  <c r="CF97" i="1"/>
  <c r="CB97" i="1"/>
  <c r="CA97" i="1"/>
  <c r="BZ97" i="1"/>
  <c r="BY97" i="1"/>
  <c r="BX97" i="1"/>
  <c r="BW97" i="1"/>
  <c r="BV97" i="1"/>
  <c r="BU97" i="1"/>
  <c r="BT97" i="1"/>
  <c r="BS97" i="1"/>
  <c r="BR97" i="1"/>
  <c r="BP97" i="1"/>
  <c r="BO97" i="1"/>
  <c r="BM97" i="1"/>
  <c r="BL97" i="1"/>
  <c r="BK97" i="1"/>
  <c r="BI97" i="1"/>
  <c r="BG97" i="1"/>
  <c r="BF97" i="1"/>
  <c r="AY97" i="1"/>
  <c r="AW97" i="1"/>
  <c r="AV97" i="1"/>
  <c r="AU97" i="1"/>
  <c r="AR97" i="1"/>
  <c r="AQ97" i="1"/>
  <c r="AP97" i="1"/>
  <c r="AO97" i="1"/>
  <c r="AN97" i="1"/>
  <c r="AM97" i="1"/>
  <c r="AL97" i="1"/>
  <c r="AK97" i="1"/>
  <c r="AJ97" i="1"/>
  <c r="AI97" i="1"/>
  <c r="AH97" i="1"/>
  <c r="AG97" i="1"/>
  <c r="AF97" i="1"/>
  <c r="AE97" i="1"/>
  <c r="AC97" i="1"/>
  <c r="AB97" i="1"/>
  <c r="AA97" i="1"/>
  <c r="Z97" i="1"/>
  <c r="Y97" i="1"/>
  <c r="X97" i="1"/>
  <c r="W97" i="1"/>
  <c r="V97" i="1"/>
  <c r="T97" i="1"/>
  <c r="S97" i="1"/>
  <c r="R97" i="1"/>
  <c r="Q97" i="1"/>
  <c r="O97" i="1"/>
  <c r="N97" i="1"/>
  <c r="M97" i="1"/>
  <c r="L97" i="1"/>
  <c r="K97" i="1"/>
  <c r="J97" i="1"/>
  <c r="I97" i="1"/>
  <c r="H97" i="1"/>
  <c r="G97" i="1"/>
  <c r="BJ296" i="1" l="1"/>
  <c r="U97" i="1"/>
  <c r="BJ233" i="1"/>
  <c r="BJ101" i="1"/>
  <c r="CE97" i="1"/>
  <c r="BN97" i="1"/>
  <c r="BQ97" i="1"/>
  <c r="BJ60" i="1"/>
  <c r="CH97" i="1"/>
  <c r="BJ224" i="1"/>
  <c r="BH180" i="1"/>
  <c r="P97" i="1"/>
  <c r="CN97" i="1"/>
  <c r="BJ293" i="1"/>
  <c r="BH112" i="1"/>
  <c r="BJ86" i="1"/>
  <c r="BJ111" i="1"/>
  <c r="BH133" i="1"/>
  <c r="F98" i="1"/>
  <c r="BJ146" i="1"/>
  <c r="BJ63" i="1"/>
  <c r="BJ169" i="1"/>
  <c r="BJ160" i="1"/>
  <c r="BJ17" i="1"/>
  <c r="DA97" i="1"/>
  <c r="CD98" i="1"/>
  <c r="BJ227" i="1"/>
  <c r="AD97" i="1"/>
  <c r="BJ186" i="1"/>
  <c r="BJ125" i="1"/>
  <c r="BJ104" i="1"/>
  <c r="BJ68" i="1"/>
  <c r="BJ49" i="1"/>
  <c r="BJ96" i="1"/>
  <c r="BH98" i="1"/>
  <c r="BD98" i="1"/>
  <c r="BJ322" i="1" l="1"/>
  <c r="BH97" i="1"/>
  <c r="F97" i="1"/>
  <c r="CD97" i="1"/>
  <c r="CC98" i="1"/>
  <c r="BC98" i="1"/>
  <c r="BD97" i="1"/>
  <c r="CC97" i="1" l="1"/>
  <c r="BC97" i="1"/>
  <c r="E98" i="1"/>
  <c r="BL312" i="1"/>
  <c r="E97" i="1" l="1"/>
  <c r="D98" i="1"/>
  <c r="DC311" i="1"/>
  <c r="DB311" i="1"/>
  <c r="CX311" i="1"/>
  <c r="CX296" i="1" s="1"/>
  <c r="CW311" i="1"/>
  <c r="CW296" i="1" s="1"/>
  <c r="CV311" i="1"/>
  <c r="CV296" i="1" s="1"/>
  <c r="CU311" i="1"/>
  <c r="CQ311" i="1"/>
  <c r="CP311" i="1"/>
  <c r="CO311" i="1"/>
  <c r="CM311" i="1"/>
  <c r="CL311" i="1"/>
  <c r="CK311" i="1"/>
  <c r="CJ311" i="1"/>
  <c r="CI311" i="1"/>
  <c r="CG311" i="1"/>
  <c r="CF311" i="1"/>
  <c r="CB311" i="1"/>
  <c r="CA311" i="1"/>
  <c r="BZ311" i="1"/>
  <c r="BY311" i="1"/>
  <c r="BX311" i="1"/>
  <c r="BW311" i="1"/>
  <c r="BV311" i="1"/>
  <c r="BU311" i="1"/>
  <c r="BT311" i="1"/>
  <c r="BS311" i="1"/>
  <c r="BR311" i="1"/>
  <c r="BP311" i="1"/>
  <c r="BO311" i="1"/>
  <c r="BM311" i="1"/>
  <c r="BL311" i="1"/>
  <c r="BK311" i="1"/>
  <c r="BI311" i="1"/>
  <c r="BG311" i="1"/>
  <c r="BF311" i="1"/>
  <c r="BE311" i="1"/>
  <c r="AY311" i="1"/>
  <c r="AX311" i="1"/>
  <c r="AX296" i="1" s="1"/>
  <c r="AW311" i="1"/>
  <c r="AV311" i="1"/>
  <c r="AU311" i="1"/>
  <c r="AT311" i="1"/>
  <c r="AS311" i="1"/>
  <c r="AR311" i="1"/>
  <c r="AQ311" i="1"/>
  <c r="AP311" i="1"/>
  <c r="AO311" i="1"/>
  <c r="AN311" i="1"/>
  <c r="AM311" i="1"/>
  <c r="AL311" i="1"/>
  <c r="AK311" i="1"/>
  <c r="AJ311" i="1"/>
  <c r="AI311" i="1"/>
  <c r="AH311" i="1"/>
  <c r="AG311" i="1"/>
  <c r="AF311" i="1"/>
  <c r="AE311" i="1"/>
  <c r="AC311" i="1"/>
  <c r="AB311" i="1"/>
  <c r="AA311" i="1"/>
  <c r="Z311" i="1"/>
  <c r="Y311" i="1"/>
  <c r="X311" i="1"/>
  <c r="W311" i="1"/>
  <c r="V311" i="1"/>
  <c r="T311" i="1"/>
  <c r="S311" i="1"/>
  <c r="R311" i="1"/>
  <c r="Q311" i="1"/>
  <c r="O311" i="1"/>
  <c r="N311" i="1"/>
  <c r="M311" i="1"/>
  <c r="L311" i="1"/>
  <c r="K311" i="1"/>
  <c r="J311" i="1"/>
  <c r="H311" i="1"/>
  <c r="G311" i="1"/>
  <c r="DA313" i="1"/>
  <c r="CZ313" i="1" s="1"/>
  <c r="CN313" i="1"/>
  <c r="CH313" i="1"/>
  <c r="CE313" i="1"/>
  <c r="BQ313" i="1"/>
  <c r="BN313" i="1"/>
  <c r="BH313" i="1"/>
  <c r="BD313" i="1"/>
  <c r="AD313" i="1"/>
  <c r="U313" i="1"/>
  <c r="P313" i="1"/>
  <c r="I313" i="1"/>
  <c r="D97" i="1" l="1"/>
  <c r="F313" i="1"/>
  <c r="CD313" i="1"/>
  <c r="BC313" i="1"/>
  <c r="CC313" i="1" l="1"/>
  <c r="E313" i="1"/>
  <c r="D313" i="1" l="1"/>
  <c r="AY318" i="1" l="1"/>
  <c r="CI315" i="1"/>
  <c r="BH310" i="1" l="1"/>
  <c r="DA299" i="1"/>
  <c r="CZ299" i="1" s="1"/>
  <c r="CN299" i="1"/>
  <c r="CH299" i="1"/>
  <c r="CE299" i="1"/>
  <c r="BQ299" i="1"/>
  <c r="BN299" i="1"/>
  <c r="BH299" i="1"/>
  <c r="BD299" i="1"/>
  <c r="AD299" i="1"/>
  <c r="U299" i="1"/>
  <c r="P299" i="1"/>
  <c r="I299" i="1"/>
  <c r="BH297" i="1" l="1"/>
  <c r="I297" i="1"/>
  <c r="BQ297" i="1"/>
  <c r="CE297" i="1"/>
  <c r="CN297" i="1"/>
  <c r="CH297" i="1"/>
  <c r="AD297" i="1"/>
  <c r="BD297" i="1"/>
  <c r="U297" i="1"/>
  <c r="BN297" i="1"/>
  <c r="P297" i="1"/>
  <c r="F299" i="1"/>
  <c r="BC299" i="1"/>
  <c r="CD299" i="1"/>
  <c r="CD297" i="1" l="1"/>
  <c r="F297" i="1"/>
  <c r="BC297" i="1"/>
  <c r="CC299" i="1"/>
  <c r="E299" i="1"/>
  <c r="DA280" i="1"/>
  <c r="CZ280" i="1" s="1"/>
  <c r="CN280" i="1"/>
  <c r="CH280" i="1"/>
  <c r="CE280" i="1"/>
  <c r="BQ280" i="1"/>
  <c r="BN280" i="1"/>
  <c r="BH280" i="1"/>
  <c r="BD280" i="1"/>
  <c r="AD280" i="1"/>
  <c r="U280" i="1"/>
  <c r="P280" i="1"/>
  <c r="I280" i="1"/>
  <c r="E297" i="1" l="1"/>
  <c r="CC297" i="1"/>
  <c r="F280" i="1"/>
  <c r="D299" i="1"/>
  <c r="CD280" i="1"/>
  <c r="BC280" i="1"/>
  <c r="CU268" i="1"/>
  <c r="D297" i="1" l="1"/>
  <c r="CC280" i="1"/>
  <c r="E280" i="1"/>
  <c r="D280" i="1" l="1"/>
  <c r="CV224" i="1" l="1"/>
  <c r="CW224" i="1"/>
  <c r="CX224" i="1"/>
  <c r="CV186" i="1"/>
  <c r="CW186" i="1"/>
  <c r="CX186" i="1"/>
  <c r="CV169" i="1"/>
  <c r="CW169" i="1"/>
  <c r="CX169" i="1"/>
  <c r="CV160" i="1"/>
  <c r="CW160" i="1"/>
  <c r="CX160" i="1"/>
  <c r="CV146" i="1"/>
  <c r="CW146" i="1"/>
  <c r="CX146" i="1"/>
  <c r="CV125" i="1"/>
  <c r="CW125" i="1"/>
  <c r="CX125" i="1"/>
  <c r="CV111" i="1"/>
  <c r="CW111" i="1"/>
  <c r="CX111" i="1"/>
  <c r="CV104" i="1"/>
  <c r="CW104" i="1"/>
  <c r="CX104" i="1"/>
  <c r="CV101" i="1"/>
  <c r="CW101" i="1"/>
  <c r="CX101" i="1"/>
  <c r="CV86" i="1"/>
  <c r="CW86" i="1"/>
  <c r="CX86" i="1"/>
  <c r="CV68" i="1"/>
  <c r="CW68" i="1"/>
  <c r="CX68" i="1"/>
  <c r="CV63" i="1"/>
  <c r="CW63" i="1"/>
  <c r="CX63" i="1"/>
  <c r="CV60" i="1"/>
  <c r="CW60" i="1"/>
  <c r="CX60" i="1"/>
  <c r="CV49" i="1"/>
  <c r="CW49" i="1"/>
  <c r="CX49" i="1"/>
  <c r="CV17" i="1"/>
  <c r="CW17" i="1"/>
  <c r="CX17" i="1"/>
  <c r="CX233" i="1"/>
  <c r="CX227" i="1" l="1"/>
  <c r="CX322" i="1" s="1"/>
  <c r="CW233" i="1"/>
  <c r="DB18" i="1"/>
  <c r="DC18" i="1"/>
  <c r="DA19" i="1"/>
  <c r="DA18" i="1" s="1"/>
  <c r="DB20" i="1"/>
  <c r="DC20" i="1"/>
  <c r="DA21" i="1"/>
  <c r="DA22" i="1"/>
  <c r="CZ22" i="1" s="1"/>
  <c r="DA23" i="1"/>
  <c r="CZ23" i="1" s="1"/>
  <c r="DB24" i="1"/>
  <c r="DC24" i="1"/>
  <c r="DA25" i="1"/>
  <c r="CZ25" i="1" s="1"/>
  <c r="DA26" i="1"/>
  <c r="CZ26" i="1" s="1"/>
  <c r="DA27" i="1"/>
  <c r="CZ27" i="1" s="1"/>
  <c r="DA28" i="1"/>
  <c r="CZ28" i="1" s="1"/>
  <c r="DA29" i="1"/>
  <c r="CZ29" i="1" s="1"/>
  <c r="DA30" i="1"/>
  <c r="CZ30" i="1" s="1"/>
  <c r="DA31" i="1"/>
  <c r="CZ31" i="1" s="1"/>
  <c r="DA32" i="1"/>
  <c r="CZ32" i="1" s="1"/>
  <c r="DA33" i="1"/>
  <c r="CZ33" i="1" s="1"/>
  <c r="DA34" i="1"/>
  <c r="CZ34" i="1" s="1"/>
  <c r="DA35" i="1"/>
  <c r="CZ35" i="1" s="1"/>
  <c r="DA36" i="1"/>
  <c r="CZ36" i="1" s="1"/>
  <c r="DA37" i="1"/>
  <c r="CZ37" i="1" s="1"/>
  <c r="DB38" i="1"/>
  <c r="DC38" i="1"/>
  <c r="DA39" i="1"/>
  <c r="DA38" i="1" s="1"/>
  <c r="DB40" i="1"/>
  <c r="DC40" i="1"/>
  <c r="DA41" i="1"/>
  <c r="DA42" i="1"/>
  <c r="CZ42" i="1" s="1"/>
  <c r="DA43" i="1"/>
  <c r="CZ43" i="1" s="1"/>
  <c r="DA44" i="1"/>
  <c r="CZ44" i="1" s="1"/>
  <c r="DB45" i="1"/>
  <c r="DC45" i="1"/>
  <c r="DA46" i="1"/>
  <c r="DA45" i="1" s="1"/>
  <c r="DB47" i="1"/>
  <c r="DC47" i="1"/>
  <c r="DA48" i="1"/>
  <c r="DA47" i="1" s="1"/>
  <c r="DB50" i="1"/>
  <c r="DC50" i="1"/>
  <c r="DA51" i="1"/>
  <c r="CZ51" i="1" s="1"/>
  <c r="CZ50" i="1" s="1"/>
  <c r="DB52" i="1"/>
  <c r="DC52" i="1"/>
  <c r="DA53" i="1"/>
  <c r="DA52" i="1" s="1"/>
  <c r="DB54" i="1"/>
  <c r="DC54" i="1"/>
  <c r="DA55" i="1"/>
  <c r="DA54" i="1" s="1"/>
  <c r="DB56" i="1"/>
  <c r="DC56" i="1"/>
  <c r="DA57" i="1"/>
  <c r="CZ57" i="1" s="1"/>
  <c r="CZ56" i="1" s="1"/>
  <c r="DB58" i="1"/>
  <c r="DC58" i="1"/>
  <c r="DA59" i="1"/>
  <c r="CZ59" i="1" s="1"/>
  <c r="CZ58" i="1" s="1"/>
  <c r="DB61" i="1"/>
  <c r="DB60" i="1" s="1"/>
  <c r="DC61" i="1"/>
  <c r="DC60" i="1" s="1"/>
  <c r="DA62" i="1"/>
  <c r="CZ62" i="1" s="1"/>
  <c r="CZ61" i="1" s="1"/>
  <c r="CZ60" i="1" s="1"/>
  <c r="DB64" i="1"/>
  <c r="DC64" i="1"/>
  <c r="DA65" i="1"/>
  <c r="DA64" i="1" s="1"/>
  <c r="DB66" i="1"/>
  <c r="DC66" i="1"/>
  <c r="DA67" i="1"/>
  <c r="CZ67" i="1" s="1"/>
  <c r="CZ66" i="1" s="1"/>
  <c r="DB69" i="1"/>
  <c r="DC69" i="1"/>
  <c r="DA70" i="1"/>
  <c r="DA69" i="1" s="1"/>
  <c r="DB71" i="1"/>
  <c r="DC71" i="1"/>
  <c r="DA72" i="1"/>
  <c r="CZ72" i="1" s="1"/>
  <c r="DA73" i="1"/>
  <c r="CZ73" i="1" s="1"/>
  <c r="DB74" i="1"/>
  <c r="DC74" i="1"/>
  <c r="DA75" i="1"/>
  <c r="CZ75" i="1" s="1"/>
  <c r="CZ74" i="1" s="1"/>
  <c r="DB76" i="1"/>
  <c r="DC76" i="1"/>
  <c r="DA77" i="1"/>
  <c r="CZ77" i="1" s="1"/>
  <c r="CZ76" i="1" s="1"/>
  <c r="DB78" i="1"/>
  <c r="DC78" i="1"/>
  <c r="DA79" i="1"/>
  <c r="DA78" i="1" s="1"/>
  <c r="DB80" i="1"/>
  <c r="DC80" i="1"/>
  <c r="DA81" i="1"/>
  <c r="DA80" i="1" s="1"/>
  <c r="DB82" i="1"/>
  <c r="DC82" i="1"/>
  <c r="DA83" i="1"/>
  <c r="CZ83" i="1" s="1"/>
  <c r="CZ82" i="1" s="1"/>
  <c r="DB84" i="1"/>
  <c r="DC84" i="1"/>
  <c r="DA85" i="1"/>
  <c r="CZ85" i="1" s="1"/>
  <c r="CZ84" i="1" s="1"/>
  <c r="DB87" i="1"/>
  <c r="DC87" i="1"/>
  <c r="DA88" i="1"/>
  <c r="CZ88" i="1" s="1"/>
  <c r="DA89" i="1"/>
  <c r="CZ89" i="1" s="1"/>
  <c r="DB90" i="1"/>
  <c r="DC90" i="1"/>
  <c r="DA91" i="1"/>
  <c r="CZ91" i="1" s="1"/>
  <c r="DA92" i="1"/>
  <c r="CZ92" i="1" s="1"/>
  <c r="DA93" i="1"/>
  <c r="CZ93" i="1" s="1"/>
  <c r="D93" i="1" s="1"/>
  <c r="DA94" i="1"/>
  <c r="CZ94" i="1" s="1"/>
  <c r="D94" i="1" s="1"/>
  <c r="DA95" i="1"/>
  <c r="CZ95" i="1" s="1"/>
  <c r="DB99" i="1"/>
  <c r="DB96" i="1" s="1"/>
  <c r="DC99" i="1"/>
  <c r="DC96" i="1" s="1"/>
  <c r="DA100" i="1"/>
  <c r="CZ100" i="1" s="1"/>
  <c r="CZ99" i="1" s="1"/>
  <c r="CZ96" i="1" s="1"/>
  <c r="DB102" i="1"/>
  <c r="DB101" i="1" s="1"/>
  <c r="DC102" i="1"/>
  <c r="DC101" i="1" s="1"/>
  <c r="DA103" i="1"/>
  <c r="CZ103" i="1" s="1"/>
  <c r="CZ102" i="1" s="1"/>
  <c r="CZ101" i="1" s="1"/>
  <c r="DB105" i="1"/>
  <c r="DC105" i="1"/>
  <c r="DA106" i="1"/>
  <c r="DA105" i="1" s="1"/>
  <c r="DB107" i="1"/>
  <c r="DC107" i="1"/>
  <c r="DA108" i="1"/>
  <c r="CZ108" i="1" s="1"/>
  <c r="CZ107" i="1" s="1"/>
  <c r="DB109" i="1"/>
  <c r="DC109" i="1"/>
  <c r="DA110" i="1"/>
  <c r="CZ110" i="1" s="1"/>
  <c r="CZ109" i="1" s="1"/>
  <c r="DB112" i="1"/>
  <c r="DC112" i="1"/>
  <c r="DA113" i="1"/>
  <c r="CZ113" i="1" s="1"/>
  <c r="DA114" i="1"/>
  <c r="CZ114" i="1" s="1"/>
  <c r="DB117" i="1"/>
  <c r="DC117" i="1"/>
  <c r="DA118" i="1"/>
  <c r="CZ118" i="1" s="1"/>
  <c r="CZ117" i="1" s="1"/>
  <c r="DB119" i="1"/>
  <c r="DC119" i="1"/>
  <c r="DA120" i="1"/>
  <c r="CZ120" i="1" s="1"/>
  <c r="DA122" i="1"/>
  <c r="CZ122" i="1" s="1"/>
  <c r="DB123" i="1"/>
  <c r="DC123" i="1"/>
  <c r="DA124" i="1"/>
  <c r="CZ124" i="1" s="1"/>
  <c r="CZ123" i="1" s="1"/>
  <c r="DB126" i="1"/>
  <c r="DC126" i="1"/>
  <c r="DA127" i="1"/>
  <c r="CZ127" i="1" s="1"/>
  <c r="DA128" i="1"/>
  <c r="CZ128" i="1" s="1"/>
  <c r="DA129" i="1"/>
  <c r="CZ129" i="1" s="1"/>
  <c r="DB130" i="1"/>
  <c r="DC130" i="1"/>
  <c r="DA131" i="1"/>
  <c r="CZ131" i="1" s="1"/>
  <c r="DA132" i="1"/>
  <c r="CZ132" i="1" s="1"/>
  <c r="DB133" i="1"/>
  <c r="DC133" i="1"/>
  <c r="DA135" i="1"/>
  <c r="DA136" i="1"/>
  <c r="CZ136" i="1" s="1"/>
  <c r="DA137" i="1"/>
  <c r="CZ137" i="1" s="1"/>
  <c r="DB138" i="1"/>
  <c r="DC138" i="1"/>
  <c r="DA139" i="1"/>
  <c r="CZ139" i="1" s="1"/>
  <c r="CZ138" i="1" s="1"/>
  <c r="DB140" i="1"/>
  <c r="DC140" i="1"/>
  <c r="DA141" i="1"/>
  <c r="DA140" i="1" s="1"/>
  <c r="DB142" i="1"/>
  <c r="DC142" i="1"/>
  <c r="DA143" i="1"/>
  <c r="DA144" i="1"/>
  <c r="CZ144" i="1" s="1"/>
  <c r="DA145" i="1"/>
  <c r="CZ145" i="1" s="1"/>
  <c r="DB147" i="1"/>
  <c r="DC147" i="1"/>
  <c r="DA149" i="1"/>
  <c r="CZ149" i="1" s="1"/>
  <c r="DA148" i="1"/>
  <c r="CZ148" i="1" s="1"/>
  <c r="DA150" i="1"/>
  <c r="CZ150" i="1" s="1"/>
  <c r="DB151" i="1"/>
  <c r="DC151" i="1"/>
  <c r="DA152" i="1"/>
  <c r="DA153" i="1"/>
  <c r="CZ153" i="1" s="1"/>
  <c r="DB154" i="1"/>
  <c r="DC154" i="1"/>
  <c r="DA155" i="1"/>
  <c r="DA156" i="1"/>
  <c r="CZ156" i="1" s="1"/>
  <c r="DA157" i="1"/>
  <c r="CZ157" i="1" s="1"/>
  <c r="DA158" i="1"/>
  <c r="CZ158" i="1" s="1"/>
  <c r="DA159" i="1"/>
  <c r="CZ159" i="1" s="1"/>
  <c r="DB161" i="1"/>
  <c r="DC161" i="1"/>
  <c r="DA162" i="1"/>
  <c r="CZ162" i="1" s="1"/>
  <c r="DA163" i="1"/>
  <c r="CZ163" i="1" s="1"/>
  <c r="DB164" i="1"/>
  <c r="DC164" i="1"/>
  <c r="DA165" i="1"/>
  <c r="DA166" i="1"/>
  <c r="CZ166" i="1" s="1"/>
  <c r="DB167" i="1"/>
  <c r="DC167" i="1"/>
  <c r="DA168" i="1"/>
  <c r="DA167" i="1" s="1"/>
  <c r="DB170" i="1"/>
  <c r="DC170" i="1"/>
  <c r="DA171" i="1"/>
  <c r="CZ171" i="1" s="1"/>
  <c r="CZ170" i="1" s="1"/>
  <c r="DB172" i="1"/>
  <c r="DC172" i="1"/>
  <c r="DA173" i="1"/>
  <c r="DA174" i="1"/>
  <c r="CZ174" i="1" s="1"/>
  <c r="DB175" i="1"/>
  <c r="DC175" i="1"/>
  <c r="DA176" i="1"/>
  <c r="DA177" i="1"/>
  <c r="CZ177" i="1" s="1"/>
  <c r="DB178" i="1"/>
  <c r="DC178" i="1"/>
  <c r="DA179" i="1"/>
  <c r="DA178" i="1" s="1"/>
  <c r="DB180" i="1"/>
  <c r="DC180" i="1"/>
  <c r="DA181" i="1"/>
  <c r="DA180" i="1" s="1"/>
  <c r="DA187" i="1"/>
  <c r="CZ187" i="1" s="1"/>
  <c r="DA188" i="1"/>
  <c r="CZ188" i="1" s="1"/>
  <c r="DB189" i="1"/>
  <c r="DC189" i="1"/>
  <c r="DA190" i="1"/>
  <c r="CZ190" i="1" s="1"/>
  <c r="DA191" i="1"/>
  <c r="CZ191" i="1" s="1"/>
  <c r="DA192" i="1"/>
  <c r="CZ192" i="1" s="1"/>
  <c r="DB193" i="1"/>
  <c r="DC193" i="1"/>
  <c r="DA194" i="1"/>
  <c r="DA193" i="1" s="1"/>
  <c r="DB195" i="1"/>
  <c r="DC195" i="1"/>
  <c r="DA196" i="1"/>
  <c r="CZ196" i="1" s="1"/>
  <c r="CZ195" i="1" s="1"/>
  <c r="DB197" i="1"/>
  <c r="DC197" i="1"/>
  <c r="DA198" i="1"/>
  <c r="CZ198" i="1" s="1"/>
  <c r="CZ197" i="1" s="1"/>
  <c r="DB199" i="1"/>
  <c r="DC199" i="1"/>
  <c r="DA200" i="1"/>
  <c r="DA199" i="1" s="1"/>
  <c r="DB201" i="1"/>
  <c r="DC201" i="1"/>
  <c r="DA202" i="1"/>
  <c r="DA203" i="1"/>
  <c r="CZ203" i="1" s="1"/>
  <c r="DA204" i="1"/>
  <c r="CZ204" i="1" s="1"/>
  <c r="DA206" i="1"/>
  <c r="CZ206" i="1" s="1"/>
  <c r="DA207" i="1"/>
  <c r="CZ207" i="1" s="1"/>
  <c r="DA205" i="1"/>
  <c r="CZ205" i="1" s="1"/>
  <c r="DA208" i="1"/>
  <c r="CZ208" i="1" s="1"/>
  <c r="DB209" i="1"/>
  <c r="DC209" i="1"/>
  <c r="DA211" i="1"/>
  <c r="DA212" i="1"/>
  <c r="CZ212" i="1" s="1"/>
  <c r="DA213" i="1"/>
  <c r="CZ213" i="1" s="1"/>
  <c r="DA214" i="1"/>
  <c r="CZ214" i="1" s="1"/>
  <c r="DA215" i="1"/>
  <c r="CZ215" i="1" s="1"/>
  <c r="DA216" i="1"/>
  <c r="CZ216" i="1" s="1"/>
  <c r="DA217" i="1"/>
  <c r="CZ217" i="1" s="1"/>
  <c r="DA218" i="1"/>
  <c r="CZ218" i="1" s="1"/>
  <c r="DA219" i="1"/>
  <c r="CZ219" i="1" s="1"/>
  <c r="DA220" i="1"/>
  <c r="CZ220" i="1" s="1"/>
  <c r="DB225" i="1"/>
  <c r="DB224" i="1" s="1"/>
  <c r="DC225" i="1"/>
  <c r="DC224" i="1" s="1"/>
  <c r="DA226" i="1"/>
  <c r="CZ226" i="1" s="1"/>
  <c r="DB228" i="1"/>
  <c r="DC228" i="1"/>
  <c r="DA229" i="1"/>
  <c r="DA228" i="1" s="1"/>
  <c r="DB230" i="1"/>
  <c r="DC230" i="1"/>
  <c r="DA231" i="1"/>
  <c r="DA230" i="1" s="1"/>
  <c r="DA234" i="1"/>
  <c r="CZ234" i="1" s="1"/>
  <c r="DA238" i="1"/>
  <c r="CZ238" i="1" s="1"/>
  <c r="DA239" i="1"/>
  <c r="CZ239" i="1" s="1"/>
  <c r="DA240" i="1"/>
  <c r="CZ240" i="1" s="1"/>
  <c r="DA242" i="1"/>
  <c r="CZ242" i="1" s="1"/>
  <c r="DB243" i="1"/>
  <c r="DB233" i="1" s="1"/>
  <c r="DC243" i="1"/>
  <c r="DC233" i="1" s="1"/>
  <c r="DA244" i="1"/>
  <c r="DA245" i="1"/>
  <c r="CZ245" i="1" s="1"/>
  <c r="DA246" i="1"/>
  <c r="CZ246" i="1" s="1"/>
  <c r="DA247" i="1"/>
  <c r="CZ247" i="1" s="1"/>
  <c r="DA248" i="1"/>
  <c r="CZ248" i="1" s="1"/>
  <c r="DA249" i="1"/>
  <c r="CZ249" i="1" s="1"/>
  <c r="DA250" i="1"/>
  <c r="CZ250" i="1" s="1"/>
  <c r="DA251" i="1"/>
  <c r="CZ251" i="1" s="1"/>
  <c r="DA252" i="1"/>
  <c r="CZ252" i="1" s="1"/>
  <c r="DA253" i="1"/>
  <c r="CZ253" i="1" s="1"/>
  <c r="DA254" i="1"/>
  <c r="CZ254" i="1" s="1"/>
  <c r="DA255" i="1"/>
  <c r="CZ255" i="1" s="1"/>
  <c r="DA256" i="1"/>
  <c r="CZ256" i="1" s="1"/>
  <c r="DA257" i="1"/>
  <c r="CZ257" i="1" s="1"/>
  <c r="DA258" i="1"/>
  <c r="CZ258" i="1" s="1"/>
  <c r="DA259" i="1"/>
  <c r="CZ259" i="1" s="1"/>
  <c r="DA260" i="1"/>
  <c r="CZ260" i="1" s="1"/>
  <c r="DA261" i="1"/>
  <c r="CZ261" i="1" s="1"/>
  <c r="DA262" i="1"/>
  <c r="CZ262" i="1" s="1"/>
  <c r="DA263" i="1"/>
  <c r="CZ263" i="1" s="1"/>
  <c r="DA264" i="1"/>
  <c r="CZ264" i="1" s="1"/>
  <c r="DA265" i="1"/>
  <c r="CZ265" i="1" s="1"/>
  <c r="DA266" i="1"/>
  <c r="CZ266" i="1" s="1"/>
  <c r="DA267" i="1"/>
  <c r="CZ267" i="1" s="1"/>
  <c r="DB268" i="1"/>
  <c r="DC268" i="1"/>
  <c r="DA270" i="1"/>
  <c r="CZ270" i="1" s="1"/>
  <c r="DA271" i="1"/>
  <c r="CZ271" i="1" s="1"/>
  <c r="DA272" i="1"/>
  <c r="CZ272" i="1" s="1"/>
  <c r="DA274" i="1"/>
  <c r="CZ274" i="1" s="1"/>
  <c r="DA275" i="1"/>
  <c r="CZ275" i="1" s="1"/>
  <c r="DA276" i="1"/>
  <c r="CZ276" i="1" s="1"/>
  <c r="DA277" i="1"/>
  <c r="CZ277" i="1" s="1"/>
  <c r="DA278" i="1"/>
  <c r="CZ278" i="1" s="1"/>
  <c r="DA279" i="1"/>
  <c r="CZ279" i="1" s="1"/>
  <c r="DB289" i="1"/>
  <c r="DC289" i="1"/>
  <c r="DA290" i="1"/>
  <c r="CZ290" i="1" s="1"/>
  <c r="CZ289" i="1" s="1"/>
  <c r="DB291" i="1"/>
  <c r="DC291" i="1"/>
  <c r="DA292" i="1"/>
  <c r="CZ292" i="1" s="1"/>
  <c r="CZ291" i="1" s="1"/>
  <c r="DB294" i="1"/>
  <c r="DB293" i="1" s="1"/>
  <c r="DC294" i="1"/>
  <c r="DC293" i="1" s="1"/>
  <c r="DA295" i="1"/>
  <c r="CZ295" i="1" s="1"/>
  <c r="CZ294" i="1" s="1"/>
  <c r="CZ293" i="1" s="1"/>
  <c r="DB297" i="1"/>
  <c r="DC297" i="1"/>
  <c r="DB309" i="1"/>
  <c r="DC309" i="1"/>
  <c r="DA310" i="1"/>
  <c r="CZ310" i="1" s="1"/>
  <c r="CZ309" i="1" s="1"/>
  <c r="DA312" i="1"/>
  <c r="DB314" i="1"/>
  <c r="DC314" i="1"/>
  <c r="DA315" i="1"/>
  <c r="DA314" i="1" s="1"/>
  <c r="DB316" i="1"/>
  <c r="DC316" i="1"/>
  <c r="DA317" i="1"/>
  <c r="DA316" i="1" s="1"/>
  <c r="DB318" i="1"/>
  <c r="DC318" i="1"/>
  <c r="DA319" i="1"/>
  <c r="CZ319" i="1" s="1"/>
  <c r="CZ318" i="1" s="1"/>
  <c r="DB320" i="1"/>
  <c r="DC320" i="1"/>
  <c r="DA321" i="1"/>
  <c r="DA320" i="1" s="1"/>
  <c r="DC296" i="1" l="1"/>
  <c r="DB296" i="1"/>
  <c r="CW227" i="1"/>
  <c r="CW322" i="1" s="1"/>
  <c r="CV233" i="1"/>
  <c r="CZ312" i="1"/>
  <c r="CZ311" i="1" s="1"/>
  <c r="DA311" i="1"/>
  <c r="DA151" i="1"/>
  <c r="CZ79" i="1"/>
  <c r="CZ78" i="1" s="1"/>
  <c r="CZ119" i="1"/>
  <c r="DA161" i="1"/>
  <c r="DA20" i="1"/>
  <c r="CZ87" i="1"/>
  <c r="DB63" i="1"/>
  <c r="DB104" i="1"/>
  <c r="DB68" i="1"/>
  <c r="DB227" i="1"/>
  <c r="CZ321" i="1"/>
  <c r="CZ320" i="1" s="1"/>
  <c r="DC186" i="1"/>
  <c r="DC146" i="1"/>
  <c r="CZ46" i="1"/>
  <c r="CZ45" i="1" s="1"/>
  <c r="CZ200" i="1"/>
  <c r="CZ199" i="1" s="1"/>
  <c r="DA164" i="1"/>
  <c r="DB146" i="1"/>
  <c r="DB111" i="1"/>
  <c r="DB125" i="1"/>
  <c r="DA209" i="1"/>
  <c r="DA130" i="1"/>
  <c r="DA297" i="1"/>
  <c r="DC169" i="1"/>
  <c r="CZ165" i="1"/>
  <c r="CZ164" i="1" s="1"/>
  <c r="DC125" i="1"/>
  <c r="CZ315" i="1"/>
  <c r="CZ314" i="1" s="1"/>
  <c r="CZ211" i="1"/>
  <c r="CZ209" i="1" s="1"/>
  <c r="DB186" i="1"/>
  <c r="CZ179" i="1"/>
  <c r="CZ178" i="1" s="1"/>
  <c r="CZ141" i="1"/>
  <c r="CZ140" i="1" s="1"/>
  <c r="DA133" i="1"/>
  <c r="DC49" i="1"/>
  <c r="DA40" i="1"/>
  <c r="DB169" i="1"/>
  <c r="DA172" i="1"/>
  <c r="CZ168" i="1"/>
  <c r="CZ167" i="1" s="1"/>
  <c r="CZ135" i="1"/>
  <c r="CZ133" i="1" s="1"/>
  <c r="DB49" i="1"/>
  <c r="CZ41" i="1"/>
  <c r="CZ40" i="1" s="1"/>
  <c r="CZ19" i="1"/>
  <c r="CZ18" i="1" s="1"/>
  <c r="DA289" i="1"/>
  <c r="CZ173" i="1"/>
  <c r="CZ172" i="1" s="1"/>
  <c r="DC17" i="1"/>
  <c r="DA201" i="1"/>
  <c r="DA154" i="1"/>
  <c r="DC86" i="1"/>
  <c r="CZ48" i="1"/>
  <c r="CZ47" i="1" s="1"/>
  <c r="DB17" i="1"/>
  <c r="DA243" i="1"/>
  <c r="DA233" i="1" s="1"/>
  <c r="DA175" i="1"/>
  <c r="DC160" i="1"/>
  <c r="DA142" i="1"/>
  <c r="DC111" i="1"/>
  <c r="DB86" i="1"/>
  <c r="DC63" i="1"/>
  <c r="CZ53" i="1"/>
  <c r="CZ52" i="1" s="1"/>
  <c r="CZ229" i="1"/>
  <c r="CZ228" i="1" s="1"/>
  <c r="CZ176" i="1"/>
  <c r="CZ175" i="1" s="1"/>
  <c r="DB160" i="1"/>
  <c r="CZ126" i="1"/>
  <c r="DC104" i="1"/>
  <c r="DC68" i="1"/>
  <c r="CZ39" i="1"/>
  <c r="CZ38" i="1" s="1"/>
  <c r="DA24" i="1"/>
  <c r="CZ21" i="1"/>
  <c r="CZ20" i="1" s="1"/>
  <c r="DC227" i="1"/>
  <c r="CZ189" i="1"/>
  <c r="CZ147" i="1"/>
  <c r="CZ90" i="1"/>
  <c r="CZ24" i="1"/>
  <c r="CZ268" i="1"/>
  <c r="CZ225" i="1"/>
  <c r="CZ224" i="1" s="1"/>
  <c r="CZ71" i="1"/>
  <c r="CZ161" i="1"/>
  <c r="CZ112" i="1"/>
  <c r="DA318" i="1"/>
  <c r="DA309" i="1"/>
  <c r="DA294" i="1"/>
  <c r="DA293" i="1" s="1"/>
  <c r="DA225" i="1"/>
  <c r="DA224" i="1" s="1"/>
  <c r="DA195" i="1"/>
  <c r="DA189" i="1"/>
  <c r="DA147" i="1"/>
  <c r="DA126" i="1"/>
  <c r="DA117" i="1"/>
  <c r="DA112" i="1"/>
  <c r="DA107" i="1"/>
  <c r="DA102" i="1"/>
  <c r="DA101" i="1" s="1"/>
  <c r="DA90" i="1"/>
  <c r="DA87" i="1"/>
  <c r="DA82" i="1"/>
  <c r="DA74" i="1"/>
  <c r="DA71" i="1"/>
  <c r="DA66" i="1"/>
  <c r="DA63" i="1" s="1"/>
  <c r="DA61" i="1"/>
  <c r="DA60" i="1" s="1"/>
  <c r="DA56" i="1"/>
  <c r="DA291" i="1"/>
  <c r="DA268" i="1"/>
  <c r="DA197" i="1"/>
  <c r="DA170" i="1"/>
  <c r="DA138" i="1"/>
  <c r="DA123" i="1"/>
  <c r="DA119" i="1"/>
  <c r="DA109" i="1"/>
  <c r="DA99" i="1"/>
  <c r="DA96" i="1" s="1"/>
  <c r="DA84" i="1"/>
  <c r="DA76" i="1"/>
  <c r="DA58" i="1"/>
  <c r="DA50" i="1"/>
  <c r="CZ317" i="1"/>
  <c r="CZ316" i="1" s="1"/>
  <c r="CZ297" i="1"/>
  <c r="CZ244" i="1"/>
  <c r="CZ243" i="1" s="1"/>
  <c r="CZ233" i="1" s="1"/>
  <c r="CZ231" i="1"/>
  <c r="CZ230" i="1" s="1"/>
  <c r="CZ202" i="1"/>
  <c r="CZ201" i="1" s="1"/>
  <c r="CZ194" i="1"/>
  <c r="CZ193" i="1" s="1"/>
  <c r="CZ181" i="1"/>
  <c r="CZ180" i="1" s="1"/>
  <c r="CZ155" i="1"/>
  <c r="CZ154" i="1" s="1"/>
  <c r="CZ152" i="1"/>
  <c r="CZ151" i="1" s="1"/>
  <c r="CZ143" i="1"/>
  <c r="CZ142" i="1" s="1"/>
  <c r="CZ130" i="1"/>
  <c r="CZ106" i="1"/>
  <c r="CZ105" i="1" s="1"/>
  <c r="CZ104" i="1" s="1"/>
  <c r="CZ81" i="1"/>
  <c r="CZ80" i="1" s="1"/>
  <c r="CZ70" i="1"/>
  <c r="CZ69" i="1" s="1"/>
  <c r="CZ65" i="1"/>
  <c r="CZ64" i="1" s="1"/>
  <c r="CZ63" i="1" s="1"/>
  <c r="CZ55" i="1"/>
  <c r="CZ54" i="1" s="1"/>
  <c r="CZ296" i="1" l="1"/>
  <c r="DA296" i="1"/>
  <c r="DC322" i="1"/>
  <c r="DB322" i="1"/>
  <c r="CZ111" i="1"/>
  <c r="CV227" i="1"/>
  <c r="CV322" i="1" s="1"/>
  <c r="DA160" i="1"/>
  <c r="CZ86" i="1"/>
  <c r="CZ49" i="1"/>
  <c r="DA17" i="1"/>
  <c r="CZ125" i="1"/>
  <c r="DA169" i="1"/>
  <c r="CZ17" i="1"/>
  <c r="CZ227" i="1"/>
  <c r="CZ169" i="1"/>
  <c r="CZ186" i="1"/>
  <c r="DA86" i="1"/>
  <c r="DA186" i="1"/>
  <c r="CZ160" i="1"/>
  <c r="DA104" i="1"/>
  <c r="DA227" i="1"/>
  <c r="DA68" i="1"/>
  <c r="DA125" i="1"/>
  <c r="DA146" i="1"/>
  <c r="DA49" i="1"/>
  <c r="DA111" i="1"/>
  <c r="CZ68" i="1"/>
  <c r="CZ146" i="1"/>
  <c r="CZ322" i="1" l="1"/>
  <c r="DA322" i="1"/>
  <c r="CU230" i="1"/>
  <c r="CQ230" i="1"/>
  <c r="CP230" i="1"/>
  <c r="CO230" i="1"/>
  <c r="CM230" i="1"/>
  <c r="CL230" i="1"/>
  <c r="CK230" i="1"/>
  <c r="CJ230" i="1"/>
  <c r="CI230" i="1"/>
  <c r="CG230" i="1"/>
  <c r="CF230" i="1"/>
  <c r="CB230" i="1"/>
  <c r="CA230" i="1"/>
  <c r="BZ230" i="1"/>
  <c r="BY230" i="1"/>
  <c r="BX230" i="1"/>
  <c r="BW230" i="1"/>
  <c r="BV230" i="1"/>
  <c r="BU230" i="1"/>
  <c r="BT230" i="1"/>
  <c r="BS230" i="1"/>
  <c r="BR230" i="1"/>
  <c r="BP230" i="1"/>
  <c r="BO230" i="1"/>
  <c r="BM230" i="1"/>
  <c r="BL230" i="1"/>
  <c r="BK230" i="1"/>
  <c r="BI230" i="1"/>
  <c r="BG230" i="1"/>
  <c r="BF230" i="1"/>
  <c r="BE230" i="1"/>
  <c r="AY230" i="1"/>
  <c r="AX230" i="1"/>
  <c r="AW230" i="1"/>
  <c r="AV230" i="1"/>
  <c r="AU230" i="1"/>
  <c r="AT230" i="1"/>
  <c r="AS230" i="1"/>
  <c r="AR230" i="1"/>
  <c r="AQ230" i="1"/>
  <c r="AP230" i="1"/>
  <c r="AO230" i="1"/>
  <c r="AN230" i="1"/>
  <c r="AM230" i="1"/>
  <c r="AL230" i="1"/>
  <c r="AK230" i="1"/>
  <c r="AJ230" i="1"/>
  <c r="AI230" i="1"/>
  <c r="AH230" i="1"/>
  <c r="AG230" i="1"/>
  <c r="AF230" i="1"/>
  <c r="AE230" i="1"/>
  <c r="AC230" i="1"/>
  <c r="AB230" i="1"/>
  <c r="AA230" i="1"/>
  <c r="Z230" i="1"/>
  <c r="Y230" i="1"/>
  <c r="X230" i="1"/>
  <c r="W230" i="1"/>
  <c r="V230" i="1"/>
  <c r="T230" i="1"/>
  <c r="S230" i="1"/>
  <c r="R230" i="1"/>
  <c r="Q230" i="1"/>
  <c r="O230" i="1"/>
  <c r="N230" i="1"/>
  <c r="M230" i="1"/>
  <c r="L230" i="1"/>
  <c r="K230" i="1"/>
  <c r="J230" i="1"/>
  <c r="H230" i="1"/>
  <c r="G230" i="1"/>
  <c r="BQ48" i="1"/>
  <c r="BQ43" i="1"/>
  <c r="BQ39" i="1"/>
  <c r="BQ19" i="1"/>
  <c r="BQ21" i="1"/>
  <c r="BS199" i="1"/>
  <c r="BN113" i="1"/>
  <c r="AD232" i="1"/>
  <c r="I232" i="1"/>
  <c r="CQ227" i="1" l="1"/>
  <c r="F232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E232" i="1" l="1"/>
  <c r="T164" i="1"/>
  <c r="O164" i="1"/>
  <c r="N164" i="1"/>
  <c r="K84" i="1"/>
  <c r="L84" i="1"/>
  <c r="M84" i="1"/>
  <c r="N84" i="1"/>
  <c r="O84" i="1"/>
  <c r="J84" i="1"/>
  <c r="D232" i="1" l="1"/>
  <c r="AM164" i="1"/>
  <c r="CQ314" i="1"/>
  <c r="CQ296" i="1" s="1"/>
  <c r="BQ79" i="1"/>
  <c r="O80" i="1"/>
  <c r="N80" i="1"/>
  <c r="G164" i="1"/>
  <c r="H164" i="1"/>
  <c r="BQ22" i="1"/>
  <c r="BQ23" i="1"/>
  <c r="I19" i="1"/>
  <c r="BQ20" i="1" l="1"/>
  <c r="BH321" i="1" l="1"/>
  <c r="BM320" i="1" l="1"/>
  <c r="BM318" i="1"/>
  <c r="BM316" i="1"/>
  <c r="BM314" i="1"/>
  <c r="BM309" i="1"/>
  <c r="BM296" i="1" s="1"/>
  <c r="BM294" i="1"/>
  <c r="BM291" i="1"/>
  <c r="BM289" i="1"/>
  <c r="BM268" i="1"/>
  <c r="BM243" i="1"/>
  <c r="BM228" i="1"/>
  <c r="BM225" i="1"/>
  <c r="BM201" i="1"/>
  <c r="BM199" i="1"/>
  <c r="BM197" i="1"/>
  <c r="BM195" i="1"/>
  <c r="BM193" i="1"/>
  <c r="BM189" i="1"/>
  <c r="BM178" i="1"/>
  <c r="BM175" i="1"/>
  <c r="BM172" i="1"/>
  <c r="BM170" i="1"/>
  <c r="BM167" i="1"/>
  <c r="BM164" i="1"/>
  <c r="BM161" i="1"/>
  <c r="BM154" i="1"/>
  <c r="BM151" i="1"/>
  <c r="BM147" i="1"/>
  <c r="BM142" i="1"/>
  <c r="BM140" i="1"/>
  <c r="BM138" i="1"/>
  <c r="BM130" i="1"/>
  <c r="BM126" i="1"/>
  <c r="BM123" i="1"/>
  <c r="BM119" i="1"/>
  <c r="BM117" i="1"/>
  <c r="BM109" i="1"/>
  <c r="BM107" i="1"/>
  <c r="BM105" i="1"/>
  <c r="BM102" i="1"/>
  <c r="BM99" i="1"/>
  <c r="BM90" i="1"/>
  <c r="BM87" i="1"/>
  <c r="BM84" i="1"/>
  <c r="BM82" i="1"/>
  <c r="BM80" i="1"/>
  <c r="BM78" i="1"/>
  <c r="BM76" i="1"/>
  <c r="BM74" i="1"/>
  <c r="BM71" i="1"/>
  <c r="BM69" i="1"/>
  <c r="BM66" i="1"/>
  <c r="BM64" i="1"/>
  <c r="BM61" i="1"/>
  <c r="BM58" i="1"/>
  <c r="BM56" i="1"/>
  <c r="BM54" i="1"/>
  <c r="BM52" i="1"/>
  <c r="BM50" i="1"/>
  <c r="BM47" i="1"/>
  <c r="BM45" i="1"/>
  <c r="BM40" i="1"/>
  <c r="BM38" i="1"/>
  <c r="BM24" i="1"/>
  <c r="BM20" i="1"/>
  <c r="BM18" i="1"/>
  <c r="I65" i="1"/>
  <c r="I67" i="1"/>
  <c r="BM96" i="1" l="1"/>
  <c r="BM293" i="1"/>
  <c r="BM101" i="1"/>
  <c r="BM224" i="1"/>
  <c r="BM60" i="1"/>
  <c r="BM233" i="1"/>
  <c r="BM63" i="1"/>
  <c r="BM186" i="1"/>
  <c r="BM104" i="1"/>
  <c r="BM160" i="1"/>
  <c r="BM146" i="1"/>
  <c r="BM17" i="1"/>
  <c r="BM49" i="1"/>
  <c r="BM68" i="1"/>
  <c r="BM86" i="1"/>
  <c r="BM111" i="1"/>
  <c r="BM125" i="1"/>
  <c r="BM169" i="1"/>
  <c r="BM227" i="1" l="1"/>
  <c r="BM322" i="1" s="1"/>
  <c r="CN168" i="1"/>
  <c r="CH168" i="1"/>
  <c r="CE168" i="1"/>
  <c r="BQ168" i="1"/>
  <c r="BN168" i="1"/>
  <c r="BD168" i="1"/>
  <c r="AD168" i="1"/>
  <c r="U168" i="1"/>
  <c r="P168" i="1"/>
  <c r="O168" i="1"/>
  <c r="CU167" i="1"/>
  <c r="CQ167" i="1"/>
  <c r="CP167" i="1"/>
  <c r="CO167" i="1"/>
  <c r="CM167" i="1"/>
  <c r="CL167" i="1"/>
  <c r="CK167" i="1"/>
  <c r="CJ167" i="1"/>
  <c r="CI167" i="1"/>
  <c r="CG167" i="1"/>
  <c r="CF167" i="1"/>
  <c r="CB167" i="1"/>
  <c r="CA167" i="1"/>
  <c r="BZ167" i="1"/>
  <c r="BY167" i="1"/>
  <c r="BX167" i="1"/>
  <c r="BW167" i="1"/>
  <c r="BV167" i="1"/>
  <c r="BU167" i="1"/>
  <c r="BT167" i="1"/>
  <c r="BS167" i="1"/>
  <c r="BR167" i="1"/>
  <c r="BP167" i="1"/>
  <c r="BO167" i="1"/>
  <c r="BL167" i="1"/>
  <c r="BK167" i="1"/>
  <c r="BI167" i="1"/>
  <c r="BG167" i="1"/>
  <c r="BF167" i="1"/>
  <c r="BE167" i="1"/>
  <c r="AY167" i="1"/>
  <c r="AX167" i="1"/>
  <c r="AW167" i="1"/>
  <c r="AV167" i="1"/>
  <c r="AU167" i="1"/>
  <c r="AT167" i="1"/>
  <c r="AS167" i="1"/>
  <c r="AR167" i="1"/>
  <c r="AQ167" i="1"/>
  <c r="AP167" i="1"/>
  <c r="AO167" i="1"/>
  <c r="AN167" i="1"/>
  <c r="AM167" i="1"/>
  <c r="AL167" i="1"/>
  <c r="AK167" i="1"/>
  <c r="AJ167" i="1"/>
  <c r="AI167" i="1"/>
  <c r="AH167" i="1"/>
  <c r="AG167" i="1"/>
  <c r="AF167" i="1"/>
  <c r="AE167" i="1"/>
  <c r="AC167" i="1"/>
  <c r="AB167" i="1"/>
  <c r="AA167" i="1"/>
  <c r="Z167" i="1"/>
  <c r="Y167" i="1"/>
  <c r="X167" i="1"/>
  <c r="W167" i="1"/>
  <c r="V167" i="1"/>
  <c r="T167" i="1"/>
  <c r="S167" i="1"/>
  <c r="R167" i="1"/>
  <c r="Q167" i="1"/>
  <c r="N167" i="1"/>
  <c r="M167" i="1"/>
  <c r="L167" i="1"/>
  <c r="K167" i="1"/>
  <c r="J167" i="1"/>
  <c r="H167" i="1"/>
  <c r="G167" i="1"/>
  <c r="H18" i="1"/>
  <c r="G18" i="1"/>
  <c r="AT160" i="1" l="1"/>
  <c r="BH167" i="1"/>
  <c r="CQ160" i="1"/>
  <c r="BN167" i="1"/>
  <c r="BQ167" i="1"/>
  <c r="AX160" i="1"/>
  <c r="I168" i="1"/>
  <c r="P167" i="1"/>
  <c r="CH167" i="1"/>
  <c r="U167" i="1"/>
  <c r="CN167" i="1"/>
  <c r="AS160" i="1"/>
  <c r="AD167" i="1"/>
  <c r="BC168" i="1"/>
  <c r="CD168" i="1"/>
  <c r="O167" i="1"/>
  <c r="CE167" i="1"/>
  <c r="BD167" i="1"/>
  <c r="CN108" i="1"/>
  <c r="CH108" i="1"/>
  <c r="CE108" i="1"/>
  <c r="BQ108" i="1"/>
  <c r="BN108" i="1"/>
  <c r="BD108" i="1"/>
  <c r="AD108" i="1"/>
  <c r="U108" i="1"/>
  <c r="P108" i="1"/>
  <c r="I108" i="1"/>
  <c r="CU107" i="1"/>
  <c r="CP107" i="1"/>
  <c r="CO107" i="1"/>
  <c r="CM107" i="1"/>
  <c r="CL107" i="1"/>
  <c r="CK107" i="1"/>
  <c r="CJ107" i="1"/>
  <c r="CI107" i="1"/>
  <c r="CG107" i="1"/>
  <c r="CF107" i="1"/>
  <c r="CB107" i="1"/>
  <c r="CA107" i="1"/>
  <c r="BZ107" i="1"/>
  <c r="BY107" i="1"/>
  <c r="BX107" i="1"/>
  <c r="BW107" i="1"/>
  <c r="BV107" i="1"/>
  <c r="BU107" i="1"/>
  <c r="BT107" i="1"/>
  <c r="BS107" i="1"/>
  <c r="BR107" i="1"/>
  <c r="BP107" i="1"/>
  <c r="BO107" i="1"/>
  <c r="BL107" i="1"/>
  <c r="BK107" i="1"/>
  <c r="BI107" i="1"/>
  <c r="BG107" i="1"/>
  <c r="BF107" i="1"/>
  <c r="BE107" i="1"/>
  <c r="AY107" i="1"/>
  <c r="AW107" i="1"/>
  <c r="AV107" i="1"/>
  <c r="AU107" i="1"/>
  <c r="AR107" i="1"/>
  <c r="AQ107" i="1"/>
  <c r="AP107" i="1"/>
  <c r="AO107" i="1"/>
  <c r="AN107" i="1"/>
  <c r="AM107" i="1"/>
  <c r="AL107" i="1"/>
  <c r="AK107" i="1"/>
  <c r="AJ107" i="1"/>
  <c r="AI107" i="1"/>
  <c r="AH107" i="1"/>
  <c r="AG107" i="1"/>
  <c r="AF107" i="1"/>
  <c r="AE107" i="1"/>
  <c r="AC107" i="1"/>
  <c r="AB107" i="1"/>
  <c r="AA107" i="1"/>
  <c r="Z107" i="1"/>
  <c r="Y107" i="1"/>
  <c r="X107" i="1"/>
  <c r="W107" i="1"/>
  <c r="V107" i="1"/>
  <c r="T107" i="1"/>
  <c r="S107" i="1"/>
  <c r="R107" i="1"/>
  <c r="Q107" i="1"/>
  <c r="O107" i="1"/>
  <c r="N107" i="1"/>
  <c r="M107" i="1"/>
  <c r="L107" i="1"/>
  <c r="K107" i="1"/>
  <c r="J107" i="1"/>
  <c r="H107" i="1"/>
  <c r="G107" i="1"/>
  <c r="G90" i="1"/>
  <c r="F168" i="1" l="1"/>
  <c r="F108" i="1"/>
  <c r="CD167" i="1"/>
  <c r="I107" i="1"/>
  <c r="CE107" i="1"/>
  <c r="P107" i="1"/>
  <c r="CH107" i="1"/>
  <c r="U107" i="1"/>
  <c r="CN107" i="1"/>
  <c r="AD107" i="1"/>
  <c r="BD107" i="1"/>
  <c r="CC168" i="1"/>
  <c r="BH107" i="1"/>
  <c r="BC167" i="1"/>
  <c r="BN107" i="1"/>
  <c r="I167" i="1"/>
  <c r="BQ107" i="1"/>
  <c r="BC108" i="1"/>
  <c r="CD108" i="1"/>
  <c r="F167" i="1" l="1"/>
  <c r="CD107" i="1"/>
  <c r="CC167" i="1"/>
  <c r="BC107" i="1"/>
  <c r="F107" i="1"/>
  <c r="E168" i="1"/>
  <c r="E108" i="1"/>
  <c r="CC108" i="1"/>
  <c r="E167" i="1" l="1"/>
  <c r="D168" i="1"/>
  <c r="CC107" i="1"/>
  <c r="E107" i="1"/>
  <c r="D108" i="1"/>
  <c r="CU90" i="1"/>
  <c r="CQ90" i="1"/>
  <c r="CP90" i="1"/>
  <c r="CO90" i="1"/>
  <c r="CM90" i="1"/>
  <c r="CL90" i="1"/>
  <c r="CK90" i="1"/>
  <c r="CJ90" i="1"/>
  <c r="CI90" i="1"/>
  <c r="CG90" i="1"/>
  <c r="CF90" i="1"/>
  <c r="CB90" i="1"/>
  <c r="CA90" i="1"/>
  <c r="BZ90" i="1"/>
  <c r="BY90" i="1"/>
  <c r="BX90" i="1"/>
  <c r="BW90" i="1"/>
  <c r="BV90" i="1"/>
  <c r="BU90" i="1"/>
  <c r="BT90" i="1"/>
  <c r="BS90" i="1"/>
  <c r="BR90" i="1"/>
  <c r="BP90" i="1"/>
  <c r="BO90" i="1"/>
  <c r="BL90" i="1"/>
  <c r="BK90" i="1"/>
  <c r="BI90" i="1"/>
  <c r="BG90" i="1"/>
  <c r="BF90" i="1"/>
  <c r="BE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C90" i="1"/>
  <c r="AB90" i="1"/>
  <c r="AA90" i="1"/>
  <c r="Z90" i="1"/>
  <c r="Y90" i="1"/>
  <c r="X90" i="1"/>
  <c r="W90" i="1"/>
  <c r="V90" i="1"/>
  <c r="T90" i="1"/>
  <c r="S90" i="1"/>
  <c r="R90" i="1"/>
  <c r="Q90" i="1"/>
  <c r="O90" i="1"/>
  <c r="N90" i="1"/>
  <c r="M90" i="1"/>
  <c r="L90" i="1"/>
  <c r="K90" i="1"/>
  <c r="J90" i="1"/>
  <c r="H90" i="1"/>
  <c r="D167" i="1" l="1"/>
  <c r="D107" i="1"/>
  <c r="CH321" i="1"/>
  <c r="CH319" i="1"/>
  <c r="CH317" i="1"/>
  <c r="CH315" i="1"/>
  <c r="CH312" i="1"/>
  <c r="CH310" i="1"/>
  <c r="CH295" i="1"/>
  <c r="CH292" i="1"/>
  <c r="CH290" i="1"/>
  <c r="CH279" i="1"/>
  <c r="CH278" i="1"/>
  <c r="CH277" i="1"/>
  <c r="CH276" i="1"/>
  <c r="CH272" i="1"/>
  <c r="CH274" i="1"/>
  <c r="CH275" i="1"/>
  <c r="CH271" i="1"/>
  <c r="CH270" i="1"/>
  <c r="CH267" i="1"/>
  <c r="CH266" i="1"/>
  <c r="CH265" i="1"/>
  <c r="CH264" i="1"/>
  <c r="CH263" i="1"/>
  <c r="CH262" i="1"/>
  <c r="CH261" i="1"/>
  <c r="CH260" i="1"/>
  <c r="CH259" i="1"/>
  <c r="CH258" i="1"/>
  <c r="CH257" i="1"/>
  <c r="CH256" i="1"/>
  <c r="CH255" i="1"/>
  <c r="CH254" i="1"/>
  <c r="CH253" i="1"/>
  <c r="CH252" i="1"/>
  <c r="CH251" i="1"/>
  <c r="CH250" i="1"/>
  <c r="CH249" i="1"/>
  <c r="CH248" i="1"/>
  <c r="CH247" i="1"/>
  <c r="CH246" i="1"/>
  <c r="CH245" i="1"/>
  <c r="CH244" i="1"/>
  <c r="CH242" i="1"/>
  <c r="CH240" i="1"/>
  <c r="CH239" i="1"/>
  <c r="CH238" i="1"/>
  <c r="CH234" i="1"/>
  <c r="CH231" i="1"/>
  <c r="CH229" i="1"/>
  <c r="CH226" i="1"/>
  <c r="CH220" i="1"/>
  <c r="CH219" i="1"/>
  <c r="CH218" i="1"/>
  <c r="CH217" i="1"/>
  <c r="CH216" i="1"/>
  <c r="CH215" i="1"/>
  <c r="CH214" i="1"/>
  <c r="CH213" i="1"/>
  <c r="CH212" i="1"/>
  <c r="CH211" i="1"/>
  <c r="CH208" i="1"/>
  <c r="CH205" i="1"/>
  <c r="CH207" i="1"/>
  <c r="CH206" i="1"/>
  <c r="CH204" i="1"/>
  <c r="CH203" i="1"/>
  <c r="CH202" i="1"/>
  <c r="CH200" i="1"/>
  <c r="CH198" i="1"/>
  <c r="CH196" i="1"/>
  <c r="CH194" i="1"/>
  <c r="CH192" i="1"/>
  <c r="CH191" i="1"/>
  <c r="CH190" i="1"/>
  <c r="CH188" i="1"/>
  <c r="CH187" i="1"/>
  <c r="CH181" i="1"/>
  <c r="CH179" i="1"/>
  <c r="CH177" i="1"/>
  <c r="CH176" i="1"/>
  <c r="CH174" i="1"/>
  <c r="CH173" i="1"/>
  <c r="CH171" i="1"/>
  <c r="CH166" i="1"/>
  <c r="CH165" i="1"/>
  <c r="CH163" i="1"/>
  <c r="CH162" i="1"/>
  <c r="CH159" i="1"/>
  <c r="CH158" i="1"/>
  <c r="CH157" i="1"/>
  <c r="CH156" i="1"/>
  <c r="CH155" i="1"/>
  <c r="CH153" i="1"/>
  <c r="CH152" i="1"/>
  <c r="CH150" i="1"/>
  <c r="CH148" i="1"/>
  <c r="CH149" i="1"/>
  <c r="CH145" i="1"/>
  <c r="CH144" i="1"/>
  <c r="CH143" i="1"/>
  <c r="CH141" i="1"/>
  <c r="CH139" i="1"/>
  <c r="CH137" i="1"/>
  <c r="CH136" i="1"/>
  <c r="CH135" i="1"/>
  <c r="CH132" i="1"/>
  <c r="CH131" i="1"/>
  <c r="CH129" i="1"/>
  <c r="CH128" i="1"/>
  <c r="CH127" i="1"/>
  <c r="CH124" i="1"/>
  <c r="CH122" i="1"/>
  <c r="CH120" i="1"/>
  <c r="CH118" i="1"/>
  <c r="CH114" i="1"/>
  <c r="CH113" i="1"/>
  <c r="CH110" i="1"/>
  <c r="CH106" i="1"/>
  <c r="CH103" i="1"/>
  <c r="CH100" i="1"/>
  <c r="CH95" i="1"/>
  <c r="CH92" i="1"/>
  <c r="CH91" i="1"/>
  <c r="CH89" i="1"/>
  <c r="CH88" i="1"/>
  <c r="CH85" i="1"/>
  <c r="CH83" i="1"/>
  <c r="CH81" i="1"/>
  <c r="CH79" i="1"/>
  <c r="CH77" i="1"/>
  <c r="CH75" i="1"/>
  <c r="CH73" i="1"/>
  <c r="CH72" i="1"/>
  <c r="CH70" i="1"/>
  <c r="CH67" i="1"/>
  <c r="CH65" i="1"/>
  <c r="CH62" i="1"/>
  <c r="CH59" i="1"/>
  <c r="CH57" i="1"/>
  <c r="CH55" i="1"/>
  <c r="CH53" i="1"/>
  <c r="CH51" i="1"/>
  <c r="CH48" i="1"/>
  <c r="CH46" i="1"/>
  <c r="CH44" i="1"/>
  <c r="CH43" i="1"/>
  <c r="CH42" i="1"/>
  <c r="CH41" i="1"/>
  <c r="CH39" i="1"/>
  <c r="CH37" i="1"/>
  <c r="CH36" i="1"/>
  <c r="CH35" i="1"/>
  <c r="CH34" i="1"/>
  <c r="CH33" i="1"/>
  <c r="CH32" i="1"/>
  <c r="CH31" i="1"/>
  <c r="CH30" i="1"/>
  <c r="CH29" i="1"/>
  <c r="CH28" i="1"/>
  <c r="CH27" i="1"/>
  <c r="CH26" i="1"/>
  <c r="CH25" i="1"/>
  <c r="CH23" i="1"/>
  <c r="CH22" i="1"/>
  <c r="CH21" i="1"/>
  <c r="CH180" i="1" l="1"/>
  <c r="CH112" i="1"/>
  <c r="CH209" i="1"/>
  <c r="CH133" i="1"/>
  <c r="CH311" i="1"/>
  <c r="CH230" i="1"/>
  <c r="CH90" i="1"/>
  <c r="AX170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U78" i="1"/>
  <c r="AV78" i="1"/>
  <c r="AW78" i="1"/>
  <c r="AY78" i="1"/>
  <c r="V74" i="1"/>
  <c r="W74" i="1"/>
  <c r="X74" i="1"/>
  <c r="Y74" i="1"/>
  <c r="Z74" i="1"/>
  <c r="AA74" i="1"/>
  <c r="AB74" i="1"/>
  <c r="AC74" i="1"/>
  <c r="V76" i="1"/>
  <c r="W76" i="1"/>
  <c r="X76" i="1"/>
  <c r="Y76" i="1"/>
  <c r="Z76" i="1"/>
  <c r="AA76" i="1"/>
  <c r="AB76" i="1"/>
  <c r="AC76" i="1"/>
  <c r="J54" i="1"/>
  <c r="K54" i="1"/>
  <c r="L54" i="1"/>
  <c r="M54" i="1"/>
  <c r="N54" i="1"/>
  <c r="O54" i="1"/>
  <c r="AX169" i="1" l="1"/>
  <c r="CH19" i="1"/>
  <c r="CM320" i="1"/>
  <c r="CM318" i="1"/>
  <c r="CM316" i="1"/>
  <c r="CM314" i="1"/>
  <c r="CM309" i="1"/>
  <c r="CM294" i="1"/>
  <c r="CM291" i="1"/>
  <c r="CM289" i="1"/>
  <c r="CM268" i="1"/>
  <c r="CM243" i="1"/>
  <c r="CM228" i="1"/>
  <c r="CM225" i="1"/>
  <c r="CM201" i="1"/>
  <c r="CM199" i="1"/>
  <c r="CM197" i="1"/>
  <c r="CM195" i="1"/>
  <c r="CM193" i="1"/>
  <c r="CM189" i="1"/>
  <c r="CM178" i="1"/>
  <c r="CM175" i="1"/>
  <c r="CM172" i="1"/>
  <c r="CM170" i="1"/>
  <c r="CM164" i="1"/>
  <c r="CM161" i="1"/>
  <c r="CM154" i="1"/>
  <c r="CM151" i="1"/>
  <c r="CM147" i="1"/>
  <c r="CM142" i="1"/>
  <c r="CM140" i="1"/>
  <c r="CM138" i="1"/>
  <c r="CM130" i="1"/>
  <c r="CM126" i="1"/>
  <c r="CM123" i="1"/>
  <c r="CM119" i="1"/>
  <c r="CM117" i="1"/>
  <c r="CM109" i="1"/>
  <c r="CM105" i="1"/>
  <c r="CM102" i="1"/>
  <c r="CM99" i="1"/>
  <c r="CM87" i="1"/>
  <c r="CM84" i="1"/>
  <c r="CM82" i="1"/>
  <c r="CM80" i="1"/>
  <c r="CM78" i="1"/>
  <c r="CM76" i="1"/>
  <c r="CM74" i="1"/>
  <c r="CM71" i="1"/>
  <c r="CM69" i="1"/>
  <c r="CM66" i="1"/>
  <c r="CM64" i="1"/>
  <c r="CM61" i="1"/>
  <c r="CM58" i="1"/>
  <c r="CM56" i="1"/>
  <c r="CM54" i="1"/>
  <c r="CM52" i="1"/>
  <c r="CM50" i="1"/>
  <c r="CM47" i="1"/>
  <c r="CM45" i="1"/>
  <c r="CM40" i="1"/>
  <c r="CM38" i="1"/>
  <c r="CM24" i="1"/>
  <c r="CM20" i="1"/>
  <c r="CM18" i="1"/>
  <c r="CQ60" i="1"/>
  <c r="AX60" i="1"/>
  <c r="AT60" i="1"/>
  <c r="AS60" i="1"/>
  <c r="CM296" i="1" l="1"/>
  <c r="CM96" i="1"/>
  <c r="CM160" i="1"/>
  <c r="CM104" i="1"/>
  <c r="CM60" i="1"/>
  <c r="CM224" i="1"/>
  <c r="CM101" i="1"/>
  <c r="CM233" i="1"/>
  <c r="CM49" i="1"/>
  <c r="CM63" i="1"/>
  <c r="CM111" i="1"/>
  <c r="CM125" i="1"/>
  <c r="CM169" i="1"/>
  <c r="CM186" i="1"/>
  <c r="CM68" i="1"/>
  <c r="CM293" i="1"/>
  <c r="CM17" i="1"/>
  <c r="CM86" i="1"/>
  <c r="CM146" i="1"/>
  <c r="CM227" i="1" l="1"/>
  <c r="CM322" i="1" s="1"/>
  <c r="AX69" i="1"/>
  <c r="CG278" i="1" l="1"/>
  <c r="CU119" i="1"/>
  <c r="CQ119" i="1"/>
  <c r="CP119" i="1"/>
  <c r="CO119" i="1"/>
  <c r="CL119" i="1"/>
  <c r="CK119" i="1"/>
  <c r="CJ119" i="1"/>
  <c r="CI119" i="1"/>
  <c r="CG119" i="1"/>
  <c r="CF119" i="1"/>
  <c r="CB119" i="1"/>
  <c r="CA119" i="1"/>
  <c r="BZ119" i="1"/>
  <c r="BY119" i="1"/>
  <c r="BX119" i="1"/>
  <c r="BW119" i="1"/>
  <c r="BV119" i="1"/>
  <c r="BU119" i="1"/>
  <c r="BT119" i="1"/>
  <c r="BS119" i="1"/>
  <c r="BR119" i="1"/>
  <c r="BP119" i="1"/>
  <c r="BO119" i="1"/>
  <c r="BL119" i="1"/>
  <c r="BK119" i="1"/>
  <c r="BI119" i="1"/>
  <c r="BG119" i="1"/>
  <c r="BF119" i="1"/>
  <c r="BE119" i="1"/>
  <c r="AX119" i="1"/>
  <c r="AW119" i="1"/>
  <c r="AV119" i="1"/>
  <c r="AU119" i="1"/>
  <c r="AT119" i="1"/>
  <c r="AS119" i="1"/>
  <c r="AR119" i="1"/>
  <c r="AQ119" i="1"/>
  <c r="AP119" i="1"/>
  <c r="AO119" i="1"/>
  <c r="AN119" i="1"/>
  <c r="AM119" i="1"/>
  <c r="AL119" i="1"/>
  <c r="AK119" i="1"/>
  <c r="AJ119" i="1"/>
  <c r="AI119" i="1"/>
  <c r="AH119" i="1"/>
  <c r="AG119" i="1"/>
  <c r="AF119" i="1"/>
  <c r="AE119" i="1"/>
  <c r="AC119" i="1"/>
  <c r="AB119" i="1"/>
  <c r="AA119" i="1"/>
  <c r="Z119" i="1"/>
  <c r="Y119" i="1"/>
  <c r="X119" i="1"/>
  <c r="W119" i="1"/>
  <c r="V119" i="1"/>
  <c r="T119" i="1"/>
  <c r="S119" i="1"/>
  <c r="R119" i="1"/>
  <c r="Q119" i="1"/>
  <c r="O119" i="1"/>
  <c r="N119" i="1"/>
  <c r="M119" i="1"/>
  <c r="L119" i="1"/>
  <c r="K119" i="1"/>
  <c r="J119" i="1"/>
  <c r="H119" i="1"/>
  <c r="G119" i="1"/>
  <c r="AY119" i="1" l="1"/>
  <c r="CN122" i="1" l="1"/>
  <c r="CE122" i="1"/>
  <c r="BQ122" i="1"/>
  <c r="BN122" i="1"/>
  <c r="BD122" i="1"/>
  <c r="AD122" i="1"/>
  <c r="U122" i="1"/>
  <c r="P122" i="1"/>
  <c r="I122" i="1"/>
  <c r="CN120" i="1"/>
  <c r="CE120" i="1"/>
  <c r="BQ120" i="1"/>
  <c r="BN120" i="1"/>
  <c r="BD120" i="1"/>
  <c r="AD120" i="1"/>
  <c r="U120" i="1"/>
  <c r="P120" i="1"/>
  <c r="I120" i="1"/>
  <c r="CU105" i="1"/>
  <c r="CQ105" i="1"/>
  <c r="CP105" i="1"/>
  <c r="CO105" i="1"/>
  <c r="CL105" i="1"/>
  <c r="CK105" i="1"/>
  <c r="CJ105" i="1"/>
  <c r="CI105" i="1"/>
  <c r="CG105" i="1"/>
  <c r="CF105" i="1"/>
  <c r="CB105" i="1"/>
  <c r="CA105" i="1"/>
  <c r="BZ105" i="1"/>
  <c r="BY105" i="1"/>
  <c r="BX105" i="1"/>
  <c r="BW105" i="1"/>
  <c r="BV105" i="1"/>
  <c r="BU105" i="1"/>
  <c r="BT105" i="1"/>
  <c r="BS105" i="1"/>
  <c r="BR105" i="1"/>
  <c r="BP105" i="1"/>
  <c r="BO105" i="1"/>
  <c r="BL105" i="1"/>
  <c r="BK105" i="1"/>
  <c r="BI105" i="1"/>
  <c r="BG105" i="1"/>
  <c r="BF105" i="1"/>
  <c r="BE105" i="1"/>
  <c r="AX105" i="1"/>
  <c r="AW105" i="1"/>
  <c r="AV105" i="1"/>
  <c r="AU105" i="1"/>
  <c r="AT105" i="1"/>
  <c r="AS105" i="1"/>
  <c r="AR105" i="1"/>
  <c r="AQ105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C105" i="1"/>
  <c r="AB105" i="1"/>
  <c r="AA105" i="1"/>
  <c r="Z105" i="1"/>
  <c r="Y105" i="1"/>
  <c r="X105" i="1"/>
  <c r="W105" i="1"/>
  <c r="V105" i="1"/>
  <c r="T105" i="1"/>
  <c r="S105" i="1"/>
  <c r="R105" i="1"/>
  <c r="Q105" i="1"/>
  <c r="O105" i="1"/>
  <c r="N105" i="1"/>
  <c r="M105" i="1"/>
  <c r="L105" i="1"/>
  <c r="K105" i="1"/>
  <c r="J105" i="1"/>
  <c r="H105" i="1"/>
  <c r="G105" i="1"/>
  <c r="CN106" i="1"/>
  <c r="CE106" i="1"/>
  <c r="BQ106" i="1"/>
  <c r="BN106" i="1"/>
  <c r="BD106" i="1"/>
  <c r="AD106" i="1"/>
  <c r="U106" i="1"/>
  <c r="P106" i="1"/>
  <c r="I106" i="1"/>
  <c r="F106" i="1" l="1"/>
  <c r="F120" i="1"/>
  <c r="F122" i="1"/>
  <c r="AS104" i="1"/>
  <c r="AT104" i="1"/>
  <c r="CQ104" i="1"/>
  <c r="AX104" i="1"/>
  <c r="AY105" i="1"/>
  <c r="BC106" i="1"/>
  <c r="CD106" i="1"/>
  <c r="BC120" i="1"/>
  <c r="CD120" i="1"/>
  <c r="BC122" i="1"/>
  <c r="CD122" i="1"/>
  <c r="CC106" i="1" l="1"/>
  <c r="E106" i="1"/>
  <c r="E120" i="1"/>
  <c r="E122" i="1"/>
  <c r="CC120" i="1"/>
  <c r="CC122" i="1"/>
  <c r="D120" i="1" l="1"/>
  <c r="D106" i="1"/>
  <c r="D122" i="1"/>
  <c r="BH105" i="1" l="1"/>
  <c r="CU314" i="1" l="1"/>
  <c r="CO320" i="1" l="1"/>
  <c r="CO318" i="1"/>
  <c r="CO316" i="1"/>
  <c r="CO314" i="1"/>
  <c r="CO309" i="1"/>
  <c r="CO294" i="1"/>
  <c r="CO291" i="1"/>
  <c r="CO289" i="1"/>
  <c r="CO268" i="1"/>
  <c r="CO243" i="1"/>
  <c r="CO228" i="1"/>
  <c r="CO225" i="1"/>
  <c r="CO201" i="1"/>
  <c r="CO199" i="1"/>
  <c r="CO197" i="1"/>
  <c r="CO195" i="1"/>
  <c r="CO193" i="1"/>
  <c r="CO189" i="1"/>
  <c r="CO178" i="1"/>
  <c r="CO175" i="1"/>
  <c r="CO172" i="1"/>
  <c r="CO170" i="1"/>
  <c r="CO164" i="1"/>
  <c r="CO161" i="1"/>
  <c r="CO154" i="1"/>
  <c r="CO151" i="1"/>
  <c r="CO147" i="1"/>
  <c r="CO142" i="1"/>
  <c r="CO140" i="1"/>
  <c r="CO138" i="1"/>
  <c r="CO130" i="1"/>
  <c r="CO126" i="1"/>
  <c r="CO123" i="1"/>
  <c r="CO117" i="1"/>
  <c r="CO109" i="1"/>
  <c r="CO102" i="1"/>
  <c r="CO99" i="1"/>
  <c r="CO87" i="1"/>
  <c r="CO84" i="1"/>
  <c r="CO82" i="1"/>
  <c r="CO80" i="1"/>
  <c r="CO78" i="1"/>
  <c r="CO76" i="1"/>
  <c r="CO74" i="1"/>
  <c r="CO71" i="1"/>
  <c r="CO69" i="1"/>
  <c r="CO66" i="1"/>
  <c r="CO64" i="1"/>
  <c r="CO61" i="1"/>
  <c r="CO58" i="1"/>
  <c r="CO56" i="1"/>
  <c r="CO54" i="1"/>
  <c r="CO52" i="1"/>
  <c r="CO50" i="1"/>
  <c r="CO47" i="1"/>
  <c r="CO45" i="1"/>
  <c r="CO40" i="1"/>
  <c r="CO38" i="1"/>
  <c r="CO24" i="1"/>
  <c r="CO20" i="1"/>
  <c r="CO18" i="1"/>
  <c r="CK320" i="1"/>
  <c r="CK318" i="1"/>
  <c r="CK316" i="1"/>
  <c r="CK314" i="1"/>
  <c r="CK309" i="1"/>
  <c r="CK294" i="1"/>
  <c r="CK291" i="1"/>
  <c r="CK289" i="1"/>
  <c r="CK268" i="1"/>
  <c r="CK243" i="1"/>
  <c r="CK228" i="1"/>
  <c r="CK225" i="1"/>
  <c r="CK201" i="1"/>
  <c r="CK199" i="1"/>
  <c r="CK197" i="1"/>
  <c r="CK195" i="1"/>
  <c r="CK193" i="1"/>
  <c r="CK189" i="1"/>
  <c r="CK178" i="1"/>
  <c r="CK175" i="1"/>
  <c r="CK172" i="1"/>
  <c r="CK170" i="1"/>
  <c r="CK164" i="1"/>
  <c r="CK161" i="1"/>
  <c r="CK154" i="1"/>
  <c r="CK151" i="1"/>
  <c r="CK147" i="1"/>
  <c r="CK142" i="1"/>
  <c r="CK140" i="1"/>
  <c r="CK138" i="1"/>
  <c r="CK130" i="1"/>
  <c r="CK126" i="1"/>
  <c r="CK123" i="1"/>
  <c r="CK117" i="1"/>
  <c r="CK109" i="1"/>
  <c r="CK102" i="1"/>
  <c r="CK99" i="1"/>
  <c r="CK87" i="1"/>
  <c r="CK84" i="1"/>
  <c r="CK82" i="1"/>
  <c r="CK80" i="1"/>
  <c r="CK78" i="1"/>
  <c r="CK76" i="1"/>
  <c r="CK74" i="1"/>
  <c r="CK71" i="1"/>
  <c r="CK69" i="1"/>
  <c r="CK66" i="1"/>
  <c r="CK64" i="1"/>
  <c r="CK61" i="1"/>
  <c r="CK58" i="1"/>
  <c r="CK56" i="1"/>
  <c r="CK54" i="1"/>
  <c r="CK52" i="1"/>
  <c r="CK50" i="1"/>
  <c r="CK47" i="1"/>
  <c r="CK45" i="1"/>
  <c r="CK40" i="1"/>
  <c r="CK38" i="1"/>
  <c r="CK24" i="1"/>
  <c r="CK20" i="1"/>
  <c r="CK18" i="1"/>
  <c r="CJ320" i="1"/>
  <c r="CJ318" i="1"/>
  <c r="CJ316" i="1"/>
  <c r="CJ314" i="1"/>
  <c r="CJ309" i="1"/>
  <c r="CJ294" i="1"/>
  <c r="CJ291" i="1"/>
  <c r="CJ289" i="1"/>
  <c r="CJ268" i="1"/>
  <c r="CJ243" i="1"/>
  <c r="CJ228" i="1"/>
  <c r="CJ225" i="1"/>
  <c r="CJ201" i="1"/>
  <c r="CJ199" i="1"/>
  <c r="CJ197" i="1"/>
  <c r="CJ195" i="1"/>
  <c r="CJ193" i="1"/>
  <c r="CJ189" i="1"/>
  <c r="CJ178" i="1"/>
  <c r="CJ175" i="1"/>
  <c r="CJ172" i="1"/>
  <c r="CJ170" i="1"/>
  <c r="CJ164" i="1"/>
  <c r="CJ161" i="1"/>
  <c r="CJ154" i="1"/>
  <c r="CJ151" i="1"/>
  <c r="CJ147" i="1"/>
  <c r="CJ142" i="1"/>
  <c r="CJ140" i="1"/>
  <c r="CJ138" i="1"/>
  <c r="CJ130" i="1"/>
  <c r="CJ126" i="1"/>
  <c r="CJ123" i="1"/>
  <c r="CJ117" i="1"/>
  <c r="CJ109" i="1"/>
  <c r="CJ102" i="1"/>
  <c r="CJ99" i="1"/>
  <c r="CJ87" i="1"/>
  <c r="CJ84" i="1"/>
  <c r="CJ82" i="1"/>
  <c r="CJ80" i="1"/>
  <c r="CJ78" i="1"/>
  <c r="CJ76" i="1"/>
  <c r="CJ74" i="1"/>
  <c r="CJ71" i="1"/>
  <c r="CJ69" i="1"/>
  <c r="CJ66" i="1"/>
  <c r="CJ64" i="1"/>
  <c r="CJ61" i="1"/>
  <c r="CJ58" i="1"/>
  <c r="CJ56" i="1"/>
  <c r="CJ54" i="1"/>
  <c r="CJ52" i="1"/>
  <c r="CJ50" i="1"/>
  <c r="CJ47" i="1"/>
  <c r="CJ45" i="1"/>
  <c r="CJ40" i="1"/>
  <c r="CJ38" i="1"/>
  <c r="CJ24" i="1"/>
  <c r="CJ20" i="1"/>
  <c r="CJ18" i="1"/>
  <c r="AD208" i="1"/>
  <c r="AD205" i="1"/>
  <c r="AD207" i="1"/>
  <c r="AD206" i="1"/>
  <c r="AD204" i="1"/>
  <c r="AD203" i="1"/>
  <c r="AD202" i="1"/>
  <c r="AD200" i="1"/>
  <c r="BQ55" i="1"/>
  <c r="CJ296" i="1" l="1"/>
  <c r="CO296" i="1"/>
  <c r="CK296" i="1"/>
  <c r="CO96" i="1"/>
  <c r="CK96" i="1"/>
  <c r="CJ96" i="1"/>
  <c r="CJ104" i="1"/>
  <c r="CO104" i="1"/>
  <c r="CK104" i="1"/>
  <c r="CO160" i="1"/>
  <c r="CJ160" i="1"/>
  <c r="CK160" i="1"/>
  <c r="CJ60" i="1"/>
  <c r="CO60" i="1"/>
  <c r="CK60" i="1"/>
  <c r="BQ54" i="1"/>
  <c r="CJ101" i="1"/>
  <c r="CJ233" i="1"/>
  <c r="CJ293" i="1"/>
  <c r="CK101" i="1"/>
  <c r="CK233" i="1"/>
  <c r="CK293" i="1"/>
  <c r="CO101" i="1"/>
  <c r="CO233" i="1"/>
  <c r="CO293" i="1"/>
  <c r="CJ224" i="1"/>
  <c r="CK224" i="1"/>
  <c r="CO224" i="1"/>
  <c r="CO169" i="1"/>
  <c r="CK125" i="1"/>
  <c r="CK186" i="1"/>
  <c r="CJ125" i="1"/>
  <c r="CJ186" i="1"/>
  <c r="CK169" i="1"/>
  <c r="CO17" i="1"/>
  <c r="CO63" i="1"/>
  <c r="CO68" i="1"/>
  <c r="CO125" i="1"/>
  <c r="CO146" i="1"/>
  <c r="CO186" i="1"/>
  <c r="CJ49" i="1"/>
  <c r="CJ169" i="1"/>
  <c r="CK17" i="1"/>
  <c r="CK63" i="1"/>
  <c r="CK68" i="1"/>
  <c r="CK86" i="1"/>
  <c r="CK111" i="1"/>
  <c r="CO49" i="1"/>
  <c r="CO111" i="1"/>
  <c r="CJ68" i="1"/>
  <c r="CJ111" i="1"/>
  <c r="CK49" i="1"/>
  <c r="CO86" i="1"/>
  <c r="CJ17" i="1"/>
  <c r="CJ63" i="1"/>
  <c r="CJ146" i="1"/>
  <c r="CK146" i="1"/>
  <c r="CJ86" i="1"/>
  <c r="AX82" i="1"/>
  <c r="AX243" i="1"/>
  <c r="AW47" i="1"/>
  <c r="AX47" i="1"/>
  <c r="AY47" i="1"/>
  <c r="AX24" i="1"/>
  <c r="AD179" i="1"/>
  <c r="AX17" i="1" l="1"/>
  <c r="CO227" i="1"/>
  <c r="CO322" i="1" s="1"/>
  <c r="CK227" i="1"/>
  <c r="CK322" i="1" s="1"/>
  <c r="CJ227" i="1"/>
  <c r="CJ322" i="1" s="1"/>
  <c r="AX233" i="1"/>
  <c r="AX68" i="1"/>
  <c r="AX227" i="1" l="1"/>
  <c r="AX322" i="1" s="1"/>
  <c r="CN279" i="1"/>
  <c r="CE279" i="1"/>
  <c r="BQ279" i="1"/>
  <c r="BN279" i="1"/>
  <c r="BH279" i="1"/>
  <c r="BD279" i="1"/>
  <c r="AD279" i="1"/>
  <c r="U279" i="1"/>
  <c r="P279" i="1"/>
  <c r="I279" i="1"/>
  <c r="CN278" i="1"/>
  <c r="CE278" i="1"/>
  <c r="BQ278" i="1"/>
  <c r="BN278" i="1"/>
  <c r="BH278" i="1"/>
  <c r="BD278" i="1"/>
  <c r="AD278" i="1"/>
  <c r="U278" i="1"/>
  <c r="P278" i="1"/>
  <c r="I278" i="1"/>
  <c r="CN272" i="1"/>
  <c r="CE272" i="1"/>
  <c r="BQ272" i="1"/>
  <c r="BN272" i="1"/>
  <c r="BH272" i="1"/>
  <c r="BD272" i="1"/>
  <c r="AD272" i="1"/>
  <c r="U272" i="1"/>
  <c r="P272" i="1"/>
  <c r="I272" i="1"/>
  <c r="CN242" i="1"/>
  <c r="CE242" i="1"/>
  <c r="BQ242" i="1"/>
  <c r="BN242" i="1"/>
  <c r="BH242" i="1"/>
  <c r="BD242" i="1"/>
  <c r="AD242" i="1"/>
  <c r="U242" i="1"/>
  <c r="P242" i="1"/>
  <c r="I242" i="1"/>
  <c r="CN239" i="1"/>
  <c r="CE239" i="1"/>
  <c r="BQ239" i="1"/>
  <c r="BN239" i="1"/>
  <c r="BH239" i="1"/>
  <c r="BD239" i="1"/>
  <c r="AD239" i="1"/>
  <c r="U239" i="1"/>
  <c r="P239" i="1"/>
  <c r="I239" i="1"/>
  <c r="CN238" i="1"/>
  <c r="CE238" i="1"/>
  <c r="BQ238" i="1"/>
  <c r="BN238" i="1"/>
  <c r="BH238" i="1"/>
  <c r="BD238" i="1"/>
  <c r="AD238" i="1"/>
  <c r="U238" i="1"/>
  <c r="P238" i="1"/>
  <c r="I238" i="1"/>
  <c r="F242" i="1" l="1"/>
  <c r="F239" i="1"/>
  <c r="F238" i="1"/>
  <c r="F279" i="1"/>
  <c r="F278" i="1"/>
  <c r="F272" i="1"/>
  <c r="BC242" i="1"/>
  <c r="CD272" i="1"/>
  <c r="BC279" i="1"/>
  <c r="BC238" i="1"/>
  <c r="CD238" i="1"/>
  <c r="BC239" i="1"/>
  <c r="CD239" i="1"/>
  <c r="BC278" i="1"/>
  <c r="CD278" i="1"/>
  <c r="CD242" i="1"/>
  <c r="BC272" i="1"/>
  <c r="CD279" i="1"/>
  <c r="CC272" i="1" l="1"/>
  <c r="E239" i="1"/>
  <c r="E272" i="1"/>
  <c r="E238" i="1"/>
  <c r="CC279" i="1"/>
  <c r="E279" i="1"/>
  <c r="CC278" i="1"/>
  <c r="E242" i="1"/>
  <c r="CC239" i="1"/>
  <c r="CC238" i="1"/>
  <c r="E278" i="1"/>
  <c r="CC242" i="1"/>
  <c r="D278" i="1" l="1"/>
  <c r="D242" i="1"/>
  <c r="D279" i="1"/>
  <c r="D238" i="1"/>
  <c r="D272" i="1"/>
  <c r="D239" i="1"/>
  <c r="CE46" i="1" l="1"/>
  <c r="AY45" i="1"/>
  <c r="AL45" i="1"/>
  <c r="AJ45" i="1"/>
  <c r="AH45" i="1"/>
  <c r="AG45" i="1"/>
  <c r="AA45" i="1"/>
  <c r="Z45" i="1"/>
  <c r="Y45" i="1"/>
  <c r="X45" i="1"/>
  <c r="W45" i="1"/>
  <c r="V45" i="1"/>
  <c r="T45" i="1"/>
  <c r="O45" i="1"/>
  <c r="H45" i="1"/>
  <c r="G45" i="1"/>
  <c r="CU45" i="1"/>
  <c r="CQ45" i="1"/>
  <c r="CP45" i="1"/>
  <c r="CL45" i="1"/>
  <c r="CI45" i="1"/>
  <c r="CF45" i="1"/>
  <c r="CB45" i="1"/>
  <c r="CA45" i="1"/>
  <c r="BZ45" i="1"/>
  <c r="BY45" i="1"/>
  <c r="BX45" i="1"/>
  <c r="BW45" i="1"/>
  <c r="BV45" i="1"/>
  <c r="BU45" i="1"/>
  <c r="BT45" i="1"/>
  <c r="BS45" i="1"/>
  <c r="BR45" i="1"/>
  <c r="BP45" i="1"/>
  <c r="BO45" i="1"/>
  <c r="BL45" i="1"/>
  <c r="BK45" i="1"/>
  <c r="BI45" i="1"/>
  <c r="BG45" i="1"/>
  <c r="BF45" i="1"/>
  <c r="BE45" i="1"/>
  <c r="AW45" i="1"/>
  <c r="AV45" i="1"/>
  <c r="AU45" i="1"/>
  <c r="AT45" i="1"/>
  <c r="AS45" i="1"/>
  <c r="AR45" i="1"/>
  <c r="AQ45" i="1"/>
  <c r="AP45" i="1"/>
  <c r="AO45" i="1"/>
  <c r="AN45" i="1"/>
  <c r="AM45" i="1"/>
  <c r="AK45" i="1"/>
  <c r="AI45" i="1"/>
  <c r="AF45" i="1"/>
  <c r="AE45" i="1"/>
  <c r="AC45" i="1"/>
  <c r="AB45" i="1"/>
  <c r="S45" i="1"/>
  <c r="R45" i="1"/>
  <c r="Q45" i="1"/>
  <c r="N45" i="1"/>
  <c r="M45" i="1"/>
  <c r="L45" i="1"/>
  <c r="K45" i="1"/>
  <c r="J45" i="1"/>
  <c r="CN46" i="1"/>
  <c r="BQ46" i="1"/>
  <c r="BN46" i="1"/>
  <c r="BD46" i="1"/>
  <c r="P46" i="1"/>
  <c r="BC46" i="1" l="1"/>
  <c r="AT17" i="1"/>
  <c r="AS17" i="1"/>
  <c r="BQ65" i="1"/>
  <c r="CG45" i="1"/>
  <c r="I46" i="1"/>
  <c r="U46" i="1"/>
  <c r="AD46" i="1"/>
  <c r="CD46" i="1"/>
  <c r="F46" i="1" l="1"/>
  <c r="CC46" i="1"/>
  <c r="E46" i="1" l="1"/>
  <c r="D46" i="1" l="1"/>
  <c r="BN114" i="1" l="1"/>
  <c r="BN112" i="1" l="1"/>
  <c r="BP320" i="1"/>
  <c r="BP318" i="1"/>
  <c r="BP316" i="1"/>
  <c r="BP314" i="1"/>
  <c r="BP309" i="1"/>
  <c r="BP296" i="1" s="1"/>
  <c r="BP294" i="1"/>
  <c r="BP291" i="1"/>
  <c r="BP289" i="1"/>
  <c r="BP268" i="1"/>
  <c r="BP243" i="1"/>
  <c r="BP228" i="1"/>
  <c r="BP225" i="1"/>
  <c r="BP201" i="1"/>
  <c r="BP199" i="1"/>
  <c r="BP197" i="1"/>
  <c r="BP195" i="1"/>
  <c r="BP193" i="1"/>
  <c r="BP189" i="1"/>
  <c r="BP178" i="1"/>
  <c r="BP175" i="1"/>
  <c r="BP172" i="1"/>
  <c r="BP170" i="1"/>
  <c r="BP164" i="1"/>
  <c r="BP161" i="1"/>
  <c r="BP154" i="1"/>
  <c r="BP151" i="1"/>
  <c r="BP147" i="1"/>
  <c r="BP142" i="1"/>
  <c r="BP140" i="1"/>
  <c r="BP138" i="1"/>
  <c r="BP130" i="1"/>
  <c r="BP126" i="1"/>
  <c r="BP123" i="1"/>
  <c r="BP117" i="1"/>
  <c r="BP109" i="1"/>
  <c r="BP102" i="1"/>
  <c r="BP99" i="1"/>
  <c r="BP87" i="1"/>
  <c r="BP84" i="1"/>
  <c r="BP82" i="1"/>
  <c r="BP80" i="1"/>
  <c r="BP78" i="1"/>
  <c r="BP76" i="1"/>
  <c r="BP74" i="1"/>
  <c r="BP71" i="1"/>
  <c r="BP69" i="1"/>
  <c r="BP66" i="1"/>
  <c r="BP64" i="1"/>
  <c r="BP61" i="1"/>
  <c r="BP58" i="1"/>
  <c r="BP56" i="1"/>
  <c r="BP54" i="1"/>
  <c r="BP52" i="1"/>
  <c r="BP50" i="1"/>
  <c r="BP47" i="1"/>
  <c r="BP40" i="1"/>
  <c r="BP38" i="1"/>
  <c r="BP24" i="1"/>
  <c r="BP20" i="1"/>
  <c r="BP18" i="1"/>
  <c r="CN114" i="1"/>
  <c r="CE114" i="1"/>
  <c r="BQ114" i="1"/>
  <c r="BD114" i="1"/>
  <c r="AD114" i="1"/>
  <c r="U114" i="1"/>
  <c r="P114" i="1"/>
  <c r="I114" i="1"/>
  <c r="F114" i="1" l="1"/>
  <c r="BP96" i="1"/>
  <c r="BC114" i="1"/>
  <c r="BP104" i="1"/>
  <c r="BP160" i="1"/>
  <c r="BP60" i="1"/>
  <c r="BP293" i="1"/>
  <c r="BP125" i="1"/>
  <c r="BP169" i="1"/>
  <c r="BP224" i="1"/>
  <c r="CD114" i="1"/>
  <c r="BP186" i="1"/>
  <c r="BP111" i="1"/>
  <c r="BP233" i="1"/>
  <c r="BP101" i="1"/>
  <c r="BP49" i="1"/>
  <c r="BP17" i="1"/>
  <c r="BP63" i="1"/>
  <c r="BP86" i="1"/>
  <c r="BP146" i="1"/>
  <c r="BP68" i="1"/>
  <c r="CC114" i="1" l="1"/>
  <c r="E114" i="1"/>
  <c r="BP227" i="1"/>
  <c r="BP322" i="1" s="1"/>
  <c r="D114" i="1" l="1"/>
  <c r="BQ37" i="1" l="1"/>
  <c r="G56" i="1"/>
  <c r="G47" i="1"/>
  <c r="U37" i="1"/>
  <c r="H20" i="1"/>
  <c r="CN266" i="1"/>
  <c r="BQ266" i="1"/>
  <c r="BN266" i="1"/>
  <c r="BH266" i="1"/>
  <c r="BD266" i="1"/>
  <c r="CN219" i="1"/>
  <c r="CE219" i="1"/>
  <c r="BQ219" i="1"/>
  <c r="BN219" i="1"/>
  <c r="BH219" i="1"/>
  <c r="BD219" i="1"/>
  <c r="AD219" i="1"/>
  <c r="U219" i="1"/>
  <c r="P219" i="1"/>
  <c r="I219" i="1"/>
  <c r="CN162" i="1"/>
  <c r="BQ162" i="1"/>
  <c r="BN162" i="1"/>
  <c r="BD162" i="1"/>
  <c r="CU123" i="1"/>
  <c r="CQ123" i="1"/>
  <c r="CP123" i="1"/>
  <c r="CL123" i="1"/>
  <c r="CI123" i="1"/>
  <c r="CG123" i="1"/>
  <c r="CF123" i="1"/>
  <c r="CB123" i="1"/>
  <c r="CA123" i="1"/>
  <c r="BZ123" i="1"/>
  <c r="BY123" i="1"/>
  <c r="BX123" i="1"/>
  <c r="BW123" i="1"/>
  <c r="BV123" i="1"/>
  <c r="BU123" i="1"/>
  <c r="BT123" i="1"/>
  <c r="BS123" i="1"/>
  <c r="BR123" i="1"/>
  <c r="BO123" i="1"/>
  <c r="BL123" i="1"/>
  <c r="BK123" i="1"/>
  <c r="BI123" i="1"/>
  <c r="BG123" i="1"/>
  <c r="BF123" i="1"/>
  <c r="BE123" i="1"/>
  <c r="AW123" i="1"/>
  <c r="AV123" i="1"/>
  <c r="AU123" i="1"/>
  <c r="AT123" i="1"/>
  <c r="AS123" i="1"/>
  <c r="AR123" i="1"/>
  <c r="AQ123" i="1"/>
  <c r="AP123" i="1"/>
  <c r="AO123" i="1"/>
  <c r="AN123" i="1"/>
  <c r="AM123" i="1"/>
  <c r="AL123" i="1"/>
  <c r="AK123" i="1"/>
  <c r="AJ123" i="1"/>
  <c r="AI123" i="1"/>
  <c r="AH123" i="1"/>
  <c r="AG123" i="1"/>
  <c r="AF123" i="1"/>
  <c r="AE123" i="1"/>
  <c r="AC123" i="1"/>
  <c r="AB123" i="1"/>
  <c r="AA123" i="1"/>
  <c r="Z123" i="1"/>
  <c r="Y123" i="1"/>
  <c r="X123" i="1"/>
  <c r="W123" i="1"/>
  <c r="V123" i="1"/>
  <c r="T123" i="1"/>
  <c r="S123" i="1"/>
  <c r="R123" i="1"/>
  <c r="Q123" i="1"/>
  <c r="O123" i="1"/>
  <c r="N123" i="1"/>
  <c r="M123" i="1"/>
  <c r="L123" i="1"/>
  <c r="K123" i="1"/>
  <c r="J123" i="1"/>
  <c r="H123" i="1"/>
  <c r="G123" i="1"/>
  <c r="CU117" i="1"/>
  <c r="CQ117" i="1"/>
  <c r="CP117" i="1"/>
  <c r="CL117" i="1"/>
  <c r="CI117" i="1"/>
  <c r="CG117" i="1"/>
  <c r="CF117" i="1"/>
  <c r="CB117" i="1"/>
  <c r="CA117" i="1"/>
  <c r="BZ117" i="1"/>
  <c r="BY117" i="1"/>
  <c r="BX117" i="1"/>
  <c r="BW117" i="1"/>
  <c r="BV117" i="1"/>
  <c r="BU117" i="1"/>
  <c r="BT117" i="1"/>
  <c r="BS117" i="1"/>
  <c r="BR117" i="1"/>
  <c r="BO117" i="1"/>
  <c r="BL117" i="1"/>
  <c r="BK117" i="1"/>
  <c r="BI117" i="1"/>
  <c r="BF117" i="1"/>
  <c r="BE117" i="1"/>
  <c r="AW117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C117" i="1"/>
  <c r="AB117" i="1"/>
  <c r="AA117" i="1"/>
  <c r="Z117" i="1"/>
  <c r="Y117" i="1"/>
  <c r="X117" i="1"/>
  <c r="W117" i="1"/>
  <c r="V117" i="1"/>
  <c r="T117" i="1"/>
  <c r="S117" i="1"/>
  <c r="R117" i="1"/>
  <c r="Q117" i="1"/>
  <c r="O117" i="1"/>
  <c r="N117" i="1"/>
  <c r="M117" i="1"/>
  <c r="L117" i="1"/>
  <c r="K117" i="1"/>
  <c r="J117" i="1"/>
  <c r="H117" i="1"/>
  <c r="G117" i="1"/>
  <c r="CN118" i="1"/>
  <c r="CE118" i="1"/>
  <c r="BQ118" i="1"/>
  <c r="BN118" i="1"/>
  <c r="AD118" i="1"/>
  <c r="U118" i="1"/>
  <c r="P118" i="1"/>
  <c r="I118" i="1"/>
  <c r="CN321" i="1"/>
  <c r="CE321" i="1"/>
  <c r="BQ321" i="1"/>
  <c r="BN321" i="1"/>
  <c r="U321" i="1"/>
  <c r="P321" i="1"/>
  <c r="I321" i="1"/>
  <c r="CU320" i="1"/>
  <c r="CP320" i="1"/>
  <c r="CL320" i="1"/>
  <c r="CI320" i="1"/>
  <c r="CG320" i="1"/>
  <c r="CF320" i="1"/>
  <c r="CB320" i="1"/>
  <c r="CA320" i="1"/>
  <c r="BZ320" i="1"/>
  <c r="BY320" i="1"/>
  <c r="BX320" i="1"/>
  <c r="BW320" i="1"/>
  <c r="BV320" i="1"/>
  <c r="BU320" i="1"/>
  <c r="BT320" i="1"/>
  <c r="BS320" i="1"/>
  <c r="BR320" i="1"/>
  <c r="BO320" i="1"/>
  <c r="BL320" i="1"/>
  <c r="BK320" i="1"/>
  <c r="BI320" i="1"/>
  <c r="BG320" i="1"/>
  <c r="BF320" i="1"/>
  <c r="BE320" i="1"/>
  <c r="AW320" i="1"/>
  <c r="AV320" i="1"/>
  <c r="AU320" i="1"/>
  <c r="AT320" i="1"/>
  <c r="AS320" i="1"/>
  <c r="AR320" i="1"/>
  <c r="AQ320" i="1"/>
  <c r="AP320" i="1"/>
  <c r="AO320" i="1"/>
  <c r="AN320" i="1"/>
  <c r="AM320" i="1"/>
  <c r="AL320" i="1"/>
  <c r="AK320" i="1"/>
  <c r="AJ320" i="1"/>
  <c r="AI320" i="1"/>
  <c r="AH320" i="1"/>
  <c r="AG320" i="1"/>
  <c r="AF320" i="1"/>
  <c r="AE320" i="1"/>
  <c r="AC320" i="1"/>
  <c r="AB320" i="1"/>
  <c r="AA320" i="1"/>
  <c r="Z320" i="1"/>
  <c r="Y320" i="1"/>
  <c r="X320" i="1"/>
  <c r="W320" i="1"/>
  <c r="V320" i="1"/>
  <c r="T320" i="1"/>
  <c r="S320" i="1"/>
  <c r="R320" i="1"/>
  <c r="Q320" i="1"/>
  <c r="O320" i="1"/>
  <c r="N320" i="1"/>
  <c r="M320" i="1"/>
  <c r="L320" i="1"/>
  <c r="K320" i="1"/>
  <c r="J320" i="1"/>
  <c r="H320" i="1"/>
  <c r="G320" i="1"/>
  <c r="CN319" i="1"/>
  <c r="CE319" i="1"/>
  <c r="BN319" i="1"/>
  <c r="BH319" i="1"/>
  <c r="BD319" i="1"/>
  <c r="AD319" i="1"/>
  <c r="U319" i="1"/>
  <c r="P319" i="1"/>
  <c r="I319" i="1"/>
  <c r="CU318" i="1"/>
  <c r="CP318" i="1"/>
  <c r="CL318" i="1"/>
  <c r="CI318" i="1"/>
  <c r="CG318" i="1"/>
  <c r="CF318" i="1"/>
  <c r="CB318" i="1"/>
  <c r="CA318" i="1"/>
  <c r="BZ318" i="1"/>
  <c r="BY318" i="1"/>
  <c r="BX318" i="1"/>
  <c r="BW318" i="1"/>
  <c r="BV318" i="1"/>
  <c r="BU318" i="1"/>
  <c r="BT318" i="1"/>
  <c r="BS318" i="1"/>
  <c r="BR318" i="1"/>
  <c r="BO318" i="1"/>
  <c r="BL318" i="1"/>
  <c r="BK318" i="1"/>
  <c r="BI318" i="1"/>
  <c r="BG318" i="1"/>
  <c r="BF318" i="1"/>
  <c r="BE318" i="1"/>
  <c r="AW318" i="1"/>
  <c r="AV318" i="1"/>
  <c r="AU318" i="1"/>
  <c r="AT318" i="1"/>
  <c r="AS318" i="1"/>
  <c r="AR318" i="1"/>
  <c r="AQ318" i="1"/>
  <c r="AP318" i="1"/>
  <c r="AO318" i="1"/>
  <c r="AN318" i="1"/>
  <c r="AM318" i="1"/>
  <c r="AL318" i="1"/>
  <c r="AK318" i="1"/>
  <c r="AJ318" i="1"/>
  <c r="AI318" i="1"/>
  <c r="AH318" i="1"/>
  <c r="AG318" i="1"/>
  <c r="AF318" i="1"/>
  <c r="AE318" i="1"/>
  <c r="AC318" i="1"/>
  <c r="AB318" i="1"/>
  <c r="AA318" i="1"/>
  <c r="Z318" i="1"/>
  <c r="Y318" i="1"/>
  <c r="X318" i="1"/>
  <c r="W318" i="1"/>
  <c r="V318" i="1"/>
  <c r="T318" i="1"/>
  <c r="S318" i="1"/>
  <c r="R318" i="1"/>
  <c r="Q318" i="1"/>
  <c r="O318" i="1"/>
  <c r="N318" i="1"/>
  <c r="M318" i="1"/>
  <c r="L318" i="1"/>
  <c r="K318" i="1"/>
  <c r="J318" i="1"/>
  <c r="H318" i="1"/>
  <c r="G318" i="1"/>
  <c r="CN317" i="1"/>
  <c r="CE317" i="1"/>
  <c r="BQ317" i="1"/>
  <c r="BN317" i="1"/>
  <c r="BH317" i="1"/>
  <c r="BD317" i="1"/>
  <c r="AD317" i="1"/>
  <c r="U317" i="1"/>
  <c r="P317" i="1"/>
  <c r="I317" i="1"/>
  <c r="CU316" i="1"/>
  <c r="CP316" i="1"/>
  <c r="CL316" i="1"/>
  <c r="CI316" i="1"/>
  <c r="CG316" i="1"/>
  <c r="CF316" i="1"/>
  <c r="CB316" i="1"/>
  <c r="CA316" i="1"/>
  <c r="BZ316" i="1"/>
  <c r="BY316" i="1"/>
  <c r="BX316" i="1"/>
  <c r="BW316" i="1"/>
  <c r="BV316" i="1"/>
  <c r="BU316" i="1"/>
  <c r="BT316" i="1"/>
  <c r="BS316" i="1"/>
  <c r="BR316" i="1"/>
  <c r="BO316" i="1"/>
  <c r="BL316" i="1"/>
  <c r="BK316" i="1"/>
  <c r="BI316" i="1"/>
  <c r="BG316" i="1"/>
  <c r="BF316" i="1"/>
  <c r="BE316" i="1"/>
  <c r="AY316" i="1"/>
  <c r="AW316" i="1"/>
  <c r="AV316" i="1"/>
  <c r="AU316" i="1"/>
  <c r="AT316" i="1"/>
  <c r="AS316" i="1"/>
  <c r="AR316" i="1"/>
  <c r="AQ316" i="1"/>
  <c r="AP316" i="1"/>
  <c r="AO316" i="1"/>
  <c r="AN316" i="1"/>
  <c r="AM316" i="1"/>
  <c r="AL316" i="1"/>
  <c r="AK316" i="1"/>
  <c r="AJ316" i="1"/>
  <c r="AI316" i="1"/>
  <c r="AH316" i="1"/>
  <c r="AG316" i="1"/>
  <c r="AF316" i="1"/>
  <c r="AE316" i="1"/>
  <c r="AC316" i="1"/>
  <c r="AB316" i="1"/>
  <c r="AA316" i="1"/>
  <c r="Z316" i="1"/>
  <c r="Y316" i="1"/>
  <c r="X316" i="1"/>
  <c r="W316" i="1"/>
  <c r="V316" i="1"/>
  <c r="T316" i="1"/>
  <c r="S316" i="1"/>
  <c r="R316" i="1"/>
  <c r="Q316" i="1"/>
  <c r="O316" i="1"/>
  <c r="N316" i="1"/>
  <c r="M316" i="1"/>
  <c r="L316" i="1"/>
  <c r="K316" i="1"/>
  <c r="J316" i="1"/>
  <c r="H316" i="1"/>
  <c r="G316" i="1"/>
  <c r="CN315" i="1"/>
  <c r="BQ315" i="1"/>
  <c r="BN315" i="1"/>
  <c r="BH315" i="1"/>
  <c r="BD315" i="1"/>
  <c r="AY314" i="1"/>
  <c r="U315" i="1"/>
  <c r="P315" i="1"/>
  <c r="O314" i="1"/>
  <c r="N314" i="1"/>
  <c r="J315" i="1"/>
  <c r="CP314" i="1"/>
  <c r="CI314" i="1"/>
  <c r="CF314" i="1"/>
  <c r="CB314" i="1"/>
  <c r="CA314" i="1"/>
  <c r="BZ314" i="1"/>
  <c r="BY314" i="1"/>
  <c r="BX314" i="1"/>
  <c r="BW314" i="1"/>
  <c r="BV314" i="1"/>
  <c r="BU314" i="1"/>
  <c r="BT314" i="1"/>
  <c r="BS314" i="1"/>
  <c r="BR314" i="1"/>
  <c r="BO314" i="1"/>
  <c r="BL314" i="1"/>
  <c r="BK314" i="1"/>
  <c r="BI314" i="1"/>
  <c r="BG314" i="1"/>
  <c r="BF314" i="1"/>
  <c r="BE314" i="1"/>
  <c r="AW314" i="1"/>
  <c r="AV314" i="1"/>
  <c r="AT314" i="1"/>
  <c r="AS314" i="1"/>
  <c r="AR314" i="1"/>
  <c r="AQ314" i="1"/>
  <c r="AP314" i="1"/>
  <c r="AO314" i="1"/>
  <c r="AN314" i="1"/>
  <c r="AM314" i="1"/>
  <c r="AL314" i="1"/>
  <c r="AK314" i="1"/>
  <c r="AJ314" i="1"/>
  <c r="AI314" i="1"/>
  <c r="AH314" i="1"/>
  <c r="AG314" i="1"/>
  <c r="AF314" i="1"/>
  <c r="AE314" i="1"/>
  <c r="AC314" i="1"/>
  <c r="AB314" i="1"/>
  <c r="AA314" i="1"/>
  <c r="Z314" i="1"/>
  <c r="Y314" i="1"/>
  <c r="X314" i="1"/>
  <c r="W314" i="1"/>
  <c r="V314" i="1"/>
  <c r="T314" i="1"/>
  <c r="S314" i="1"/>
  <c r="R314" i="1"/>
  <c r="Q314" i="1"/>
  <c r="M314" i="1"/>
  <c r="L314" i="1"/>
  <c r="K314" i="1"/>
  <c r="H314" i="1"/>
  <c r="G314" i="1"/>
  <c r="CN312" i="1"/>
  <c r="CE312" i="1"/>
  <c r="BN312" i="1"/>
  <c r="BH312" i="1"/>
  <c r="BD312" i="1"/>
  <c r="AD312" i="1"/>
  <c r="U312" i="1"/>
  <c r="P312" i="1"/>
  <c r="I312" i="1"/>
  <c r="CN310" i="1"/>
  <c r="CE310" i="1"/>
  <c r="BQ310" i="1"/>
  <c r="BN310" i="1"/>
  <c r="BD310" i="1"/>
  <c r="AD310" i="1"/>
  <c r="U310" i="1"/>
  <c r="P310" i="1"/>
  <c r="I310" i="1"/>
  <c r="CU309" i="1"/>
  <c r="CP309" i="1"/>
  <c r="CL309" i="1"/>
  <c r="CI309" i="1"/>
  <c r="CI296" i="1" s="1"/>
  <c r="CG309" i="1"/>
  <c r="CF309" i="1"/>
  <c r="CB309" i="1"/>
  <c r="CA309" i="1"/>
  <c r="BZ309" i="1"/>
  <c r="BY309" i="1"/>
  <c r="BX309" i="1"/>
  <c r="BX296" i="1" s="1"/>
  <c r="BW309" i="1"/>
  <c r="BW296" i="1" s="1"/>
  <c r="BV309" i="1"/>
  <c r="BU309" i="1"/>
  <c r="BT309" i="1"/>
  <c r="BS309" i="1"/>
  <c r="BR309" i="1"/>
  <c r="BO309" i="1"/>
  <c r="BL309" i="1"/>
  <c r="BL296" i="1" s="1"/>
  <c r="BI309" i="1"/>
  <c r="BI296" i="1" s="1"/>
  <c r="BG309" i="1"/>
  <c r="BF309" i="1"/>
  <c r="BE309" i="1"/>
  <c r="AY309" i="1"/>
  <c r="AW309" i="1"/>
  <c r="AV309" i="1"/>
  <c r="AU309" i="1"/>
  <c r="AT309" i="1"/>
  <c r="AT296" i="1" s="1"/>
  <c r="AS309" i="1"/>
  <c r="AR309" i="1"/>
  <c r="AQ309" i="1"/>
  <c r="AP309" i="1"/>
  <c r="AO309" i="1"/>
  <c r="AN309" i="1"/>
  <c r="AM309" i="1"/>
  <c r="AM296" i="1" s="1"/>
  <c r="AL309" i="1"/>
  <c r="AL296" i="1" s="1"/>
  <c r="AK309" i="1"/>
  <c r="AJ309" i="1"/>
  <c r="AI309" i="1"/>
  <c r="AH309" i="1"/>
  <c r="AG309" i="1"/>
  <c r="AF309" i="1"/>
  <c r="AE309" i="1"/>
  <c r="AE296" i="1" s="1"/>
  <c r="AC309" i="1"/>
  <c r="AC296" i="1" s="1"/>
  <c r="AB309" i="1"/>
  <c r="AA309" i="1"/>
  <c r="Z309" i="1"/>
  <c r="Y309" i="1"/>
  <c r="X309" i="1"/>
  <c r="W309" i="1"/>
  <c r="V309" i="1"/>
  <c r="V296" i="1" s="1"/>
  <c r="T309" i="1"/>
  <c r="T296" i="1" s="1"/>
  <c r="S309" i="1"/>
  <c r="R309" i="1"/>
  <c r="Q309" i="1"/>
  <c r="O309" i="1"/>
  <c r="N309" i="1"/>
  <c r="M309" i="1"/>
  <c r="L309" i="1"/>
  <c r="L296" i="1" s="1"/>
  <c r="K309" i="1"/>
  <c r="K296" i="1" s="1"/>
  <c r="J309" i="1"/>
  <c r="H309" i="1"/>
  <c r="G309" i="1"/>
  <c r="CN295" i="1"/>
  <c r="CE295" i="1"/>
  <c r="BQ295" i="1"/>
  <c r="BN295" i="1"/>
  <c r="BH295" i="1"/>
  <c r="BD295" i="1"/>
  <c r="AD295" i="1"/>
  <c r="U295" i="1"/>
  <c r="P295" i="1"/>
  <c r="I295" i="1"/>
  <c r="CU294" i="1"/>
  <c r="CP294" i="1"/>
  <c r="CL294" i="1"/>
  <c r="CI294" i="1"/>
  <c r="CG294" i="1"/>
  <c r="CF294" i="1"/>
  <c r="CB294" i="1"/>
  <c r="CA294" i="1"/>
  <c r="BZ294" i="1"/>
  <c r="BY294" i="1"/>
  <c r="BX294" i="1"/>
  <c r="BW294" i="1"/>
  <c r="BV294" i="1"/>
  <c r="BU294" i="1"/>
  <c r="BT294" i="1"/>
  <c r="BS294" i="1"/>
  <c r="BR294" i="1"/>
  <c r="BO294" i="1"/>
  <c r="BL294" i="1"/>
  <c r="BK294" i="1"/>
  <c r="BI294" i="1"/>
  <c r="BG294" i="1"/>
  <c r="BF294" i="1"/>
  <c r="BE294" i="1"/>
  <c r="AY294" i="1"/>
  <c r="AW294" i="1"/>
  <c r="AV294" i="1"/>
  <c r="AU294" i="1"/>
  <c r="AT294" i="1"/>
  <c r="AS294" i="1"/>
  <c r="AR294" i="1"/>
  <c r="AQ294" i="1"/>
  <c r="AP294" i="1"/>
  <c r="AO294" i="1"/>
  <c r="AN294" i="1"/>
  <c r="AM294" i="1"/>
  <c r="AL294" i="1"/>
  <c r="AK294" i="1"/>
  <c r="AJ294" i="1"/>
  <c r="AI294" i="1"/>
  <c r="AH294" i="1"/>
  <c r="AG294" i="1"/>
  <c r="AF294" i="1"/>
  <c r="AE294" i="1"/>
  <c r="AC294" i="1"/>
  <c r="AB294" i="1"/>
  <c r="AA294" i="1"/>
  <c r="Z294" i="1"/>
  <c r="Y294" i="1"/>
  <c r="X294" i="1"/>
  <c r="W294" i="1"/>
  <c r="V294" i="1"/>
  <c r="T294" i="1"/>
  <c r="S294" i="1"/>
  <c r="R294" i="1"/>
  <c r="Q294" i="1"/>
  <c r="O294" i="1"/>
  <c r="N294" i="1"/>
  <c r="M294" i="1"/>
  <c r="L294" i="1"/>
  <c r="K294" i="1"/>
  <c r="J294" i="1"/>
  <c r="H294" i="1"/>
  <c r="G294" i="1"/>
  <c r="CN292" i="1"/>
  <c r="CE292" i="1"/>
  <c r="BQ292" i="1"/>
  <c r="BN292" i="1"/>
  <c r="BH292" i="1"/>
  <c r="BD292" i="1"/>
  <c r="AD292" i="1"/>
  <c r="U292" i="1"/>
  <c r="P292" i="1"/>
  <c r="I292" i="1"/>
  <c r="CU291" i="1"/>
  <c r="CP291" i="1"/>
  <c r="CL291" i="1"/>
  <c r="CI291" i="1"/>
  <c r="CG291" i="1"/>
  <c r="CF291" i="1"/>
  <c r="CB291" i="1"/>
  <c r="CA291" i="1"/>
  <c r="BZ291" i="1"/>
  <c r="BY291" i="1"/>
  <c r="BX291" i="1"/>
  <c r="BW291" i="1"/>
  <c r="BV291" i="1"/>
  <c r="BU291" i="1"/>
  <c r="BT291" i="1"/>
  <c r="BS291" i="1"/>
  <c r="BR291" i="1"/>
  <c r="BO291" i="1"/>
  <c r="BL291" i="1"/>
  <c r="BK291" i="1"/>
  <c r="BI291" i="1"/>
  <c r="BG291" i="1"/>
  <c r="BF291" i="1"/>
  <c r="BE291" i="1"/>
  <c r="AY291" i="1"/>
  <c r="AW291" i="1"/>
  <c r="AV291" i="1"/>
  <c r="AU291" i="1"/>
  <c r="AT291" i="1"/>
  <c r="AS291" i="1"/>
  <c r="AR291" i="1"/>
  <c r="AQ291" i="1"/>
  <c r="AP291" i="1"/>
  <c r="AO291" i="1"/>
  <c r="AN291" i="1"/>
  <c r="AM291" i="1"/>
  <c r="AL291" i="1"/>
  <c r="AK291" i="1"/>
  <c r="AJ291" i="1"/>
  <c r="AI291" i="1"/>
  <c r="AH291" i="1"/>
  <c r="AG291" i="1"/>
  <c r="AF291" i="1"/>
  <c r="AE291" i="1"/>
  <c r="AC291" i="1"/>
  <c r="AB291" i="1"/>
  <c r="AA291" i="1"/>
  <c r="Z291" i="1"/>
  <c r="Y291" i="1"/>
  <c r="X291" i="1"/>
  <c r="W291" i="1"/>
  <c r="V291" i="1"/>
  <c r="T291" i="1"/>
  <c r="S291" i="1"/>
  <c r="R291" i="1"/>
  <c r="Q291" i="1"/>
  <c r="O291" i="1"/>
  <c r="N291" i="1"/>
  <c r="M291" i="1"/>
  <c r="L291" i="1"/>
  <c r="K291" i="1"/>
  <c r="J291" i="1"/>
  <c r="H291" i="1"/>
  <c r="G291" i="1"/>
  <c r="CN290" i="1"/>
  <c r="CE290" i="1"/>
  <c r="BQ290" i="1"/>
  <c r="BN290" i="1"/>
  <c r="BH290" i="1"/>
  <c r="BD290" i="1"/>
  <c r="AD290" i="1"/>
  <c r="U290" i="1"/>
  <c r="P290" i="1"/>
  <c r="I290" i="1"/>
  <c r="CU289" i="1"/>
  <c r="CP289" i="1"/>
  <c r="CL289" i="1"/>
  <c r="CI289" i="1"/>
  <c r="CG289" i="1"/>
  <c r="CF289" i="1"/>
  <c r="CB289" i="1"/>
  <c r="CA289" i="1"/>
  <c r="BZ289" i="1"/>
  <c r="BY289" i="1"/>
  <c r="BX289" i="1"/>
  <c r="BW289" i="1"/>
  <c r="BV289" i="1"/>
  <c r="BU289" i="1"/>
  <c r="BT289" i="1"/>
  <c r="BS289" i="1"/>
  <c r="BR289" i="1"/>
  <c r="BO289" i="1"/>
  <c r="BL289" i="1"/>
  <c r="BK289" i="1"/>
  <c r="BI289" i="1"/>
  <c r="BG289" i="1"/>
  <c r="BF289" i="1"/>
  <c r="BE289" i="1"/>
  <c r="AY289" i="1"/>
  <c r="AW289" i="1"/>
  <c r="AV289" i="1"/>
  <c r="AU289" i="1"/>
  <c r="AT289" i="1"/>
  <c r="AS289" i="1"/>
  <c r="AR289" i="1"/>
  <c r="AQ289" i="1"/>
  <c r="AP289" i="1"/>
  <c r="AO289" i="1"/>
  <c r="AN289" i="1"/>
  <c r="AM289" i="1"/>
  <c r="AL289" i="1"/>
  <c r="AK289" i="1"/>
  <c r="AJ289" i="1"/>
  <c r="AI289" i="1"/>
  <c r="AH289" i="1"/>
  <c r="AG289" i="1"/>
  <c r="AF289" i="1"/>
  <c r="AE289" i="1"/>
  <c r="AC289" i="1"/>
  <c r="AB289" i="1"/>
  <c r="AA289" i="1"/>
  <c r="Z289" i="1"/>
  <c r="Y289" i="1"/>
  <c r="X289" i="1"/>
  <c r="W289" i="1"/>
  <c r="V289" i="1"/>
  <c r="T289" i="1"/>
  <c r="S289" i="1"/>
  <c r="R289" i="1"/>
  <c r="Q289" i="1"/>
  <c r="O289" i="1"/>
  <c r="N289" i="1"/>
  <c r="M289" i="1"/>
  <c r="L289" i="1"/>
  <c r="K289" i="1"/>
  <c r="J289" i="1"/>
  <c r="H289" i="1"/>
  <c r="G289" i="1"/>
  <c r="CN277" i="1"/>
  <c r="CE277" i="1"/>
  <c r="BQ277" i="1"/>
  <c r="BN277" i="1"/>
  <c r="BH277" i="1"/>
  <c r="BD277" i="1"/>
  <c r="AD277" i="1"/>
  <c r="U277" i="1"/>
  <c r="P277" i="1"/>
  <c r="I277" i="1"/>
  <c r="CN276" i="1"/>
  <c r="CE276" i="1"/>
  <c r="BQ276" i="1"/>
  <c r="BN276" i="1"/>
  <c r="BH276" i="1"/>
  <c r="BD276" i="1"/>
  <c r="AD276" i="1"/>
  <c r="U276" i="1"/>
  <c r="P276" i="1"/>
  <c r="I276" i="1"/>
  <c r="CN275" i="1"/>
  <c r="CE275" i="1"/>
  <c r="BQ275" i="1"/>
  <c r="BN275" i="1"/>
  <c r="BH275" i="1"/>
  <c r="BD275" i="1"/>
  <c r="AD275" i="1"/>
  <c r="U275" i="1"/>
  <c r="P275" i="1"/>
  <c r="I275" i="1"/>
  <c r="CN274" i="1"/>
  <c r="CE274" i="1"/>
  <c r="BQ274" i="1"/>
  <c r="BN274" i="1"/>
  <c r="BH274" i="1"/>
  <c r="BD274" i="1"/>
  <c r="AD274" i="1"/>
  <c r="U274" i="1"/>
  <c r="P274" i="1"/>
  <c r="I274" i="1"/>
  <c r="CN271" i="1"/>
  <c r="CE271" i="1"/>
  <c r="BQ271" i="1"/>
  <c r="BN271" i="1"/>
  <c r="BH271" i="1"/>
  <c r="BD271" i="1"/>
  <c r="AD271" i="1"/>
  <c r="U271" i="1"/>
  <c r="P271" i="1"/>
  <c r="I271" i="1"/>
  <c r="CN270" i="1"/>
  <c r="CE270" i="1"/>
  <c r="BQ270" i="1"/>
  <c r="BN270" i="1"/>
  <c r="BH270" i="1"/>
  <c r="BD270" i="1"/>
  <c r="AD270" i="1"/>
  <c r="U270" i="1"/>
  <c r="P270" i="1"/>
  <c r="I270" i="1"/>
  <c r="CP268" i="1"/>
  <c r="CL268" i="1"/>
  <c r="CI268" i="1"/>
  <c r="CG268" i="1"/>
  <c r="CF268" i="1"/>
  <c r="CB268" i="1"/>
  <c r="CA268" i="1"/>
  <c r="BZ268" i="1"/>
  <c r="BY268" i="1"/>
  <c r="BX268" i="1"/>
  <c r="BW268" i="1"/>
  <c r="BV268" i="1"/>
  <c r="BU268" i="1"/>
  <c r="BT268" i="1"/>
  <c r="BS268" i="1"/>
  <c r="BR268" i="1"/>
  <c r="BO268" i="1"/>
  <c r="BL268" i="1"/>
  <c r="BK268" i="1"/>
  <c r="BI268" i="1"/>
  <c r="BG268" i="1"/>
  <c r="BF268" i="1"/>
  <c r="BE268" i="1"/>
  <c r="AY268" i="1"/>
  <c r="AW268" i="1"/>
  <c r="AV268" i="1"/>
  <c r="AU268" i="1"/>
  <c r="AT268" i="1"/>
  <c r="AS268" i="1"/>
  <c r="AR268" i="1"/>
  <c r="AQ268" i="1"/>
  <c r="AP268" i="1"/>
  <c r="AO268" i="1"/>
  <c r="AN268" i="1"/>
  <c r="AM268" i="1"/>
  <c r="AL268" i="1"/>
  <c r="AK268" i="1"/>
  <c r="AJ268" i="1"/>
  <c r="AI268" i="1"/>
  <c r="AH268" i="1"/>
  <c r="AG268" i="1"/>
  <c r="AF268" i="1"/>
  <c r="AE268" i="1"/>
  <c r="AC268" i="1"/>
  <c r="AB268" i="1"/>
  <c r="AA268" i="1"/>
  <c r="Z268" i="1"/>
  <c r="Y268" i="1"/>
  <c r="X268" i="1"/>
  <c r="W268" i="1"/>
  <c r="V268" i="1"/>
  <c r="T268" i="1"/>
  <c r="S268" i="1"/>
  <c r="R268" i="1"/>
  <c r="Q268" i="1"/>
  <c r="O268" i="1"/>
  <c r="N268" i="1"/>
  <c r="M268" i="1"/>
  <c r="L268" i="1"/>
  <c r="K268" i="1"/>
  <c r="J268" i="1"/>
  <c r="H268" i="1"/>
  <c r="G268" i="1"/>
  <c r="CN267" i="1"/>
  <c r="BQ267" i="1"/>
  <c r="BN267" i="1"/>
  <c r="BH267" i="1"/>
  <c r="BD267" i="1"/>
  <c r="P267" i="1"/>
  <c r="CN265" i="1"/>
  <c r="CE265" i="1"/>
  <c r="BQ265" i="1"/>
  <c r="BN265" i="1"/>
  <c r="BH265" i="1"/>
  <c r="BD265" i="1"/>
  <c r="AD265" i="1"/>
  <c r="P265" i="1"/>
  <c r="I265" i="1"/>
  <c r="CN264" i="1"/>
  <c r="CE264" i="1"/>
  <c r="BQ264" i="1"/>
  <c r="BN264" i="1"/>
  <c r="BH264" i="1"/>
  <c r="BD264" i="1"/>
  <c r="AD264" i="1"/>
  <c r="P264" i="1"/>
  <c r="I264" i="1"/>
  <c r="CN263" i="1"/>
  <c r="CE263" i="1"/>
  <c r="BQ263" i="1"/>
  <c r="BN263" i="1"/>
  <c r="BH263" i="1"/>
  <c r="BD263" i="1"/>
  <c r="AD263" i="1"/>
  <c r="P263" i="1"/>
  <c r="I263" i="1"/>
  <c r="CN262" i="1"/>
  <c r="CE262" i="1"/>
  <c r="BQ262" i="1"/>
  <c r="BN262" i="1"/>
  <c r="BH262" i="1"/>
  <c r="BD262" i="1"/>
  <c r="AD262" i="1"/>
  <c r="P262" i="1"/>
  <c r="I262" i="1"/>
  <c r="CN261" i="1"/>
  <c r="CE261" i="1"/>
  <c r="BQ261" i="1"/>
  <c r="BN261" i="1"/>
  <c r="BH261" i="1"/>
  <c r="BD261" i="1"/>
  <c r="AD261" i="1"/>
  <c r="P261" i="1"/>
  <c r="I261" i="1"/>
  <c r="CN260" i="1"/>
  <c r="CE260" i="1"/>
  <c r="BQ260" i="1"/>
  <c r="BN260" i="1"/>
  <c r="BH260" i="1"/>
  <c r="BD260" i="1"/>
  <c r="AD260" i="1"/>
  <c r="P260" i="1"/>
  <c r="I260" i="1"/>
  <c r="CN259" i="1"/>
  <c r="CE259" i="1"/>
  <c r="BQ259" i="1"/>
  <c r="BN259" i="1"/>
  <c r="BH259" i="1"/>
  <c r="BD259" i="1"/>
  <c r="AD259" i="1"/>
  <c r="P259" i="1"/>
  <c r="I259" i="1"/>
  <c r="CN258" i="1"/>
  <c r="CE258" i="1"/>
  <c r="BQ258" i="1"/>
  <c r="BN258" i="1"/>
  <c r="BH258" i="1"/>
  <c r="BD258" i="1"/>
  <c r="AD258" i="1"/>
  <c r="P258" i="1"/>
  <c r="I258" i="1"/>
  <c r="CN257" i="1"/>
  <c r="CE257" i="1"/>
  <c r="BQ257" i="1"/>
  <c r="BN257" i="1"/>
  <c r="BH257" i="1"/>
  <c r="BD257" i="1"/>
  <c r="AD257" i="1"/>
  <c r="P257" i="1"/>
  <c r="I257" i="1"/>
  <c r="CN256" i="1"/>
  <c r="CE256" i="1"/>
  <c r="BQ256" i="1"/>
  <c r="BN256" i="1"/>
  <c r="BH256" i="1"/>
  <c r="BD256" i="1"/>
  <c r="AD256" i="1"/>
  <c r="P256" i="1"/>
  <c r="I256" i="1"/>
  <c r="CN255" i="1"/>
  <c r="CE255" i="1"/>
  <c r="BQ255" i="1"/>
  <c r="BN255" i="1"/>
  <c r="BH255" i="1"/>
  <c r="BD255" i="1"/>
  <c r="AD255" i="1"/>
  <c r="P255" i="1"/>
  <c r="I255" i="1"/>
  <c r="CN254" i="1"/>
  <c r="CE254" i="1"/>
  <c r="BQ254" i="1"/>
  <c r="BN254" i="1"/>
  <c r="BH254" i="1"/>
  <c r="BD254" i="1"/>
  <c r="AD254" i="1"/>
  <c r="P254" i="1"/>
  <c r="I254" i="1"/>
  <c r="CN253" i="1"/>
  <c r="CE253" i="1"/>
  <c r="BQ253" i="1"/>
  <c r="BN253" i="1"/>
  <c r="BH253" i="1"/>
  <c r="BD253" i="1"/>
  <c r="AD253" i="1"/>
  <c r="P253" i="1"/>
  <c r="I253" i="1"/>
  <c r="CN252" i="1"/>
  <c r="CE252" i="1"/>
  <c r="BQ252" i="1"/>
  <c r="BN252" i="1"/>
  <c r="BH252" i="1"/>
  <c r="BD252" i="1"/>
  <c r="AD252" i="1"/>
  <c r="P252" i="1"/>
  <c r="I252" i="1"/>
  <c r="CN251" i="1"/>
  <c r="CE251" i="1"/>
  <c r="BQ251" i="1"/>
  <c r="BN251" i="1"/>
  <c r="BH251" i="1"/>
  <c r="BD251" i="1"/>
  <c r="AD251" i="1"/>
  <c r="P251" i="1"/>
  <c r="I251" i="1"/>
  <c r="CN250" i="1"/>
  <c r="CE250" i="1"/>
  <c r="BQ250" i="1"/>
  <c r="BN250" i="1"/>
  <c r="BH250" i="1"/>
  <c r="BD250" i="1"/>
  <c r="AD250" i="1"/>
  <c r="P250" i="1"/>
  <c r="I250" i="1"/>
  <c r="CN249" i="1"/>
  <c r="CE249" i="1"/>
  <c r="BQ249" i="1"/>
  <c r="BN249" i="1"/>
  <c r="BH249" i="1"/>
  <c r="BD249" i="1"/>
  <c r="AD249" i="1"/>
  <c r="P249" i="1"/>
  <c r="I249" i="1"/>
  <c r="CN248" i="1"/>
  <c r="CE248" i="1"/>
  <c r="BQ248" i="1"/>
  <c r="BN248" i="1"/>
  <c r="BH248" i="1"/>
  <c r="BD248" i="1"/>
  <c r="AD248" i="1"/>
  <c r="P248" i="1"/>
  <c r="I248" i="1"/>
  <c r="CN247" i="1"/>
  <c r="CE247" i="1"/>
  <c r="BQ247" i="1"/>
  <c r="BN247" i="1"/>
  <c r="BH247" i="1"/>
  <c r="BD247" i="1"/>
  <c r="AD247" i="1"/>
  <c r="P247" i="1"/>
  <c r="I247" i="1"/>
  <c r="CN246" i="1"/>
  <c r="CE246" i="1"/>
  <c r="BQ246" i="1"/>
  <c r="BN246" i="1"/>
  <c r="BH246" i="1"/>
  <c r="BD246" i="1"/>
  <c r="AD246" i="1"/>
  <c r="P246" i="1"/>
  <c r="I246" i="1"/>
  <c r="CN245" i="1"/>
  <c r="CE245" i="1"/>
  <c r="BQ245" i="1"/>
  <c r="BN245" i="1"/>
  <c r="BH245" i="1"/>
  <c r="BD245" i="1"/>
  <c r="AD245" i="1"/>
  <c r="P245" i="1"/>
  <c r="I245" i="1"/>
  <c r="CN244" i="1"/>
  <c r="CE244" i="1"/>
  <c r="BQ244" i="1"/>
  <c r="BN244" i="1"/>
  <c r="BH244" i="1"/>
  <c r="BD244" i="1"/>
  <c r="AD244" i="1"/>
  <c r="P244" i="1"/>
  <c r="I244" i="1"/>
  <c r="CU243" i="1"/>
  <c r="CP243" i="1"/>
  <c r="CL243" i="1"/>
  <c r="CI243" i="1"/>
  <c r="CF243" i="1"/>
  <c r="CB243" i="1"/>
  <c r="CA243" i="1"/>
  <c r="BZ243" i="1"/>
  <c r="BY243" i="1"/>
  <c r="BX243" i="1"/>
  <c r="BW243" i="1"/>
  <c r="BV243" i="1"/>
  <c r="BU243" i="1"/>
  <c r="BT243" i="1"/>
  <c r="BS243" i="1"/>
  <c r="BR243" i="1"/>
  <c r="BO243" i="1"/>
  <c r="BL243" i="1"/>
  <c r="BK243" i="1"/>
  <c r="BI243" i="1"/>
  <c r="BG243" i="1"/>
  <c r="BF243" i="1"/>
  <c r="BE243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I243" i="1"/>
  <c r="AF243" i="1"/>
  <c r="AE243" i="1"/>
  <c r="AB243" i="1"/>
  <c r="S243" i="1"/>
  <c r="Q243" i="1"/>
  <c r="M243" i="1"/>
  <c r="L243" i="1"/>
  <c r="K243" i="1"/>
  <c r="H243" i="1"/>
  <c r="G243" i="1"/>
  <c r="CN240" i="1"/>
  <c r="CE240" i="1"/>
  <c r="BQ240" i="1"/>
  <c r="BN240" i="1"/>
  <c r="BH240" i="1"/>
  <c r="BD240" i="1"/>
  <c r="AD240" i="1"/>
  <c r="U240" i="1"/>
  <c r="P240" i="1"/>
  <c r="I240" i="1"/>
  <c r="CN234" i="1"/>
  <c r="CE234" i="1"/>
  <c r="BQ234" i="1"/>
  <c r="BN234" i="1"/>
  <c r="BH234" i="1"/>
  <c r="BD234" i="1"/>
  <c r="AD234" i="1"/>
  <c r="U234" i="1"/>
  <c r="P234" i="1"/>
  <c r="I234" i="1"/>
  <c r="CN231" i="1"/>
  <c r="CE231" i="1"/>
  <c r="BQ231" i="1"/>
  <c r="BN231" i="1"/>
  <c r="BH231" i="1"/>
  <c r="BD231" i="1"/>
  <c r="U231" i="1"/>
  <c r="P231" i="1"/>
  <c r="I231" i="1"/>
  <c r="CN229" i="1"/>
  <c r="CE229" i="1"/>
  <c r="BQ229" i="1"/>
  <c r="BN229" i="1"/>
  <c r="BH229" i="1"/>
  <c r="BD229" i="1"/>
  <c r="AD229" i="1"/>
  <c r="U229" i="1"/>
  <c r="P229" i="1"/>
  <c r="I229" i="1"/>
  <c r="CU228" i="1"/>
  <c r="CP228" i="1"/>
  <c r="CL228" i="1"/>
  <c r="CI228" i="1"/>
  <c r="CG228" i="1"/>
  <c r="CF228" i="1"/>
  <c r="CB228" i="1"/>
  <c r="CA228" i="1"/>
  <c r="BZ228" i="1"/>
  <c r="BY228" i="1"/>
  <c r="BX228" i="1"/>
  <c r="BW228" i="1"/>
  <c r="BV228" i="1"/>
  <c r="BU228" i="1"/>
  <c r="BT228" i="1"/>
  <c r="BS228" i="1"/>
  <c r="BR228" i="1"/>
  <c r="BO228" i="1"/>
  <c r="BL228" i="1"/>
  <c r="BK228" i="1"/>
  <c r="BI228" i="1"/>
  <c r="BG228" i="1"/>
  <c r="BF228" i="1"/>
  <c r="BE228" i="1"/>
  <c r="AY228" i="1"/>
  <c r="AW228" i="1"/>
  <c r="AV228" i="1"/>
  <c r="AU228" i="1"/>
  <c r="AR228" i="1"/>
  <c r="AQ228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C228" i="1"/>
  <c r="AB228" i="1"/>
  <c r="AA228" i="1"/>
  <c r="Z228" i="1"/>
  <c r="Y228" i="1"/>
  <c r="X228" i="1"/>
  <c r="W228" i="1"/>
  <c r="V228" i="1"/>
  <c r="T228" i="1"/>
  <c r="S228" i="1"/>
  <c r="R228" i="1"/>
  <c r="Q228" i="1"/>
  <c r="O228" i="1"/>
  <c r="N228" i="1"/>
  <c r="M228" i="1"/>
  <c r="L228" i="1"/>
  <c r="K228" i="1"/>
  <c r="J228" i="1"/>
  <c r="H228" i="1"/>
  <c r="G228" i="1"/>
  <c r="CN226" i="1"/>
  <c r="CE226" i="1"/>
  <c r="BQ226" i="1"/>
  <c r="BN226" i="1"/>
  <c r="BH226" i="1"/>
  <c r="BD226" i="1"/>
  <c r="AD226" i="1"/>
  <c r="U226" i="1"/>
  <c r="P226" i="1"/>
  <c r="I226" i="1"/>
  <c r="CU225" i="1"/>
  <c r="CP225" i="1"/>
  <c r="CL225" i="1"/>
  <c r="CI225" i="1"/>
  <c r="CG225" i="1"/>
  <c r="CF225" i="1"/>
  <c r="CB225" i="1"/>
  <c r="CA225" i="1"/>
  <c r="BZ225" i="1"/>
  <c r="BY225" i="1"/>
  <c r="BX225" i="1"/>
  <c r="BW225" i="1"/>
  <c r="BV225" i="1"/>
  <c r="BU225" i="1"/>
  <c r="BT225" i="1"/>
  <c r="BS225" i="1"/>
  <c r="BR225" i="1"/>
  <c r="BO225" i="1"/>
  <c r="BL225" i="1"/>
  <c r="BK225" i="1"/>
  <c r="BI225" i="1"/>
  <c r="BG225" i="1"/>
  <c r="BF225" i="1"/>
  <c r="BE225" i="1"/>
  <c r="AY225" i="1"/>
  <c r="AW225" i="1"/>
  <c r="AV225" i="1"/>
  <c r="AU225" i="1"/>
  <c r="AR225" i="1"/>
  <c r="AQ225" i="1"/>
  <c r="AP225" i="1"/>
  <c r="AO225" i="1"/>
  <c r="AN225" i="1"/>
  <c r="AM225" i="1"/>
  <c r="AL225" i="1"/>
  <c r="AK225" i="1"/>
  <c r="AJ225" i="1"/>
  <c r="AI225" i="1"/>
  <c r="AH225" i="1"/>
  <c r="AG225" i="1"/>
  <c r="AF225" i="1"/>
  <c r="AE225" i="1"/>
  <c r="AC225" i="1"/>
  <c r="AB225" i="1"/>
  <c r="AA225" i="1"/>
  <c r="Z225" i="1"/>
  <c r="Y225" i="1"/>
  <c r="X225" i="1"/>
  <c r="W225" i="1"/>
  <c r="V225" i="1"/>
  <c r="T225" i="1"/>
  <c r="S225" i="1"/>
  <c r="R225" i="1"/>
  <c r="Q225" i="1"/>
  <c r="O225" i="1"/>
  <c r="N225" i="1"/>
  <c r="M225" i="1"/>
  <c r="L225" i="1"/>
  <c r="K225" i="1"/>
  <c r="J225" i="1"/>
  <c r="H225" i="1"/>
  <c r="G225" i="1"/>
  <c r="CN220" i="1"/>
  <c r="CE220" i="1"/>
  <c r="BQ220" i="1"/>
  <c r="BN220" i="1"/>
  <c r="BH220" i="1"/>
  <c r="BD220" i="1"/>
  <c r="AD220" i="1"/>
  <c r="P220" i="1"/>
  <c r="I220" i="1"/>
  <c r="CN218" i="1"/>
  <c r="CE218" i="1"/>
  <c r="BQ218" i="1"/>
  <c r="BN218" i="1"/>
  <c r="BH218" i="1"/>
  <c r="BD218" i="1"/>
  <c r="AD218" i="1"/>
  <c r="U218" i="1"/>
  <c r="P218" i="1"/>
  <c r="I218" i="1"/>
  <c r="CN217" i="1"/>
  <c r="CE217" i="1"/>
  <c r="BQ217" i="1"/>
  <c r="BN217" i="1"/>
  <c r="BH217" i="1"/>
  <c r="BD217" i="1"/>
  <c r="AD217" i="1"/>
  <c r="U217" i="1"/>
  <c r="P217" i="1"/>
  <c r="I217" i="1"/>
  <c r="CN216" i="1"/>
  <c r="CE216" i="1"/>
  <c r="BQ216" i="1"/>
  <c r="BN216" i="1"/>
  <c r="BH216" i="1"/>
  <c r="BD216" i="1"/>
  <c r="AD216" i="1"/>
  <c r="U216" i="1"/>
  <c r="P216" i="1"/>
  <c r="I216" i="1"/>
  <c r="CN215" i="1"/>
  <c r="CE215" i="1"/>
  <c r="BQ215" i="1"/>
  <c r="BN215" i="1"/>
  <c r="BH215" i="1"/>
  <c r="BD215" i="1"/>
  <c r="AD215" i="1"/>
  <c r="U215" i="1"/>
  <c r="P215" i="1"/>
  <c r="I215" i="1"/>
  <c r="CN214" i="1"/>
  <c r="CE214" i="1"/>
  <c r="BQ214" i="1"/>
  <c r="BN214" i="1"/>
  <c r="BH214" i="1"/>
  <c r="BD214" i="1"/>
  <c r="AD214" i="1"/>
  <c r="U214" i="1"/>
  <c r="P214" i="1"/>
  <c r="I214" i="1"/>
  <c r="CN213" i="1"/>
  <c r="CE213" i="1"/>
  <c r="BQ213" i="1"/>
  <c r="BN213" i="1"/>
  <c r="BH213" i="1"/>
  <c r="BD213" i="1"/>
  <c r="AD213" i="1"/>
  <c r="U213" i="1"/>
  <c r="P213" i="1"/>
  <c r="I213" i="1"/>
  <c r="CN212" i="1"/>
  <c r="CE212" i="1"/>
  <c r="BQ212" i="1"/>
  <c r="BN212" i="1"/>
  <c r="BH212" i="1"/>
  <c r="BD212" i="1"/>
  <c r="AD212" i="1"/>
  <c r="U212" i="1"/>
  <c r="P212" i="1"/>
  <c r="I212" i="1"/>
  <c r="CN211" i="1"/>
  <c r="CE211" i="1"/>
  <c r="BQ211" i="1"/>
  <c r="BN211" i="1"/>
  <c r="BH211" i="1"/>
  <c r="BD211" i="1"/>
  <c r="AD211" i="1"/>
  <c r="U211" i="1"/>
  <c r="P211" i="1"/>
  <c r="I211" i="1"/>
  <c r="CN208" i="1"/>
  <c r="CE208" i="1"/>
  <c r="BQ208" i="1"/>
  <c r="BN208" i="1"/>
  <c r="BH208" i="1"/>
  <c r="BD208" i="1"/>
  <c r="U208" i="1"/>
  <c r="P208" i="1"/>
  <c r="I208" i="1"/>
  <c r="CN205" i="1"/>
  <c r="CE205" i="1"/>
  <c r="BQ205" i="1"/>
  <c r="BN205" i="1"/>
  <c r="BH205" i="1"/>
  <c r="BD205" i="1"/>
  <c r="U205" i="1"/>
  <c r="P205" i="1"/>
  <c r="I205" i="1"/>
  <c r="CN207" i="1"/>
  <c r="CE207" i="1"/>
  <c r="BN207" i="1"/>
  <c r="BH207" i="1"/>
  <c r="BD207" i="1"/>
  <c r="U207" i="1"/>
  <c r="P207" i="1"/>
  <c r="I207" i="1"/>
  <c r="CN206" i="1"/>
  <c r="CE206" i="1"/>
  <c r="BQ206" i="1"/>
  <c r="BN206" i="1"/>
  <c r="BH206" i="1"/>
  <c r="BD206" i="1"/>
  <c r="U206" i="1"/>
  <c r="P206" i="1"/>
  <c r="I206" i="1"/>
  <c r="CN204" i="1"/>
  <c r="CE204" i="1"/>
  <c r="BN204" i="1"/>
  <c r="BH204" i="1"/>
  <c r="BD204" i="1"/>
  <c r="U204" i="1"/>
  <c r="P204" i="1"/>
  <c r="I204" i="1"/>
  <c r="CN203" i="1"/>
  <c r="CE203" i="1"/>
  <c r="BQ203" i="1"/>
  <c r="BN203" i="1"/>
  <c r="BH203" i="1"/>
  <c r="BD203" i="1"/>
  <c r="U203" i="1"/>
  <c r="P203" i="1"/>
  <c r="I203" i="1"/>
  <c r="CN202" i="1"/>
  <c r="CE202" i="1"/>
  <c r="BQ202" i="1"/>
  <c r="BN202" i="1"/>
  <c r="BH202" i="1"/>
  <c r="BD202" i="1"/>
  <c r="U202" i="1"/>
  <c r="P202" i="1"/>
  <c r="I202" i="1"/>
  <c r="CU201" i="1"/>
  <c r="CP201" i="1"/>
  <c r="CL201" i="1"/>
  <c r="CI201" i="1"/>
  <c r="CG201" i="1"/>
  <c r="CF201" i="1"/>
  <c r="BZ201" i="1"/>
  <c r="BY201" i="1"/>
  <c r="BX201" i="1"/>
  <c r="BW201" i="1"/>
  <c r="BV201" i="1"/>
  <c r="BU201" i="1"/>
  <c r="BT201" i="1"/>
  <c r="BS201" i="1"/>
  <c r="BR201" i="1"/>
  <c r="BO201" i="1"/>
  <c r="BL201" i="1"/>
  <c r="BK201" i="1"/>
  <c r="BI201" i="1"/>
  <c r="BG201" i="1"/>
  <c r="BF201" i="1"/>
  <c r="BE201" i="1"/>
  <c r="AY201" i="1"/>
  <c r="AW201" i="1"/>
  <c r="AV201" i="1"/>
  <c r="AU201" i="1"/>
  <c r="AR201" i="1"/>
  <c r="AQ201" i="1"/>
  <c r="AP201" i="1"/>
  <c r="AO201" i="1"/>
  <c r="AN201" i="1"/>
  <c r="AM201" i="1"/>
  <c r="AL201" i="1"/>
  <c r="AK201" i="1"/>
  <c r="AJ201" i="1"/>
  <c r="AI201" i="1"/>
  <c r="AH201" i="1"/>
  <c r="AG201" i="1"/>
  <c r="AF201" i="1"/>
  <c r="AE201" i="1"/>
  <c r="AD201" i="1"/>
  <c r="AC201" i="1"/>
  <c r="AB201" i="1"/>
  <c r="AA201" i="1"/>
  <c r="Z201" i="1"/>
  <c r="Y201" i="1"/>
  <c r="X201" i="1"/>
  <c r="W201" i="1"/>
  <c r="V201" i="1"/>
  <c r="T201" i="1"/>
  <c r="S201" i="1"/>
  <c r="R201" i="1"/>
  <c r="Q201" i="1"/>
  <c r="O201" i="1"/>
  <c r="N201" i="1"/>
  <c r="M201" i="1"/>
  <c r="L201" i="1"/>
  <c r="K201" i="1"/>
  <c r="J201" i="1"/>
  <c r="CN200" i="1"/>
  <c r="CE200" i="1"/>
  <c r="BQ200" i="1"/>
  <c r="BN200" i="1"/>
  <c r="BH200" i="1"/>
  <c r="BD200" i="1"/>
  <c r="U200" i="1"/>
  <c r="P200" i="1"/>
  <c r="I200" i="1"/>
  <c r="CU199" i="1"/>
  <c r="CP199" i="1"/>
  <c r="CL199" i="1"/>
  <c r="CI199" i="1"/>
  <c r="CG199" i="1"/>
  <c r="CF199" i="1"/>
  <c r="CB199" i="1"/>
  <c r="CA199" i="1"/>
  <c r="BZ199" i="1"/>
  <c r="BY199" i="1"/>
  <c r="BX199" i="1"/>
  <c r="BW199" i="1"/>
  <c r="BV199" i="1"/>
  <c r="BU199" i="1"/>
  <c r="BT199" i="1"/>
  <c r="BR199" i="1"/>
  <c r="BO199" i="1"/>
  <c r="BL199" i="1"/>
  <c r="BK199" i="1"/>
  <c r="BI199" i="1"/>
  <c r="BG199" i="1"/>
  <c r="BF199" i="1"/>
  <c r="BE199" i="1"/>
  <c r="AY199" i="1"/>
  <c r="AW199" i="1"/>
  <c r="AV199" i="1"/>
  <c r="AU199" i="1"/>
  <c r="AR199" i="1"/>
  <c r="AQ199" i="1"/>
  <c r="AP199" i="1"/>
  <c r="AO199" i="1"/>
  <c r="AN199" i="1"/>
  <c r="AM199" i="1"/>
  <c r="AL199" i="1"/>
  <c r="AK199" i="1"/>
  <c r="AJ199" i="1"/>
  <c r="AI199" i="1"/>
  <c r="AH199" i="1"/>
  <c r="AG199" i="1"/>
  <c r="AF199" i="1"/>
  <c r="AE199" i="1"/>
  <c r="AC199" i="1"/>
  <c r="AB199" i="1"/>
  <c r="AA199" i="1"/>
  <c r="Z199" i="1"/>
  <c r="Y199" i="1"/>
  <c r="X199" i="1"/>
  <c r="W199" i="1"/>
  <c r="V199" i="1"/>
  <c r="T199" i="1"/>
  <c r="S199" i="1"/>
  <c r="R199" i="1"/>
  <c r="Q199" i="1"/>
  <c r="O199" i="1"/>
  <c r="N199" i="1"/>
  <c r="M199" i="1"/>
  <c r="L199" i="1"/>
  <c r="K199" i="1"/>
  <c r="J199" i="1"/>
  <c r="H199" i="1"/>
  <c r="G199" i="1"/>
  <c r="CN198" i="1"/>
  <c r="CE198" i="1"/>
  <c r="BQ198" i="1"/>
  <c r="BN198" i="1"/>
  <c r="BH198" i="1"/>
  <c r="BD198" i="1"/>
  <c r="AD198" i="1"/>
  <c r="U198" i="1"/>
  <c r="P198" i="1"/>
  <c r="I198" i="1"/>
  <c r="CU197" i="1"/>
  <c r="CP197" i="1"/>
  <c r="CL197" i="1"/>
  <c r="CI197" i="1"/>
  <c r="CG197" i="1"/>
  <c r="CF197" i="1"/>
  <c r="CB197" i="1"/>
  <c r="CA197" i="1"/>
  <c r="BZ197" i="1"/>
  <c r="BY197" i="1"/>
  <c r="BX197" i="1"/>
  <c r="BW197" i="1"/>
  <c r="BV197" i="1"/>
  <c r="BU197" i="1"/>
  <c r="BT197" i="1"/>
  <c r="BS197" i="1"/>
  <c r="BR197" i="1"/>
  <c r="BO197" i="1"/>
  <c r="BL197" i="1"/>
  <c r="BK197" i="1"/>
  <c r="BI197" i="1"/>
  <c r="BG197" i="1"/>
  <c r="BF197" i="1"/>
  <c r="BE197" i="1"/>
  <c r="AY197" i="1"/>
  <c r="AW197" i="1"/>
  <c r="AV197" i="1"/>
  <c r="AU197" i="1"/>
  <c r="AR197" i="1"/>
  <c r="AQ197" i="1"/>
  <c r="AP197" i="1"/>
  <c r="AO197" i="1"/>
  <c r="AN197" i="1"/>
  <c r="AM197" i="1"/>
  <c r="AL197" i="1"/>
  <c r="AK197" i="1"/>
  <c r="AJ197" i="1"/>
  <c r="AI197" i="1"/>
  <c r="AH197" i="1"/>
  <c r="AG197" i="1"/>
  <c r="AF197" i="1"/>
  <c r="AE197" i="1"/>
  <c r="AC197" i="1"/>
  <c r="AB197" i="1"/>
  <c r="AA197" i="1"/>
  <c r="Z197" i="1"/>
  <c r="Y197" i="1"/>
  <c r="X197" i="1"/>
  <c r="W197" i="1"/>
  <c r="V197" i="1"/>
  <c r="T197" i="1"/>
  <c r="S197" i="1"/>
  <c r="R197" i="1"/>
  <c r="Q197" i="1"/>
  <c r="O197" i="1"/>
  <c r="N197" i="1"/>
  <c r="M197" i="1"/>
  <c r="L197" i="1"/>
  <c r="K197" i="1"/>
  <c r="J197" i="1"/>
  <c r="H197" i="1"/>
  <c r="G197" i="1"/>
  <c r="CN196" i="1"/>
  <c r="CE196" i="1"/>
  <c r="BQ196" i="1"/>
  <c r="BN196" i="1"/>
  <c r="BH196" i="1"/>
  <c r="BD196" i="1"/>
  <c r="AD196" i="1"/>
  <c r="U196" i="1"/>
  <c r="P196" i="1"/>
  <c r="I196" i="1"/>
  <c r="CU195" i="1"/>
  <c r="CP195" i="1"/>
  <c r="CL195" i="1"/>
  <c r="CI195" i="1"/>
  <c r="CG195" i="1"/>
  <c r="CF195" i="1"/>
  <c r="CB195" i="1"/>
  <c r="CA195" i="1"/>
  <c r="BZ195" i="1"/>
  <c r="BY195" i="1"/>
  <c r="BX195" i="1"/>
  <c r="BW195" i="1"/>
  <c r="BV195" i="1"/>
  <c r="BU195" i="1"/>
  <c r="BT195" i="1"/>
  <c r="BS195" i="1"/>
  <c r="BR195" i="1"/>
  <c r="BO195" i="1"/>
  <c r="BL195" i="1"/>
  <c r="BK195" i="1"/>
  <c r="BI195" i="1"/>
  <c r="BG195" i="1"/>
  <c r="BF195" i="1"/>
  <c r="BE195" i="1"/>
  <c r="AY195" i="1"/>
  <c r="AW195" i="1"/>
  <c r="AV195" i="1"/>
  <c r="AU195" i="1"/>
  <c r="AR195" i="1"/>
  <c r="AQ195" i="1"/>
  <c r="AP195" i="1"/>
  <c r="AO195" i="1"/>
  <c r="AN195" i="1"/>
  <c r="AM195" i="1"/>
  <c r="AL195" i="1"/>
  <c r="AK195" i="1"/>
  <c r="AJ195" i="1"/>
  <c r="AI195" i="1"/>
  <c r="AH195" i="1"/>
  <c r="AG195" i="1"/>
  <c r="AF195" i="1"/>
  <c r="AE195" i="1"/>
  <c r="AC195" i="1"/>
  <c r="AB195" i="1"/>
  <c r="AA195" i="1"/>
  <c r="Z195" i="1"/>
  <c r="Y195" i="1"/>
  <c r="X195" i="1"/>
  <c r="W195" i="1"/>
  <c r="V195" i="1"/>
  <c r="T195" i="1"/>
  <c r="S195" i="1"/>
  <c r="R195" i="1"/>
  <c r="Q195" i="1"/>
  <c r="O195" i="1"/>
  <c r="N195" i="1"/>
  <c r="M195" i="1"/>
  <c r="L195" i="1"/>
  <c r="K195" i="1"/>
  <c r="J195" i="1"/>
  <c r="H195" i="1"/>
  <c r="G195" i="1"/>
  <c r="CN194" i="1"/>
  <c r="CE194" i="1"/>
  <c r="BN194" i="1"/>
  <c r="BH194" i="1"/>
  <c r="BD194" i="1"/>
  <c r="AD194" i="1"/>
  <c r="U194" i="1"/>
  <c r="P194" i="1"/>
  <c r="I194" i="1"/>
  <c r="CU193" i="1"/>
  <c r="CP193" i="1"/>
  <c r="CL193" i="1"/>
  <c r="CI193" i="1"/>
  <c r="CG193" i="1"/>
  <c r="CF193" i="1"/>
  <c r="CB193" i="1"/>
  <c r="BZ193" i="1"/>
  <c r="BY193" i="1"/>
  <c r="BX193" i="1"/>
  <c r="BW193" i="1"/>
  <c r="BV193" i="1"/>
  <c r="BU193" i="1"/>
  <c r="BT193" i="1"/>
  <c r="BS193" i="1"/>
  <c r="BR193" i="1"/>
  <c r="BO193" i="1"/>
  <c r="BL193" i="1"/>
  <c r="BK193" i="1"/>
  <c r="BI193" i="1"/>
  <c r="BG193" i="1"/>
  <c r="BF193" i="1"/>
  <c r="BE193" i="1"/>
  <c r="AY193" i="1"/>
  <c r="AW193" i="1"/>
  <c r="AV193" i="1"/>
  <c r="AU193" i="1"/>
  <c r="AR193" i="1"/>
  <c r="AQ193" i="1"/>
  <c r="AP193" i="1"/>
  <c r="AO193" i="1"/>
  <c r="AN193" i="1"/>
  <c r="AM193" i="1"/>
  <c r="AL193" i="1"/>
  <c r="AK193" i="1"/>
  <c r="AJ193" i="1"/>
  <c r="AI193" i="1"/>
  <c r="AH193" i="1"/>
  <c r="AG193" i="1"/>
  <c r="AF193" i="1"/>
  <c r="AE193" i="1"/>
  <c r="AC193" i="1"/>
  <c r="AB193" i="1"/>
  <c r="AA193" i="1"/>
  <c r="Z193" i="1"/>
  <c r="Y193" i="1"/>
  <c r="X193" i="1"/>
  <c r="W193" i="1"/>
  <c r="V193" i="1"/>
  <c r="T193" i="1"/>
  <c r="S193" i="1"/>
  <c r="R193" i="1"/>
  <c r="Q193" i="1"/>
  <c r="O193" i="1"/>
  <c r="N193" i="1"/>
  <c r="M193" i="1"/>
  <c r="L193" i="1"/>
  <c r="K193" i="1"/>
  <c r="J193" i="1"/>
  <c r="H193" i="1"/>
  <c r="G193" i="1"/>
  <c r="CN192" i="1"/>
  <c r="CE192" i="1"/>
  <c r="BQ192" i="1"/>
  <c r="BN192" i="1"/>
  <c r="BH192" i="1"/>
  <c r="BD192" i="1"/>
  <c r="AD192" i="1"/>
  <c r="U192" i="1"/>
  <c r="P192" i="1"/>
  <c r="I192" i="1"/>
  <c r="CN191" i="1"/>
  <c r="CE191" i="1"/>
  <c r="BQ191" i="1"/>
  <c r="BN191" i="1"/>
  <c r="BH191" i="1"/>
  <c r="BD191" i="1"/>
  <c r="AD191" i="1"/>
  <c r="U191" i="1"/>
  <c r="P191" i="1"/>
  <c r="I191" i="1"/>
  <c r="CN190" i="1"/>
  <c r="CE190" i="1"/>
  <c r="BQ190" i="1"/>
  <c r="BN190" i="1"/>
  <c r="BH190" i="1"/>
  <c r="BD190" i="1"/>
  <c r="AD190" i="1"/>
  <c r="U190" i="1"/>
  <c r="P190" i="1"/>
  <c r="I190" i="1"/>
  <c r="CU189" i="1"/>
  <c r="CP189" i="1"/>
  <c r="CL189" i="1"/>
  <c r="CI189" i="1"/>
  <c r="CG189" i="1"/>
  <c r="CF189" i="1"/>
  <c r="CB189" i="1"/>
  <c r="CA189" i="1"/>
  <c r="BZ189" i="1"/>
  <c r="BY189" i="1"/>
  <c r="BX189" i="1"/>
  <c r="BW189" i="1"/>
  <c r="BV189" i="1"/>
  <c r="BU189" i="1"/>
  <c r="BT189" i="1"/>
  <c r="BS189" i="1"/>
  <c r="BR189" i="1"/>
  <c r="BO189" i="1"/>
  <c r="BL189" i="1"/>
  <c r="BK189" i="1"/>
  <c r="BI189" i="1"/>
  <c r="BG189" i="1"/>
  <c r="BF189" i="1"/>
  <c r="BE189" i="1"/>
  <c r="AY189" i="1"/>
  <c r="AW189" i="1"/>
  <c r="AV189" i="1"/>
  <c r="AU189" i="1"/>
  <c r="AR189" i="1"/>
  <c r="AQ189" i="1"/>
  <c r="AP189" i="1"/>
  <c r="AO189" i="1"/>
  <c r="AN189" i="1"/>
  <c r="AM189" i="1"/>
  <c r="AL189" i="1"/>
  <c r="AK189" i="1"/>
  <c r="AJ189" i="1"/>
  <c r="AI189" i="1"/>
  <c r="AH189" i="1"/>
  <c r="AG189" i="1"/>
  <c r="AF189" i="1"/>
  <c r="AE189" i="1"/>
  <c r="AC189" i="1"/>
  <c r="AB189" i="1"/>
  <c r="AA189" i="1"/>
  <c r="Z189" i="1"/>
  <c r="Y189" i="1"/>
  <c r="X189" i="1"/>
  <c r="W189" i="1"/>
  <c r="V189" i="1"/>
  <c r="T189" i="1"/>
  <c r="S189" i="1"/>
  <c r="R189" i="1"/>
  <c r="Q189" i="1"/>
  <c r="O189" i="1"/>
  <c r="N189" i="1"/>
  <c r="M189" i="1"/>
  <c r="L189" i="1"/>
  <c r="K189" i="1"/>
  <c r="J189" i="1"/>
  <c r="CN188" i="1"/>
  <c r="CE188" i="1"/>
  <c r="BQ188" i="1"/>
  <c r="BN188" i="1"/>
  <c r="BH188" i="1"/>
  <c r="BD188" i="1"/>
  <c r="AD188" i="1"/>
  <c r="U188" i="1"/>
  <c r="P188" i="1"/>
  <c r="I188" i="1"/>
  <c r="CN187" i="1"/>
  <c r="CE187" i="1"/>
  <c r="BQ187" i="1"/>
  <c r="BN187" i="1"/>
  <c r="BH187" i="1"/>
  <c r="BD187" i="1"/>
  <c r="AD187" i="1"/>
  <c r="U187" i="1"/>
  <c r="P187" i="1"/>
  <c r="I187" i="1"/>
  <c r="CN181" i="1"/>
  <c r="CE181" i="1"/>
  <c r="BQ181" i="1"/>
  <c r="BN181" i="1"/>
  <c r="BD181" i="1"/>
  <c r="AD181" i="1"/>
  <c r="U181" i="1"/>
  <c r="P181" i="1"/>
  <c r="I181" i="1"/>
  <c r="CN179" i="1"/>
  <c r="CE179" i="1"/>
  <c r="BQ179" i="1"/>
  <c r="BN179" i="1"/>
  <c r="BD179" i="1"/>
  <c r="U179" i="1"/>
  <c r="P179" i="1"/>
  <c r="I179" i="1"/>
  <c r="CU178" i="1"/>
  <c r="CP178" i="1"/>
  <c r="CL178" i="1"/>
  <c r="CI178" i="1"/>
  <c r="CG178" i="1"/>
  <c r="CF178" i="1"/>
  <c r="CB178" i="1"/>
  <c r="CA178" i="1"/>
  <c r="BZ178" i="1"/>
  <c r="BY178" i="1"/>
  <c r="BX178" i="1"/>
  <c r="BW178" i="1"/>
  <c r="BV178" i="1"/>
  <c r="BU178" i="1"/>
  <c r="BT178" i="1"/>
  <c r="BS178" i="1"/>
  <c r="BR178" i="1"/>
  <c r="BO178" i="1"/>
  <c r="BL178" i="1"/>
  <c r="BK178" i="1"/>
  <c r="BI178" i="1"/>
  <c r="BG178" i="1"/>
  <c r="BF178" i="1"/>
  <c r="BE178" i="1"/>
  <c r="AY178" i="1"/>
  <c r="AW178" i="1"/>
  <c r="AV178" i="1"/>
  <c r="AU178" i="1"/>
  <c r="AR178" i="1"/>
  <c r="AQ178" i="1"/>
  <c r="AP178" i="1"/>
  <c r="AO178" i="1"/>
  <c r="AN178" i="1"/>
  <c r="AM178" i="1"/>
  <c r="AL178" i="1"/>
  <c r="AK178" i="1"/>
  <c r="AJ178" i="1"/>
  <c r="AI178" i="1"/>
  <c r="AH178" i="1"/>
  <c r="AG178" i="1"/>
  <c r="AF178" i="1"/>
  <c r="AE178" i="1"/>
  <c r="AD178" i="1"/>
  <c r="AC178" i="1"/>
  <c r="AB178" i="1"/>
  <c r="AA178" i="1"/>
  <c r="Z178" i="1"/>
  <c r="Y178" i="1"/>
  <c r="X178" i="1"/>
  <c r="W178" i="1"/>
  <c r="V178" i="1"/>
  <c r="T178" i="1"/>
  <c r="S178" i="1"/>
  <c r="R178" i="1"/>
  <c r="Q178" i="1"/>
  <c r="O178" i="1"/>
  <c r="N178" i="1"/>
  <c r="M178" i="1"/>
  <c r="L178" i="1"/>
  <c r="K178" i="1"/>
  <c r="J178" i="1"/>
  <c r="H178" i="1"/>
  <c r="G178" i="1"/>
  <c r="CN177" i="1"/>
  <c r="CE177" i="1"/>
  <c r="BQ177" i="1"/>
  <c r="BN177" i="1"/>
  <c r="BD177" i="1"/>
  <c r="AD177" i="1"/>
  <c r="U177" i="1"/>
  <c r="P177" i="1"/>
  <c r="I177" i="1"/>
  <c r="CN176" i="1"/>
  <c r="CE176" i="1"/>
  <c r="BQ176" i="1"/>
  <c r="BN176" i="1"/>
  <c r="BD176" i="1"/>
  <c r="AD176" i="1"/>
  <c r="U176" i="1"/>
  <c r="P176" i="1"/>
  <c r="I176" i="1"/>
  <c r="CU175" i="1"/>
  <c r="CP175" i="1"/>
  <c r="CL175" i="1"/>
  <c r="CI175" i="1"/>
  <c r="CG175" i="1"/>
  <c r="CF175" i="1"/>
  <c r="CB175" i="1"/>
  <c r="CA175" i="1"/>
  <c r="BZ175" i="1"/>
  <c r="BY175" i="1"/>
  <c r="BX175" i="1"/>
  <c r="BW175" i="1"/>
  <c r="BV175" i="1"/>
  <c r="BU175" i="1"/>
  <c r="BT175" i="1"/>
  <c r="BS175" i="1"/>
  <c r="BR175" i="1"/>
  <c r="BO175" i="1"/>
  <c r="BL175" i="1"/>
  <c r="BK175" i="1"/>
  <c r="BI175" i="1"/>
  <c r="BG175" i="1"/>
  <c r="BF175" i="1"/>
  <c r="BE175" i="1"/>
  <c r="AY175" i="1"/>
  <c r="AW175" i="1"/>
  <c r="AV175" i="1"/>
  <c r="AU175" i="1"/>
  <c r="AT175" i="1"/>
  <c r="AS175" i="1"/>
  <c r="AR175" i="1"/>
  <c r="AQ175" i="1"/>
  <c r="AP175" i="1"/>
  <c r="AO175" i="1"/>
  <c r="AN175" i="1"/>
  <c r="AM175" i="1"/>
  <c r="AL175" i="1"/>
  <c r="AK175" i="1"/>
  <c r="AJ175" i="1"/>
  <c r="AI175" i="1"/>
  <c r="AH175" i="1"/>
  <c r="AG175" i="1"/>
  <c r="AF175" i="1"/>
  <c r="AE175" i="1"/>
  <c r="AC175" i="1"/>
  <c r="AB175" i="1"/>
  <c r="AA175" i="1"/>
  <c r="Z175" i="1"/>
  <c r="Y175" i="1"/>
  <c r="X175" i="1"/>
  <c r="W175" i="1"/>
  <c r="V175" i="1"/>
  <c r="T175" i="1"/>
  <c r="S175" i="1"/>
  <c r="R175" i="1"/>
  <c r="Q175" i="1"/>
  <c r="O175" i="1"/>
  <c r="N175" i="1"/>
  <c r="M175" i="1"/>
  <c r="L175" i="1"/>
  <c r="K175" i="1"/>
  <c r="J175" i="1"/>
  <c r="G175" i="1"/>
  <c r="CN174" i="1"/>
  <c r="CE174" i="1"/>
  <c r="BQ174" i="1"/>
  <c r="BN174" i="1"/>
  <c r="BD174" i="1"/>
  <c r="AD174" i="1"/>
  <c r="U174" i="1"/>
  <c r="P174" i="1"/>
  <c r="I174" i="1"/>
  <c r="CN173" i="1"/>
  <c r="CE173" i="1"/>
  <c r="BQ173" i="1"/>
  <c r="BN173" i="1"/>
  <c r="BD173" i="1"/>
  <c r="AD173" i="1"/>
  <c r="U173" i="1"/>
  <c r="P173" i="1"/>
  <c r="CU172" i="1"/>
  <c r="CQ172" i="1"/>
  <c r="CP172" i="1"/>
  <c r="CL172" i="1"/>
  <c r="CI172" i="1"/>
  <c r="CG172" i="1"/>
  <c r="CF172" i="1"/>
  <c r="CB172" i="1"/>
  <c r="CA172" i="1"/>
  <c r="BZ172" i="1"/>
  <c r="BY172" i="1"/>
  <c r="BX172" i="1"/>
  <c r="BW172" i="1"/>
  <c r="BV172" i="1"/>
  <c r="BU172" i="1"/>
  <c r="BT172" i="1"/>
  <c r="BS172" i="1"/>
  <c r="BR172" i="1"/>
  <c r="BO172" i="1"/>
  <c r="BL172" i="1"/>
  <c r="BK172" i="1"/>
  <c r="BI172" i="1"/>
  <c r="BG172" i="1"/>
  <c r="BF172" i="1"/>
  <c r="BE172" i="1"/>
  <c r="AY172" i="1"/>
  <c r="AW172" i="1"/>
  <c r="AV172" i="1"/>
  <c r="AU172" i="1"/>
  <c r="AT172" i="1"/>
  <c r="AS172" i="1"/>
  <c r="AR172" i="1"/>
  <c r="AQ172" i="1"/>
  <c r="AP172" i="1"/>
  <c r="AO172" i="1"/>
  <c r="AN172" i="1"/>
  <c r="AM172" i="1"/>
  <c r="AL172" i="1"/>
  <c r="AK172" i="1"/>
  <c r="AJ172" i="1"/>
  <c r="AI172" i="1"/>
  <c r="AH172" i="1"/>
  <c r="AG172" i="1"/>
  <c r="AF172" i="1"/>
  <c r="AE172" i="1"/>
  <c r="AC172" i="1"/>
  <c r="AB172" i="1"/>
  <c r="AA172" i="1"/>
  <c r="Z172" i="1"/>
  <c r="Y172" i="1"/>
  <c r="X172" i="1"/>
  <c r="W172" i="1"/>
  <c r="V172" i="1"/>
  <c r="T172" i="1"/>
  <c r="S172" i="1"/>
  <c r="R172" i="1"/>
  <c r="Q172" i="1"/>
  <c r="N172" i="1"/>
  <c r="M172" i="1"/>
  <c r="L172" i="1"/>
  <c r="K172" i="1"/>
  <c r="J172" i="1"/>
  <c r="H172" i="1"/>
  <c r="G172" i="1"/>
  <c r="CN171" i="1"/>
  <c r="CE171" i="1"/>
  <c r="BQ171" i="1"/>
  <c r="BN171" i="1"/>
  <c r="BD171" i="1"/>
  <c r="AD171" i="1"/>
  <c r="U171" i="1"/>
  <c r="P171" i="1"/>
  <c r="O170" i="1"/>
  <c r="L170" i="1"/>
  <c r="K170" i="1"/>
  <c r="CU170" i="1"/>
  <c r="CP170" i="1"/>
  <c r="CL170" i="1"/>
  <c r="CI170" i="1"/>
  <c r="CF170" i="1"/>
  <c r="CB170" i="1"/>
  <c r="CA170" i="1"/>
  <c r="BZ170" i="1"/>
  <c r="BY170" i="1"/>
  <c r="BX170" i="1"/>
  <c r="BW170" i="1"/>
  <c r="BV170" i="1"/>
  <c r="BU170" i="1"/>
  <c r="BT170" i="1"/>
  <c r="BS170" i="1"/>
  <c r="BR170" i="1"/>
  <c r="BO170" i="1"/>
  <c r="BL170" i="1"/>
  <c r="BK170" i="1"/>
  <c r="BI170" i="1"/>
  <c r="BG170" i="1"/>
  <c r="BF170" i="1"/>
  <c r="BE170" i="1"/>
  <c r="AY170" i="1"/>
  <c r="AW170" i="1"/>
  <c r="AV170" i="1"/>
  <c r="AU170" i="1"/>
  <c r="AT170" i="1"/>
  <c r="AS170" i="1"/>
  <c r="AR170" i="1"/>
  <c r="AQ170" i="1"/>
  <c r="AP170" i="1"/>
  <c r="AO170" i="1"/>
  <c r="AN170" i="1"/>
  <c r="AM170" i="1"/>
  <c r="AL170" i="1"/>
  <c r="AK170" i="1"/>
  <c r="AJ170" i="1"/>
  <c r="AI170" i="1"/>
  <c r="AG170" i="1"/>
  <c r="AF170" i="1"/>
  <c r="AE170" i="1"/>
  <c r="AC170" i="1"/>
  <c r="AB170" i="1"/>
  <c r="AA170" i="1"/>
  <c r="Z170" i="1"/>
  <c r="Y170" i="1"/>
  <c r="X170" i="1"/>
  <c r="W170" i="1"/>
  <c r="V170" i="1"/>
  <c r="T170" i="1"/>
  <c r="S170" i="1"/>
  <c r="R170" i="1"/>
  <c r="Q170" i="1"/>
  <c r="N170" i="1"/>
  <c r="M170" i="1"/>
  <c r="H170" i="1"/>
  <c r="G170" i="1"/>
  <c r="CE166" i="1"/>
  <c r="BQ166" i="1"/>
  <c r="BN166" i="1"/>
  <c r="BD166" i="1"/>
  <c r="P166" i="1"/>
  <c r="CN165" i="1"/>
  <c r="CE165" i="1"/>
  <c r="BQ165" i="1"/>
  <c r="BN165" i="1"/>
  <c r="BD165" i="1"/>
  <c r="AD165" i="1"/>
  <c r="U165" i="1"/>
  <c r="P165" i="1"/>
  <c r="I165" i="1"/>
  <c r="CU164" i="1"/>
  <c r="CP164" i="1"/>
  <c r="CL164" i="1"/>
  <c r="CI164" i="1"/>
  <c r="CF164" i="1"/>
  <c r="CB164" i="1"/>
  <c r="CA164" i="1"/>
  <c r="BZ164" i="1"/>
  <c r="BY164" i="1"/>
  <c r="BX164" i="1"/>
  <c r="BW164" i="1"/>
  <c r="BV164" i="1"/>
  <c r="BU164" i="1"/>
  <c r="BT164" i="1"/>
  <c r="BS164" i="1"/>
  <c r="BR164" i="1"/>
  <c r="BO164" i="1"/>
  <c r="BL164" i="1"/>
  <c r="BK164" i="1"/>
  <c r="BI164" i="1"/>
  <c r="BG164" i="1"/>
  <c r="BF164" i="1"/>
  <c r="BE164" i="1"/>
  <c r="AY164" i="1"/>
  <c r="AW164" i="1"/>
  <c r="AV164" i="1"/>
  <c r="AU164" i="1"/>
  <c r="AR164" i="1"/>
  <c r="AQ164" i="1"/>
  <c r="AP164" i="1"/>
  <c r="AO164" i="1"/>
  <c r="AN164" i="1"/>
  <c r="AL164" i="1"/>
  <c r="AK164" i="1"/>
  <c r="AJ164" i="1"/>
  <c r="AI164" i="1"/>
  <c r="AF164" i="1"/>
  <c r="AE164" i="1"/>
  <c r="AC164" i="1"/>
  <c r="AB164" i="1"/>
  <c r="AA164" i="1"/>
  <c r="Z164" i="1"/>
  <c r="Y164" i="1"/>
  <c r="X164" i="1"/>
  <c r="W164" i="1"/>
  <c r="V164" i="1"/>
  <c r="S164" i="1"/>
  <c r="R164" i="1"/>
  <c r="Q164" i="1"/>
  <c r="M164" i="1"/>
  <c r="L164" i="1"/>
  <c r="K164" i="1"/>
  <c r="J164" i="1"/>
  <c r="CN163" i="1"/>
  <c r="CE163" i="1"/>
  <c r="BQ163" i="1"/>
  <c r="BN163" i="1"/>
  <c r="BD163" i="1"/>
  <c r="U163" i="1"/>
  <c r="P163" i="1"/>
  <c r="I163" i="1"/>
  <c r="CU161" i="1"/>
  <c r="CP161" i="1"/>
  <c r="CL161" i="1"/>
  <c r="CI161" i="1"/>
  <c r="CF161" i="1"/>
  <c r="CB161" i="1"/>
  <c r="CA161" i="1"/>
  <c r="BZ161" i="1"/>
  <c r="BY161" i="1"/>
  <c r="BX161" i="1"/>
  <c r="BW161" i="1"/>
  <c r="BV161" i="1"/>
  <c r="BU161" i="1"/>
  <c r="BT161" i="1"/>
  <c r="BS161" i="1"/>
  <c r="BR161" i="1"/>
  <c r="BO161" i="1"/>
  <c r="BL161" i="1"/>
  <c r="BK161" i="1"/>
  <c r="BI161" i="1"/>
  <c r="BG161" i="1"/>
  <c r="BF161" i="1"/>
  <c r="BE161" i="1"/>
  <c r="AW161" i="1"/>
  <c r="AV161" i="1"/>
  <c r="AU161" i="1"/>
  <c r="AR161" i="1"/>
  <c r="AP161" i="1"/>
  <c r="AO161" i="1"/>
  <c r="AN161" i="1"/>
  <c r="AM161" i="1"/>
  <c r="AL161" i="1"/>
  <c r="AK161" i="1"/>
  <c r="AJ161" i="1"/>
  <c r="AI161" i="1"/>
  <c r="AH161" i="1"/>
  <c r="AG161" i="1"/>
  <c r="AF161" i="1"/>
  <c r="AE161" i="1"/>
  <c r="AC161" i="1"/>
  <c r="AB161" i="1"/>
  <c r="AA161" i="1"/>
  <c r="Z161" i="1"/>
  <c r="Y161" i="1"/>
  <c r="W161" i="1"/>
  <c r="V161" i="1"/>
  <c r="S161" i="1"/>
  <c r="Q161" i="1"/>
  <c r="M161" i="1"/>
  <c r="L161" i="1"/>
  <c r="K161" i="1"/>
  <c r="J161" i="1"/>
  <c r="CN159" i="1"/>
  <c r="CE159" i="1"/>
  <c r="BQ159" i="1"/>
  <c r="BN159" i="1"/>
  <c r="BD159" i="1"/>
  <c r="AD159" i="1"/>
  <c r="U159" i="1"/>
  <c r="P159" i="1"/>
  <c r="I159" i="1"/>
  <c r="CN158" i="1"/>
  <c r="CE158" i="1"/>
  <c r="BQ158" i="1"/>
  <c r="BN158" i="1"/>
  <c r="BD158" i="1"/>
  <c r="AD158" i="1"/>
  <c r="U158" i="1"/>
  <c r="P158" i="1"/>
  <c r="I158" i="1"/>
  <c r="CN157" i="1"/>
  <c r="CE157" i="1"/>
  <c r="BQ157" i="1"/>
  <c r="BN157" i="1"/>
  <c r="BD157" i="1"/>
  <c r="AD157" i="1"/>
  <c r="U157" i="1"/>
  <c r="P157" i="1"/>
  <c r="I157" i="1"/>
  <c r="CN156" i="1"/>
  <c r="CE156" i="1"/>
  <c r="BQ156" i="1"/>
  <c r="BN156" i="1"/>
  <c r="BD156" i="1"/>
  <c r="AD156" i="1"/>
  <c r="U156" i="1"/>
  <c r="P156" i="1"/>
  <c r="I156" i="1"/>
  <c r="CN155" i="1"/>
  <c r="BQ155" i="1"/>
  <c r="BN155" i="1"/>
  <c r="BD155" i="1"/>
  <c r="U155" i="1"/>
  <c r="P155" i="1"/>
  <c r="CU154" i="1"/>
  <c r="CP154" i="1"/>
  <c r="CL154" i="1"/>
  <c r="CI154" i="1"/>
  <c r="CF154" i="1"/>
  <c r="CB154" i="1"/>
  <c r="CA154" i="1"/>
  <c r="BZ154" i="1"/>
  <c r="BY154" i="1"/>
  <c r="BX154" i="1"/>
  <c r="BW154" i="1"/>
  <c r="BV154" i="1"/>
  <c r="BU154" i="1"/>
  <c r="BT154" i="1"/>
  <c r="BS154" i="1"/>
  <c r="BR154" i="1"/>
  <c r="BO154" i="1"/>
  <c r="BL154" i="1"/>
  <c r="BK154" i="1"/>
  <c r="BI154" i="1"/>
  <c r="BG154" i="1"/>
  <c r="BF154" i="1"/>
  <c r="BE154" i="1"/>
  <c r="AW154" i="1"/>
  <c r="AV154" i="1"/>
  <c r="AU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C154" i="1"/>
  <c r="AB154" i="1"/>
  <c r="AA154" i="1"/>
  <c r="Z154" i="1"/>
  <c r="Y154" i="1"/>
  <c r="X154" i="1"/>
  <c r="W154" i="1"/>
  <c r="V154" i="1"/>
  <c r="T154" i="1"/>
  <c r="S154" i="1"/>
  <c r="R154" i="1"/>
  <c r="Q154" i="1"/>
  <c r="M154" i="1"/>
  <c r="L154" i="1"/>
  <c r="K154" i="1"/>
  <c r="G154" i="1"/>
  <c r="CN153" i="1"/>
  <c r="CE153" i="1"/>
  <c r="BQ153" i="1"/>
  <c r="BN153" i="1"/>
  <c r="BD153" i="1"/>
  <c r="AD153" i="1"/>
  <c r="U153" i="1"/>
  <c r="P153" i="1"/>
  <c r="I153" i="1"/>
  <c r="CN152" i="1"/>
  <c r="CE152" i="1"/>
  <c r="BQ152" i="1"/>
  <c r="BN152" i="1"/>
  <c r="BD152" i="1"/>
  <c r="AD152" i="1"/>
  <c r="U152" i="1"/>
  <c r="P152" i="1"/>
  <c r="I152" i="1"/>
  <c r="CU151" i="1"/>
  <c r="CP151" i="1"/>
  <c r="CL151" i="1"/>
  <c r="CI151" i="1"/>
  <c r="CG151" i="1"/>
  <c r="CF151" i="1"/>
  <c r="CB151" i="1"/>
  <c r="CA151" i="1"/>
  <c r="BZ151" i="1"/>
  <c r="BY151" i="1"/>
  <c r="BX151" i="1"/>
  <c r="BW151" i="1"/>
  <c r="BV151" i="1"/>
  <c r="BU151" i="1"/>
  <c r="BT151" i="1"/>
  <c r="BS151" i="1"/>
  <c r="BR151" i="1"/>
  <c r="BO151" i="1"/>
  <c r="BL151" i="1"/>
  <c r="BK151" i="1"/>
  <c r="BI151" i="1"/>
  <c r="BG151" i="1"/>
  <c r="BF151" i="1"/>
  <c r="BE151" i="1"/>
  <c r="AY151" i="1"/>
  <c r="AW151" i="1"/>
  <c r="AV151" i="1"/>
  <c r="AU151" i="1"/>
  <c r="AR151" i="1"/>
  <c r="AQ151" i="1"/>
  <c r="AP151" i="1"/>
  <c r="AO151" i="1"/>
  <c r="AN151" i="1"/>
  <c r="AM151" i="1"/>
  <c r="AL151" i="1"/>
  <c r="AK151" i="1"/>
  <c r="AJ151" i="1"/>
  <c r="AI151" i="1"/>
  <c r="AH151" i="1"/>
  <c r="AG151" i="1"/>
  <c r="AF151" i="1"/>
  <c r="AE151" i="1"/>
  <c r="AC151" i="1"/>
  <c r="AB151" i="1"/>
  <c r="AA151" i="1"/>
  <c r="Z151" i="1"/>
  <c r="Y151" i="1"/>
  <c r="X151" i="1"/>
  <c r="W151" i="1"/>
  <c r="V151" i="1"/>
  <c r="T151" i="1"/>
  <c r="S151" i="1"/>
  <c r="R151" i="1"/>
  <c r="Q151" i="1"/>
  <c r="O151" i="1"/>
  <c r="N151" i="1"/>
  <c r="M151" i="1"/>
  <c r="L151" i="1"/>
  <c r="K151" i="1"/>
  <c r="J151" i="1"/>
  <c r="H151" i="1"/>
  <c r="G151" i="1"/>
  <c r="CN150" i="1"/>
  <c r="CE150" i="1"/>
  <c r="BQ150" i="1"/>
  <c r="BN150" i="1"/>
  <c r="BD150" i="1"/>
  <c r="AD150" i="1"/>
  <c r="U150" i="1"/>
  <c r="P150" i="1"/>
  <c r="I150" i="1"/>
  <c r="CN148" i="1"/>
  <c r="CE148" i="1"/>
  <c r="BQ148" i="1"/>
  <c r="BN148" i="1"/>
  <c r="BD148" i="1"/>
  <c r="AD148" i="1"/>
  <c r="U148" i="1"/>
  <c r="P148" i="1"/>
  <c r="I148" i="1"/>
  <c r="CN149" i="1"/>
  <c r="CE149" i="1"/>
  <c r="BQ149" i="1"/>
  <c r="BN149" i="1"/>
  <c r="BD149" i="1"/>
  <c r="AD149" i="1"/>
  <c r="U149" i="1"/>
  <c r="P149" i="1"/>
  <c r="I149" i="1"/>
  <c r="CU147" i="1"/>
  <c r="CP147" i="1"/>
  <c r="CL147" i="1"/>
  <c r="CI147" i="1"/>
  <c r="CG147" i="1"/>
  <c r="CF147" i="1"/>
  <c r="CB147" i="1"/>
  <c r="CA147" i="1"/>
  <c r="BZ147" i="1"/>
  <c r="BY147" i="1"/>
  <c r="BX147" i="1"/>
  <c r="BW147" i="1"/>
  <c r="BV147" i="1"/>
  <c r="BU147" i="1"/>
  <c r="BT147" i="1"/>
  <c r="BS147" i="1"/>
  <c r="BR147" i="1"/>
  <c r="BO147" i="1"/>
  <c r="BL147" i="1"/>
  <c r="BK147" i="1"/>
  <c r="BI147" i="1"/>
  <c r="BG147" i="1"/>
  <c r="BF147" i="1"/>
  <c r="BE147" i="1"/>
  <c r="AY147" i="1"/>
  <c r="AW147" i="1"/>
  <c r="AV147" i="1"/>
  <c r="AU147" i="1"/>
  <c r="AR147" i="1"/>
  <c r="AQ147" i="1"/>
  <c r="AP147" i="1"/>
  <c r="AO147" i="1"/>
  <c r="AN147" i="1"/>
  <c r="AM147" i="1"/>
  <c r="AL147" i="1"/>
  <c r="AK147" i="1"/>
  <c r="AJ147" i="1"/>
  <c r="AI147" i="1"/>
  <c r="AH147" i="1"/>
  <c r="AG147" i="1"/>
  <c r="AF147" i="1"/>
  <c r="AE147" i="1"/>
  <c r="AC147" i="1"/>
  <c r="AB147" i="1"/>
  <c r="AA147" i="1"/>
  <c r="Z147" i="1"/>
  <c r="Y147" i="1"/>
  <c r="X147" i="1"/>
  <c r="W147" i="1"/>
  <c r="V147" i="1"/>
  <c r="T147" i="1"/>
  <c r="S147" i="1"/>
  <c r="R147" i="1"/>
  <c r="Q147" i="1"/>
  <c r="O147" i="1"/>
  <c r="N147" i="1"/>
  <c r="M147" i="1"/>
  <c r="L147" i="1"/>
  <c r="K147" i="1"/>
  <c r="J147" i="1"/>
  <c r="CN145" i="1"/>
  <c r="CE145" i="1"/>
  <c r="BQ145" i="1"/>
  <c r="BN145" i="1"/>
  <c r="BH145" i="1"/>
  <c r="BD145" i="1"/>
  <c r="AD145" i="1"/>
  <c r="U145" i="1"/>
  <c r="P145" i="1"/>
  <c r="I145" i="1"/>
  <c r="CN144" i="1"/>
  <c r="CE144" i="1"/>
  <c r="BQ144" i="1"/>
  <c r="BN144" i="1"/>
  <c r="BD144" i="1"/>
  <c r="AD144" i="1"/>
  <c r="U144" i="1"/>
  <c r="P144" i="1"/>
  <c r="I144" i="1"/>
  <c r="CN143" i="1"/>
  <c r="CE143" i="1"/>
  <c r="BQ143" i="1"/>
  <c r="BN143" i="1"/>
  <c r="BD143" i="1"/>
  <c r="AD143" i="1"/>
  <c r="U143" i="1"/>
  <c r="P143" i="1"/>
  <c r="I143" i="1"/>
  <c r="CU142" i="1"/>
  <c r="CP142" i="1"/>
  <c r="CL142" i="1"/>
  <c r="CI142" i="1"/>
  <c r="CG142" i="1"/>
  <c r="CF142" i="1"/>
  <c r="CB142" i="1"/>
  <c r="CA142" i="1"/>
  <c r="BZ142" i="1"/>
  <c r="BY142" i="1"/>
  <c r="BX142" i="1"/>
  <c r="BW142" i="1"/>
  <c r="BV142" i="1"/>
  <c r="BU142" i="1"/>
  <c r="BT142" i="1"/>
  <c r="BS142" i="1"/>
  <c r="BR142" i="1"/>
  <c r="BO142" i="1"/>
  <c r="BL142" i="1"/>
  <c r="BK142" i="1"/>
  <c r="BI142" i="1"/>
  <c r="BG142" i="1"/>
  <c r="BF142" i="1"/>
  <c r="BE142" i="1"/>
  <c r="AY142" i="1"/>
  <c r="AW142" i="1"/>
  <c r="AV142" i="1"/>
  <c r="AU142" i="1"/>
  <c r="AR142" i="1"/>
  <c r="AQ142" i="1"/>
  <c r="AP142" i="1"/>
  <c r="AO142" i="1"/>
  <c r="AN142" i="1"/>
  <c r="AM142" i="1"/>
  <c r="AL142" i="1"/>
  <c r="AK142" i="1"/>
  <c r="AJ142" i="1"/>
  <c r="AI142" i="1"/>
  <c r="AH142" i="1"/>
  <c r="AG142" i="1"/>
  <c r="AF142" i="1"/>
  <c r="AE142" i="1"/>
  <c r="AC142" i="1"/>
  <c r="AB142" i="1"/>
  <c r="AA142" i="1"/>
  <c r="Z142" i="1"/>
  <c r="Y142" i="1"/>
  <c r="X142" i="1"/>
  <c r="W142" i="1"/>
  <c r="V142" i="1"/>
  <c r="T142" i="1"/>
  <c r="S142" i="1"/>
  <c r="R142" i="1"/>
  <c r="Q142" i="1"/>
  <c r="O142" i="1"/>
  <c r="N142" i="1"/>
  <c r="M142" i="1"/>
  <c r="L142" i="1"/>
  <c r="K142" i="1"/>
  <c r="J142" i="1"/>
  <c r="H142" i="1"/>
  <c r="G142" i="1"/>
  <c r="CN141" i="1"/>
  <c r="CE141" i="1"/>
  <c r="BQ141" i="1"/>
  <c r="BN141" i="1"/>
  <c r="BD141" i="1"/>
  <c r="AD141" i="1"/>
  <c r="U141" i="1"/>
  <c r="P141" i="1"/>
  <c r="I141" i="1"/>
  <c r="CU140" i="1"/>
  <c r="CP140" i="1"/>
  <c r="CL140" i="1"/>
  <c r="CI140" i="1"/>
  <c r="CG140" i="1"/>
  <c r="CF140" i="1"/>
  <c r="CB140" i="1"/>
  <c r="CA140" i="1"/>
  <c r="BZ140" i="1"/>
  <c r="BY140" i="1"/>
  <c r="BX140" i="1"/>
  <c r="BW140" i="1"/>
  <c r="BV140" i="1"/>
  <c r="BU140" i="1"/>
  <c r="BT140" i="1"/>
  <c r="BS140" i="1"/>
  <c r="BR140" i="1"/>
  <c r="BO140" i="1"/>
  <c r="BL140" i="1"/>
  <c r="BK140" i="1"/>
  <c r="BI140" i="1"/>
  <c r="BG140" i="1"/>
  <c r="BF140" i="1"/>
  <c r="BE140" i="1"/>
  <c r="AY140" i="1"/>
  <c r="AW140" i="1"/>
  <c r="AV140" i="1"/>
  <c r="AU140" i="1"/>
  <c r="AR140" i="1"/>
  <c r="AQ140" i="1"/>
  <c r="AP140" i="1"/>
  <c r="AO140" i="1"/>
  <c r="AN140" i="1"/>
  <c r="AM140" i="1"/>
  <c r="AL140" i="1"/>
  <c r="AK140" i="1"/>
  <c r="AJ140" i="1"/>
  <c r="AI140" i="1"/>
  <c r="AH140" i="1"/>
  <c r="AG140" i="1"/>
  <c r="AF140" i="1"/>
  <c r="AE140" i="1"/>
  <c r="AC140" i="1"/>
  <c r="AB140" i="1"/>
  <c r="AA140" i="1"/>
  <c r="Z140" i="1"/>
  <c r="Y140" i="1"/>
  <c r="X140" i="1"/>
  <c r="W140" i="1"/>
  <c r="V140" i="1"/>
  <c r="T140" i="1"/>
  <c r="S140" i="1"/>
  <c r="R140" i="1"/>
  <c r="Q140" i="1"/>
  <c r="O140" i="1"/>
  <c r="N140" i="1"/>
  <c r="M140" i="1"/>
  <c r="L140" i="1"/>
  <c r="K140" i="1"/>
  <c r="J140" i="1"/>
  <c r="G140" i="1"/>
  <c r="CN139" i="1"/>
  <c r="CE139" i="1"/>
  <c r="BQ139" i="1"/>
  <c r="BN139" i="1"/>
  <c r="BD139" i="1"/>
  <c r="AD139" i="1"/>
  <c r="U139" i="1"/>
  <c r="P139" i="1"/>
  <c r="I139" i="1"/>
  <c r="CU138" i="1"/>
  <c r="CP138" i="1"/>
  <c r="CL138" i="1"/>
  <c r="CI138" i="1"/>
  <c r="CG138" i="1"/>
  <c r="CF138" i="1"/>
  <c r="CB138" i="1"/>
  <c r="CA138" i="1"/>
  <c r="BZ138" i="1"/>
  <c r="BY138" i="1"/>
  <c r="BX138" i="1"/>
  <c r="BW138" i="1"/>
  <c r="BV138" i="1"/>
  <c r="BU138" i="1"/>
  <c r="BT138" i="1"/>
  <c r="BS138" i="1"/>
  <c r="BR138" i="1"/>
  <c r="BO138" i="1"/>
  <c r="BL138" i="1"/>
  <c r="BK138" i="1"/>
  <c r="BI138" i="1"/>
  <c r="BG138" i="1"/>
  <c r="BF138" i="1"/>
  <c r="BE138" i="1"/>
  <c r="AY138" i="1"/>
  <c r="AW138" i="1"/>
  <c r="AV138" i="1"/>
  <c r="AU138" i="1"/>
  <c r="AR138" i="1"/>
  <c r="AQ138" i="1"/>
  <c r="AP138" i="1"/>
  <c r="AO138" i="1"/>
  <c r="AN138" i="1"/>
  <c r="AM138" i="1"/>
  <c r="AL138" i="1"/>
  <c r="AK138" i="1"/>
  <c r="AJ138" i="1"/>
  <c r="AI138" i="1"/>
  <c r="AH138" i="1"/>
  <c r="AG138" i="1"/>
  <c r="AF138" i="1"/>
  <c r="AE138" i="1"/>
  <c r="AC138" i="1"/>
  <c r="AB138" i="1"/>
  <c r="AA138" i="1"/>
  <c r="Z138" i="1"/>
  <c r="Y138" i="1"/>
  <c r="X138" i="1"/>
  <c r="W138" i="1"/>
  <c r="V138" i="1"/>
  <c r="T138" i="1"/>
  <c r="S138" i="1"/>
  <c r="R138" i="1"/>
  <c r="Q138" i="1"/>
  <c r="O138" i="1"/>
  <c r="N138" i="1"/>
  <c r="M138" i="1"/>
  <c r="L138" i="1"/>
  <c r="K138" i="1"/>
  <c r="J138" i="1"/>
  <c r="CN137" i="1"/>
  <c r="CE137" i="1"/>
  <c r="BQ137" i="1"/>
  <c r="BN137" i="1"/>
  <c r="BD137" i="1"/>
  <c r="U137" i="1"/>
  <c r="P137" i="1"/>
  <c r="I137" i="1"/>
  <c r="CN136" i="1"/>
  <c r="CE136" i="1"/>
  <c r="BQ136" i="1"/>
  <c r="BN136" i="1"/>
  <c r="BD136" i="1"/>
  <c r="AD136" i="1"/>
  <c r="U136" i="1"/>
  <c r="P136" i="1"/>
  <c r="I136" i="1"/>
  <c r="CN135" i="1"/>
  <c r="CE135" i="1"/>
  <c r="BQ135" i="1"/>
  <c r="BN135" i="1"/>
  <c r="BD135" i="1"/>
  <c r="AD135" i="1"/>
  <c r="U135" i="1"/>
  <c r="P135" i="1"/>
  <c r="I135" i="1"/>
  <c r="CN132" i="1"/>
  <c r="CE132" i="1"/>
  <c r="BQ132" i="1"/>
  <c r="BN132" i="1"/>
  <c r="BD132" i="1"/>
  <c r="AD132" i="1"/>
  <c r="U132" i="1"/>
  <c r="P132" i="1"/>
  <c r="I132" i="1"/>
  <c r="CN131" i="1"/>
  <c r="BQ131" i="1"/>
  <c r="BN131" i="1"/>
  <c r="BD131" i="1"/>
  <c r="U131" i="1"/>
  <c r="P131" i="1"/>
  <c r="I131" i="1"/>
  <c r="CU130" i="1"/>
  <c r="CP130" i="1"/>
  <c r="CL130" i="1"/>
  <c r="CI130" i="1"/>
  <c r="CF130" i="1"/>
  <c r="CB130" i="1"/>
  <c r="CA130" i="1"/>
  <c r="BZ130" i="1"/>
  <c r="BY130" i="1"/>
  <c r="BX130" i="1"/>
  <c r="BW130" i="1"/>
  <c r="BV130" i="1"/>
  <c r="BU130" i="1"/>
  <c r="BT130" i="1"/>
  <c r="BS130" i="1"/>
  <c r="BR130" i="1"/>
  <c r="BO130" i="1"/>
  <c r="BL130" i="1"/>
  <c r="BK130" i="1"/>
  <c r="BI130" i="1"/>
  <c r="BG130" i="1"/>
  <c r="BF130" i="1"/>
  <c r="BE130" i="1"/>
  <c r="AY130" i="1"/>
  <c r="AW130" i="1"/>
  <c r="AV130" i="1"/>
  <c r="AU130" i="1"/>
  <c r="AR130" i="1"/>
  <c r="AQ130" i="1"/>
  <c r="AP130" i="1"/>
  <c r="AO130" i="1"/>
  <c r="AN130" i="1"/>
  <c r="AM130" i="1"/>
  <c r="AK130" i="1"/>
  <c r="AG130" i="1"/>
  <c r="AF130" i="1"/>
  <c r="AE130" i="1"/>
  <c r="AC130" i="1"/>
  <c r="AB130" i="1"/>
  <c r="AA130" i="1"/>
  <c r="Z130" i="1"/>
  <c r="Y130" i="1"/>
  <c r="X130" i="1"/>
  <c r="W130" i="1"/>
  <c r="V130" i="1"/>
  <c r="T130" i="1"/>
  <c r="S130" i="1"/>
  <c r="R130" i="1"/>
  <c r="Q130" i="1"/>
  <c r="N130" i="1"/>
  <c r="M130" i="1"/>
  <c r="L130" i="1"/>
  <c r="K130" i="1"/>
  <c r="J130" i="1"/>
  <c r="H130" i="1"/>
  <c r="CN129" i="1"/>
  <c r="CE129" i="1"/>
  <c r="BQ129" i="1"/>
  <c r="BN129" i="1"/>
  <c r="BD129" i="1"/>
  <c r="AD129" i="1"/>
  <c r="U129" i="1"/>
  <c r="P129" i="1"/>
  <c r="I129" i="1"/>
  <c r="CN128" i="1"/>
  <c r="CE128" i="1"/>
  <c r="BQ128" i="1"/>
  <c r="BN128" i="1"/>
  <c r="BD128" i="1"/>
  <c r="AD128" i="1"/>
  <c r="U128" i="1"/>
  <c r="P128" i="1"/>
  <c r="I128" i="1"/>
  <c r="CN127" i="1"/>
  <c r="CE127" i="1"/>
  <c r="BQ127" i="1"/>
  <c r="BN127" i="1"/>
  <c r="BD127" i="1"/>
  <c r="AD127" i="1"/>
  <c r="U127" i="1"/>
  <c r="P127" i="1"/>
  <c r="I127" i="1"/>
  <c r="CU126" i="1"/>
  <c r="CP126" i="1"/>
  <c r="CL126" i="1"/>
  <c r="CI126" i="1"/>
  <c r="CG126" i="1"/>
  <c r="CF126" i="1"/>
  <c r="CB126" i="1"/>
  <c r="CA126" i="1"/>
  <c r="BZ126" i="1"/>
  <c r="BY126" i="1"/>
  <c r="BX126" i="1"/>
  <c r="BW126" i="1"/>
  <c r="BV126" i="1"/>
  <c r="BU126" i="1"/>
  <c r="BT126" i="1"/>
  <c r="BS126" i="1"/>
  <c r="BR126" i="1"/>
  <c r="BO126" i="1"/>
  <c r="BL126" i="1"/>
  <c r="BK126" i="1"/>
  <c r="BI126" i="1"/>
  <c r="BG126" i="1"/>
  <c r="BF126" i="1"/>
  <c r="BE126" i="1"/>
  <c r="AY126" i="1"/>
  <c r="AW126" i="1"/>
  <c r="AV126" i="1"/>
  <c r="AU126" i="1"/>
  <c r="AR126" i="1"/>
  <c r="AQ126" i="1"/>
  <c r="AP126" i="1"/>
  <c r="AO126" i="1"/>
  <c r="AN126" i="1"/>
  <c r="AM126" i="1"/>
  <c r="AL126" i="1"/>
  <c r="AK126" i="1"/>
  <c r="AJ126" i="1"/>
  <c r="AI126" i="1"/>
  <c r="AH126" i="1"/>
  <c r="AG126" i="1"/>
  <c r="AF126" i="1"/>
  <c r="AE126" i="1"/>
  <c r="AC126" i="1"/>
  <c r="AB126" i="1"/>
  <c r="AA126" i="1"/>
  <c r="Z126" i="1"/>
  <c r="Y126" i="1"/>
  <c r="X126" i="1"/>
  <c r="W126" i="1"/>
  <c r="V126" i="1"/>
  <c r="T126" i="1"/>
  <c r="S126" i="1"/>
  <c r="R126" i="1"/>
  <c r="Q126" i="1"/>
  <c r="O126" i="1"/>
  <c r="N126" i="1"/>
  <c r="M126" i="1"/>
  <c r="L126" i="1"/>
  <c r="K126" i="1"/>
  <c r="J126" i="1"/>
  <c r="CN124" i="1"/>
  <c r="CE124" i="1"/>
  <c r="BQ124" i="1"/>
  <c r="BN124" i="1"/>
  <c r="BD124" i="1"/>
  <c r="U124" i="1"/>
  <c r="P124" i="1"/>
  <c r="I124" i="1"/>
  <c r="CN113" i="1"/>
  <c r="CE113" i="1"/>
  <c r="BQ113" i="1"/>
  <c r="BD113" i="1"/>
  <c r="AD113" i="1"/>
  <c r="U113" i="1"/>
  <c r="P113" i="1"/>
  <c r="I113" i="1"/>
  <c r="CN110" i="1"/>
  <c r="CE110" i="1"/>
  <c r="BQ110" i="1"/>
  <c r="BN110" i="1"/>
  <c r="BD110" i="1"/>
  <c r="AD110" i="1"/>
  <c r="U110" i="1"/>
  <c r="P110" i="1"/>
  <c r="I110" i="1"/>
  <c r="CU109" i="1"/>
  <c r="CP109" i="1"/>
  <c r="CL109" i="1"/>
  <c r="CI109" i="1"/>
  <c r="CG109" i="1"/>
  <c r="CF109" i="1"/>
  <c r="CB109" i="1"/>
  <c r="CA109" i="1"/>
  <c r="BZ109" i="1"/>
  <c r="BY109" i="1"/>
  <c r="BX109" i="1"/>
  <c r="BW109" i="1"/>
  <c r="BV109" i="1"/>
  <c r="BU109" i="1"/>
  <c r="BT109" i="1"/>
  <c r="BS109" i="1"/>
  <c r="BR109" i="1"/>
  <c r="BO109" i="1"/>
  <c r="BL109" i="1"/>
  <c r="BK109" i="1"/>
  <c r="BI109" i="1"/>
  <c r="BG109" i="1"/>
  <c r="BF109" i="1"/>
  <c r="BE109" i="1"/>
  <c r="AY109" i="1"/>
  <c r="AW109" i="1"/>
  <c r="AV109" i="1"/>
  <c r="AU109" i="1"/>
  <c r="AR109" i="1"/>
  <c r="AQ109" i="1"/>
  <c r="AP109" i="1"/>
  <c r="AO109" i="1"/>
  <c r="AN109" i="1"/>
  <c r="AM109" i="1"/>
  <c r="AL109" i="1"/>
  <c r="AK109" i="1"/>
  <c r="AJ109" i="1"/>
  <c r="AI109" i="1"/>
  <c r="AH109" i="1"/>
  <c r="AG109" i="1"/>
  <c r="AF109" i="1"/>
  <c r="AE109" i="1"/>
  <c r="AC109" i="1"/>
  <c r="AB109" i="1"/>
  <c r="AA109" i="1"/>
  <c r="Z109" i="1"/>
  <c r="Y109" i="1"/>
  <c r="X109" i="1"/>
  <c r="W109" i="1"/>
  <c r="V109" i="1"/>
  <c r="T109" i="1"/>
  <c r="S109" i="1"/>
  <c r="R109" i="1"/>
  <c r="Q109" i="1"/>
  <c r="O109" i="1"/>
  <c r="N109" i="1"/>
  <c r="M109" i="1"/>
  <c r="L109" i="1"/>
  <c r="K109" i="1"/>
  <c r="J109" i="1"/>
  <c r="G109" i="1"/>
  <c r="CN103" i="1"/>
  <c r="CE103" i="1"/>
  <c r="BQ103" i="1"/>
  <c r="BN103" i="1"/>
  <c r="BD103" i="1"/>
  <c r="AD103" i="1"/>
  <c r="U103" i="1"/>
  <c r="P103" i="1"/>
  <c r="I103" i="1"/>
  <c r="CU102" i="1"/>
  <c r="CP102" i="1"/>
  <c r="CL102" i="1"/>
  <c r="CI102" i="1"/>
  <c r="CG102" i="1"/>
  <c r="CF102" i="1"/>
  <c r="CB102" i="1"/>
  <c r="CA102" i="1"/>
  <c r="BZ102" i="1"/>
  <c r="BY102" i="1"/>
  <c r="BX102" i="1"/>
  <c r="BW102" i="1"/>
  <c r="BV102" i="1"/>
  <c r="BU102" i="1"/>
  <c r="BT102" i="1"/>
  <c r="BS102" i="1"/>
  <c r="BR102" i="1"/>
  <c r="BO102" i="1"/>
  <c r="BL102" i="1"/>
  <c r="BK102" i="1"/>
  <c r="BI102" i="1"/>
  <c r="BG102" i="1"/>
  <c r="BF102" i="1"/>
  <c r="BE102" i="1"/>
  <c r="AY102" i="1"/>
  <c r="AW102" i="1"/>
  <c r="AV102" i="1"/>
  <c r="AU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C102" i="1"/>
  <c r="AB102" i="1"/>
  <c r="AA102" i="1"/>
  <c r="Z102" i="1"/>
  <c r="Y102" i="1"/>
  <c r="X102" i="1"/>
  <c r="W102" i="1"/>
  <c r="V102" i="1"/>
  <c r="T102" i="1"/>
  <c r="S102" i="1"/>
  <c r="R102" i="1"/>
  <c r="Q102" i="1"/>
  <c r="O102" i="1"/>
  <c r="N102" i="1"/>
  <c r="M102" i="1"/>
  <c r="L102" i="1"/>
  <c r="K102" i="1"/>
  <c r="J102" i="1"/>
  <c r="CN100" i="1"/>
  <c r="CE100" i="1"/>
  <c r="BQ100" i="1"/>
  <c r="BN100" i="1"/>
  <c r="BD100" i="1"/>
  <c r="AD100" i="1"/>
  <c r="U100" i="1"/>
  <c r="P100" i="1"/>
  <c r="I100" i="1"/>
  <c r="CU99" i="1"/>
  <c r="CP99" i="1"/>
  <c r="CL99" i="1"/>
  <c r="CI99" i="1"/>
  <c r="CG99" i="1"/>
  <c r="CF99" i="1"/>
  <c r="CB99" i="1"/>
  <c r="CA99" i="1"/>
  <c r="BZ99" i="1"/>
  <c r="BY99" i="1"/>
  <c r="BX99" i="1"/>
  <c r="BW99" i="1"/>
  <c r="BV99" i="1"/>
  <c r="BU99" i="1"/>
  <c r="BT99" i="1"/>
  <c r="BS99" i="1"/>
  <c r="BR99" i="1"/>
  <c r="BO99" i="1"/>
  <c r="BL99" i="1"/>
  <c r="BK99" i="1"/>
  <c r="BI99" i="1"/>
  <c r="BG99" i="1"/>
  <c r="BF99" i="1"/>
  <c r="BE99" i="1"/>
  <c r="AY99" i="1"/>
  <c r="AW99" i="1"/>
  <c r="AV99" i="1"/>
  <c r="AU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C99" i="1"/>
  <c r="AB99" i="1"/>
  <c r="AA99" i="1"/>
  <c r="Z99" i="1"/>
  <c r="Y99" i="1"/>
  <c r="X99" i="1"/>
  <c r="W99" i="1"/>
  <c r="V99" i="1"/>
  <c r="T99" i="1"/>
  <c r="S99" i="1"/>
  <c r="R99" i="1"/>
  <c r="Q99" i="1"/>
  <c r="O99" i="1"/>
  <c r="N99" i="1"/>
  <c r="M99" i="1"/>
  <c r="L99" i="1"/>
  <c r="K99" i="1"/>
  <c r="J99" i="1"/>
  <c r="H99" i="1"/>
  <c r="G99" i="1"/>
  <c r="CN95" i="1"/>
  <c r="CE95" i="1"/>
  <c r="BQ95" i="1"/>
  <c r="BN95" i="1"/>
  <c r="BD95" i="1"/>
  <c r="AD95" i="1"/>
  <c r="U95" i="1"/>
  <c r="P95" i="1"/>
  <c r="I95" i="1"/>
  <c r="CN92" i="1"/>
  <c r="CE92" i="1"/>
  <c r="BQ92" i="1"/>
  <c r="BN92" i="1"/>
  <c r="BD92" i="1"/>
  <c r="AD92" i="1"/>
  <c r="U92" i="1"/>
  <c r="P92" i="1"/>
  <c r="I92" i="1"/>
  <c r="CN91" i="1"/>
  <c r="CE91" i="1"/>
  <c r="BQ91" i="1"/>
  <c r="BN91" i="1"/>
  <c r="BD91" i="1"/>
  <c r="AD91" i="1"/>
  <c r="U91" i="1"/>
  <c r="P91" i="1"/>
  <c r="I91" i="1"/>
  <c r="CN89" i="1"/>
  <c r="CE89" i="1"/>
  <c r="BQ89" i="1"/>
  <c r="BN89" i="1"/>
  <c r="BD89" i="1"/>
  <c r="U89" i="1"/>
  <c r="P89" i="1"/>
  <c r="I89" i="1"/>
  <c r="CN88" i="1"/>
  <c r="CE88" i="1"/>
  <c r="BQ88" i="1"/>
  <c r="BN88" i="1"/>
  <c r="BD88" i="1"/>
  <c r="U88" i="1"/>
  <c r="P88" i="1"/>
  <c r="I88" i="1"/>
  <c r="CU87" i="1"/>
  <c r="CP87" i="1"/>
  <c r="CL87" i="1"/>
  <c r="CI87" i="1"/>
  <c r="CG87" i="1"/>
  <c r="CF87" i="1"/>
  <c r="CB87" i="1"/>
  <c r="CA87" i="1"/>
  <c r="BZ87" i="1"/>
  <c r="BY87" i="1"/>
  <c r="BX87" i="1"/>
  <c r="BW87" i="1"/>
  <c r="BV87" i="1"/>
  <c r="BU87" i="1"/>
  <c r="BT87" i="1"/>
  <c r="BS87" i="1"/>
  <c r="BR87" i="1"/>
  <c r="BO87" i="1"/>
  <c r="BL87" i="1"/>
  <c r="BK87" i="1"/>
  <c r="BI87" i="1"/>
  <c r="BG87" i="1"/>
  <c r="BF87" i="1"/>
  <c r="BE87" i="1"/>
  <c r="AY87" i="1"/>
  <c r="AW87" i="1"/>
  <c r="AV87" i="1"/>
  <c r="AU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C87" i="1"/>
  <c r="AB87" i="1"/>
  <c r="AA87" i="1"/>
  <c r="Z87" i="1"/>
  <c r="Y87" i="1"/>
  <c r="X87" i="1"/>
  <c r="W87" i="1"/>
  <c r="V87" i="1"/>
  <c r="T87" i="1"/>
  <c r="S87" i="1"/>
  <c r="R87" i="1"/>
  <c r="Q87" i="1"/>
  <c r="O87" i="1"/>
  <c r="N87" i="1"/>
  <c r="M87" i="1"/>
  <c r="L87" i="1"/>
  <c r="K87" i="1"/>
  <c r="J87" i="1"/>
  <c r="G87" i="1"/>
  <c r="CN85" i="1"/>
  <c r="CE85" i="1"/>
  <c r="BQ85" i="1"/>
  <c r="BN85" i="1"/>
  <c r="BD85" i="1"/>
  <c r="AD85" i="1"/>
  <c r="U85" i="1"/>
  <c r="P85" i="1"/>
  <c r="I85" i="1"/>
  <c r="CU84" i="1"/>
  <c r="CP84" i="1"/>
  <c r="CL84" i="1"/>
  <c r="CI84" i="1"/>
  <c r="CG84" i="1"/>
  <c r="CF84" i="1"/>
  <c r="CB84" i="1"/>
  <c r="CA84" i="1"/>
  <c r="BZ84" i="1"/>
  <c r="BY84" i="1"/>
  <c r="BX84" i="1"/>
  <c r="BW84" i="1"/>
  <c r="BV84" i="1"/>
  <c r="BU84" i="1"/>
  <c r="BT84" i="1"/>
  <c r="BS84" i="1"/>
  <c r="BR84" i="1"/>
  <c r="BO84" i="1"/>
  <c r="BL84" i="1"/>
  <c r="BK84" i="1"/>
  <c r="BI84" i="1"/>
  <c r="BG84" i="1"/>
  <c r="BF84" i="1"/>
  <c r="BE84" i="1"/>
  <c r="AY84" i="1"/>
  <c r="AW84" i="1"/>
  <c r="AV84" i="1"/>
  <c r="AU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C84" i="1"/>
  <c r="AB84" i="1"/>
  <c r="AA84" i="1"/>
  <c r="Z84" i="1"/>
  <c r="Y84" i="1"/>
  <c r="X84" i="1"/>
  <c r="W84" i="1"/>
  <c r="V84" i="1"/>
  <c r="T84" i="1"/>
  <c r="S84" i="1"/>
  <c r="R84" i="1"/>
  <c r="Q84" i="1"/>
  <c r="CN83" i="1"/>
  <c r="CE83" i="1"/>
  <c r="BQ83" i="1"/>
  <c r="BN83" i="1"/>
  <c r="BD83" i="1"/>
  <c r="AD83" i="1"/>
  <c r="U83" i="1"/>
  <c r="P83" i="1"/>
  <c r="I83" i="1"/>
  <c r="CU82" i="1"/>
  <c r="CP82" i="1"/>
  <c r="CL82" i="1"/>
  <c r="CI82" i="1"/>
  <c r="CG82" i="1"/>
  <c r="CF82" i="1"/>
  <c r="CB82" i="1"/>
  <c r="CA82" i="1"/>
  <c r="BZ82" i="1"/>
  <c r="BY82" i="1"/>
  <c r="BX82" i="1"/>
  <c r="BW82" i="1"/>
  <c r="BV82" i="1"/>
  <c r="BU82" i="1"/>
  <c r="BT82" i="1"/>
  <c r="BS82" i="1"/>
  <c r="BR82" i="1"/>
  <c r="BO82" i="1"/>
  <c r="BL82" i="1"/>
  <c r="BK82" i="1"/>
  <c r="BI82" i="1"/>
  <c r="BG82" i="1"/>
  <c r="BF82" i="1"/>
  <c r="BE82" i="1"/>
  <c r="AY82" i="1"/>
  <c r="AW82" i="1"/>
  <c r="AV82" i="1"/>
  <c r="AU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C82" i="1"/>
  <c r="AB82" i="1"/>
  <c r="AA82" i="1"/>
  <c r="Z82" i="1"/>
  <c r="Y82" i="1"/>
  <c r="X82" i="1"/>
  <c r="W82" i="1"/>
  <c r="V82" i="1"/>
  <c r="T82" i="1"/>
  <c r="S82" i="1"/>
  <c r="R82" i="1"/>
  <c r="Q82" i="1"/>
  <c r="O82" i="1"/>
  <c r="N82" i="1"/>
  <c r="M82" i="1"/>
  <c r="L82" i="1"/>
  <c r="K82" i="1"/>
  <c r="J82" i="1"/>
  <c r="G82" i="1"/>
  <c r="CN81" i="1"/>
  <c r="CE81" i="1"/>
  <c r="BQ81" i="1"/>
  <c r="BN81" i="1"/>
  <c r="BD81" i="1"/>
  <c r="AD81" i="1"/>
  <c r="U81" i="1"/>
  <c r="P81" i="1"/>
  <c r="CU80" i="1"/>
  <c r="CP80" i="1"/>
  <c r="CL80" i="1"/>
  <c r="CI80" i="1"/>
  <c r="CG80" i="1"/>
  <c r="CF80" i="1"/>
  <c r="CB80" i="1"/>
  <c r="CA80" i="1"/>
  <c r="BZ80" i="1"/>
  <c r="BY80" i="1"/>
  <c r="BX80" i="1"/>
  <c r="BW80" i="1"/>
  <c r="BV80" i="1"/>
  <c r="BU80" i="1"/>
  <c r="BT80" i="1"/>
  <c r="BS80" i="1"/>
  <c r="BR80" i="1"/>
  <c r="BO80" i="1"/>
  <c r="BL80" i="1"/>
  <c r="BK80" i="1"/>
  <c r="BI80" i="1"/>
  <c r="BG80" i="1"/>
  <c r="BF80" i="1"/>
  <c r="BE80" i="1"/>
  <c r="AY80" i="1"/>
  <c r="AW80" i="1"/>
  <c r="AV80" i="1"/>
  <c r="AU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C80" i="1"/>
  <c r="AB80" i="1"/>
  <c r="AA80" i="1"/>
  <c r="Z80" i="1"/>
  <c r="Y80" i="1"/>
  <c r="X80" i="1"/>
  <c r="W80" i="1"/>
  <c r="V80" i="1"/>
  <c r="T80" i="1"/>
  <c r="S80" i="1"/>
  <c r="R80" i="1"/>
  <c r="Q80" i="1"/>
  <c r="M80" i="1"/>
  <c r="L80" i="1"/>
  <c r="J80" i="1"/>
  <c r="CN79" i="1"/>
  <c r="BN79" i="1"/>
  <c r="BD79" i="1"/>
  <c r="AD79" i="1"/>
  <c r="U79" i="1"/>
  <c r="P79" i="1"/>
  <c r="I79" i="1"/>
  <c r="CU78" i="1"/>
  <c r="CP78" i="1"/>
  <c r="CL78" i="1"/>
  <c r="CI78" i="1"/>
  <c r="CF78" i="1"/>
  <c r="CB78" i="1"/>
  <c r="CA78" i="1"/>
  <c r="BZ78" i="1"/>
  <c r="BY78" i="1"/>
  <c r="BX78" i="1"/>
  <c r="BW78" i="1"/>
  <c r="BV78" i="1"/>
  <c r="BU78" i="1"/>
  <c r="BT78" i="1"/>
  <c r="BS78" i="1"/>
  <c r="BR78" i="1"/>
  <c r="BO78" i="1"/>
  <c r="BL78" i="1"/>
  <c r="BK78" i="1"/>
  <c r="BI78" i="1"/>
  <c r="BG78" i="1"/>
  <c r="BF78" i="1"/>
  <c r="BE78" i="1"/>
  <c r="AC78" i="1"/>
  <c r="AB78" i="1"/>
  <c r="AA78" i="1"/>
  <c r="Z78" i="1"/>
  <c r="Y78" i="1"/>
  <c r="X78" i="1"/>
  <c r="W78" i="1"/>
  <c r="V78" i="1"/>
  <c r="T78" i="1"/>
  <c r="S78" i="1"/>
  <c r="R78" i="1"/>
  <c r="Q78" i="1"/>
  <c r="O78" i="1"/>
  <c r="N78" i="1"/>
  <c r="M78" i="1"/>
  <c r="L78" i="1"/>
  <c r="K78" i="1"/>
  <c r="J78" i="1"/>
  <c r="H78" i="1"/>
  <c r="G78" i="1"/>
  <c r="CN77" i="1"/>
  <c r="CE77" i="1"/>
  <c r="BQ77" i="1"/>
  <c r="BN77" i="1"/>
  <c r="BD77" i="1"/>
  <c r="AD77" i="1"/>
  <c r="U77" i="1"/>
  <c r="P77" i="1"/>
  <c r="I77" i="1"/>
  <c r="CU76" i="1"/>
  <c r="CP76" i="1"/>
  <c r="CL76" i="1"/>
  <c r="CI76" i="1"/>
  <c r="CG76" i="1"/>
  <c r="CF76" i="1"/>
  <c r="CB76" i="1"/>
  <c r="CA76" i="1"/>
  <c r="BZ76" i="1"/>
  <c r="BY76" i="1"/>
  <c r="BX76" i="1"/>
  <c r="BW76" i="1"/>
  <c r="BV76" i="1"/>
  <c r="BU76" i="1"/>
  <c r="BT76" i="1"/>
  <c r="BS76" i="1"/>
  <c r="BR76" i="1"/>
  <c r="BO76" i="1"/>
  <c r="BL76" i="1"/>
  <c r="BK76" i="1"/>
  <c r="BI76" i="1"/>
  <c r="BG76" i="1"/>
  <c r="BF76" i="1"/>
  <c r="BE76" i="1"/>
  <c r="AY76" i="1"/>
  <c r="AW76" i="1"/>
  <c r="AV76" i="1"/>
  <c r="AU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T76" i="1"/>
  <c r="S76" i="1"/>
  <c r="R76" i="1"/>
  <c r="Q76" i="1"/>
  <c r="O76" i="1"/>
  <c r="N76" i="1"/>
  <c r="M76" i="1"/>
  <c r="L76" i="1"/>
  <c r="K76" i="1"/>
  <c r="J76" i="1"/>
  <c r="G76" i="1"/>
  <c r="CN75" i="1"/>
  <c r="CE75" i="1"/>
  <c r="BQ75" i="1"/>
  <c r="BN75" i="1"/>
  <c r="BD75" i="1"/>
  <c r="AD75" i="1"/>
  <c r="U75" i="1"/>
  <c r="P75" i="1"/>
  <c r="I75" i="1"/>
  <c r="CU74" i="1"/>
  <c r="CP74" i="1"/>
  <c r="CL74" i="1"/>
  <c r="CI74" i="1"/>
  <c r="CG74" i="1"/>
  <c r="CF74" i="1"/>
  <c r="CB74" i="1"/>
  <c r="CA74" i="1"/>
  <c r="BZ74" i="1"/>
  <c r="BY74" i="1"/>
  <c r="BX74" i="1"/>
  <c r="BW74" i="1"/>
  <c r="BV74" i="1"/>
  <c r="BU74" i="1"/>
  <c r="BT74" i="1"/>
  <c r="BS74" i="1"/>
  <c r="BR74" i="1"/>
  <c r="BO74" i="1"/>
  <c r="BL74" i="1"/>
  <c r="BK74" i="1"/>
  <c r="BI74" i="1"/>
  <c r="BG74" i="1"/>
  <c r="BF74" i="1"/>
  <c r="BE74" i="1"/>
  <c r="AY74" i="1"/>
  <c r="AW74" i="1"/>
  <c r="AV74" i="1"/>
  <c r="AU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T74" i="1"/>
  <c r="S74" i="1"/>
  <c r="R74" i="1"/>
  <c r="Q74" i="1"/>
  <c r="O74" i="1"/>
  <c r="N74" i="1"/>
  <c r="M74" i="1"/>
  <c r="L74" i="1"/>
  <c r="K74" i="1"/>
  <c r="J74" i="1"/>
  <c r="CN73" i="1"/>
  <c r="CE73" i="1"/>
  <c r="BQ73" i="1"/>
  <c r="BN73" i="1"/>
  <c r="BD73" i="1"/>
  <c r="AD73" i="1"/>
  <c r="U73" i="1"/>
  <c r="P73" i="1"/>
  <c r="I73" i="1"/>
  <c r="CN72" i="1"/>
  <c r="CE72" i="1"/>
  <c r="BQ72" i="1"/>
  <c r="BN72" i="1"/>
  <c r="BD72" i="1"/>
  <c r="AD72" i="1"/>
  <c r="U72" i="1"/>
  <c r="P72" i="1"/>
  <c r="I72" i="1"/>
  <c r="CU71" i="1"/>
  <c r="CP71" i="1"/>
  <c r="CL71" i="1"/>
  <c r="CI71" i="1"/>
  <c r="CG71" i="1"/>
  <c r="CF71" i="1"/>
  <c r="CB71" i="1"/>
  <c r="CA71" i="1"/>
  <c r="BZ71" i="1"/>
  <c r="BY71" i="1"/>
  <c r="BX71" i="1"/>
  <c r="BW71" i="1"/>
  <c r="BV71" i="1"/>
  <c r="BU71" i="1"/>
  <c r="BT71" i="1"/>
  <c r="BS71" i="1"/>
  <c r="BR71" i="1"/>
  <c r="BO71" i="1"/>
  <c r="BL71" i="1"/>
  <c r="BK71" i="1"/>
  <c r="BI71" i="1"/>
  <c r="BG71" i="1"/>
  <c r="BF71" i="1"/>
  <c r="BE71" i="1"/>
  <c r="AY71" i="1"/>
  <c r="AW71" i="1"/>
  <c r="AV71" i="1"/>
  <c r="AU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C71" i="1"/>
  <c r="AB71" i="1"/>
  <c r="AA71" i="1"/>
  <c r="Z71" i="1"/>
  <c r="Y71" i="1"/>
  <c r="X71" i="1"/>
  <c r="W71" i="1"/>
  <c r="V71" i="1"/>
  <c r="T71" i="1"/>
  <c r="S71" i="1"/>
  <c r="R71" i="1"/>
  <c r="Q71" i="1"/>
  <c r="O71" i="1"/>
  <c r="N71" i="1"/>
  <c r="M71" i="1"/>
  <c r="L71" i="1"/>
  <c r="K71" i="1"/>
  <c r="J71" i="1"/>
  <c r="G71" i="1"/>
  <c r="CN70" i="1"/>
  <c r="CE70" i="1"/>
  <c r="BQ70" i="1"/>
  <c r="BN70" i="1"/>
  <c r="BD70" i="1"/>
  <c r="P70" i="1"/>
  <c r="I70" i="1"/>
  <c r="CU69" i="1"/>
  <c r="CP69" i="1"/>
  <c r="CL69" i="1"/>
  <c r="CI69" i="1"/>
  <c r="CG69" i="1"/>
  <c r="CF69" i="1"/>
  <c r="CB69" i="1"/>
  <c r="CA69" i="1"/>
  <c r="BZ69" i="1"/>
  <c r="BY69" i="1"/>
  <c r="BX69" i="1"/>
  <c r="BW69" i="1"/>
  <c r="BV69" i="1"/>
  <c r="BU69" i="1"/>
  <c r="BT69" i="1"/>
  <c r="BS69" i="1"/>
  <c r="BR69" i="1"/>
  <c r="BO69" i="1"/>
  <c r="BL69" i="1"/>
  <c r="BK69" i="1"/>
  <c r="BI69" i="1"/>
  <c r="BG69" i="1"/>
  <c r="BF69" i="1"/>
  <c r="BE69" i="1"/>
  <c r="AY69" i="1"/>
  <c r="AW69" i="1"/>
  <c r="AV69" i="1"/>
  <c r="AU69" i="1"/>
  <c r="AR69" i="1"/>
  <c r="AQ69" i="1"/>
  <c r="AO69" i="1"/>
  <c r="AN69" i="1"/>
  <c r="AM69" i="1"/>
  <c r="AL69" i="1"/>
  <c r="AK69" i="1"/>
  <c r="AJ69" i="1"/>
  <c r="AI69" i="1"/>
  <c r="AH69" i="1"/>
  <c r="AG69" i="1"/>
  <c r="AF69" i="1"/>
  <c r="AE69" i="1"/>
  <c r="AC69" i="1"/>
  <c r="AB69" i="1"/>
  <c r="Z69" i="1"/>
  <c r="Y69" i="1"/>
  <c r="X69" i="1"/>
  <c r="W69" i="1"/>
  <c r="V69" i="1"/>
  <c r="T69" i="1"/>
  <c r="S69" i="1"/>
  <c r="R69" i="1"/>
  <c r="Q69" i="1"/>
  <c r="O69" i="1"/>
  <c r="N69" i="1"/>
  <c r="M69" i="1"/>
  <c r="L69" i="1"/>
  <c r="J69" i="1"/>
  <c r="G69" i="1"/>
  <c r="CN67" i="1"/>
  <c r="CE67" i="1"/>
  <c r="BQ67" i="1"/>
  <c r="BN67" i="1"/>
  <c r="BD67" i="1"/>
  <c r="U67" i="1"/>
  <c r="P67" i="1"/>
  <c r="CU66" i="1"/>
  <c r="CP66" i="1"/>
  <c r="CL66" i="1"/>
  <c r="CI66" i="1"/>
  <c r="CG66" i="1"/>
  <c r="CF66" i="1"/>
  <c r="CB66" i="1"/>
  <c r="CA66" i="1"/>
  <c r="BZ66" i="1"/>
  <c r="BY66" i="1"/>
  <c r="BX66" i="1"/>
  <c r="BW66" i="1"/>
  <c r="BV66" i="1"/>
  <c r="BU66" i="1"/>
  <c r="BT66" i="1"/>
  <c r="BS66" i="1"/>
  <c r="BR66" i="1"/>
  <c r="BO66" i="1"/>
  <c r="BL66" i="1"/>
  <c r="BK66" i="1"/>
  <c r="BI66" i="1"/>
  <c r="BG66" i="1"/>
  <c r="BF66" i="1"/>
  <c r="BE66" i="1"/>
  <c r="AY66" i="1"/>
  <c r="AW66" i="1"/>
  <c r="AV66" i="1"/>
  <c r="AU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C66" i="1"/>
  <c r="AB66" i="1"/>
  <c r="AA66" i="1"/>
  <c r="Z66" i="1"/>
  <c r="Y66" i="1"/>
  <c r="X66" i="1"/>
  <c r="W66" i="1"/>
  <c r="V66" i="1"/>
  <c r="T66" i="1"/>
  <c r="S66" i="1"/>
  <c r="R66" i="1"/>
  <c r="Q66" i="1"/>
  <c r="O66" i="1"/>
  <c r="N66" i="1"/>
  <c r="M66" i="1"/>
  <c r="L66" i="1"/>
  <c r="K66" i="1"/>
  <c r="J66" i="1"/>
  <c r="CN65" i="1"/>
  <c r="CE65" i="1"/>
  <c r="BN65" i="1"/>
  <c r="BD65" i="1"/>
  <c r="AD65" i="1"/>
  <c r="U65" i="1"/>
  <c r="P65" i="1"/>
  <c r="CU64" i="1"/>
  <c r="CP64" i="1"/>
  <c r="CL64" i="1"/>
  <c r="CI64" i="1"/>
  <c r="CG64" i="1"/>
  <c r="CF64" i="1"/>
  <c r="CB64" i="1"/>
  <c r="CA64" i="1"/>
  <c r="BZ64" i="1"/>
  <c r="BY64" i="1"/>
  <c r="BX64" i="1"/>
  <c r="BW64" i="1"/>
  <c r="BV64" i="1"/>
  <c r="BU64" i="1"/>
  <c r="BT64" i="1"/>
  <c r="BS64" i="1"/>
  <c r="BR64" i="1"/>
  <c r="BQ64" i="1"/>
  <c r="BO64" i="1"/>
  <c r="BL64" i="1"/>
  <c r="BK64" i="1"/>
  <c r="BI64" i="1"/>
  <c r="BG64" i="1"/>
  <c r="BF64" i="1"/>
  <c r="BE64" i="1"/>
  <c r="AY64" i="1"/>
  <c r="AW64" i="1"/>
  <c r="AV64" i="1"/>
  <c r="AU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C64" i="1"/>
  <c r="AB64" i="1"/>
  <c r="AA64" i="1"/>
  <c r="Z64" i="1"/>
  <c r="Y64" i="1"/>
  <c r="X64" i="1"/>
  <c r="W64" i="1"/>
  <c r="V64" i="1"/>
  <c r="T64" i="1"/>
  <c r="S64" i="1"/>
  <c r="R64" i="1"/>
  <c r="Q64" i="1"/>
  <c r="O64" i="1"/>
  <c r="N64" i="1"/>
  <c r="M64" i="1"/>
  <c r="L64" i="1"/>
  <c r="K64" i="1"/>
  <c r="J64" i="1"/>
  <c r="H64" i="1"/>
  <c r="CN62" i="1"/>
  <c r="CE62" i="1"/>
  <c r="BQ62" i="1"/>
  <c r="BN62" i="1"/>
  <c r="BD62" i="1"/>
  <c r="AD62" i="1"/>
  <c r="U62" i="1"/>
  <c r="P62" i="1"/>
  <c r="I62" i="1"/>
  <c r="CU61" i="1"/>
  <c r="CP61" i="1"/>
  <c r="CL61" i="1"/>
  <c r="CI61" i="1"/>
  <c r="CG61" i="1"/>
  <c r="CF61" i="1"/>
  <c r="CB61" i="1"/>
  <c r="CA61" i="1"/>
  <c r="BZ61" i="1"/>
  <c r="BY61" i="1"/>
  <c r="BX61" i="1"/>
  <c r="BW61" i="1"/>
  <c r="BV61" i="1"/>
  <c r="BU61" i="1"/>
  <c r="BT61" i="1"/>
  <c r="BS61" i="1"/>
  <c r="BR61" i="1"/>
  <c r="BO61" i="1"/>
  <c r="BL61" i="1"/>
  <c r="BK61" i="1"/>
  <c r="BI61" i="1"/>
  <c r="BG61" i="1"/>
  <c r="BF61" i="1"/>
  <c r="BE61" i="1"/>
  <c r="AY61" i="1"/>
  <c r="AW61" i="1"/>
  <c r="AV61" i="1"/>
  <c r="AU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C61" i="1"/>
  <c r="AB61" i="1"/>
  <c r="AA61" i="1"/>
  <c r="Z61" i="1"/>
  <c r="Y61" i="1"/>
  <c r="X61" i="1"/>
  <c r="W61" i="1"/>
  <c r="V61" i="1"/>
  <c r="T61" i="1"/>
  <c r="S61" i="1"/>
  <c r="R61" i="1"/>
  <c r="Q61" i="1"/>
  <c r="O61" i="1"/>
  <c r="N61" i="1"/>
  <c r="M61" i="1"/>
  <c r="L61" i="1"/>
  <c r="K61" i="1"/>
  <c r="J61" i="1"/>
  <c r="CN59" i="1"/>
  <c r="CE59" i="1"/>
  <c r="BQ59" i="1"/>
  <c r="BN59" i="1"/>
  <c r="BD59" i="1"/>
  <c r="AD59" i="1"/>
  <c r="U59" i="1"/>
  <c r="P59" i="1"/>
  <c r="I59" i="1"/>
  <c r="CU58" i="1"/>
  <c r="CP58" i="1"/>
  <c r="CL58" i="1"/>
  <c r="CI58" i="1"/>
  <c r="CG58" i="1"/>
  <c r="CF58" i="1"/>
  <c r="CB58" i="1"/>
  <c r="CA58" i="1"/>
  <c r="BZ58" i="1"/>
  <c r="BY58" i="1"/>
  <c r="BX58" i="1"/>
  <c r="BW58" i="1"/>
  <c r="BV58" i="1"/>
  <c r="BU58" i="1"/>
  <c r="BT58" i="1"/>
  <c r="BS58" i="1"/>
  <c r="BR58" i="1"/>
  <c r="BO58" i="1"/>
  <c r="BL58" i="1"/>
  <c r="BK58" i="1"/>
  <c r="BI58" i="1"/>
  <c r="BG58" i="1"/>
  <c r="BF58" i="1"/>
  <c r="BE58" i="1"/>
  <c r="AY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C58" i="1"/>
  <c r="AB58" i="1"/>
  <c r="AA58" i="1"/>
  <c r="Z58" i="1"/>
  <c r="Y58" i="1"/>
  <c r="X58" i="1"/>
  <c r="W58" i="1"/>
  <c r="V58" i="1"/>
  <c r="T58" i="1"/>
  <c r="S58" i="1"/>
  <c r="R58" i="1"/>
  <c r="Q58" i="1"/>
  <c r="O58" i="1"/>
  <c r="N58" i="1"/>
  <c r="M58" i="1"/>
  <c r="L58" i="1"/>
  <c r="K58" i="1"/>
  <c r="J58" i="1"/>
  <c r="H58" i="1"/>
  <c r="G58" i="1"/>
  <c r="CN57" i="1"/>
  <c r="CE57" i="1"/>
  <c r="BQ57" i="1"/>
  <c r="BN57" i="1"/>
  <c r="BD57" i="1"/>
  <c r="AD57" i="1"/>
  <c r="U57" i="1"/>
  <c r="P57" i="1"/>
  <c r="I57" i="1"/>
  <c r="CU56" i="1"/>
  <c r="CP56" i="1"/>
  <c r="CL56" i="1"/>
  <c r="CI56" i="1"/>
  <c r="CG56" i="1"/>
  <c r="CF56" i="1"/>
  <c r="CB56" i="1"/>
  <c r="CA56" i="1"/>
  <c r="BZ56" i="1"/>
  <c r="BY56" i="1"/>
  <c r="BX56" i="1"/>
  <c r="BW56" i="1"/>
  <c r="BV56" i="1"/>
  <c r="BU56" i="1"/>
  <c r="BT56" i="1"/>
  <c r="BS56" i="1"/>
  <c r="BR56" i="1"/>
  <c r="BO56" i="1"/>
  <c r="BL56" i="1"/>
  <c r="BK56" i="1"/>
  <c r="BI56" i="1"/>
  <c r="BG56" i="1"/>
  <c r="BF56" i="1"/>
  <c r="BE56" i="1"/>
  <c r="AY56" i="1"/>
  <c r="AW56" i="1"/>
  <c r="AV56" i="1"/>
  <c r="AU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C56" i="1"/>
  <c r="AB56" i="1"/>
  <c r="AA56" i="1"/>
  <c r="Z56" i="1"/>
  <c r="Y56" i="1"/>
  <c r="X56" i="1"/>
  <c r="W56" i="1"/>
  <c r="V56" i="1"/>
  <c r="T56" i="1"/>
  <c r="S56" i="1"/>
  <c r="R56" i="1"/>
  <c r="Q56" i="1"/>
  <c r="O56" i="1"/>
  <c r="N56" i="1"/>
  <c r="M56" i="1"/>
  <c r="L56" i="1"/>
  <c r="K56" i="1"/>
  <c r="J56" i="1"/>
  <c r="H56" i="1"/>
  <c r="CN55" i="1"/>
  <c r="CE55" i="1"/>
  <c r="BN55" i="1"/>
  <c r="BD55" i="1"/>
  <c r="AD55" i="1"/>
  <c r="U55" i="1"/>
  <c r="P55" i="1"/>
  <c r="I55" i="1"/>
  <c r="CU54" i="1"/>
  <c r="CP54" i="1"/>
  <c r="CL54" i="1"/>
  <c r="CI54" i="1"/>
  <c r="CG54" i="1"/>
  <c r="CF54" i="1"/>
  <c r="CB54" i="1"/>
  <c r="CA54" i="1"/>
  <c r="BZ54" i="1"/>
  <c r="BY54" i="1"/>
  <c r="BX54" i="1"/>
  <c r="BW54" i="1"/>
  <c r="BV54" i="1"/>
  <c r="BU54" i="1"/>
  <c r="BT54" i="1"/>
  <c r="BS54" i="1"/>
  <c r="BR54" i="1"/>
  <c r="BO54" i="1"/>
  <c r="BL54" i="1"/>
  <c r="BK54" i="1"/>
  <c r="BI54" i="1"/>
  <c r="BG54" i="1"/>
  <c r="BF54" i="1"/>
  <c r="BE54" i="1"/>
  <c r="AY54" i="1"/>
  <c r="AW54" i="1"/>
  <c r="AV54" i="1"/>
  <c r="AU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C54" i="1"/>
  <c r="AB54" i="1"/>
  <c r="AA54" i="1"/>
  <c r="Z54" i="1"/>
  <c r="Y54" i="1"/>
  <c r="X54" i="1"/>
  <c r="W54" i="1"/>
  <c r="V54" i="1"/>
  <c r="T54" i="1"/>
  <c r="S54" i="1"/>
  <c r="R54" i="1"/>
  <c r="Q54" i="1"/>
  <c r="CN53" i="1"/>
  <c r="CE53" i="1"/>
  <c r="BQ53" i="1"/>
  <c r="BN53" i="1"/>
  <c r="BD53" i="1"/>
  <c r="AD53" i="1"/>
  <c r="U53" i="1"/>
  <c r="P53" i="1"/>
  <c r="I53" i="1"/>
  <c r="CU52" i="1"/>
  <c r="CP52" i="1"/>
  <c r="CL52" i="1"/>
  <c r="CI52" i="1"/>
  <c r="CG52" i="1"/>
  <c r="CF52" i="1"/>
  <c r="CB52" i="1"/>
  <c r="CA52" i="1"/>
  <c r="BZ52" i="1"/>
  <c r="BY52" i="1"/>
  <c r="BX52" i="1"/>
  <c r="BW52" i="1"/>
  <c r="BV52" i="1"/>
  <c r="BU52" i="1"/>
  <c r="BT52" i="1"/>
  <c r="BS52" i="1"/>
  <c r="BR52" i="1"/>
  <c r="BO52" i="1"/>
  <c r="BL52" i="1"/>
  <c r="BK52" i="1"/>
  <c r="BI52" i="1"/>
  <c r="BG52" i="1"/>
  <c r="BF52" i="1"/>
  <c r="BE52" i="1"/>
  <c r="AY52" i="1"/>
  <c r="AW52" i="1"/>
  <c r="AV52" i="1"/>
  <c r="AU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C52" i="1"/>
  <c r="AB52" i="1"/>
  <c r="AA52" i="1"/>
  <c r="Z52" i="1"/>
  <c r="Y52" i="1"/>
  <c r="X52" i="1"/>
  <c r="W52" i="1"/>
  <c r="V52" i="1"/>
  <c r="T52" i="1"/>
  <c r="S52" i="1"/>
  <c r="R52" i="1"/>
  <c r="Q52" i="1"/>
  <c r="O52" i="1"/>
  <c r="N52" i="1"/>
  <c r="M52" i="1"/>
  <c r="L52" i="1"/>
  <c r="K52" i="1"/>
  <c r="J52" i="1"/>
  <c r="G52" i="1"/>
  <c r="CN51" i="1"/>
  <c r="CE51" i="1"/>
  <c r="BQ51" i="1"/>
  <c r="BN51" i="1"/>
  <c r="BD51" i="1"/>
  <c r="AD51" i="1"/>
  <c r="U51" i="1"/>
  <c r="P51" i="1"/>
  <c r="I51" i="1"/>
  <c r="CU50" i="1"/>
  <c r="CP50" i="1"/>
  <c r="CL50" i="1"/>
  <c r="CI50" i="1"/>
  <c r="CG50" i="1"/>
  <c r="CF50" i="1"/>
  <c r="CB50" i="1"/>
  <c r="CA50" i="1"/>
  <c r="BZ50" i="1"/>
  <c r="BY50" i="1"/>
  <c r="BX50" i="1"/>
  <c r="BW50" i="1"/>
  <c r="BV50" i="1"/>
  <c r="BU50" i="1"/>
  <c r="BT50" i="1"/>
  <c r="BS50" i="1"/>
  <c r="BR50" i="1"/>
  <c r="BO50" i="1"/>
  <c r="BL50" i="1"/>
  <c r="BK50" i="1"/>
  <c r="BI50" i="1"/>
  <c r="BG50" i="1"/>
  <c r="BF50" i="1"/>
  <c r="BE50" i="1"/>
  <c r="AY50" i="1"/>
  <c r="AW50" i="1"/>
  <c r="AV50" i="1"/>
  <c r="AU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C50" i="1"/>
  <c r="AB50" i="1"/>
  <c r="AA50" i="1"/>
  <c r="Z50" i="1"/>
  <c r="Y50" i="1"/>
  <c r="X50" i="1"/>
  <c r="W50" i="1"/>
  <c r="V50" i="1"/>
  <c r="T50" i="1"/>
  <c r="S50" i="1"/>
  <c r="R50" i="1"/>
  <c r="Q50" i="1"/>
  <c r="O50" i="1"/>
  <c r="N50" i="1"/>
  <c r="M50" i="1"/>
  <c r="L50" i="1"/>
  <c r="K50" i="1"/>
  <c r="J50" i="1"/>
  <c r="CN48" i="1"/>
  <c r="CE48" i="1"/>
  <c r="BN48" i="1"/>
  <c r="BH48" i="1"/>
  <c r="BD48" i="1"/>
  <c r="AD48" i="1"/>
  <c r="U48" i="1"/>
  <c r="P48" i="1"/>
  <c r="I48" i="1"/>
  <c r="CU47" i="1"/>
  <c r="CP47" i="1"/>
  <c r="CL47" i="1"/>
  <c r="CI47" i="1"/>
  <c r="CG47" i="1"/>
  <c r="CF47" i="1"/>
  <c r="CB47" i="1"/>
  <c r="CA47" i="1"/>
  <c r="BZ47" i="1"/>
  <c r="BY47" i="1"/>
  <c r="BX47" i="1"/>
  <c r="BW47" i="1"/>
  <c r="BV47" i="1"/>
  <c r="BU47" i="1"/>
  <c r="BT47" i="1"/>
  <c r="BS47" i="1"/>
  <c r="BR47" i="1"/>
  <c r="BO47" i="1"/>
  <c r="BL47" i="1"/>
  <c r="BK47" i="1"/>
  <c r="BI47" i="1"/>
  <c r="BG47" i="1"/>
  <c r="BF47" i="1"/>
  <c r="BE47" i="1"/>
  <c r="AV47" i="1"/>
  <c r="AU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C47" i="1"/>
  <c r="AB47" i="1"/>
  <c r="AA47" i="1"/>
  <c r="Z47" i="1"/>
  <c r="Y47" i="1"/>
  <c r="X47" i="1"/>
  <c r="W47" i="1"/>
  <c r="V47" i="1"/>
  <c r="T47" i="1"/>
  <c r="S47" i="1"/>
  <c r="R47" i="1"/>
  <c r="Q47" i="1"/>
  <c r="O47" i="1"/>
  <c r="N47" i="1"/>
  <c r="M47" i="1"/>
  <c r="L47" i="1"/>
  <c r="K47" i="1"/>
  <c r="J47" i="1"/>
  <c r="CN44" i="1"/>
  <c r="CE44" i="1"/>
  <c r="BQ44" i="1"/>
  <c r="BN44" i="1"/>
  <c r="BD44" i="1"/>
  <c r="Z40" i="1"/>
  <c r="P44" i="1"/>
  <c r="I44" i="1"/>
  <c r="N40" i="1"/>
  <c r="CN43" i="1"/>
  <c r="CE43" i="1"/>
  <c r="BN43" i="1"/>
  <c r="BD43" i="1"/>
  <c r="AD43" i="1"/>
  <c r="U43" i="1"/>
  <c r="P43" i="1"/>
  <c r="CN42" i="1"/>
  <c r="CE42" i="1"/>
  <c r="BQ42" i="1"/>
  <c r="BN42" i="1"/>
  <c r="BD42" i="1"/>
  <c r="AD42" i="1"/>
  <c r="U42" i="1"/>
  <c r="P42" i="1"/>
  <c r="I42" i="1"/>
  <c r="R40" i="1"/>
  <c r="CN41" i="1"/>
  <c r="CE41" i="1"/>
  <c r="BQ41" i="1"/>
  <c r="BN41" i="1"/>
  <c r="BD41" i="1"/>
  <c r="AD41" i="1"/>
  <c r="U41" i="1"/>
  <c r="P41" i="1"/>
  <c r="I41" i="1"/>
  <c r="CU40" i="1"/>
  <c r="CP40" i="1"/>
  <c r="CL40" i="1"/>
  <c r="CI40" i="1"/>
  <c r="CG40" i="1"/>
  <c r="CF40" i="1"/>
  <c r="CB40" i="1"/>
  <c r="CA40" i="1"/>
  <c r="BZ40" i="1"/>
  <c r="BY40" i="1"/>
  <c r="BX40" i="1"/>
  <c r="BW40" i="1"/>
  <c r="BV40" i="1"/>
  <c r="BU40" i="1"/>
  <c r="BT40" i="1"/>
  <c r="BS40" i="1"/>
  <c r="BR40" i="1"/>
  <c r="BO40" i="1"/>
  <c r="BL40" i="1"/>
  <c r="BK40" i="1"/>
  <c r="BI40" i="1"/>
  <c r="BG40" i="1"/>
  <c r="BF40" i="1"/>
  <c r="BE40" i="1"/>
  <c r="AW40" i="1"/>
  <c r="AV40" i="1"/>
  <c r="AU40" i="1"/>
  <c r="AR40" i="1"/>
  <c r="AQ40" i="1"/>
  <c r="AP40" i="1"/>
  <c r="AO40" i="1"/>
  <c r="AN40" i="1"/>
  <c r="AM40" i="1"/>
  <c r="AL40" i="1"/>
  <c r="AK40" i="1"/>
  <c r="AI40" i="1"/>
  <c r="AH40" i="1"/>
  <c r="AG40" i="1"/>
  <c r="AF40" i="1"/>
  <c r="AE40" i="1"/>
  <c r="AC40" i="1"/>
  <c r="AB40" i="1"/>
  <c r="AA40" i="1"/>
  <c r="Y40" i="1"/>
  <c r="X40" i="1"/>
  <c r="W40" i="1"/>
  <c r="V40" i="1"/>
  <c r="T40" i="1"/>
  <c r="S40" i="1"/>
  <c r="Q40" i="1"/>
  <c r="M40" i="1"/>
  <c r="L40" i="1"/>
  <c r="J40" i="1"/>
  <c r="CN39" i="1"/>
  <c r="CE39" i="1"/>
  <c r="BN39" i="1"/>
  <c r="BD39" i="1"/>
  <c r="AD39" i="1"/>
  <c r="U39" i="1"/>
  <c r="P39" i="1"/>
  <c r="I39" i="1"/>
  <c r="CU38" i="1"/>
  <c r="CP38" i="1"/>
  <c r="CL38" i="1"/>
  <c r="CI38" i="1"/>
  <c r="CF38" i="1"/>
  <c r="CB38" i="1"/>
  <c r="CA38" i="1"/>
  <c r="BZ38" i="1"/>
  <c r="BY38" i="1"/>
  <c r="BX38" i="1"/>
  <c r="BW38" i="1"/>
  <c r="BV38" i="1"/>
  <c r="BU38" i="1"/>
  <c r="BT38" i="1"/>
  <c r="BS38" i="1"/>
  <c r="BR38" i="1"/>
  <c r="BO38" i="1"/>
  <c r="BL38" i="1"/>
  <c r="BK38" i="1"/>
  <c r="BI38" i="1"/>
  <c r="BG38" i="1"/>
  <c r="BF38" i="1"/>
  <c r="BE38" i="1"/>
  <c r="AY38" i="1"/>
  <c r="AW38" i="1"/>
  <c r="AV38" i="1"/>
  <c r="AU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C38" i="1"/>
  <c r="AB38" i="1"/>
  <c r="AA38" i="1"/>
  <c r="Z38" i="1"/>
  <c r="Y38" i="1"/>
  <c r="X38" i="1"/>
  <c r="W38" i="1"/>
  <c r="V38" i="1"/>
  <c r="T38" i="1"/>
  <c r="S38" i="1"/>
  <c r="R38" i="1"/>
  <c r="Q38" i="1"/>
  <c r="O38" i="1"/>
  <c r="N38" i="1"/>
  <c r="M38" i="1"/>
  <c r="L38" i="1"/>
  <c r="K38" i="1"/>
  <c r="J38" i="1"/>
  <c r="H38" i="1"/>
  <c r="CN37" i="1"/>
  <c r="CE37" i="1"/>
  <c r="BN37" i="1"/>
  <c r="BD37" i="1"/>
  <c r="P37" i="1"/>
  <c r="I37" i="1"/>
  <c r="CN36" i="1"/>
  <c r="CE36" i="1"/>
  <c r="BQ36" i="1"/>
  <c r="BN36" i="1"/>
  <c r="BD36" i="1"/>
  <c r="AD36" i="1"/>
  <c r="U36" i="1"/>
  <c r="P36" i="1"/>
  <c r="I36" i="1"/>
  <c r="CN35" i="1"/>
  <c r="BQ35" i="1"/>
  <c r="BN35" i="1"/>
  <c r="BD35" i="1"/>
  <c r="U35" i="1"/>
  <c r="P35" i="1"/>
  <c r="CN34" i="1"/>
  <c r="CE34" i="1"/>
  <c r="BQ34" i="1"/>
  <c r="BN34" i="1"/>
  <c r="BD34" i="1"/>
  <c r="AD34" i="1"/>
  <c r="U34" i="1"/>
  <c r="P34" i="1"/>
  <c r="I34" i="1"/>
  <c r="CN33" i="1"/>
  <c r="CE33" i="1"/>
  <c r="BQ33" i="1"/>
  <c r="BN33" i="1"/>
  <c r="BD33" i="1"/>
  <c r="AD33" i="1"/>
  <c r="U33" i="1"/>
  <c r="P33" i="1"/>
  <c r="I33" i="1"/>
  <c r="CN32" i="1"/>
  <c r="CE32" i="1"/>
  <c r="BQ32" i="1"/>
  <c r="BN32" i="1"/>
  <c r="BD32" i="1"/>
  <c r="AD32" i="1"/>
  <c r="U32" i="1"/>
  <c r="P32" i="1"/>
  <c r="I32" i="1"/>
  <c r="CN31" i="1"/>
  <c r="BQ31" i="1"/>
  <c r="BN31" i="1"/>
  <c r="BD31" i="1"/>
  <c r="AD31" i="1"/>
  <c r="Z24" i="1"/>
  <c r="P31" i="1"/>
  <c r="CN30" i="1"/>
  <c r="CE30" i="1"/>
  <c r="BQ30" i="1"/>
  <c r="BN30" i="1"/>
  <c r="BD30" i="1"/>
  <c r="AD30" i="1"/>
  <c r="U30" i="1"/>
  <c r="P30" i="1"/>
  <c r="I30" i="1"/>
  <c r="CN29" i="1"/>
  <c r="CE29" i="1"/>
  <c r="BQ29" i="1"/>
  <c r="BN29" i="1"/>
  <c r="BD29" i="1"/>
  <c r="AD29" i="1"/>
  <c r="U29" i="1"/>
  <c r="P29" i="1"/>
  <c r="I29" i="1"/>
  <c r="CN28" i="1"/>
  <c r="CE28" i="1"/>
  <c r="BQ28" i="1"/>
  <c r="BN28" i="1"/>
  <c r="BD28" i="1"/>
  <c r="AD28" i="1"/>
  <c r="U28" i="1"/>
  <c r="P28" i="1"/>
  <c r="I28" i="1"/>
  <c r="CN27" i="1"/>
  <c r="CE27" i="1"/>
  <c r="BQ27" i="1"/>
  <c r="BN27" i="1"/>
  <c r="BD27" i="1"/>
  <c r="AD27" i="1"/>
  <c r="U27" i="1"/>
  <c r="P27" i="1"/>
  <c r="I27" i="1"/>
  <c r="CN26" i="1"/>
  <c r="CE26" i="1"/>
  <c r="BQ26" i="1"/>
  <c r="BN26" i="1"/>
  <c r="BD26" i="1"/>
  <c r="AD26" i="1"/>
  <c r="U26" i="1"/>
  <c r="P26" i="1"/>
  <c r="CN25" i="1"/>
  <c r="CE25" i="1"/>
  <c r="BQ25" i="1"/>
  <c r="BN25" i="1"/>
  <c r="BD25" i="1"/>
  <c r="AD25" i="1"/>
  <c r="U25" i="1"/>
  <c r="P25" i="1"/>
  <c r="I25" i="1"/>
  <c r="CU24" i="1"/>
  <c r="CP24" i="1"/>
  <c r="CL24" i="1"/>
  <c r="CI24" i="1"/>
  <c r="CF24" i="1"/>
  <c r="CB24" i="1"/>
  <c r="BZ24" i="1"/>
  <c r="BY24" i="1"/>
  <c r="BX24" i="1"/>
  <c r="BW24" i="1"/>
  <c r="BV24" i="1"/>
  <c r="BU24" i="1"/>
  <c r="BT24" i="1"/>
  <c r="BS24" i="1"/>
  <c r="BR24" i="1"/>
  <c r="BO24" i="1"/>
  <c r="BL24" i="1"/>
  <c r="BK24" i="1"/>
  <c r="BI24" i="1"/>
  <c r="BG24" i="1"/>
  <c r="BF24" i="1"/>
  <c r="BE24" i="1"/>
  <c r="AW24" i="1"/>
  <c r="AV24" i="1"/>
  <c r="AU24" i="1"/>
  <c r="AR24" i="1"/>
  <c r="AQ24" i="1"/>
  <c r="AP24" i="1"/>
  <c r="AN24" i="1"/>
  <c r="AM24" i="1"/>
  <c r="AK24" i="1"/>
  <c r="AI24" i="1"/>
  <c r="AF24" i="1"/>
  <c r="AE24" i="1"/>
  <c r="AC24" i="1"/>
  <c r="AB24" i="1"/>
  <c r="AA24" i="1"/>
  <c r="X24" i="1"/>
  <c r="V24" i="1"/>
  <c r="T24" i="1"/>
  <c r="S24" i="1"/>
  <c r="Q24" i="1"/>
  <c r="M24" i="1"/>
  <c r="L24" i="1"/>
  <c r="K24" i="1"/>
  <c r="J24" i="1"/>
  <c r="CN23" i="1"/>
  <c r="CE23" i="1"/>
  <c r="BN23" i="1"/>
  <c r="BD23" i="1"/>
  <c r="AD23" i="1"/>
  <c r="U23" i="1"/>
  <c r="P23" i="1"/>
  <c r="I23" i="1"/>
  <c r="CN22" i="1"/>
  <c r="CE22" i="1"/>
  <c r="BN22" i="1"/>
  <c r="BD22" i="1"/>
  <c r="U22" i="1"/>
  <c r="P22" i="1"/>
  <c r="I22" i="1"/>
  <c r="CN21" i="1"/>
  <c r="CE21" i="1"/>
  <c r="CA20" i="1"/>
  <c r="BN21" i="1"/>
  <c r="BD21" i="1"/>
  <c r="AD21" i="1"/>
  <c r="W20" i="1"/>
  <c r="P21" i="1"/>
  <c r="I21" i="1"/>
  <c r="CU20" i="1"/>
  <c r="CP20" i="1"/>
  <c r="CL20" i="1"/>
  <c r="CI20" i="1"/>
  <c r="CG20" i="1"/>
  <c r="CF20" i="1"/>
  <c r="CB20" i="1"/>
  <c r="BZ20" i="1"/>
  <c r="BY20" i="1"/>
  <c r="BX20" i="1"/>
  <c r="BW20" i="1"/>
  <c r="BV20" i="1"/>
  <c r="BU20" i="1"/>
  <c r="BT20" i="1"/>
  <c r="BS20" i="1"/>
  <c r="BR20" i="1"/>
  <c r="BO20" i="1"/>
  <c r="BL20" i="1"/>
  <c r="BK20" i="1"/>
  <c r="BI20" i="1"/>
  <c r="BG20" i="1"/>
  <c r="BF20" i="1"/>
  <c r="BE20" i="1"/>
  <c r="AV20" i="1"/>
  <c r="AU20" i="1"/>
  <c r="AR20" i="1"/>
  <c r="AQ20" i="1"/>
  <c r="AP20" i="1"/>
  <c r="AO20" i="1"/>
  <c r="AN20" i="1"/>
  <c r="AM20" i="1"/>
  <c r="AL20" i="1"/>
  <c r="AK20" i="1"/>
  <c r="AJ20" i="1"/>
  <c r="AI20" i="1"/>
  <c r="AH20" i="1"/>
  <c r="AF20" i="1"/>
  <c r="AE20" i="1"/>
  <c r="AC20" i="1"/>
  <c r="AB20" i="1"/>
  <c r="AA20" i="1"/>
  <c r="Z20" i="1"/>
  <c r="Y20" i="1"/>
  <c r="X20" i="1"/>
  <c r="V20" i="1"/>
  <c r="T20" i="1"/>
  <c r="S20" i="1"/>
  <c r="R20" i="1"/>
  <c r="Q20" i="1"/>
  <c r="O20" i="1"/>
  <c r="N20" i="1"/>
  <c r="M20" i="1"/>
  <c r="L20" i="1"/>
  <c r="K20" i="1"/>
  <c r="J20" i="1"/>
  <c r="G20" i="1"/>
  <c r="CN19" i="1"/>
  <c r="CE19" i="1"/>
  <c r="BN19" i="1"/>
  <c r="BD19" i="1"/>
  <c r="P19" i="1"/>
  <c r="CU18" i="1"/>
  <c r="CP18" i="1"/>
  <c r="CL18" i="1"/>
  <c r="CI18" i="1"/>
  <c r="CG18" i="1"/>
  <c r="CF18" i="1"/>
  <c r="CB18" i="1"/>
  <c r="CA18" i="1"/>
  <c r="BZ18" i="1"/>
  <c r="BY18" i="1"/>
  <c r="BX18" i="1"/>
  <c r="BW18" i="1"/>
  <c r="BV18" i="1"/>
  <c r="BU18" i="1"/>
  <c r="BT18" i="1"/>
  <c r="BS18" i="1"/>
  <c r="BR18" i="1"/>
  <c r="BO18" i="1"/>
  <c r="BL18" i="1"/>
  <c r="BK18" i="1"/>
  <c r="BI18" i="1"/>
  <c r="BG18" i="1"/>
  <c r="BF18" i="1"/>
  <c r="BE18" i="1"/>
  <c r="AY18" i="1"/>
  <c r="AW18" i="1"/>
  <c r="AV18" i="1"/>
  <c r="AU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C18" i="1"/>
  <c r="AB18" i="1"/>
  <c r="AA18" i="1"/>
  <c r="Z18" i="1"/>
  <c r="Y18" i="1"/>
  <c r="X18" i="1"/>
  <c r="W18" i="1"/>
  <c r="V18" i="1"/>
  <c r="T18" i="1"/>
  <c r="S18" i="1"/>
  <c r="R18" i="1"/>
  <c r="Q18" i="1"/>
  <c r="O18" i="1"/>
  <c r="N18" i="1"/>
  <c r="M18" i="1"/>
  <c r="L18" i="1"/>
  <c r="K18" i="1"/>
  <c r="J18" i="1"/>
  <c r="K69" i="1"/>
  <c r="AD315" i="1"/>
  <c r="AH170" i="1"/>
  <c r="AU314" i="1"/>
  <c r="O130" i="1"/>
  <c r="AD166" i="1"/>
  <c r="CE315" i="1"/>
  <c r="CG314" i="1"/>
  <c r="G24" i="1"/>
  <c r="CG170" i="1"/>
  <c r="I171" i="1"/>
  <c r="J170" i="1"/>
  <c r="AD231" i="1"/>
  <c r="BK309" i="1"/>
  <c r="BK296" i="1" s="1"/>
  <c r="N296" i="1" l="1"/>
  <c r="X296" i="1"/>
  <c r="M296" i="1"/>
  <c r="W296" i="1"/>
  <c r="AF296" i="1"/>
  <c r="AN296" i="1"/>
  <c r="AV296" i="1"/>
  <c r="BO296" i="1"/>
  <c r="BY296" i="1"/>
  <c r="CP296" i="1"/>
  <c r="AG296" i="1"/>
  <c r="AO296" i="1"/>
  <c r="AW296" i="1"/>
  <c r="BR296" i="1"/>
  <c r="BZ296" i="1"/>
  <c r="CU296" i="1"/>
  <c r="BV296" i="1"/>
  <c r="AU296" i="1"/>
  <c r="O296" i="1"/>
  <c r="Y296" i="1"/>
  <c r="AH296" i="1"/>
  <c r="AP296" i="1"/>
  <c r="AY296" i="1"/>
  <c r="BS296" i="1"/>
  <c r="CA296" i="1"/>
  <c r="G296" i="1"/>
  <c r="Q296" i="1"/>
  <c r="Z296" i="1"/>
  <c r="AI296" i="1"/>
  <c r="AQ296" i="1"/>
  <c r="BE296" i="1"/>
  <c r="BT296" i="1"/>
  <c r="CB296" i="1"/>
  <c r="H296" i="1"/>
  <c r="R296" i="1"/>
  <c r="AA296" i="1"/>
  <c r="AJ296" i="1"/>
  <c r="AR296" i="1"/>
  <c r="BF296" i="1"/>
  <c r="BU296" i="1"/>
  <c r="CF296" i="1"/>
  <c r="S296" i="1"/>
  <c r="AB296" i="1"/>
  <c r="AK296" i="1"/>
  <c r="AS296" i="1"/>
  <c r="BG296" i="1"/>
  <c r="CG296" i="1"/>
  <c r="AD112" i="1"/>
  <c r="U180" i="1"/>
  <c r="BD112" i="1"/>
  <c r="AD180" i="1"/>
  <c r="BQ112" i="1"/>
  <c r="BD180" i="1"/>
  <c r="CN112" i="1"/>
  <c r="BQ180" i="1"/>
  <c r="CN180" i="1"/>
  <c r="U112" i="1"/>
  <c r="M96" i="1"/>
  <c r="W96" i="1"/>
  <c r="AF96" i="1"/>
  <c r="AN96" i="1"/>
  <c r="AY96" i="1"/>
  <c r="BR96" i="1"/>
  <c r="BZ96" i="1"/>
  <c r="CU96" i="1"/>
  <c r="N96" i="1"/>
  <c r="X96" i="1"/>
  <c r="AG96" i="1"/>
  <c r="AO96" i="1"/>
  <c r="BE96" i="1"/>
  <c r="BS96" i="1"/>
  <c r="CA96" i="1"/>
  <c r="O96" i="1"/>
  <c r="Y96" i="1"/>
  <c r="AH96" i="1"/>
  <c r="AP96" i="1"/>
  <c r="BF96" i="1"/>
  <c r="BT96" i="1"/>
  <c r="CB96" i="1"/>
  <c r="G96" i="1"/>
  <c r="Q96" i="1"/>
  <c r="Z96" i="1"/>
  <c r="AI96" i="1"/>
  <c r="AQ96" i="1"/>
  <c r="BG96" i="1"/>
  <c r="BU96" i="1"/>
  <c r="CF96" i="1"/>
  <c r="CE112" i="1"/>
  <c r="BN180" i="1"/>
  <c r="H96" i="1"/>
  <c r="R96" i="1"/>
  <c r="AA96" i="1"/>
  <c r="AJ96" i="1"/>
  <c r="AR96" i="1"/>
  <c r="BI96" i="1"/>
  <c r="BV96" i="1"/>
  <c r="CG96" i="1"/>
  <c r="J96" i="1"/>
  <c r="S96" i="1"/>
  <c r="AB96" i="1"/>
  <c r="AK96" i="1"/>
  <c r="AU96" i="1"/>
  <c r="BK96" i="1"/>
  <c r="BW96" i="1"/>
  <c r="CI96" i="1"/>
  <c r="I112" i="1"/>
  <c r="CE180" i="1"/>
  <c r="K96" i="1"/>
  <c r="T96" i="1"/>
  <c r="AC96" i="1"/>
  <c r="AL96" i="1"/>
  <c r="AV96" i="1"/>
  <c r="BL96" i="1"/>
  <c r="BX96" i="1"/>
  <c r="CL96" i="1"/>
  <c r="P112" i="1"/>
  <c r="I180" i="1"/>
  <c r="L96" i="1"/>
  <c r="V96" i="1"/>
  <c r="AE96" i="1"/>
  <c r="AM96" i="1"/>
  <c r="AW96" i="1"/>
  <c r="BO96" i="1"/>
  <c r="BY96" i="1"/>
  <c r="CP96" i="1"/>
  <c r="P180" i="1"/>
  <c r="BD209" i="1"/>
  <c r="BH209" i="1"/>
  <c r="BN209" i="1"/>
  <c r="BQ209" i="1"/>
  <c r="CE209" i="1"/>
  <c r="CN209" i="1"/>
  <c r="AD209" i="1"/>
  <c r="I209" i="1"/>
  <c r="P209" i="1"/>
  <c r="F219" i="1"/>
  <c r="F277" i="1"/>
  <c r="F290" i="1"/>
  <c r="F171" i="1"/>
  <c r="F19" i="1"/>
  <c r="F246" i="1"/>
  <c r="F250" i="1"/>
  <c r="F254" i="1"/>
  <c r="F55" i="1"/>
  <c r="F179" i="1"/>
  <c r="F203" i="1"/>
  <c r="F226" i="1"/>
  <c r="F229" i="1"/>
  <c r="F312" i="1"/>
  <c r="F321" i="1"/>
  <c r="F67" i="1"/>
  <c r="F245" i="1"/>
  <c r="F249" i="1"/>
  <c r="F253" i="1"/>
  <c r="F257" i="1"/>
  <c r="F261" i="1"/>
  <c r="F265" i="1"/>
  <c r="F275" i="1"/>
  <c r="F295" i="1"/>
  <c r="F118" i="1"/>
  <c r="F30" i="1"/>
  <c r="F51" i="1"/>
  <c r="F73" i="1"/>
  <c r="F156" i="1"/>
  <c r="F214" i="1"/>
  <c r="F258" i="1"/>
  <c r="F244" i="1"/>
  <c r="F248" i="1"/>
  <c r="F252" i="1"/>
  <c r="F256" i="1"/>
  <c r="F260" i="1"/>
  <c r="F264" i="1"/>
  <c r="F139" i="1"/>
  <c r="F113" i="1"/>
  <c r="F174" i="1"/>
  <c r="F212" i="1"/>
  <c r="F218" i="1"/>
  <c r="F276" i="1"/>
  <c r="F292" i="1"/>
  <c r="F310" i="1"/>
  <c r="F65" i="1"/>
  <c r="F79" i="1"/>
  <c r="F59" i="1"/>
  <c r="F85" i="1"/>
  <c r="F192" i="1"/>
  <c r="F205" i="1"/>
  <c r="F100" i="1"/>
  <c r="F176" i="1"/>
  <c r="F202" i="1"/>
  <c r="F23" i="1"/>
  <c r="F34" i="1"/>
  <c r="F53" i="1"/>
  <c r="F57" i="1"/>
  <c r="F92" i="1"/>
  <c r="F135" i="1"/>
  <c r="F141" i="1"/>
  <c r="F148" i="1"/>
  <c r="F181" i="1"/>
  <c r="F194" i="1"/>
  <c r="F204" i="1"/>
  <c r="F215" i="1"/>
  <c r="F240" i="1"/>
  <c r="F247" i="1"/>
  <c r="F251" i="1"/>
  <c r="F255" i="1"/>
  <c r="F259" i="1"/>
  <c r="F263" i="1"/>
  <c r="F270" i="1"/>
  <c r="F33" i="1"/>
  <c r="F36" i="1"/>
  <c r="F75" i="1"/>
  <c r="F91" i="1"/>
  <c r="F95" i="1"/>
  <c r="F132" i="1"/>
  <c r="F149" i="1"/>
  <c r="F177" i="1"/>
  <c r="F191" i="1"/>
  <c r="F262" i="1"/>
  <c r="F129" i="1"/>
  <c r="F213" i="1"/>
  <c r="F29" i="1"/>
  <c r="F48" i="1"/>
  <c r="F72" i="1"/>
  <c r="F77" i="1"/>
  <c r="F145" i="1"/>
  <c r="F153" i="1"/>
  <c r="F159" i="1"/>
  <c r="F190" i="1"/>
  <c r="F207" i="1"/>
  <c r="F42" i="1"/>
  <c r="F25" i="1"/>
  <c r="F32" i="1"/>
  <c r="F39" i="1"/>
  <c r="F89" i="1"/>
  <c r="F128" i="1"/>
  <c r="F165" i="1"/>
  <c r="F188" i="1"/>
  <c r="F28" i="1"/>
  <c r="F41" i="1"/>
  <c r="F144" i="1"/>
  <c r="F152" i="1"/>
  <c r="F158" i="1"/>
  <c r="F206" i="1"/>
  <c r="F211" i="1"/>
  <c r="F217" i="1"/>
  <c r="F234" i="1"/>
  <c r="F274" i="1"/>
  <c r="F110" i="1"/>
  <c r="F136" i="1"/>
  <c r="F150" i="1"/>
  <c r="F187" i="1"/>
  <c r="F317" i="1"/>
  <c r="F62" i="1"/>
  <c r="F83" i="1"/>
  <c r="F127" i="1"/>
  <c r="F200" i="1"/>
  <c r="F208" i="1"/>
  <c r="F216" i="1"/>
  <c r="F271" i="1"/>
  <c r="F319" i="1"/>
  <c r="F27" i="1"/>
  <c r="F88" i="1"/>
  <c r="F103" i="1"/>
  <c r="F143" i="1"/>
  <c r="F157" i="1"/>
  <c r="F196" i="1"/>
  <c r="F198" i="1"/>
  <c r="F231" i="1"/>
  <c r="P133" i="1"/>
  <c r="BQ133" i="1"/>
  <c r="BD133" i="1"/>
  <c r="BN133" i="1"/>
  <c r="CN133" i="1"/>
  <c r="CE133" i="1"/>
  <c r="I133" i="1"/>
  <c r="U133" i="1"/>
  <c r="M104" i="1"/>
  <c r="W104" i="1"/>
  <c r="AE104" i="1"/>
  <c r="AM104" i="1"/>
  <c r="AW104" i="1"/>
  <c r="BO104" i="1"/>
  <c r="BY104" i="1"/>
  <c r="CP104" i="1"/>
  <c r="U230" i="1"/>
  <c r="CU233" i="1"/>
  <c r="AD311" i="1"/>
  <c r="N104" i="1"/>
  <c r="X104" i="1"/>
  <c r="AF104" i="1"/>
  <c r="AN104" i="1"/>
  <c r="AY104" i="1"/>
  <c r="BR104" i="1"/>
  <c r="BZ104" i="1"/>
  <c r="CU104" i="1"/>
  <c r="BD230" i="1"/>
  <c r="BD311" i="1"/>
  <c r="O104" i="1"/>
  <c r="Y104" i="1"/>
  <c r="AG104" i="1"/>
  <c r="AO104" i="1"/>
  <c r="BE104" i="1"/>
  <c r="BS104" i="1"/>
  <c r="CA104" i="1"/>
  <c r="BH230" i="1"/>
  <c r="BH311" i="1"/>
  <c r="Q104" i="1"/>
  <c r="Z104" i="1"/>
  <c r="AH104" i="1"/>
  <c r="AP104" i="1"/>
  <c r="BF104" i="1"/>
  <c r="BT104" i="1"/>
  <c r="CB104" i="1"/>
  <c r="BN230" i="1"/>
  <c r="BN311" i="1"/>
  <c r="G104" i="1"/>
  <c r="R104" i="1"/>
  <c r="AA104" i="1"/>
  <c r="AI104" i="1"/>
  <c r="AQ104" i="1"/>
  <c r="BG104" i="1"/>
  <c r="BU104" i="1"/>
  <c r="CF104" i="1"/>
  <c r="BQ230" i="1"/>
  <c r="BQ311" i="1"/>
  <c r="J104" i="1"/>
  <c r="S104" i="1"/>
  <c r="AB104" i="1"/>
  <c r="AJ104" i="1"/>
  <c r="AR104" i="1"/>
  <c r="BI104" i="1"/>
  <c r="BV104" i="1"/>
  <c r="CG104" i="1"/>
  <c r="CE230" i="1"/>
  <c r="I311" i="1"/>
  <c r="CE311" i="1"/>
  <c r="AD230" i="1"/>
  <c r="K104" i="1"/>
  <c r="T104" i="1"/>
  <c r="AC104" i="1"/>
  <c r="AK104" i="1"/>
  <c r="AU104" i="1"/>
  <c r="BK104" i="1"/>
  <c r="BW104" i="1"/>
  <c r="CI104" i="1"/>
  <c r="I230" i="1"/>
  <c r="CN230" i="1"/>
  <c r="P311" i="1"/>
  <c r="CN311" i="1"/>
  <c r="L104" i="1"/>
  <c r="V104" i="1"/>
  <c r="AL104" i="1"/>
  <c r="AV104" i="1"/>
  <c r="BL104" i="1"/>
  <c r="BX104" i="1"/>
  <c r="CL104" i="1"/>
  <c r="P230" i="1"/>
  <c r="U311" i="1"/>
  <c r="AO160" i="1"/>
  <c r="AN160" i="1"/>
  <c r="BC321" i="1"/>
  <c r="BC48" i="1"/>
  <c r="BC43" i="1"/>
  <c r="Z160" i="1"/>
  <c r="CP160" i="1"/>
  <c r="BG160" i="1"/>
  <c r="BY160" i="1"/>
  <c r="BT160" i="1"/>
  <c r="BI160" i="1"/>
  <c r="BZ160" i="1"/>
  <c r="BS160" i="1"/>
  <c r="M160" i="1"/>
  <c r="V160" i="1"/>
  <c r="BE160" i="1"/>
  <c r="BW160" i="1"/>
  <c r="BL160" i="1"/>
  <c r="CB160" i="1"/>
  <c r="J160" i="1"/>
  <c r="BO160" i="1"/>
  <c r="CF160" i="1"/>
  <c r="BR160" i="1"/>
  <c r="CI160" i="1"/>
  <c r="BU160" i="1"/>
  <c r="S160" i="1"/>
  <c r="BV160" i="1"/>
  <c r="CU160" i="1"/>
  <c r="W160" i="1"/>
  <c r="BF160" i="1"/>
  <c r="BX160" i="1"/>
  <c r="BK160" i="1"/>
  <c r="CA160" i="1"/>
  <c r="Q160" i="1"/>
  <c r="Y160" i="1"/>
  <c r="AC160" i="1"/>
  <c r="AK160" i="1"/>
  <c r="AV160" i="1"/>
  <c r="K160" i="1"/>
  <c r="AA160" i="1"/>
  <c r="AE160" i="1"/>
  <c r="AI160" i="1"/>
  <c r="AR160" i="1"/>
  <c r="CL160" i="1"/>
  <c r="AP160" i="1"/>
  <c r="AJ160" i="1"/>
  <c r="AU160" i="1"/>
  <c r="AL160" i="1"/>
  <c r="AW160" i="1"/>
  <c r="L160" i="1"/>
  <c r="AB160" i="1"/>
  <c r="AF160" i="1"/>
  <c r="AD90" i="1"/>
  <c r="BQ90" i="1"/>
  <c r="P90" i="1"/>
  <c r="BD90" i="1"/>
  <c r="BN90" i="1"/>
  <c r="BH90" i="1"/>
  <c r="CN90" i="1"/>
  <c r="U90" i="1"/>
  <c r="I90" i="1"/>
  <c r="CE90" i="1"/>
  <c r="N293" i="1"/>
  <c r="BC41" i="1"/>
  <c r="BC42" i="1"/>
  <c r="BC55" i="1"/>
  <c r="BC59" i="1"/>
  <c r="BE60" i="1"/>
  <c r="BG60" i="1"/>
  <c r="BK60" i="1"/>
  <c r="BO60" i="1"/>
  <c r="BS60" i="1"/>
  <c r="BU60" i="1"/>
  <c r="BW60" i="1"/>
  <c r="BY60" i="1"/>
  <c r="CA60" i="1"/>
  <c r="CF60" i="1"/>
  <c r="CI60" i="1"/>
  <c r="CU60" i="1"/>
  <c r="BC44" i="1"/>
  <c r="BC51" i="1"/>
  <c r="BC53" i="1"/>
  <c r="BC57" i="1"/>
  <c r="BF60" i="1"/>
  <c r="BI60" i="1"/>
  <c r="BL60" i="1"/>
  <c r="BR60" i="1"/>
  <c r="BT60" i="1"/>
  <c r="BV60" i="1"/>
  <c r="BX60" i="1"/>
  <c r="BZ60" i="1"/>
  <c r="CB60" i="1"/>
  <c r="CL60" i="1"/>
  <c r="CP60" i="1"/>
  <c r="BC62" i="1"/>
  <c r="CG60" i="1"/>
  <c r="AF60" i="1"/>
  <c r="AH60" i="1"/>
  <c r="AJ60" i="1"/>
  <c r="AL60" i="1"/>
  <c r="AN60" i="1"/>
  <c r="AP60" i="1"/>
  <c r="AR60" i="1"/>
  <c r="AV60" i="1"/>
  <c r="AY60" i="1"/>
  <c r="AE60" i="1"/>
  <c r="AG60" i="1"/>
  <c r="AI60" i="1"/>
  <c r="AK60" i="1"/>
  <c r="AM60" i="1"/>
  <c r="AO60" i="1"/>
  <c r="AQ60" i="1"/>
  <c r="AU60" i="1"/>
  <c r="AW60" i="1"/>
  <c r="W60" i="1"/>
  <c r="Y60" i="1"/>
  <c r="AA60" i="1"/>
  <c r="AC60" i="1"/>
  <c r="V60" i="1"/>
  <c r="X60" i="1"/>
  <c r="Z60" i="1"/>
  <c r="AB60" i="1"/>
  <c r="R60" i="1"/>
  <c r="T60" i="1"/>
  <c r="Q60" i="1"/>
  <c r="S60" i="1"/>
  <c r="J60" i="1"/>
  <c r="L60" i="1"/>
  <c r="N60" i="1"/>
  <c r="K60" i="1"/>
  <c r="M60" i="1"/>
  <c r="O60" i="1"/>
  <c r="U105" i="1"/>
  <c r="BD105" i="1"/>
  <c r="BQ105" i="1"/>
  <c r="CH105" i="1"/>
  <c r="U119" i="1"/>
  <c r="BD119" i="1"/>
  <c r="CN119" i="1"/>
  <c r="AD105" i="1"/>
  <c r="CN105" i="1"/>
  <c r="AD119" i="1"/>
  <c r="BH119" i="1"/>
  <c r="BQ119" i="1"/>
  <c r="CH119" i="1"/>
  <c r="I105" i="1"/>
  <c r="I119" i="1"/>
  <c r="BN119" i="1"/>
  <c r="CE119" i="1"/>
  <c r="P105" i="1"/>
  <c r="BN105" i="1"/>
  <c r="CE105" i="1"/>
  <c r="P119" i="1"/>
  <c r="CN189" i="1"/>
  <c r="I315" i="1"/>
  <c r="BH309" i="1"/>
  <c r="AN17" i="1"/>
  <c r="AP17" i="1"/>
  <c r="AV17" i="1"/>
  <c r="AU17" i="1"/>
  <c r="AQ17" i="1"/>
  <c r="AR17" i="1"/>
  <c r="I268" i="1"/>
  <c r="CN291" i="1"/>
  <c r="BD314" i="1"/>
  <c r="J314" i="1"/>
  <c r="J296" i="1" s="1"/>
  <c r="I320" i="1"/>
  <c r="I289" i="1"/>
  <c r="U320" i="1"/>
  <c r="AD316" i="1"/>
  <c r="U294" i="1"/>
  <c r="CN289" i="1"/>
  <c r="AD268" i="1"/>
  <c r="BC255" i="1"/>
  <c r="AO293" i="1"/>
  <c r="BZ224" i="1"/>
  <c r="AU293" i="1"/>
  <c r="BQ291" i="1"/>
  <c r="CE318" i="1"/>
  <c r="BC257" i="1"/>
  <c r="P228" i="1"/>
  <c r="CH268" i="1"/>
  <c r="BQ268" i="1"/>
  <c r="CN318" i="1"/>
  <c r="U199" i="1"/>
  <c r="CH228" i="1"/>
  <c r="BN320" i="1"/>
  <c r="BC295" i="1"/>
  <c r="BC244" i="1"/>
  <c r="BQ225" i="1"/>
  <c r="CD274" i="1"/>
  <c r="I197" i="1"/>
  <c r="CE316" i="1"/>
  <c r="CE320" i="1"/>
  <c r="BC247" i="1"/>
  <c r="BN309" i="1"/>
  <c r="T293" i="1"/>
  <c r="BH289" i="1"/>
  <c r="CG224" i="1"/>
  <c r="AY224" i="1"/>
  <c r="CN316" i="1"/>
  <c r="AD294" i="1"/>
  <c r="BV293" i="1"/>
  <c r="BQ228" i="1"/>
  <c r="AI224" i="1"/>
  <c r="BD197" i="1"/>
  <c r="CE147" i="1"/>
  <c r="U172" i="1"/>
  <c r="P193" i="1"/>
  <c r="BC206" i="1"/>
  <c r="BN175" i="1"/>
  <c r="BD291" i="1"/>
  <c r="CD234" i="1"/>
  <c r="BC265" i="1"/>
  <c r="BN243" i="1"/>
  <c r="CL293" i="1"/>
  <c r="AD309" i="1"/>
  <c r="CA68" i="1"/>
  <c r="CD198" i="1"/>
  <c r="BH201" i="1"/>
  <c r="AA69" i="1"/>
  <c r="AQ154" i="1"/>
  <c r="CD229" i="1"/>
  <c r="W24" i="1"/>
  <c r="R24" i="1"/>
  <c r="U162" i="1"/>
  <c r="AJ24" i="1"/>
  <c r="AP69" i="1"/>
  <c r="CG78" i="1"/>
  <c r="CG154" i="1"/>
  <c r="O172" i="1"/>
  <c r="G61" i="1"/>
  <c r="G64" i="1"/>
  <c r="H66" i="1"/>
  <c r="H74" i="1"/>
  <c r="H80" i="1"/>
  <c r="H87" i="1"/>
  <c r="H109" i="1"/>
  <c r="H126" i="1"/>
  <c r="T161" i="1"/>
  <c r="R161" i="1"/>
  <c r="I166" i="1"/>
  <c r="AD124" i="1"/>
  <c r="AY161" i="1"/>
  <c r="AM160" i="1"/>
  <c r="U166" i="1"/>
  <c r="BQ154" i="1"/>
  <c r="CH199" i="1"/>
  <c r="CD204" i="1"/>
  <c r="CD215" i="1"/>
  <c r="BC218" i="1"/>
  <c r="BN225" i="1"/>
  <c r="CD249" i="1"/>
  <c r="CD251" i="1"/>
  <c r="CD253" i="1"/>
  <c r="BC256" i="1"/>
  <c r="CD256" i="1"/>
  <c r="BC258" i="1"/>
  <c r="CD262" i="1"/>
  <c r="BC264" i="1"/>
  <c r="U268" i="1"/>
  <c r="BD268" i="1"/>
  <c r="BN268" i="1"/>
  <c r="CE268" i="1"/>
  <c r="CN268" i="1"/>
  <c r="CD271" i="1"/>
  <c r="BC275" i="1"/>
  <c r="CD277" i="1"/>
  <c r="BD289" i="1"/>
  <c r="BN289" i="1"/>
  <c r="CD290" i="1"/>
  <c r="CE289" i="1"/>
  <c r="I291" i="1"/>
  <c r="BC292" i="1"/>
  <c r="BN291" i="1"/>
  <c r="AF293" i="1"/>
  <c r="BY293" i="1"/>
  <c r="CI293" i="1"/>
  <c r="I294" i="1"/>
  <c r="BD294" i="1"/>
  <c r="BN294" i="1"/>
  <c r="P309" i="1"/>
  <c r="CH309" i="1"/>
  <c r="P316" i="1"/>
  <c r="BQ316" i="1"/>
  <c r="BQ320" i="1"/>
  <c r="CD118" i="1"/>
  <c r="BC219" i="1"/>
  <c r="BC315" i="1"/>
  <c r="BH243" i="1"/>
  <c r="BC277" i="1"/>
  <c r="CD244" i="1"/>
  <c r="BC231" i="1"/>
  <c r="CE291" i="1"/>
  <c r="BC276" i="1"/>
  <c r="BC261" i="1"/>
  <c r="CD250" i="1"/>
  <c r="CD171" i="1"/>
  <c r="BC274" i="1"/>
  <c r="BC253" i="1"/>
  <c r="CD292" i="1"/>
  <c r="BC266" i="1"/>
  <c r="BN314" i="1"/>
  <c r="CA293" i="1"/>
  <c r="U291" i="1"/>
  <c r="CN225" i="1"/>
  <c r="BH320" i="1"/>
  <c r="BH318" i="1"/>
  <c r="CF293" i="1"/>
  <c r="U289" i="1"/>
  <c r="BD147" i="1"/>
  <c r="BD154" i="1"/>
  <c r="CE172" i="1"/>
  <c r="BN154" i="1"/>
  <c r="CN172" i="1"/>
  <c r="BD170" i="1"/>
  <c r="BN172" i="1"/>
  <c r="U178" i="1"/>
  <c r="BN170" i="1"/>
  <c r="P45" i="1"/>
  <c r="BH45" i="1"/>
  <c r="CH45" i="1"/>
  <c r="I66" i="1"/>
  <c r="BH71" i="1"/>
  <c r="AD172" i="1"/>
  <c r="BC173" i="1"/>
  <c r="U175" i="1"/>
  <c r="BD175" i="1"/>
  <c r="CE175" i="1"/>
  <c r="CN175" i="1"/>
  <c r="BF169" i="1"/>
  <c r="BC179" i="1"/>
  <c r="AK186" i="1"/>
  <c r="CD190" i="1"/>
  <c r="I193" i="1"/>
  <c r="CH193" i="1"/>
  <c r="P197" i="1"/>
  <c r="AD197" i="1"/>
  <c r="BH197" i="1"/>
  <c r="BQ197" i="1"/>
  <c r="CH197" i="1"/>
  <c r="P199" i="1"/>
  <c r="AD199" i="1"/>
  <c r="BQ199" i="1"/>
  <c r="BC202" i="1"/>
  <c r="BC203" i="1"/>
  <c r="CD203" i="1"/>
  <c r="CN201" i="1"/>
  <c r="BC205" i="1"/>
  <c r="CD211" i="1"/>
  <c r="CD216" i="1"/>
  <c r="CD217" i="1"/>
  <c r="CD220" i="1"/>
  <c r="N224" i="1"/>
  <c r="AL224" i="1"/>
  <c r="AW224" i="1"/>
  <c r="CF224" i="1"/>
  <c r="I225" i="1"/>
  <c r="CE225" i="1"/>
  <c r="CD226" i="1"/>
  <c r="BC229" i="1"/>
  <c r="BN228" i="1"/>
  <c r="CE228" i="1"/>
  <c r="CD231" i="1"/>
  <c r="BC234" i="1"/>
  <c r="BC240" i="1"/>
  <c r="CD240" i="1"/>
  <c r="CN294" i="1"/>
  <c r="CH320" i="1"/>
  <c r="AD314" i="1"/>
  <c r="I38" i="1"/>
  <c r="AD45" i="1"/>
  <c r="BQ45" i="1"/>
  <c r="CE52" i="1"/>
  <c r="CE54" i="1"/>
  <c r="CE66" i="1"/>
  <c r="P71" i="1"/>
  <c r="BD80" i="1"/>
  <c r="CE80" i="1"/>
  <c r="BH82" i="1"/>
  <c r="BQ82" i="1"/>
  <c r="W101" i="1"/>
  <c r="AM101" i="1"/>
  <c r="BX101" i="1"/>
  <c r="CB101" i="1"/>
  <c r="CG101" i="1"/>
  <c r="CH102" i="1"/>
  <c r="I109" i="1"/>
  <c r="BD109" i="1"/>
  <c r="CN109" i="1"/>
  <c r="U126" i="1"/>
  <c r="BD126" i="1"/>
  <c r="CE126" i="1"/>
  <c r="CN138" i="1"/>
  <c r="CH140" i="1"/>
  <c r="P142" i="1"/>
  <c r="BH142" i="1"/>
  <c r="BQ142" i="1"/>
  <c r="CH142" i="1"/>
  <c r="BH147" i="1"/>
  <c r="P151" i="1"/>
  <c r="AD151" i="1"/>
  <c r="P154" i="1"/>
  <c r="BH154" i="1"/>
  <c r="CH154" i="1"/>
  <c r="BQ164" i="1"/>
  <c r="AV169" i="1"/>
  <c r="P170" i="1"/>
  <c r="BH170" i="1"/>
  <c r="BQ170" i="1"/>
  <c r="CH164" i="1"/>
  <c r="CN87" i="1"/>
  <c r="I45" i="1"/>
  <c r="U45" i="1"/>
  <c r="BD45" i="1"/>
  <c r="BN45" i="1"/>
  <c r="CE45" i="1"/>
  <c r="CN45" i="1"/>
  <c r="CE47" i="1"/>
  <c r="I50" i="1"/>
  <c r="I56" i="1"/>
  <c r="I58" i="1"/>
  <c r="I61" i="1"/>
  <c r="AN63" i="1"/>
  <c r="BD71" i="1"/>
  <c r="CN71" i="1"/>
  <c r="BD78" i="1"/>
  <c r="CE82" i="1"/>
  <c r="BN84" i="1"/>
  <c r="AD87" i="1"/>
  <c r="I99" i="1"/>
  <c r="I102" i="1"/>
  <c r="U102" i="1"/>
  <c r="BN102" i="1"/>
  <c r="CE102" i="1"/>
  <c r="CN102" i="1"/>
  <c r="CH109" i="1"/>
  <c r="BN117" i="1"/>
  <c r="BH123" i="1"/>
  <c r="BQ123" i="1"/>
  <c r="CH123" i="1"/>
  <c r="BQ126" i="1"/>
  <c r="CN140" i="1"/>
  <c r="CE142" i="1"/>
  <c r="U147" i="1"/>
  <c r="CN147" i="1"/>
  <c r="BD172" i="1"/>
  <c r="I178" i="1"/>
  <c r="BH178" i="1"/>
  <c r="CH178" i="1"/>
  <c r="I189" i="1"/>
  <c r="U189" i="1"/>
  <c r="BD189" i="1"/>
  <c r="BN189" i="1"/>
  <c r="CE189" i="1"/>
  <c r="BH193" i="1"/>
  <c r="I195" i="1"/>
  <c r="BD195" i="1"/>
  <c r="CE195" i="1"/>
  <c r="CN197" i="1"/>
  <c r="CE199" i="1"/>
  <c r="BD243" i="1"/>
  <c r="BC245" i="1"/>
  <c r="CD245" i="1"/>
  <c r="BC246" i="1"/>
  <c r="BC248" i="1"/>
  <c r="BC249" i="1"/>
  <c r="BC250" i="1"/>
  <c r="BC251" i="1"/>
  <c r="BC252" i="1"/>
  <c r="BC254" i="1"/>
  <c r="CD255" i="1"/>
  <c r="CD258" i="1"/>
  <c r="BC259" i="1"/>
  <c r="CD259" i="1"/>
  <c r="BC260" i="1"/>
  <c r="CD261" i="1"/>
  <c r="BC262" i="1"/>
  <c r="CD263" i="1"/>
  <c r="CD264" i="1"/>
  <c r="CD265" i="1"/>
  <c r="BC267" i="1"/>
  <c r="BQ243" i="1"/>
  <c r="P268" i="1"/>
  <c r="BH268" i="1"/>
  <c r="BC270" i="1"/>
  <c r="CD270" i="1"/>
  <c r="BC271" i="1"/>
  <c r="CD275" i="1"/>
  <c r="CD276" i="1"/>
  <c r="AD289" i="1"/>
  <c r="BC290" i="1"/>
  <c r="BQ289" i="1"/>
  <c r="P291" i="1"/>
  <c r="AD291" i="1"/>
  <c r="BH291" i="1"/>
  <c r="CH291" i="1"/>
  <c r="H293" i="1"/>
  <c r="K293" i="1"/>
  <c r="M293" i="1"/>
  <c r="O293" i="1"/>
  <c r="R293" i="1"/>
  <c r="W293" i="1"/>
  <c r="Y293" i="1"/>
  <c r="AA293" i="1"/>
  <c r="AC293" i="1"/>
  <c r="AE293" i="1"/>
  <c r="AG293" i="1"/>
  <c r="AI293" i="1"/>
  <c r="AK293" i="1"/>
  <c r="AM293" i="1"/>
  <c r="AQ293" i="1"/>
  <c r="AS293" i="1"/>
  <c r="AY293" i="1"/>
  <c r="BF293" i="1"/>
  <c r="BI293" i="1"/>
  <c r="BK293" i="1"/>
  <c r="BR293" i="1"/>
  <c r="BT293" i="1"/>
  <c r="BX293" i="1"/>
  <c r="BZ293" i="1"/>
  <c r="CB293" i="1"/>
  <c r="CP293" i="1"/>
  <c r="CU293" i="1"/>
  <c r="P294" i="1"/>
  <c r="BH294" i="1"/>
  <c r="BQ294" i="1"/>
  <c r="CH294" i="1"/>
  <c r="I309" i="1"/>
  <c r="U309" i="1"/>
  <c r="BD309" i="1"/>
  <c r="CE309" i="1"/>
  <c r="CN309" i="1"/>
  <c r="CD312" i="1"/>
  <c r="P314" i="1"/>
  <c r="BH314" i="1"/>
  <c r="I316" i="1"/>
  <c r="U316" i="1"/>
  <c r="BD316" i="1"/>
  <c r="CD317" i="1"/>
  <c r="I318" i="1"/>
  <c r="U318" i="1"/>
  <c r="BD318" i="1"/>
  <c r="BN318" i="1"/>
  <c r="CD319" i="1"/>
  <c r="BD320" i="1"/>
  <c r="CD321" i="1"/>
  <c r="CN320" i="1"/>
  <c r="BC162" i="1"/>
  <c r="CD219" i="1"/>
  <c r="CH243" i="1"/>
  <c r="G86" i="1"/>
  <c r="T86" i="1"/>
  <c r="O161" i="1"/>
  <c r="BD225" i="1"/>
  <c r="BD178" i="1"/>
  <c r="CD310" i="1"/>
  <c r="CE201" i="1"/>
  <c r="BC211" i="1"/>
  <c r="BC312" i="1"/>
  <c r="N24" i="1"/>
  <c r="AD37" i="1"/>
  <c r="Z86" i="1"/>
  <c r="BS86" i="1"/>
  <c r="BU86" i="1"/>
  <c r="I117" i="1"/>
  <c r="U117" i="1"/>
  <c r="BQ117" i="1"/>
  <c r="AE111" i="1"/>
  <c r="BF111" i="1"/>
  <c r="BZ111" i="1"/>
  <c r="CG111" i="1"/>
  <c r="CP111" i="1"/>
  <c r="P123" i="1"/>
  <c r="L111" i="1"/>
  <c r="AH111" i="1"/>
  <c r="BS111" i="1"/>
  <c r="BD123" i="1"/>
  <c r="BN123" i="1"/>
  <c r="CN123" i="1"/>
  <c r="P130" i="1"/>
  <c r="BC148" i="1"/>
  <c r="BC153" i="1"/>
  <c r="BD228" i="1"/>
  <c r="P189" i="1"/>
  <c r="I155" i="1"/>
  <c r="CD156" i="1"/>
  <c r="BC159" i="1"/>
  <c r="BQ161" i="1"/>
  <c r="CD163" i="1"/>
  <c r="AI169" i="1"/>
  <c r="CP169" i="1"/>
  <c r="BC177" i="1"/>
  <c r="AN169" i="1"/>
  <c r="CD188" i="1"/>
  <c r="CD191" i="1"/>
  <c r="CD194" i="1"/>
  <c r="BR63" i="1"/>
  <c r="BU125" i="1"/>
  <c r="BC128" i="1"/>
  <c r="BC132" i="1"/>
  <c r="CD145" i="1"/>
  <c r="CD153" i="1"/>
  <c r="I173" i="1"/>
  <c r="H201" i="1"/>
  <c r="BX146" i="1"/>
  <c r="BC152" i="1"/>
  <c r="CG63" i="1"/>
  <c r="CD73" i="1"/>
  <c r="BC89" i="1"/>
  <c r="CD89" i="1"/>
  <c r="AF125" i="1"/>
  <c r="BO125" i="1"/>
  <c r="BN164" i="1"/>
  <c r="BX169" i="1"/>
  <c r="Y63" i="1"/>
  <c r="BH151" i="1"/>
  <c r="CH40" i="1"/>
  <c r="BV63" i="1"/>
  <c r="BZ63" i="1"/>
  <c r="CB63" i="1"/>
  <c r="BC77" i="1"/>
  <c r="CD81" i="1"/>
  <c r="CD92" i="1"/>
  <c r="BC113" i="1"/>
  <c r="CD113" i="1"/>
  <c r="BC129" i="1"/>
  <c r="CD136" i="1"/>
  <c r="CD141" i="1"/>
  <c r="CA146" i="1"/>
  <c r="BC158" i="1"/>
  <c r="BC191" i="1"/>
  <c r="AL186" i="1"/>
  <c r="CE64" i="1"/>
  <c r="CD65" i="1"/>
  <c r="BH99" i="1"/>
  <c r="BC100" i="1"/>
  <c r="CH151" i="1"/>
  <c r="CD152" i="1"/>
  <c r="BD102" i="1"/>
  <c r="CD62" i="1"/>
  <c r="BC188" i="1"/>
  <c r="I201" i="1"/>
  <c r="CG49" i="1"/>
  <c r="Z63" i="1"/>
  <c r="AJ63" i="1"/>
  <c r="BL63" i="1"/>
  <c r="CD85" i="1"/>
  <c r="BT86" i="1"/>
  <c r="AH86" i="1"/>
  <c r="AV86" i="1"/>
  <c r="AG125" i="1"/>
  <c r="BC127" i="1"/>
  <c r="AD131" i="1"/>
  <c r="CI125" i="1"/>
  <c r="M146" i="1"/>
  <c r="AK146" i="1"/>
  <c r="AL169" i="1"/>
  <c r="AR169" i="1"/>
  <c r="BE169" i="1"/>
  <c r="BS169" i="1"/>
  <c r="AF169" i="1"/>
  <c r="CB169" i="1"/>
  <c r="BS186" i="1"/>
  <c r="K186" i="1"/>
  <c r="BI186" i="1"/>
  <c r="V111" i="1"/>
  <c r="AV111" i="1"/>
  <c r="BR111" i="1"/>
  <c r="W68" i="1"/>
  <c r="T49" i="1"/>
  <c r="CE61" i="1"/>
  <c r="N63" i="1"/>
  <c r="S63" i="1"/>
  <c r="BR68" i="1"/>
  <c r="I69" i="1"/>
  <c r="U71" i="1"/>
  <c r="CD75" i="1"/>
  <c r="I78" i="1"/>
  <c r="I82" i="1"/>
  <c r="AK86" i="1"/>
  <c r="BV86" i="1"/>
  <c r="CB86" i="1"/>
  <c r="L86" i="1"/>
  <c r="V86" i="1"/>
  <c r="AL86" i="1"/>
  <c r="AR86" i="1"/>
  <c r="BE86" i="1"/>
  <c r="BO86" i="1"/>
  <c r="BY86" i="1"/>
  <c r="U99" i="1"/>
  <c r="BN99" i="1"/>
  <c r="CE99" i="1"/>
  <c r="AB101" i="1"/>
  <c r="BL101" i="1"/>
  <c r="CI101" i="1"/>
  <c r="BQ109" i="1"/>
  <c r="AD117" i="1"/>
  <c r="CN117" i="1"/>
  <c r="G111" i="1"/>
  <c r="J111" i="1"/>
  <c r="N111" i="1"/>
  <c r="S111" i="1"/>
  <c r="X111" i="1"/>
  <c r="AB111" i="1"/>
  <c r="AF111" i="1"/>
  <c r="AL111" i="1"/>
  <c r="AP111" i="1"/>
  <c r="AW111" i="1"/>
  <c r="BL111" i="1"/>
  <c r="BO111" i="1"/>
  <c r="BU111" i="1"/>
  <c r="BW111" i="1"/>
  <c r="CA111" i="1"/>
  <c r="CE123" i="1"/>
  <c r="W125" i="1"/>
  <c r="AE125" i="1"/>
  <c r="AU125" i="1"/>
  <c r="BF125" i="1"/>
  <c r="BZ125" i="1"/>
  <c r="AD126" i="1"/>
  <c r="CD128" i="1"/>
  <c r="CD129" i="1"/>
  <c r="CE131" i="1"/>
  <c r="P138" i="1"/>
  <c r="BH138" i="1"/>
  <c r="BQ138" i="1"/>
  <c r="CH138" i="1"/>
  <c r="CN142" i="1"/>
  <c r="BC144" i="1"/>
  <c r="AJ146" i="1"/>
  <c r="BG146" i="1"/>
  <c r="CL146" i="1"/>
  <c r="CP146" i="1"/>
  <c r="CU146" i="1"/>
  <c r="CH147" i="1"/>
  <c r="K146" i="1"/>
  <c r="T146" i="1"/>
  <c r="AA146" i="1"/>
  <c r="BZ146" i="1"/>
  <c r="U151" i="1"/>
  <c r="BC157" i="1"/>
  <c r="CD158" i="1"/>
  <c r="BN161" i="1"/>
  <c r="BL169" i="1"/>
  <c r="BC171" i="1"/>
  <c r="CN170" i="1"/>
  <c r="CQ169" i="1"/>
  <c r="CQ322" i="1" s="1"/>
  <c r="P172" i="1"/>
  <c r="BH172" i="1"/>
  <c r="BC174" i="1"/>
  <c r="CL169" i="1"/>
  <c r="P175" i="1"/>
  <c r="BH175" i="1"/>
  <c r="BQ175" i="1"/>
  <c r="CH175" i="1"/>
  <c r="P178" i="1"/>
  <c r="BN178" i="1"/>
  <c r="CD179" i="1"/>
  <c r="CN178" i="1"/>
  <c r="BC190" i="1"/>
  <c r="BQ189" i="1"/>
  <c r="CH189" i="1"/>
  <c r="W186" i="1"/>
  <c r="AE186" i="1"/>
  <c r="BD193" i="1"/>
  <c r="BN193" i="1"/>
  <c r="P195" i="1"/>
  <c r="BH195" i="1"/>
  <c r="CH195" i="1"/>
  <c r="U197" i="1"/>
  <c r="BN197" i="1"/>
  <c r="I199" i="1"/>
  <c r="BD199" i="1"/>
  <c r="BN199" i="1"/>
  <c r="CN199" i="1"/>
  <c r="P201" i="1"/>
  <c r="BN201" i="1"/>
  <c r="U201" i="1"/>
  <c r="CH201" i="1"/>
  <c r="CD206" i="1"/>
  <c r="CD207" i="1"/>
  <c r="BC208" i="1"/>
  <c r="BC212" i="1"/>
  <c r="CD214" i="1"/>
  <c r="BC216" i="1"/>
  <c r="CD218" i="1"/>
  <c r="G224" i="1"/>
  <c r="L224" i="1"/>
  <c r="Q224" i="1"/>
  <c r="V224" i="1"/>
  <c r="X224" i="1"/>
  <c r="AF224" i="1"/>
  <c r="AH224" i="1"/>
  <c r="AN224" i="1"/>
  <c r="AP224" i="1"/>
  <c r="AR224" i="1"/>
  <c r="AV224" i="1"/>
  <c r="BE224" i="1"/>
  <c r="BO224" i="1"/>
  <c r="BU224" i="1"/>
  <c r="BY224" i="1"/>
  <c r="CA224" i="1"/>
  <c r="CL224" i="1"/>
  <c r="CP224" i="1"/>
  <c r="P225" i="1"/>
  <c r="CD177" i="1"/>
  <c r="CF169" i="1"/>
  <c r="CE164" i="1"/>
  <c r="BD164" i="1"/>
  <c r="J154" i="1"/>
  <c r="BD151" i="1"/>
  <c r="CE151" i="1"/>
  <c r="I151" i="1"/>
  <c r="BQ147" i="1"/>
  <c r="CE71" i="1"/>
  <c r="I71" i="1"/>
  <c r="BD87" i="1"/>
  <c r="BD64" i="1"/>
  <c r="K40" i="1"/>
  <c r="AY40" i="1"/>
  <c r="BH225" i="1"/>
  <c r="CH225" i="1"/>
  <c r="BC220" i="1"/>
  <c r="J186" i="1"/>
  <c r="BC215" i="1"/>
  <c r="CD213" i="1"/>
  <c r="BZ186" i="1"/>
  <c r="BC200" i="1"/>
  <c r="BC196" i="1"/>
  <c r="BC192" i="1"/>
  <c r="AD189" i="1"/>
  <c r="AD175" i="1"/>
  <c r="BG169" i="1"/>
  <c r="AW169" i="1"/>
  <c r="AT169" i="1"/>
  <c r="AP169" i="1"/>
  <c r="CH172" i="1"/>
  <c r="AJ169" i="1"/>
  <c r="S169" i="1"/>
  <c r="CD181" i="1"/>
  <c r="CD173" i="1"/>
  <c r="BH161" i="1"/>
  <c r="CD159" i="1"/>
  <c r="CN154" i="1"/>
  <c r="BC156" i="1"/>
  <c r="BC155" i="1"/>
  <c r="BC135" i="1"/>
  <c r="BD130" i="1"/>
  <c r="P126" i="1"/>
  <c r="CN151" i="1"/>
  <c r="CH130" i="1"/>
  <c r="CD83" i="1"/>
  <c r="CD77" i="1"/>
  <c r="BD74" i="1"/>
  <c r="BN71" i="1"/>
  <c r="AE49" i="1"/>
  <c r="AR63" i="1"/>
  <c r="V63" i="1"/>
  <c r="CD36" i="1"/>
  <c r="I228" i="1"/>
  <c r="BD201" i="1"/>
  <c r="CD200" i="1"/>
  <c r="CD196" i="1"/>
  <c r="CD192" i="1"/>
  <c r="CD176" i="1"/>
  <c r="CD174" i="1"/>
  <c r="CE170" i="1"/>
  <c r="BC166" i="1"/>
  <c r="CD165" i="1"/>
  <c r="BD161" i="1"/>
  <c r="CD157" i="1"/>
  <c r="U142" i="1"/>
  <c r="CD103" i="1"/>
  <c r="BZ169" i="1"/>
  <c r="BV169" i="1"/>
  <c r="BN151" i="1"/>
  <c r="CD144" i="1"/>
  <c r="BC137" i="1"/>
  <c r="BN130" i="1"/>
  <c r="CH126" i="1"/>
  <c r="BC124" i="1"/>
  <c r="CE69" i="1"/>
  <c r="CI63" i="1"/>
  <c r="AU63" i="1"/>
  <c r="AL63" i="1"/>
  <c r="AF63" i="1"/>
  <c r="BS49" i="1"/>
  <c r="I123" i="1"/>
  <c r="U123" i="1"/>
  <c r="BC226" i="1"/>
  <c r="BC217" i="1"/>
  <c r="CD205" i="1"/>
  <c r="BG186" i="1"/>
  <c r="CD187" i="1"/>
  <c r="X186" i="1"/>
  <c r="CD127" i="1"/>
  <c r="CD124" i="1"/>
  <c r="BE111" i="1"/>
  <c r="CD100" i="1"/>
  <c r="O86" i="1"/>
  <c r="J63" i="1"/>
  <c r="CP63" i="1"/>
  <c r="X63" i="1"/>
  <c r="CG130" i="1"/>
  <c r="BR125" i="1"/>
  <c r="Z111" i="1"/>
  <c r="BG86" i="1"/>
  <c r="AP86" i="1"/>
  <c r="BD56" i="1"/>
  <c r="CH161" i="1"/>
  <c r="CP186" i="1"/>
  <c r="AN111" i="1"/>
  <c r="Q111" i="1"/>
  <c r="BH189" i="1"/>
  <c r="U154" i="1"/>
  <c r="CF146" i="1"/>
  <c r="CD135" i="1"/>
  <c r="BY111" i="1"/>
  <c r="CB146" i="1"/>
  <c r="BD142" i="1"/>
  <c r="CE117" i="1"/>
  <c r="BX86" i="1"/>
  <c r="S86" i="1"/>
  <c r="AE68" i="1"/>
  <c r="Z186" i="1"/>
  <c r="AY86" i="1"/>
  <c r="CD208" i="1"/>
  <c r="AB68" i="1"/>
  <c r="CD212" i="1"/>
  <c r="BC198" i="1"/>
  <c r="BY146" i="1"/>
  <c r="AJ111" i="1"/>
  <c r="Z224" i="1"/>
  <c r="AD138" i="1"/>
  <c r="P109" i="1"/>
  <c r="CU224" i="1"/>
  <c r="BS224" i="1"/>
  <c r="AD195" i="1"/>
  <c r="CE178" i="1"/>
  <c r="CN99" i="1"/>
  <c r="CD53" i="1"/>
  <c r="AD44" i="1"/>
  <c r="X49" i="1"/>
  <c r="CA49" i="1"/>
  <c r="X86" i="1"/>
  <c r="V17" i="1"/>
  <c r="N86" i="1"/>
  <c r="BT49" i="1"/>
  <c r="CD88" i="1"/>
  <c r="AN101" i="1"/>
  <c r="X101" i="1"/>
  <c r="BN140" i="1"/>
  <c r="CA101" i="1"/>
  <c r="BG101" i="1"/>
  <c r="BD99" i="1"/>
  <c r="U78" i="1"/>
  <c r="I43" i="1"/>
  <c r="BD40" i="1"/>
  <c r="J49" i="1"/>
  <c r="BF68" i="1"/>
  <c r="BW49" i="1"/>
  <c r="CD43" i="1"/>
  <c r="BD24" i="1"/>
  <c r="AQ68" i="1"/>
  <c r="AW86" i="1"/>
  <c r="AV49" i="1"/>
  <c r="BV49" i="1"/>
  <c r="CG86" i="1"/>
  <c r="BZ86" i="1"/>
  <c r="BR86" i="1"/>
  <c r="AO68" i="1"/>
  <c r="R63" i="1"/>
  <c r="W111" i="1"/>
  <c r="CD110" i="1"/>
  <c r="AJ101" i="1"/>
  <c r="S101" i="1"/>
  <c r="BQ151" i="1"/>
  <c r="U140" i="1"/>
  <c r="AD102" i="1"/>
  <c r="BW101" i="1"/>
  <c r="CE109" i="1"/>
  <c r="CE20" i="1"/>
  <c r="AM49" i="1"/>
  <c r="BU49" i="1"/>
  <c r="AB86" i="1"/>
  <c r="Y68" i="1"/>
  <c r="BL86" i="1"/>
  <c r="CA86" i="1"/>
  <c r="J86" i="1"/>
  <c r="AI68" i="1"/>
  <c r="BV68" i="1"/>
  <c r="Q63" i="1"/>
  <c r="AF101" i="1"/>
  <c r="N101" i="1"/>
  <c r="BD138" i="1"/>
  <c r="BS101" i="1"/>
  <c r="AJ86" i="1"/>
  <c r="CN78" i="1"/>
  <c r="BL146" i="1"/>
  <c r="Z146" i="1"/>
  <c r="AM68" i="1"/>
  <c r="CD72" i="1"/>
  <c r="AP101" i="1"/>
  <c r="AV101" i="1"/>
  <c r="CU101" i="1"/>
  <c r="BC103" i="1"/>
  <c r="U109" i="1"/>
  <c r="BD140" i="1"/>
  <c r="CE140" i="1"/>
  <c r="BC176" i="1"/>
  <c r="BQ178" i="1"/>
  <c r="CD202" i="1"/>
  <c r="BC213" i="1"/>
  <c r="BC214" i="1"/>
  <c r="J224" i="1"/>
  <c r="S224" i="1"/>
  <c r="AB224" i="1"/>
  <c r="AJ224" i="1"/>
  <c r="BG224" i="1"/>
  <c r="BW224" i="1"/>
  <c r="CI224" i="1"/>
  <c r="AD225" i="1"/>
  <c r="CG293" i="1"/>
  <c r="CE294" i="1"/>
  <c r="CD295" i="1"/>
  <c r="BQ309" i="1"/>
  <c r="BQ314" i="1"/>
  <c r="BC317" i="1"/>
  <c r="BH316" i="1"/>
  <c r="L63" i="1"/>
  <c r="BO63" i="1"/>
  <c r="CD95" i="1"/>
  <c r="CB125" i="1"/>
  <c r="BH130" i="1"/>
  <c r="AJ130" i="1"/>
  <c r="BC136" i="1"/>
  <c r="P164" i="1"/>
  <c r="BC165" i="1"/>
  <c r="BQ172" i="1"/>
  <c r="BN195" i="1"/>
  <c r="CN195" i="1"/>
  <c r="CU186" i="1"/>
  <c r="AM186" i="1"/>
  <c r="BH199" i="1"/>
  <c r="P289" i="1"/>
  <c r="CH289" i="1"/>
  <c r="AP293" i="1"/>
  <c r="BS293" i="1"/>
  <c r="CH80" i="1"/>
  <c r="BN82" i="1"/>
  <c r="BN126" i="1"/>
  <c r="CN126" i="1"/>
  <c r="BC163" i="1"/>
  <c r="CN193" i="1"/>
  <c r="U193" i="1"/>
  <c r="CD247" i="1"/>
  <c r="BC263" i="1"/>
  <c r="G50" i="1"/>
  <c r="G80" i="1"/>
  <c r="G102" i="1"/>
  <c r="BQ194" i="1"/>
  <c r="CB201" i="1"/>
  <c r="AC243" i="1"/>
  <c r="AR111" i="1"/>
  <c r="Y24" i="1"/>
  <c r="AY24" i="1"/>
  <c r="G40" i="1"/>
  <c r="G54" i="1"/>
  <c r="G66" i="1"/>
  <c r="G74" i="1"/>
  <c r="G84" i="1"/>
  <c r="G126" i="1"/>
  <c r="G130" i="1"/>
  <c r="AQ161" i="1"/>
  <c r="CG161" i="1"/>
  <c r="H175" i="1"/>
  <c r="J243" i="1"/>
  <c r="CA24" i="1"/>
  <c r="H24" i="1"/>
  <c r="G38" i="1"/>
  <c r="G138" i="1"/>
  <c r="G147" i="1"/>
  <c r="X161" i="1"/>
  <c r="H189" i="1"/>
  <c r="CA193" i="1"/>
  <c r="CD29" i="1"/>
  <c r="BC19" i="1"/>
  <c r="CD51" i="1"/>
  <c r="CD55" i="1"/>
  <c r="CD57" i="1"/>
  <c r="CD59" i="1"/>
  <c r="BC65" i="1"/>
  <c r="BC70" i="1"/>
  <c r="BC75" i="1"/>
  <c r="AU68" i="1"/>
  <c r="BT63" i="1"/>
  <c r="M49" i="1"/>
  <c r="AA17" i="1"/>
  <c r="BZ49" i="1"/>
  <c r="O49" i="1"/>
  <c r="CI68" i="1"/>
  <c r="AJ49" i="1"/>
  <c r="CG24" i="1"/>
  <c r="CD39" i="1"/>
  <c r="AR49" i="1"/>
  <c r="AK63" i="1"/>
  <c r="R49" i="1"/>
  <c r="AY49" i="1"/>
  <c r="AQ63" i="1"/>
  <c r="W63" i="1"/>
  <c r="BQ40" i="1"/>
  <c r="AP49" i="1"/>
  <c r="AI49" i="1"/>
  <c r="AB49" i="1"/>
  <c r="AG63" i="1"/>
  <c r="N49" i="1"/>
  <c r="BC36" i="1"/>
  <c r="CL63" i="1"/>
  <c r="AY63" i="1"/>
  <c r="AC63" i="1"/>
  <c r="BY49" i="1"/>
  <c r="BF49" i="1"/>
  <c r="BT68" i="1"/>
  <c r="O68" i="1"/>
  <c r="CF49" i="1"/>
  <c r="CD37" i="1"/>
  <c r="BR49" i="1"/>
  <c r="BW68" i="1"/>
  <c r="AK49" i="1"/>
  <c r="V49" i="1"/>
  <c r="BD66" i="1"/>
  <c r="BC73" i="1"/>
  <c r="CE74" i="1"/>
  <c r="BQ71" i="1"/>
  <c r="AO49" i="1"/>
  <c r="AG49" i="1"/>
  <c r="Z49" i="1"/>
  <c r="CD44" i="1"/>
  <c r="L49" i="1"/>
  <c r="CN40" i="1"/>
  <c r="BC35" i="1"/>
  <c r="AU49" i="1"/>
  <c r="AA63" i="1"/>
  <c r="BO17" i="1"/>
  <c r="AY68" i="1"/>
  <c r="AC68" i="1"/>
  <c r="CD67" i="1"/>
  <c r="CU63" i="1"/>
  <c r="M63" i="1"/>
  <c r="BI49" i="1"/>
  <c r="AI17" i="1"/>
  <c r="BC72" i="1"/>
  <c r="AV68" i="1"/>
  <c r="I170" i="1"/>
  <c r="CF17" i="1"/>
  <c r="BC39" i="1"/>
  <c r="BF17" i="1"/>
  <c r="BC37" i="1"/>
  <c r="T17" i="1"/>
  <c r="BD38" i="1"/>
  <c r="CD26" i="1"/>
  <c r="CU17" i="1"/>
  <c r="M17" i="1"/>
  <c r="AL49" i="1"/>
  <c r="CL49" i="1"/>
  <c r="CD42" i="1"/>
  <c r="BK49" i="1"/>
  <c r="BC33" i="1"/>
  <c r="CG169" i="1"/>
  <c r="BD20" i="1"/>
  <c r="CD34" i="1"/>
  <c r="BV17" i="1"/>
  <c r="W49" i="1"/>
  <c r="I52" i="1"/>
  <c r="I20" i="1"/>
  <c r="CP49" i="1"/>
  <c r="CU49" i="1"/>
  <c r="BU17" i="1"/>
  <c r="AF49" i="1"/>
  <c r="O24" i="1"/>
  <c r="AY154" i="1"/>
  <c r="CE193" i="1"/>
  <c r="P320" i="1"/>
  <c r="AD61" i="1"/>
  <c r="AR154" i="1"/>
  <c r="CH316" i="1"/>
  <c r="CD19" i="1"/>
  <c r="CE266" i="1"/>
  <c r="BC29" i="1"/>
  <c r="AG24" i="1"/>
  <c r="BC26" i="1"/>
  <c r="BR17" i="1"/>
  <c r="AK17" i="1"/>
  <c r="X17" i="1"/>
  <c r="CB49" i="1"/>
  <c r="AH49" i="1"/>
  <c r="CI49" i="1"/>
  <c r="CD41" i="1"/>
  <c r="AN49" i="1"/>
  <c r="S49" i="1"/>
  <c r="BN316" i="1"/>
  <c r="I18" i="1"/>
  <c r="CD28" i="1"/>
  <c r="BK17" i="1"/>
  <c r="AD35" i="1"/>
  <c r="BC27" i="1"/>
  <c r="BC22" i="1"/>
  <c r="BZ17" i="1"/>
  <c r="BE17" i="1"/>
  <c r="AE17" i="1"/>
  <c r="Q17" i="1"/>
  <c r="AA49" i="1"/>
  <c r="BE49" i="1"/>
  <c r="AC17" i="1"/>
  <c r="CD21" i="1"/>
  <c r="AD22" i="1"/>
  <c r="CH318" i="1"/>
  <c r="AD266" i="1"/>
  <c r="BC25" i="1"/>
  <c r="BH80" i="1"/>
  <c r="P147" i="1"/>
  <c r="CN64" i="1"/>
  <c r="U66" i="1"/>
  <c r="L17" i="1"/>
  <c r="CD25" i="1"/>
  <c r="P20" i="1"/>
  <c r="BX17" i="1"/>
  <c r="BW17" i="1"/>
  <c r="BL17" i="1"/>
  <c r="BC31" i="1"/>
  <c r="BH74" i="1"/>
  <c r="CD23" i="1"/>
  <c r="J17" i="1"/>
  <c r="AF17" i="1"/>
  <c r="CI17" i="1"/>
  <c r="CP17" i="1"/>
  <c r="BG17" i="1"/>
  <c r="AM17" i="1"/>
  <c r="BS17" i="1"/>
  <c r="S17" i="1"/>
  <c r="CN20" i="1"/>
  <c r="BY63" i="1"/>
  <c r="CH64" i="1"/>
  <c r="AD66" i="1"/>
  <c r="AD74" i="1"/>
  <c r="BC23" i="1"/>
  <c r="BI17" i="1"/>
  <c r="CB17" i="1"/>
  <c r="BT17" i="1"/>
  <c r="AB17" i="1"/>
  <c r="BN20" i="1"/>
  <c r="AD18" i="1"/>
  <c r="BQ18" i="1"/>
  <c r="CH20" i="1"/>
  <c r="AW20" i="1"/>
  <c r="BH24" i="1"/>
  <c r="BC30" i="1"/>
  <c r="BC32" i="1"/>
  <c r="I35" i="1"/>
  <c r="AH24" i="1"/>
  <c r="U38" i="1"/>
  <c r="BN38" i="1"/>
  <c r="CN38" i="1"/>
  <c r="AD47" i="1"/>
  <c r="BQ47" i="1"/>
  <c r="BD50" i="1"/>
  <c r="CE50" i="1"/>
  <c r="P52" i="1"/>
  <c r="BH52" i="1"/>
  <c r="CH52" i="1"/>
  <c r="U54" i="1"/>
  <c r="BN54" i="1"/>
  <c r="Y49" i="1"/>
  <c r="AC49" i="1"/>
  <c r="CE56" i="1"/>
  <c r="AD58" i="1"/>
  <c r="BQ58" i="1"/>
  <c r="BD61" i="1"/>
  <c r="AB63" i="1"/>
  <c r="AW63" i="1"/>
  <c r="BG63" i="1"/>
  <c r="CF63" i="1"/>
  <c r="P64" i="1"/>
  <c r="BH64" i="1"/>
  <c r="P66" i="1"/>
  <c r="BD69" i="1"/>
  <c r="P74" i="1"/>
  <c r="CH74" i="1"/>
  <c r="U76" i="1"/>
  <c r="BD76" i="1"/>
  <c r="BQ76" i="1"/>
  <c r="AK68" i="1"/>
  <c r="P78" i="1"/>
  <c r="CH78" i="1"/>
  <c r="U80" i="1"/>
  <c r="BN80" i="1"/>
  <c r="CN80" i="1"/>
  <c r="AD82" i="1"/>
  <c r="P84" i="1"/>
  <c r="CH84" i="1"/>
  <c r="BZ101" i="1"/>
  <c r="L101" i="1"/>
  <c r="Q101" i="1"/>
  <c r="V101" i="1"/>
  <c r="Z101" i="1"/>
  <c r="AH101" i="1"/>
  <c r="AL101" i="1"/>
  <c r="BE101" i="1"/>
  <c r="BO101" i="1"/>
  <c r="BU101" i="1"/>
  <c r="BY101" i="1"/>
  <c r="CF101" i="1"/>
  <c r="CL101" i="1"/>
  <c r="CP101" i="1"/>
  <c r="P102" i="1"/>
  <c r="BH102" i="1"/>
  <c r="P117" i="1"/>
  <c r="BH117" i="1"/>
  <c r="CH117" i="1"/>
  <c r="AM111" i="1"/>
  <c r="BV111" i="1"/>
  <c r="CF111" i="1"/>
  <c r="CL111" i="1"/>
  <c r="CU111" i="1"/>
  <c r="M125" i="1"/>
  <c r="R125" i="1"/>
  <c r="AA125" i="1"/>
  <c r="AM125" i="1"/>
  <c r="AQ125" i="1"/>
  <c r="BK125" i="1"/>
  <c r="BV125" i="1"/>
  <c r="BH126" i="1"/>
  <c r="S125" i="1"/>
  <c r="X125" i="1"/>
  <c r="AB125" i="1"/>
  <c r="AN125" i="1"/>
  <c r="AW125" i="1"/>
  <c r="BG125" i="1"/>
  <c r="BL125" i="1"/>
  <c r="BS125" i="1"/>
  <c r="BW125" i="1"/>
  <c r="AI130" i="1"/>
  <c r="AD140" i="1"/>
  <c r="BQ140" i="1"/>
  <c r="CD143" i="1"/>
  <c r="CE155" i="1"/>
  <c r="CE197" i="1"/>
  <c r="K224" i="1"/>
  <c r="O224" i="1"/>
  <c r="T224" i="1"/>
  <c r="Y224" i="1"/>
  <c r="AC224" i="1"/>
  <c r="AG224" i="1"/>
  <c r="AK224" i="1"/>
  <c r="AO224" i="1"/>
  <c r="AU224" i="1"/>
  <c r="BI224" i="1"/>
  <c r="BT224" i="1"/>
  <c r="BX224" i="1"/>
  <c r="CB224" i="1"/>
  <c r="K233" i="1"/>
  <c r="S233" i="1"/>
  <c r="AE233" i="1"/>
  <c r="AL233" i="1"/>
  <c r="AP233" i="1"/>
  <c r="AT233" i="1"/>
  <c r="AW233" i="1"/>
  <c r="BI233" i="1"/>
  <c r="BT233" i="1"/>
  <c r="BX233" i="1"/>
  <c r="CB233" i="1"/>
  <c r="CL233" i="1"/>
  <c r="J293" i="1"/>
  <c r="S293" i="1"/>
  <c r="X293" i="1"/>
  <c r="AB293" i="1"/>
  <c r="AJ293" i="1"/>
  <c r="AN293" i="1"/>
  <c r="AR293" i="1"/>
  <c r="AV293" i="1"/>
  <c r="BE293" i="1"/>
  <c r="BO293" i="1"/>
  <c r="BU293" i="1"/>
  <c r="AD320" i="1"/>
  <c r="BC310" i="1"/>
  <c r="BD18" i="1"/>
  <c r="CE18" i="1"/>
  <c r="U21" i="1"/>
  <c r="AY20" i="1"/>
  <c r="U31" i="1"/>
  <c r="AL24" i="1"/>
  <c r="AO24" i="1"/>
  <c r="AD38" i="1"/>
  <c r="BQ38" i="1"/>
  <c r="U44" i="1"/>
  <c r="I47" i="1"/>
  <c r="BD47" i="1"/>
  <c r="BH50" i="1"/>
  <c r="U52" i="1"/>
  <c r="BN52" i="1"/>
  <c r="CN52" i="1"/>
  <c r="AD54" i="1"/>
  <c r="P56" i="1"/>
  <c r="BH56" i="1"/>
  <c r="CH56" i="1"/>
  <c r="BD58" i="1"/>
  <c r="CE58" i="1"/>
  <c r="P61" i="1"/>
  <c r="BH61" i="1"/>
  <c r="CH61" i="1"/>
  <c r="BS63" i="1"/>
  <c r="BW63" i="1"/>
  <c r="U64" i="1"/>
  <c r="BN64" i="1"/>
  <c r="P69" i="1"/>
  <c r="BH69" i="1"/>
  <c r="CH69" i="1"/>
  <c r="S68" i="1"/>
  <c r="U74" i="1"/>
  <c r="BN74" i="1"/>
  <c r="CN74" i="1"/>
  <c r="BN78" i="1"/>
  <c r="AD80" i="1"/>
  <c r="BQ80" i="1"/>
  <c r="U84" i="1"/>
  <c r="CN84" i="1"/>
  <c r="AF86" i="1"/>
  <c r="AN86" i="1"/>
  <c r="BW86" i="1"/>
  <c r="CI86" i="1"/>
  <c r="P99" i="1"/>
  <c r="CH99" i="1"/>
  <c r="M101" i="1"/>
  <c r="R101" i="1"/>
  <c r="AA101" i="1"/>
  <c r="AE101" i="1"/>
  <c r="AI101" i="1"/>
  <c r="AQ101" i="1"/>
  <c r="BF101" i="1"/>
  <c r="BK101" i="1"/>
  <c r="BR101" i="1"/>
  <c r="BV101" i="1"/>
  <c r="BN109" i="1"/>
  <c r="U138" i="1"/>
  <c r="BN138" i="1"/>
  <c r="I140" i="1"/>
  <c r="R146" i="1"/>
  <c r="W146" i="1"/>
  <c r="AE146" i="1"/>
  <c r="AI146" i="1"/>
  <c r="AM146" i="1"/>
  <c r="BF146" i="1"/>
  <c r="BK146" i="1"/>
  <c r="BR146" i="1"/>
  <c r="BV146" i="1"/>
  <c r="S146" i="1"/>
  <c r="X146" i="1"/>
  <c r="AB146" i="1"/>
  <c r="AF146" i="1"/>
  <c r="AN146" i="1"/>
  <c r="AW146" i="1"/>
  <c r="BS146" i="1"/>
  <c r="N154" i="1"/>
  <c r="AD155" i="1"/>
  <c r="BH164" i="1"/>
  <c r="CH170" i="1"/>
  <c r="L233" i="1"/>
  <c r="AB233" i="1"/>
  <c r="AF233" i="1"/>
  <c r="AM233" i="1"/>
  <c r="AQ233" i="1"/>
  <c r="AU233" i="1"/>
  <c r="BE233" i="1"/>
  <c r="BO233" i="1"/>
  <c r="BU233" i="1"/>
  <c r="BY233" i="1"/>
  <c r="CF233" i="1"/>
  <c r="U314" i="1"/>
  <c r="P318" i="1"/>
  <c r="H50" i="1"/>
  <c r="H54" i="1"/>
  <c r="H61" i="1"/>
  <c r="H71" i="1"/>
  <c r="H84" i="1"/>
  <c r="H102" i="1"/>
  <c r="H138" i="1"/>
  <c r="H147" i="1"/>
  <c r="G161" i="1"/>
  <c r="P162" i="1"/>
  <c r="G201" i="1"/>
  <c r="G233" i="1"/>
  <c r="X243" i="1"/>
  <c r="I266" i="1"/>
  <c r="Y243" i="1"/>
  <c r="BG117" i="1"/>
  <c r="AD162" i="1"/>
  <c r="AY243" i="1"/>
  <c r="AD267" i="1"/>
  <c r="CE162" i="1"/>
  <c r="BQ204" i="1"/>
  <c r="CG243" i="1"/>
  <c r="CE267" i="1"/>
  <c r="BY17" i="1"/>
  <c r="CL17" i="1"/>
  <c r="P18" i="1"/>
  <c r="BH18" i="1"/>
  <c r="CH18" i="1"/>
  <c r="CD22" i="1"/>
  <c r="CE35" i="1"/>
  <c r="CE38" i="1"/>
  <c r="P47" i="1"/>
  <c r="BH47" i="1"/>
  <c r="CH47" i="1"/>
  <c r="CH50" i="1"/>
  <c r="U50" i="1"/>
  <c r="BN50" i="1"/>
  <c r="CN50" i="1"/>
  <c r="AD52" i="1"/>
  <c r="BQ52" i="1"/>
  <c r="BX49" i="1"/>
  <c r="I54" i="1"/>
  <c r="BD54" i="1"/>
  <c r="CH54" i="1"/>
  <c r="AQ49" i="1"/>
  <c r="U56" i="1"/>
  <c r="BN56" i="1"/>
  <c r="CN56" i="1"/>
  <c r="P58" i="1"/>
  <c r="BH58" i="1"/>
  <c r="CH58" i="1"/>
  <c r="U61" i="1"/>
  <c r="BN61" i="1"/>
  <c r="CN61" i="1"/>
  <c r="AH63" i="1"/>
  <c r="AP63" i="1"/>
  <c r="AV63" i="1"/>
  <c r="BE63" i="1"/>
  <c r="CA63" i="1"/>
  <c r="AD64" i="1"/>
  <c r="BH66" i="1"/>
  <c r="CH66" i="1"/>
  <c r="U70" i="1"/>
  <c r="BN69" i="1"/>
  <c r="CN69" i="1"/>
  <c r="BQ74" i="1"/>
  <c r="CE76" i="1"/>
  <c r="AD76" i="1"/>
  <c r="BH76" i="1"/>
  <c r="CH76" i="1"/>
  <c r="AD78" i="1"/>
  <c r="BQ78" i="1"/>
  <c r="I81" i="1"/>
  <c r="P82" i="1"/>
  <c r="CH82" i="1"/>
  <c r="AD84" i="1"/>
  <c r="BQ84" i="1"/>
  <c r="J101" i="1"/>
  <c r="AR101" i="1"/>
  <c r="AW101" i="1"/>
  <c r="BQ102" i="1"/>
  <c r="AD109" i="1"/>
  <c r="AC111" i="1"/>
  <c r="BT111" i="1"/>
  <c r="BX111" i="1"/>
  <c r="CB111" i="1"/>
  <c r="CI111" i="1"/>
  <c r="K125" i="1"/>
  <c r="T125" i="1"/>
  <c r="Y125" i="1"/>
  <c r="AC125" i="1"/>
  <c r="AK125" i="1"/>
  <c r="AO125" i="1"/>
  <c r="AY125" i="1"/>
  <c r="BI125" i="1"/>
  <c r="BT125" i="1"/>
  <c r="BX125" i="1"/>
  <c r="Q125" i="1"/>
  <c r="V125" i="1"/>
  <c r="Z125" i="1"/>
  <c r="AP125" i="1"/>
  <c r="AV125" i="1"/>
  <c r="BE125" i="1"/>
  <c r="U130" i="1"/>
  <c r="AL130" i="1"/>
  <c r="P140" i="1"/>
  <c r="AD147" i="1"/>
  <c r="O154" i="1"/>
  <c r="CN161" i="1"/>
  <c r="I175" i="1"/>
  <c r="U195" i="1"/>
  <c r="H224" i="1"/>
  <c r="M224" i="1"/>
  <c r="R224" i="1"/>
  <c r="W224" i="1"/>
  <c r="AA224" i="1"/>
  <c r="AE224" i="1"/>
  <c r="AM224" i="1"/>
  <c r="AQ224" i="1"/>
  <c r="BF224" i="1"/>
  <c r="BK224" i="1"/>
  <c r="BR224" i="1"/>
  <c r="BV224" i="1"/>
  <c r="U225" i="1"/>
  <c r="U228" i="1"/>
  <c r="CN228" i="1"/>
  <c r="M233" i="1"/>
  <c r="AN233" i="1"/>
  <c r="AR233" i="1"/>
  <c r="AV233" i="1"/>
  <c r="BF233" i="1"/>
  <c r="BK233" i="1"/>
  <c r="BR233" i="1"/>
  <c r="BV233" i="1"/>
  <c r="BZ233" i="1"/>
  <c r="CI233" i="1"/>
  <c r="G293" i="1"/>
  <c r="L293" i="1"/>
  <c r="Q293" i="1"/>
  <c r="V293" i="1"/>
  <c r="Z293" i="1"/>
  <c r="AH293" i="1"/>
  <c r="AL293" i="1"/>
  <c r="AT293" i="1"/>
  <c r="AW293" i="1"/>
  <c r="BG293" i="1"/>
  <c r="BL293" i="1"/>
  <c r="BW293" i="1"/>
  <c r="U18" i="1"/>
  <c r="BN18" i="1"/>
  <c r="CN18" i="1"/>
  <c r="AG20" i="1"/>
  <c r="I26" i="1"/>
  <c r="I31" i="1"/>
  <c r="CE31" i="1"/>
  <c r="P38" i="1"/>
  <c r="BH38" i="1"/>
  <c r="CH38" i="1"/>
  <c r="O40" i="1"/>
  <c r="U47" i="1"/>
  <c r="CN47" i="1"/>
  <c r="AD50" i="1"/>
  <c r="BQ50" i="1"/>
  <c r="BD52" i="1"/>
  <c r="P54" i="1"/>
  <c r="BH54" i="1"/>
  <c r="CN54" i="1"/>
  <c r="AD56" i="1"/>
  <c r="BQ56" i="1"/>
  <c r="AS49" i="1"/>
  <c r="U58" i="1"/>
  <c r="BN58" i="1"/>
  <c r="CN58" i="1"/>
  <c r="BQ61" i="1"/>
  <c r="BU63" i="1"/>
  <c r="BX63" i="1"/>
  <c r="BN66" i="1"/>
  <c r="CN66" i="1"/>
  <c r="AD70" i="1"/>
  <c r="BQ69" i="1"/>
  <c r="CF68" i="1"/>
  <c r="CL68" i="1"/>
  <c r="CH71" i="1"/>
  <c r="I74" i="1"/>
  <c r="P76" i="1"/>
  <c r="BN76" i="1"/>
  <c r="CN76" i="1"/>
  <c r="CE79" i="1"/>
  <c r="P80" i="1"/>
  <c r="U82" i="1"/>
  <c r="CN82" i="1"/>
  <c r="BD84" i="1"/>
  <c r="CE84" i="1"/>
  <c r="Q86" i="1"/>
  <c r="CF86" i="1"/>
  <c r="CL86" i="1"/>
  <c r="CP86" i="1"/>
  <c r="CU86" i="1"/>
  <c r="CH87" i="1"/>
  <c r="AD99" i="1"/>
  <c r="BQ99" i="1"/>
  <c r="K101" i="1"/>
  <c r="O101" i="1"/>
  <c r="T101" i="1"/>
  <c r="Y101" i="1"/>
  <c r="AC101" i="1"/>
  <c r="AG101" i="1"/>
  <c r="AK101" i="1"/>
  <c r="AO101" i="1"/>
  <c r="AU101" i="1"/>
  <c r="AY101" i="1"/>
  <c r="BI101" i="1"/>
  <c r="BT101" i="1"/>
  <c r="I126" i="1"/>
  <c r="AH130" i="1"/>
  <c r="AD137" i="1"/>
  <c r="I138" i="1"/>
  <c r="CE138" i="1"/>
  <c r="L146" i="1"/>
  <c r="Y146" i="1"/>
  <c r="AC146" i="1"/>
  <c r="AG146" i="1"/>
  <c r="AO146" i="1"/>
  <c r="AU146" i="1"/>
  <c r="BI146" i="1"/>
  <c r="BT146" i="1"/>
  <c r="I147" i="1"/>
  <c r="CD149" i="1"/>
  <c r="CD148" i="1"/>
  <c r="CD150" i="1"/>
  <c r="Q146" i="1"/>
  <c r="V146" i="1"/>
  <c r="AH146" i="1"/>
  <c r="AL146" i="1"/>
  <c r="AP146" i="1"/>
  <c r="AV146" i="1"/>
  <c r="BE146" i="1"/>
  <c r="BO146" i="1"/>
  <c r="BU146" i="1"/>
  <c r="CI146" i="1"/>
  <c r="AD193" i="1"/>
  <c r="BQ195" i="1"/>
  <c r="BL224" i="1"/>
  <c r="BH228" i="1"/>
  <c r="AD228" i="1"/>
  <c r="AK233" i="1"/>
  <c r="AO233" i="1"/>
  <c r="AS233" i="1"/>
  <c r="BG233" i="1"/>
  <c r="BL233" i="1"/>
  <c r="BS233" i="1"/>
  <c r="BW233" i="1"/>
  <c r="CA233" i="1"/>
  <c r="CP233" i="1"/>
  <c r="CL314" i="1"/>
  <c r="CL296" i="1" s="1"/>
  <c r="AD318" i="1"/>
  <c r="BQ318" i="1"/>
  <c r="H40" i="1"/>
  <c r="H47" i="1"/>
  <c r="H52" i="1"/>
  <c r="H69" i="1"/>
  <c r="H76" i="1"/>
  <c r="H82" i="1"/>
  <c r="H140" i="1"/>
  <c r="H154" i="1"/>
  <c r="H161" i="1"/>
  <c r="G189" i="1"/>
  <c r="Z243" i="1"/>
  <c r="T243" i="1"/>
  <c r="P266" i="1"/>
  <c r="AA243" i="1"/>
  <c r="AY123" i="1"/>
  <c r="AD163" i="1"/>
  <c r="AG164" i="1"/>
  <c r="AJ243" i="1"/>
  <c r="CN166" i="1"/>
  <c r="BQ207" i="1"/>
  <c r="CD137" i="1"/>
  <c r="CN314" i="1"/>
  <c r="CH314" i="1"/>
  <c r="Q233" i="1"/>
  <c r="H233" i="1"/>
  <c r="AI233" i="1"/>
  <c r="T169" i="1"/>
  <c r="AH169" i="1"/>
  <c r="AD170" i="1"/>
  <c r="U170" i="1"/>
  <c r="CN130" i="1"/>
  <c r="CD132" i="1"/>
  <c r="N125" i="1"/>
  <c r="Q49" i="1"/>
  <c r="AW49" i="1"/>
  <c r="BG49" i="1"/>
  <c r="BL49" i="1"/>
  <c r="BO49" i="1"/>
  <c r="AJ68" i="1"/>
  <c r="I76" i="1"/>
  <c r="K80" i="1"/>
  <c r="BD82" i="1"/>
  <c r="BC83" i="1"/>
  <c r="K86" i="1"/>
  <c r="M86" i="1"/>
  <c r="BC181" i="1"/>
  <c r="K63" i="1"/>
  <c r="BH109" i="1"/>
  <c r="BC110" i="1"/>
  <c r="I162" i="1"/>
  <c r="N161" i="1"/>
  <c r="N243" i="1"/>
  <c r="U220" i="1"/>
  <c r="AG243" i="1"/>
  <c r="AA86" i="1"/>
  <c r="AC86" i="1"/>
  <c r="AE86" i="1"/>
  <c r="AG86" i="1"/>
  <c r="AI86" i="1"/>
  <c r="AM86" i="1"/>
  <c r="BF86" i="1"/>
  <c r="BI86" i="1"/>
  <c r="AH164" i="1"/>
  <c r="CA201" i="1"/>
  <c r="W243" i="1"/>
  <c r="BW146" i="1"/>
  <c r="M169" i="1"/>
  <c r="Q169" i="1"/>
  <c r="V169" i="1"/>
  <c r="X169" i="1"/>
  <c r="Z169" i="1"/>
  <c r="AB169" i="1"/>
  <c r="AK169" i="1"/>
  <c r="AM169" i="1"/>
  <c r="AO169" i="1"/>
  <c r="AQ169" i="1"/>
  <c r="AS169" i="1"/>
  <c r="AU169" i="1"/>
  <c r="AY169" i="1"/>
  <c r="BI169" i="1"/>
  <c r="BK169" i="1"/>
  <c r="CD246" i="1"/>
  <c r="CD248" i="1"/>
  <c r="CD252" i="1"/>
  <c r="CD254" i="1"/>
  <c r="CD260" i="1"/>
  <c r="R243" i="1"/>
  <c r="V243" i="1"/>
  <c r="I267" i="1"/>
  <c r="O243" i="1"/>
  <c r="BR169" i="1"/>
  <c r="BT169" i="1"/>
  <c r="K169" i="1"/>
  <c r="L169" i="1"/>
  <c r="N169" i="1"/>
  <c r="R169" i="1"/>
  <c r="W169" i="1"/>
  <c r="Y169" i="1"/>
  <c r="AA169" i="1"/>
  <c r="AC169" i="1"/>
  <c r="AE169" i="1"/>
  <c r="AG169" i="1"/>
  <c r="BO169" i="1"/>
  <c r="BU169" i="1"/>
  <c r="BW169" i="1"/>
  <c r="BY169" i="1"/>
  <c r="CA169" i="1"/>
  <c r="CI169" i="1"/>
  <c r="M186" i="1"/>
  <c r="O186" i="1"/>
  <c r="R186" i="1"/>
  <c r="T186" i="1"/>
  <c r="Y186" i="1"/>
  <c r="AA186" i="1"/>
  <c r="AC186" i="1"/>
  <c r="AG186" i="1"/>
  <c r="AI186" i="1"/>
  <c r="AO186" i="1"/>
  <c r="AQ186" i="1"/>
  <c r="AU186" i="1"/>
  <c r="AY186" i="1"/>
  <c r="BF186" i="1"/>
  <c r="BK186" i="1"/>
  <c r="BR186" i="1"/>
  <c r="BT186" i="1"/>
  <c r="BV186" i="1"/>
  <c r="L186" i="1"/>
  <c r="N186" i="1"/>
  <c r="Q186" i="1"/>
  <c r="S186" i="1"/>
  <c r="V186" i="1"/>
  <c r="AF186" i="1"/>
  <c r="AH186" i="1"/>
  <c r="AJ186" i="1"/>
  <c r="AN186" i="1"/>
  <c r="AP186" i="1"/>
  <c r="AR186" i="1"/>
  <c r="AV186" i="1"/>
  <c r="AW186" i="1"/>
  <c r="BE186" i="1"/>
  <c r="BL186" i="1"/>
  <c r="BO186" i="1"/>
  <c r="BU186" i="1"/>
  <c r="BW186" i="1"/>
  <c r="BY186" i="1"/>
  <c r="CI186" i="1"/>
  <c r="CL186" i="1"/>
  <c r="CN243" i="1"/>
  <c r="AE63" i="1"/>
  <c r="AI63" i="1"/>
  <c r="AM63" i="1"/>
  <c r="AO63" i="1"/>
  <c r="BF63" i="1"/>
  <c r="BI63" i="1"/>
  <c r="BK63" i="1"/>
  <c r="BN24" i="1"/>
  <c r="CN24" i="1"/>
  <c r="CD27" i="1"/>
  <c r="BC34" i="1"/>
  <c r="BN40" i="1"/>
  <c r="CE40" i="1"/>
  <c r="CD48" i="1"/>
  <c r="J68" i="1"/>
  <c r="CD70" i="1"/>
  <c r="BX186" i="1"/>
  <c r="BC139" i="1"/>
  <c r="BY125" i="1"/>
  <c r="CA125" i="1"/>
  <c r="CF125" i="1"/>
  <c r="CL125" i="1"/>
  <c r="CP125" i="1"/>
  <c r="CU125" i="1"/>
  <c r="BC145" i="1"/>
  <c r="BC149" i="1"/>
  <c r="BC150" i="1"/>
  <c r="CU169" i="1"/>
  <c r="CG186" i="1"/>
  <c r="CF186" i="1"/>
  <c r="CD257" i="1"/>
  <c r="K111" i="1"/>
  <c r="M111" i="1"/>
  <c r="R111" i="1"/>
  <c r="Y111" i="1"/>
  <c r="AI111" i="1"/>
  <c r="AQ111" i="1"/>
  <c r="BK111" i="1"/>
  <c r="R86" i="1"/>
  <c r="W86" i="1"/>
  <c r="AO86" i="1"/>
  <c r="AQ86" i="1"/>
  <c r="AU86" i="1"/>
  <c r="BK86" i="1"/>
  <c r="BC92" i="1"/>
  <c r="AD142" i="1"/>
  <c r="AH243" i="1"/>
  <c r="BD118" i="1"/>
  <c r="BH20" i="1"/>
  <c r="P24" i="1"/>
  <c r="BC28" i="1"/>
  <c r="CD30" i="1"/>
  <c r="CD32" i="1"/>
  <c r="CD33" i="1"/>
  <c r="I87" i="1"/>
  <c r="U87" i="1"/>
  <c r="BC88" i="1"/>
  <c r="CE87" i="1"/>
  <c r="BH87" i="1"/>
  <c r="BQ87" i="1"/>
  <c r="BC95" i="1"/>
  <c r="BC187" i="1"/>
  <c r="BC319" i="1"/>
  <c r="CD315" i="1"/>
  <c r="CE314" i="1"/>
  <c r="H111" i="1"/>
  <c r="O111" i="1"/>
  <c r="T111" i="1"/>
  <c r="AA111" i="1"/>
  <c r="AG111" i="1"/>
  <c r="AK111" i="1"/>
  <c r="AO111" i="1"/>
  <c r="AU111" i="1"/>
  <c r="BI111" i="1"/>
  <c r="Z17" i="1"/>
  <c r="K49" i="1"/>
  <c r="L68" i="1"/>
  <c r="N68" i="1"/>
  <c r="R68" i="1"/>
  <c r="V68" i="1"/>
  <c r="X68" i="1"/>
  <c r="Z68" i="1"/>
  <c r="AF68" i="1"/>
  <c r="AH68" i="1"/>
  <c r="AL68" i="1"/>
  <c r="AN68" i="1"/>
  <c r="AR68" i="1"/>
  <c r="AW68" i="1"/>
  <c r="BE68" i="1"/>
  <c r="BG68" i="1"/>
  <c r="BI68" i="1"/>
  <c r="BK68" i="1"/>
  <c r="BX68" i="1"/>
  <c r="BZ68" i="1"/>
  <c r="CB68" i="1"/>
  <c r="Q68" i="1"/>
  <c r="BL68" i="1"/>
  <c r="BO68" i="1"/>
  <c r="BS68" i="1"/>
  <c r="BU68" i="1"/>
  <c r="BY68" i="1"/>
  <c r="CP68" i="1"/>
  <c r="CU68" i="1"/>
  <c r="O63" i="1"/>
  <c r="AG68" i="1"/>
  <c r="M68" i="1"/>
  <c r="Y86" i="1"/>
  <c r="J125" i="1"/>
  <c r="L125" i="1"/>
  <c r="J169" i="1"/>
  <c r="BQ66" i="1"/>
  <c r="BC67" i="1"/>
  <c r="BH78" i="1"/>
  <c r="BC79" i="1"/>
  <c r="I84" i="1"/>
  <c r="BH84" i="1"/>
  <c r="BC85" i="1"/>
  <c r="P87" i="1"/>
  <c r="BH140" i="1"/>
  <c r="BC141" i="1"/>
  <c r="I142" i="1"/>
  <c r="BN142" i="1"/>
  <c r="BC143" i="1"/>
  <c r="BC81" i="1"/>
  <c r="CD139" i="1"/>
  <c r="BC91" i="1"/>
  <c r="BN87" i="1"/>
  <c r="BN147" i="1"/>
  <c r="CD91" i="1"/>
  <c r="CH24" i="1"/>
  <c r="BH40" i="1"/>
  <c r="BN47" i="1"/>
  <c r="P50" i="1"/>
  <c r="T68" i="1"/>
  <c r="I130" i="1"/>
  <c r="BQ130" i="1"/>
  <c r="O125" i="1"/>
  <c r="BC131" i="1"/>
  <c r="AD71" i="1"/>
  <c r="T63" i="1"/>
  <c r="I64" i="1"/>
  <c r="AD296" i="1" l="1"/>
  <c r="CN296" i="1"/>
  <c r="CE296" i="1"/>
  <c r="BN296" i="1"/>
  <c r="BH296" i="1"/>
  <c r="BQ296" i="1"/>
  <c r="BD296" i="1"/>
  <c r="CH296" i="1"/>
  <c r="U296" i="1"/>
  <c r="P296" i="1"/>
  <c r="F163" i="1"/>
  <c r="AD133" i="1"/>
  <c r="F22" i="1"/>
  <c r="F124" i="1"/>
  <c r="F131" i="1"/>
  <c r="CC252" i="1"/>
  <c r="P96" i="1"/>
  <c r="BD96" i="1"/>
  <c r="BN96" i="1"/>
  <c r="BH96" i="1"/>
  <c r="F173" i="1"/>
  <c r="U96" i="1"/>
  <c r="CD112" i="1"/>
  <c r="F37" i="1"/>
  <c r="F315" i="1"/>
  <c r="CD180" i="1"/>
  <c r="BC112" i="1"/>
  <c r="CC253" i="1"/>
  <c r="BC180" i="1"/>
  <c r="BQ96" i="1"/>
  <c r="F26" i="1"/>
  <c r="F81" i="1"/>
  <c r="F43" i="1"/>
  <c r="I96" i="1"/>
  <c r="F180" i="1"/>
  <c r="F112" i="1"/>
  <c r="F220" i="1"/>
  <c r="AD96" i="1"/>
  <c r="CH96" i="1"/>
  <c r="CN96" i="1"/>
  <c r="CE96" i="1"/>
  <c r="F267" i="1"/>
  <c r="CD209" i="1"/>
  <c r="F31" i="1"/>
  <c r="U209" i="1"/>
  <c r="BC209" i="1"/>
  <c r="E263" i="1"/>
  <c r="F44" i="1"/>
  <c r="F21" i="1"/>
  <c r="U20" i="1"/>
  <c r="F70" i="1"/>
  <c r="F35" i="1"/>
  <c r="F166" i="1"/>
  <c r="F162" i="1"/>
  <c r="F266" i="1"/>
  <c r="F155" i="1"/>
  <c r="F137" i="1"/>
  <c r="F133" i="1" s="1"/>
  <c r="CD133" i="1"/>
  <c r="BC133" i="1"/>
  <c r="BH17" i="1"/>
  <c r="F230" i="1"/>
  <c r="X160" i="1"/>
  <c r="CG160" i="1"/>
  <c r="R160" i="1"/>
  <c r="AQ160" i="1"/>
  <c r="AH160" i="1"/>
  <c r="AG233" i="1"/>
  <c r="BC311" i="1"/>
  <c r="F311" i="1"/>
  <c r="CD311" i="1"/>
  <c r="BC230" i="1"/>
  <c r="H104" i="1"/>
  <c r="O160" i="1"/>
  <c r="BH104" i="1"/>
  <c r="G160" i="1"/>
  <c r="AY160" i="1"/>
  <c r="CD230" i="1"/>
  <c r="AG160" i="1"/>
  <c r="CN104" i="1"/>
  <c r="BD104" i="1"/>
  <c r="I104" i="1"/>
  <c r="P104" i="1"/>
  <c r="BN160" i="1"/>
  <c r="BQ160" i="1"/>
  <c r="AD104" i="1"/>
  <c r="CH160" i="1"/>
  <c r="BQ104" i="1"/>
  <c r="N160" i="1"/>
  <c r="BD160" i="1"/>
  <c r="T160" i="1"/>
  <c r="BH160" i="1"/>
  <c r="H160" i="1"/>
  <c r="CE104" i="1"/>
  <c r="U104" i="1"/>
  <c r="BN104" i="1"/>
  <c r="CH104" i="1"/>
  <c r="CD90" i="1"/>
  <c r="F90" i="1"/>
  <c r="BC90" i="1"/>
  <c r="BD60" i="1"/>
  <c r="BQ60" i="1"/>
  <c r="CN60" i="1"/>
  <c r="BH60" i="1"/>
  <c r="CH60" i="1"/>
  <c r="AD60" i="1"/>
  <c r="U60" i="1"/>
  <c r="BN60" i="1"/>
  <c r="P60" i="1"/>
  <c r="CE60" i="1"/>
  <c r="I60" i="1"/>
  <c r="H60" i="1"/>
  <c r="G60" i="1"/>
  <c r="I314" i="1"/>
  <c r="I296" i="1" s="1"/>
  <c r="BC119" i="1"/>
  <c r="CD105" i="1"/>
  <c r="F119" i="1"/>
  <c r="CD119" i="1"/>
  <c r="BC105" i="1"/>
  <c r="F105" i="1"/>
  <c r="AW17" i="1"/>
  <c r="CE101" i="1"/>
  <c r="AP68" i="1"/>
  <c r="W17" i="1"/>
  <c r="CD140" i="1"/>
  <c r="AO17" i="1"/>
  <c r="AY17" i="1"/>
  <c r="CC77" i="1"/>
  <c r="CD52" i="1"/>
  <c r="CC118" i="1"/>
  <c r="CD71" i="1"/>
  <c r="E144" i="1"/>
  <c r="CC127" i="1"/>
  <c r="F228" i="1"/>
  <c r="CE130" i="1"/>
  <c r="CC75" i="1"/>
  <c r="AD130" i="1"/>
  <c r="CC85" i="1"/>
  <c r="BD101" i="1"/>
  <c r="F138" i="1"/>
  <c r="CC258" i="1"/>
  <c r="CH101" i="1"/>
  <c r="CC226" i="1"/>
  <c r="CC244" i="1"/>
  <c r="F318" i="1"/>
  <c r="H63" i="1"/>
  <c r="CG146" i="1"/>
  <c r="CG68" i="1"/>
  <c r="AJ17" i="1"/>
  <c r="R17" i="1"/>
  <c r="CD228" i="1"/>
  <c r="AA68" i="1"/>
  <c r="E100" i="1"/>
  <c r="CD193" i="1"/>
  <c r="CC203" i="1"/>
  <c r="CD170" i="1"/>
  <c r="AR125" i="1"/>
  <c r="AQ146" i="1"/>
  <c r="CD197" i="1"/>
  <c r="BN233" i="1"/>
  <c r="AD123" i="1"/>
  <c r="H86" i="1"/>
  <c r="F151" i="1"/>
  <c r="CD126" i="1"/>
  <c r="E277" i="1"/>
  <c r="CD56" i="1"/>
  <c r="E245" i="1"/>
  <c r="U293" i="1"/>
  <c r="AD293" i="1"/>
  <c r="E261" i="1"/>
  <c r="E257" i="1"/>
  <c r="BH233" i="1"/>
  <c r="CC265" i="1"/>
  <c r="BQ233" i="1"/>
  <c r="BC314" i="1"/>
  <c r="CC251" i="1"/>
  <c r="F289" i="1"/>
  <c r="E258" i="1"/>
  <c r="CD318" i="1"/>
  <c r="BC294" i="1"/>
  <c r="BQ224" i="1"/>
  <c r="BD293" i="1"/>
  <c r="BC291" i="1"/>
  <c r="CC234" i="1"/>
  <c r="CE224" i="1"/>
  <c r="CC259" i="1"/>
  <c r="CC256" i="1"/>
  <c r="CD320" i="1"/>
  <c r="CC220" i="1"/>
  <c r="BQ293" i="1"/>
  <c r="CD268" i="1"/>
  <c r="E271" i="1"/>
  <c r="E275" i="1"/>
  <c r="E274" i="1"/>
  <c r="CD291" i="1"/>
  <c r="CC271" i="1"/>
  <c r="BC320" i="1"/>
  <c r="CC274" i="1"/>
  <c r="CC255" i="1"/>
  <c r="CC171" i="1"/>
  <c r="I186" i="1"/>
  <c r="O169" i="1"/>
  <c r="CC290" i="1"/>
  <c r="F175" i="1"/>
  <c r="CC163" i="1"/>
  <c r="E251" i="1"/>
  <c r="E276" i="1"/>
  <c r="CC249" i="1"/>
  <c r="BD224" i="1"/>
  <c r="BN224" i="1"/>
  <c r="CD289" i="1"/>
  <c r="CC229" i="1"/>
  <c r="CC261" i="1"/>
  <c r="BC195" i="1"/>
  <c r="CC181" i="1"/>
  <c r="CC277" i="1"/>
  <c r="CC173" i="1"/>
  <c r="CC219" i="1"/>
  <c r="CC250" i="1"/>
  <c r="CN224" i="1"/>
  <c r="E179" i="1"/>
  <c r="CC263" i="1"/>
  <c r="U164" i="1"/>
  <c r="CC204" i="1"/>
  <c r="BC268" i="1"/>
  <c r="CC317" i="1"/>
  <c r="BH146" i="1"/>
  <c r="E260" i="1"/>
  <c r="BD233" i="1"/>
  <c r="BC194" i="1"/>
  <c r="F291" i="1"/>
  <c r="CC136" i="1"/>
  <c r="H186" i="1"/>
  <c r="AY146" i="1"/>
  <c r="E156" i="1"/>
  <c r="BC175" i="1"/>
  <c r="CC198" i="1"/>
  <c r="E259" i="1"/>
  <c r="E270" i="1"/>
  <c r="I293" i="1"/>
  <c r="CC245" i="1"/>
  <c r="P293" i="1"/>
  <c r="CC190" i="1"/>
  <c r="CC262" i="1"/>
  <c r="BN293" i="1"/>
  <c r="BC289" i="1"/>
  <c r="CC215" i="1"/>
  <c r="CC240" i="1"/>
  <c r="AL227" i="1"/>
  <c r="E312" i="1"/>
  <c r="CC214" i="1"/>
  <c r="CC292" i="1"/>
  <c r="CD142" i="1"/>
  <c r="CC65" i="1"/>
  <c r="CD61" i="1"/>
  <c r="F54" i="1"/>
  <c r="F38" i="1"/>
  <c r="E129" i="1"/>
  <c r="E265" i="1"/>
  <c r="E113" i="1"/>
  <c r="BN169" i="1"/>
  <c r="CC113" i="1"/>
  <c r="BC228" i="1"/>
  <c r="E292" i="1"/>
  <c r="E158" i="1"/>
  <c r="CD172" i="1"/>
  <c r="CC216" i="1"/>
  <c r="E253" i="1"/>
  <c r="E205" i="1"/>
  <c r="BH224" i="1"/>
  <c r="BC99" i="1"/>
  <c r="CC217" i="1"/>
  <c r="CC231" i="1"/>
  <c r="I224" i="1"/>
  <c r="CC100" i="1"/>
  <c r="CC213" i="1"/>
  <c r="E152" i="1"/>
  <c r="CD309" i="1"/>
  <c r="BC178" i="1"/>
  <c r="E240" i="1"/>
  <c r="CC206" i="1"/>
  <c r="CC310" i="1"/>
  <c r="F178" i="1"/>
  <c r="CC218" i="1"/>
  <c r="N17" i="1"/>
  <c r="U146" i="1"/>
  <c r="P186" i="1"/>
  <c r="CD175" i="1"/>
  <c r="J233" i="1"/>
  <c r="BQ146" i="1"/>
  <c r="CC176" i="1"/>
  <c r="AD40" i="1"/>
  <c r="CD99" i="1"/>
  <c r="AD20" i="1"/>
  <c r="CI227" i="1"/>
  <c r="CI322" i="1" s="1"/>
  <c r="L227" i="1"/>
  <c r="L322" i="1" s="1"/>
  <c r="AL17" i="1"/>
  <c r="AT227" i="1"/>
  <c r="AT322" i="1" s="1"/>
  <c r="S227" i="1"/>
  <c r="S322" i="1" s="1"/>
  <c r="CC143" i="1"/>
  <c r="CC37" i="1"/>
  <c r="CG17" i="1"/>
  <c r="CD58" i="1"/>
  <c r="Y17" i="1"/>
  <c r="AC233" i="1"/>
  <c r="F199" i="1"/>
  <c r="E198" i="1"/>
  <c r="CC95" i="1"/>
  <c r="BC316" i="1"/>
  <c r="E234" i="1"/>
  <c r="AD101" i="1"/>
  <c r="CC43" i="1"/>
  <c r="F52" i="1"/>
  <c r="BC197" i="1"/>
  <c r="BD169" i="1"/>
  <c r="F109" i="1"/>
  <c r="CC135" i="1"/>
  <c r="CC187" i="1"/>
  <c r="CC205" i="1"/>
  <c r="CC144" i="1"/>
  <c r="CC103" i="1"/>
  <c r="CC157" i="1"/>
  <c r="CC174" i="1"/>
  <c r="CD189" i="1"/>
  <c r="CC200" i="1"/>
  <c r="E202" i="1"/>
  <c r="CC36" i="1"/>
  <c r="CC83" i="1"/>
  <c r="BC199" i="1"/>
  <c r="CH224" i="1"/>
  <c r="CC177" i="1"/>
  <c r="P224" i="1"/>
  <c r="E206" i="1"/>
  <c r="F193" i="1"/>
  <c r="CD178" i="1"/>
  <c r="CD74" i="1"/>
  <c r="E191" i="1"/>
  <c r="CD84" i="1"/>
  <c r="E254" i="1"/>
  <c r="CD80" i="1"/>
  <c r="CC73" i="1"/>
  <c r="E177" i="1"/>
  <c r="CC145" i="1"/>
  <c r="CC194" i="1"/>
  <c r="F316" i="1"/>
  <c r="CC319" i="1"/>
  <c r="CH293" i="1"/>
  <c r="CC276" i="1"/>
  <c r="U101" i="1"/>
  <c r="CD314" i="1"/>
  <c r="T233" i="1"/>
  <c r="BV227" i="1"/>
  <c r="BV322" i="1" s="1"/>
  <c r="BE227" i="1"/>
  <c r="BE322" i="1" s="1"/>
  <c r="AD154" i="1"/>
  <c r="BI227" i="1"/>
  <c r="BI322" i="1" s="1"/>
  <c r="AH17" i="1"/>
  <c r="F18" i="1"/>
  <c r="CD18" i="1"/>
  <c r="F66" i="1"/>
  <c r="BC64" i="1"/>
  <c r="CC57" i="1"/>
  <c r="CC55" i="1"/>
  <c r="BC45" i="1"/>
  <c r="CD109" i="1"/>
  <c r="F45" i="1"/>
  <c r="BC18" i="1"/>
  <c r="E53" i="1"/>
  <c r="H169" i="1"/>
  <c r="BQ169" i="1"/>
  <c r="CN186" i="1"/>
  <c r="F74" i="1"/>
  <c r="J146" i="1"/>
  <c r="CD102" i="1"/>
  <c r="F195" i="1"/>
  <c r="CD201" i="1"/>
  <c r="CC53" i="1"/>
  <c r="BC154" i="1"/>
  <c r="E153" i="1"/>
  <c r="BC123" i="1"/>
  <c r="F170" i="1"/>
  <c r="Z233" i="1"/>
  <c r="CD316" i="1"/>
  <c r="CN169" i="1"/>
  <c r="CC188" i="1"/>
  <c r="CH233" i="1"/>
  <c r="BF227" i="1"/>
  <c r="BF322" i="1" s="1"/>
  <c r="AR227" i="1"/>
  <c r="M227" i="1"/>
  <c r="M322" i="1" s="1"/>
  <c r="O146" i="1"/>
  <c r="P125" i="1"/>
  <c r="AL125" i="1"/>
  <c r="AD63" i="1"/>
  <c r="CC312" i="1"/>
  <c r="CE63" i="1"/>
  <c r="BC172" i="1"/>
  <c r="F117" i="1"/>
  <c r="AY233" i="1"/>
  <c r="Y233" i="1"/>
  <c r="CC264" i="1"/>
  <c r="BC309" i="1"/>
  <c r="CC156" i="1"/>
  <c r="CN101" i="1"/>
  <c r="E190" i="1"/>
  <c r="CC321" i="1"/>
  <c r="CC275" i="1"/>
  <c r="BH293" i="1"/>
  <c r="CC270" i="1"/>
  <c r="CC179" i="1"/>
  <c r="BC151" i="1"/>
  <c r="BN101" i="1"/>
  <c r="E295" i="1"/>
  <c r="BC71" i="1"/>
  <c r="CC67" i="1"/>
  <c r="BD63" i="1"/>
  <c r="CD38" i="1"/>
  <c r="E290" i="1"/>
  <c r="BC69" i="1"/>
  <c r="F58" i="1"/>
  <c r="F56" i="1"/>
  <c r="BC52" i="1"/>
  <c r="F294" i="1"/>
  <c r="CC29" i="1"/>
  <c r="I101" i="1"/>
  <c r="G146" i="1"/>
  <c r="CA17" i="1"/>
  <c r="E249" i="1"/>
  <c r="CC72" i="1"/>
  <c r="I40" i="1"/>
  <c r="CC88" i="1"/>
  <c r="F82" i="1"/>
  <c r="BC58" i="1"/>
  <c r="CD45" i="1"/>
  <c r="CC212" i="1"/>
  <c r="CC208" i="1"/>
  <c r="E135" i="1"/>
  <c r="E203" i="1"/>
  <c r="CG125" i="1"/>
  <c r="CC124" i="1"/>
  <c r="BC225" i="1"/>
  <c r="CH125" i="1"/>
  <c r="CC165" i="1"/>
  <c r="CD195" i="1"/>
  <c r="CD76" i="1"/>
  <c r="CN146" i="1"/>
  <c r="CC159" i="1"/>
  <c r="E196" i="1"/>
  <c r="K17" i="1"/>
  <c r="F99" i="1"/>
  <c r="BD146" i="1"/>
  <c r="E211" i="1"/>
  <c r="E229" i="1"/>
  <c r="E188" i="1"/>
  <c r="CH146" i="1"/>
  <c r="CD131" i="1"/>
  <c r="CC129" i="1"/>
  <c r="CD117" i="1"/>
  <c r="F309" i="1"/>
  <c r="F268" i="1"/>
  <c r="CC62" i="1"/>
  <c r="CC152" i="1"/>
  <c r="CD64" i="1"/>
  <c r="CC141" i="1"/>
  <c r="CC92" i="1"/>
  <c r="BC76" i="1"/>
  <c r="CC89" i="1"/>
  <c r="F78" i="1"/>
  <c r="CC153" i="1"/>
  <c r="CC191" i="1"/>
  <c r="I154" i="1"/>
  <c r="CN293" i="1"/>
  <c r="CC211" i="1"/>
  <c r="AD24" i="1"/>
  <c r="BD125" i="1"/>
  <c r="CE169" i="1"/>
  <c r="BD186" i="1"/>
  <c r="E136" i="1"/>
  <c r="BC126" i="1"/>
  <c r="E159" i="1"/>
  <c r="CD87" i="1"/>
  <c r="E226" i="1"/>
  <c r="E181" i="1"/>
  <c r="E310" i="1"/>
  <c r="CD123" i="1"/>
  <c r="CC81" i="1"/>
  <c r="I172" i="1"/>
  <c r="CE49" i="1"/>
  <c r="BN186" i="1"/>
  <c r="BC189" i="1"/>
  <c r="E19" i="1"/>
  <c r="CD54" i="1"/>
  <c r="CD225" i="1"/>
  <c r="CD151" i="1"/>
  <c r="CD199" i="1"/>
  <c r="F102" i="1"/>
  <c r="I49" i="1"/>
  <c r="CC196" i="1"/>
  <c r="CH186" i="1"/>
  <c r="F225" i="1"/>
  <c r="CC110" i="1"/>
  <c r="E317" i="1"/>
  <c r="BD86" i="1"/>
  <c r="CC192" i="1"/>
  <c r="G125" i="1"/>
  <c r="E62" i="1"/>
  <c r="E208" i="1"/>
  <c r="E192" i="1"/>
  <c r="F189" i="1"/>
  <c r="E176" i="1"/>
  <c r="E57" i="1"/>
  <c r="F61" i="1"/>
  <c r="BH186" i="1"/>
  <c r="E72" i="1"/>
  <c r="CC39" i="1"/>
  <c r="E41" i="1"/>
  <c r="F201" i="1"/>
  <c r="E174" i="1"/>
  <c r="U125" i="1"/>
  <c r="CD82" i="1"/>
  <c r="E73" i="1"/>
  <c r="CC19" i="1"/>
  <c r="CC59" i="1"/>
  <c r="CD66" i="1"/>
  <c r="E29" i="1"/>
  <c r="E39" i="1"/>
  <c r="BC170" i="1"/>
  <c r="CC158" i="1"/>
  <c r="CC128" i="1"/>
  <c r="CC207" i="1"/>
  <c r="CE243" i="1"/>
  <c r="CC25" i="1"/>
  <c r="CD40" i="1"/>
  <c r="G68" i="1"/>
  <c r="E55" i="1"/>
  <c r="BQ201" i="1"/>
  <c r="AD164" i="1"/>
  <c r="E200" i="1"/>
  <c r="BC161" i="1"/>
  <c r="AF227" i="1"/>
  <c r="AF322" i="1" s="1"/>
  <c r="CP227" i="1"/>
  <c r="CP322" i="1" s="1"/>
  <c r="AQ227" i="1"/>
  <c r="E214" i="1"/>
  <c r="BO227" i="1"/>
  <c r="BO322" i="1" s="1"/>
  <c r="AJ125" i="1"/>
  <c r="BG227" i="1"/>
  <c r="CA227" i="1"/>
  <c r="U111" i="1"/>
  <c r="BC164" i="1"/>
  <c r="BC74" i="1"/>
  <c r="CC42" i="1"/>
  <c r="E165" i="1"/>
  <c r="CC247" i="1"/>
  <c r="CC295" i="1"/>
  <c r="CD294" i="1"/>
  <c r="CC202" i="1"/>
  <c r="BQ24" i="1"/>
  <c r="G49" i="1"/>
  <c r="CB186" i="1"/>
  <c r="F197" i="1"/>
  <c r="G63" i="1"/>
  <c r="CE293" i="1"/>
  <c r="BC243" i="1"/>
  <c r="BC61" i="1"/>
  <c r="BQ193" i="1"/>
  <c r="AD224" i="1"/>
  <c r="BC102" i="1"/>
  <c r="CC51" i="1"/>
  <c r="CD50" i="1"/>
  <c r="G17" i="1"/>
  <c r="E103" i="1"/>
  <c r="U161" i="1"/>
  <c r="G101" i="1"/>
  <c r="F47" i="1"/>
  <c r="E33" i="1"/>
  <c r="E212" i="1"/>
  <c r="E59" i="1"/>
  <c r="BC54" i="1"/>
  <c r="U49" i="1"/>
  <c r="E128" i="1"/>
  <c r="G169" i="1"/>
  <c r="CE78" i="1"/>
  <c r="E42" i="1"/>
  <c r="P40" i="1"/>
  <c r="AH125" i="1"/>
  <c r="P146" i="1"/>
  <c r="I111" i="1"/>
  <c r="AV227" i="1"/>
  <c r="BK227" i="1"/>
  <c r="BK322" i="1" s="1"/>
  <c r="E264" i="1"/>
  <c r="CC44" i="1"/>
  <c r="BW227" i="1"/>
  <c r="BW322" i="1" s="1"/>
  <c r="Q227" i="1"/>
  <c r="Q322" i="1" s="1"/>
  <c r="BC38" i="1"/>
  <c r="AD49" i="1"/>
  <c r="CD35" i="1"/>
  <c r="CN49" i="1"/>
  <c r="U40" i="1"/>
  <c r="BH49" i="1"/>
  <c r="F76" i="1"/>
  <c r="BN68" i="1"/>
  <c r="E88" i="1"/>
  <c r="P68" i="1"/>
  <c r="BS227" i="1"/>
  <c r="BS322" i="1" s="1"/>
  <c r="BC21" i="1"/>
  <c r="BD17" i="1"/>
  <c r="CH49" i="1"/>
  <c r="E36" i="1"/>
  <c r="AP227" i="1"/>
  <c r="AW227" i="1"/>
  <c r="AW322" i="1" s="1"/>
  <c r="CN86" i="1"/>
  <c r="AG17" i="1"/>
  <c r="H227" i="1"/>
  <c r="CC26" i="1"/>
  <c r="CC34" i="1"/>
  <c r="U169" i="1"/>
  <c r="BR227" i="1"/>
  <c r="BR322" i="1" s="1"/>
  <c r="CH68" i="1"/>
  <c r="CD266" i="1"/>
  <c r="AR146" i="1"/>
  <c r="E77" i="1"/>
  <c r="BL227" i="1"/>
  <c r="BL322" i="1" s="1"/>
  <c r="CU227" i="1"/>
  <c r="AO227" i="1"/>
  <c r="AO322" i="1" s="1"/>
  <c r="BC50" i="1"/>
  <c r="I243" i="1"/>
  <c r="CC41" i="1"/>
  <c r="P63" i="1"/>
  <c r="BD49" i="1"/>
  <c r="AY111" i="1"/>
  <c r="G186" i="1"/>
  <c r="AD243" i="1"/>
  <c r="BD68" i="1"/>
  <c r="AB227" i="1"/>
  <c r="CF227" i="1"/>
  <c r="CF322" i="1" s="1"/>
  <c r="K227" i="1"/>
  <c r="CC28" i="1"/>
  <c r="CD31" i="1"/>
  <c r="CN17" i="1"/>
  <c r="BU227" i="1"/>
  <c r="BU322" i="1" s="1"/>
  <c r="CC21" i="1"/>
  <c r="BQ49" i="1"/>
  <c r="CC149" i="1"/>
  <c r="AM227" i="1"/>
  <c r="AM322" i="1" s="1"/>
  <c r="CE24" i="1"/>
  <c r="I24" i="1"/>
  <c r="BN49" i="1"/>
  <c r="E27" i="1"/>
  <c r="CD147" i="1"/>
  <c r="BQ68" i="1"/>
  <c r="CE186" i="1"/>
  <c r="G227" i="1"/>
  <c r="U243" i="1"/>
  <c r="AB186" i="1"/>
  <c r="CD79" i="1"/>
  <c r="AU227" i="1"/>
  <c r="AU322" i="1" s="1"/>
  <c r="AE227" i="1"/>
  <c r="AE322" i="1" s="1"/>
  <c r="H146" i="1"/>
  <c r="O17" i="1"/>
  <c r="E25" i="1"/>
  <c r="BC56" i="1"/>
  <c r="BH86" i="1"/>
  <c r="AD86" i="1"/>
  <c r="I125" i="1"/>
  <c r="E246" i="1"/>
  <c r="CC23" i="1"/>
  <c r="E148" i="1"/>
  <c r="BC47" i="1"/>
  <c r="BC142" i="1"/>
  <c r="BC140" i="1"/>
  <c r="P86" i="1"/>
  <c r="BC84" i="1"/>
  <c r="I86" i="1"/>
  <c r="E216" i="1"/>
  <c r="I63" i="1"/>
  <c r="BN17" i="1"/>
  <c r="BC40" i="1"/>
  <c r="BN125" i="1"/>
  <c r="BH125" i="1"/>
  <c r="E89" i="1"/>
  <c r="BC87" i="1"/>
  <c r="E213" i="1"/>
  <c r="CE86" i="1"/>
  <c r="E75" i="1"/>
  <c r="E262" i="1"/>
  <c r="E215" i="1"/>
  <c r="E255" i="1"/>
  <c r="CC246" i="1"/>
  <c r="E150" i="1"/>
  <c r="BC138" i="1"/>
  <c r="E34" i="1"/>
  <c r="BH169" i="1"/>
  <c r="AS227" i="1"/>
  <c r="AS322" i="1" s="1"/>
  <c r="AK227" i="1"/>
  <c r="AK322" i="1" s="1"/>
  <c r="CB227" i="1"/>
  <c r="BT227" i="1"/>
  <c r="BT322" i="1" s="1"/>
  <c r="CD155" i="1"/>
  <c r="CE154" i="1"/>
  <c r="AI125" i="1"/>
  <c r="H125" i="1"/>
  <c r="BH111" i="1"/>
  <c r="BH101" i="1"/>
  <c r="F140" i="1"/>
  <c r="BN86" i="1"/>
  <c r="U86" i="1"/>
  <c r="BC66" i="1"/>
  <c r="E256" i="1"/>
  <c r="BC147" i="1"/>
  <c r="CC27" i="1"/>
  <c r="E23" i="1"/>
  <c r="R233" i="1"/>
  <c r="CC260" i="1"/>
  <c r="K68" i="1"/>
  <c r="BC207" i="1"/>
  <c r="AA233" i="1"/>
  <c r="I164" i="1"/>
  <c r="H17" i="1"/>
  <c r="CC150" i="1"/>
  <c r="CC148" i="1"/>
  <c r="CE111" i="1"/>
  <c r="CN63" i="1"/>
  <c r="AN227" i="1"/>
  <c r="AN322" i="1" s="1"/>
  <c r="BQ111" i="1"/>
  <c r="CN68" i="1"/>
  <c r="U69" i="1"/>
  <c r="CG233" i="1"/>
  <c r="CE161" i="1"/>
  <c r="CD162" i="1"/>
  <c r="AD161" i="1"/>
  <c r="P161" i="1"/>
  <c r="H101" i="1"/>
  <c r="CH169" i="1"/>
  <c r="N146" i="1"/>
  <c r="BN111" i="1"/>
  <c r="BN63" i="1"/>
  <c r="AD186" i="1"/>
  <c r="BH63" i="1"/>
  <c r="CH86" i="1"/>
  <c r="CC33" i="1"/>
  <c r="CC30" i="1"/>
  <c r="E218" i="1"/>
  <c r="P49" i="1"/>
  <c r="CH17" i="1"/>
  <c r="BQ63" i="1"/>
  <c r="E244" i="1"/>
  <c r="BQ86" i="1"/>
  <c r="CC32" i="1"/>
  <c r="E252" i="1"/>
  <c r="E217" i="1"/>
  <c r="CC254" i="1"/>
  <c r="CC22" i="1"/>
  <c r="CD20" i="1"/>
  <c r="CL227" i="1"/>
  <c r="BX227" i="1"/>
  <c r="BX322" i="1" s="1"/>
  <c r="CH111" i="1"/>
  <c r="P111" i="1"/>
  <c r="P101" i="1"/>
  <c r="F64" i="1"/>
  <c r="BC130" i="1"/>
  <c r="BQ125" i="1"/>
  <c r="E157" i="1"/>
  <c r="F71" i="1"/>
  <c r="BN146" i="1"/>
  <c r="E32" i="1"/>
  <c r="E250" i="1"/>
  <c r="E219" i="1"/>
  <c r="E145" i="1"/>
  <c r="CA186" i="1"/>
  <c r="CN164" i="1"/>
  <c r="CD166" i="1"/>
  <c r="AJ233" i="1"/>
  <c r="H68" i="1"/>
  <c r="AD69" i="1"/>
  <c r="BZ227" i="1"/>
  <c r="BZ322" i="1" s="1"/>
  <c r="U224" i="1"/>
  <c r="BQ101" i="1"/>
  <c r="I80" i="1"/>
  <c r="CH63" i="1"/>
  <c r="CD267" i="1"/>
  <c r="BC204" i="1"/>
  <c r="BG111" i="1"/>
  <c r="X233" i="1"/>
  <c r="H49" i="1"/>
  <c r="BY227" i="1"/>
  <c r="BY322" i="1" s="1"/>
  <c r="P169" i="1"/>
  <c r="CN111" i="1"/>
  <c r="U63" i="1"/>
  <c r="U24" i="1"/>
  <c r="E30" i="1"/>
  <c r="CC137" i="1"/>
  <c r="E28" i="1"/>
  <c r="CC315" i="1"/>
  <c r="CC248" i="1"/>
  <c r="O233" i="1"/>
  <c r="N233" i="1"/>
  <c r="E187" i="1"/>
  <c r="CN233" i="1"/>
  <c r="CC257" i="1"/>
  <c r="AI227" i="1"/>
  <c r="AH233" i="1"/>
  <c r="W233" i="1"/>
  <c r="V233" i="1"/>
  <c r="E248" i="1"/>
  <c r="E247" i="1"/>
  <c r="E171" i="1"/>
  <c r="AD169" i="1"/>
  <c r="CN125" i="1"/>
  <c r="CC132" i="1"/>
  <c r="E132" i="1"/>
  <c r="I161" i="1"/>
  <c r="BC109" i="1"/>
  <c r="E110" i="1"/>
  <c r="BC82" i="1"/>
  <c r="E83" i="1"/>
  <c r="P243" i="1"/>
  <c r="E231" i="1"/>
  <c r="CD69" i="1"/>
  <c r="CC70" i="1"/>
  <c r="CD47" i="1"/>
  <c r="CC48" i="1"/>
  <c r="E141" i="1"/>
  <c r="E139" i="1"/>
  <c r="E92" i="1"/>
  <c r="BC118" i="1"/>
  <c r="BD117" i="1"/>
  <c r="E95" i="1"/>
  <c r="E319" i="1"/>
  <c r="BC318" i="1"/>
  <c r="F320" i="1"/>
  <c r="E321" i="1"/>
  <c r="E51" i="1"/>
  <c r="F50" i="1"/>
  <c r="E48" i="1"/>
  <c r="CD138" i="1"/>
  <c r="CC139" i="1"/>
  <c r="E143" i="1"/>
  <c r="F84" i="1"/>
  <c r="E85" i="1"/>
  <c r="BC78" i="1"/>
  <c r="E79" i="1"/>
  <c r="E67" i="1"/>
  <c r="F142" i="1"/>
  <c r="CC91" i="1"/>
  <c r="BC80" i="1"/>
  <c r="E91" i="1"/>
  <c r="BH68" i="1"/>
  <c r="F87" i="1"/>
  <c r="F147" i="1"/>
  <c r="E149" i="1"/>
  <c r="E127" i="1"/>
  <c r="F126" i="1"/>
  <c r="E65" i="1"/>
  <c r="BC296" i="1" l="1"/>
  <c r="CD296" i="1"/>
  <c r="AQ322" i="1"/>
  <c r="CB322" i="1"/>
  <c r="AB322" i="1"/>
  <c r="AV322" i="1"/>
  <c r="CA322" i="1"/>
  <c r="BG322" i="1"/>
  <c r="AR322" i="1"/>
  <c r="AI322" i="1"/>
  <c r="AL322" i="1"/>
  <c r="CL322" i="1"/>
  <c r="CU322" i="1"/>
  <c r="AP322" i="1"/>
  <c r="G322" i="1"/>
  <c r="K322" i="1"/>
  <c r="H322" i="1"/>
  <c r="F209" i="1"/>
  <c r="CC112" i="1"/>
  <c r="CC180" i="1"/>
  <c r="CD96" i="1"/>
  <c r="E112" i="1"/>
  <c r="AD233" i="1"/>
  <c r="E180" i="1"/>
  <c r="BC96" i="1"/>
  <c r="F96" i="1"/>
  <c r="CC209" i="1"/>
  <c r="AD17" i="1"/>
  <c r="CC133" i="1"/>
  <c r="F314" i="1"/>
  <c r="F296" i="1" s="1"/>
  <c r="E315" i="1"/>
  <c r="CC311" i="1"/>
  <c r="BC104" i="1"/>
  <c r="CC230" i="1"/>
  <c r="P160" i="1"/>
  <c r="E230" i="1"/>
  <c r="CN160" i="1"/>
  <c r="E311" i="1"/>
  <c r="CE160" i="1"/>
  <c r="AG227" i="1"/>
  <c r="AG322" i="1" s="1"/>
  <c r="CD104" i="1"/>
  <c r="I160" i="1"/>
  <c r="U160" i="1"/>
  <c r="BC160" i="1"/>
  <c r="AD160" i="1"/>
  <c r="F104" i="1"/>
  <c r="E90" i="1"/>
  <c r="CC90" i="1"/>
  <c r="BC60" i="1"/>
  <c r="E99" i="1"/>
  <c r="CD60" i="1"/>
  <c r="D252" i="1"/>
  <c r="F60" i="1"/>
  <c r="CC119" i="1"/>
  <c r="E105" i="1"/>
  <c r="E119" i="1"/>
  <c r="CC105" i="1"/>
  <c r="E37" i="1"/>
  <c r="BN227" i="1"/>
  <c r="BN322" i="1" s="1"/>
  <c r="CC84" i="1"/>
  <c r="CC76" i="1"/>
  <c r="CC117" i="1"/>
  <c r="F123" i="1"/>
  <c r="F101" i="1"/>
  <c r="CE125" i="1"/>
  <c r="E43" i="1"/>
  <c r="AD111" i="1"/>
  <c r="E124" i="1"/>
  <c r="CC74" i="1"/>
  <c r="E54" i="1"/>
  <c r="CC109" i="1"/>
  <c r="CC52" i="1"/>
  <c r="E52" i="1"/>
  <c r="F172" i="1"/>
  <c r="E131" i="1"/>
  <c r="CC64" i="1"/>
  <c r="E194" i="1"/>
  <c r="E178" i="1"/>
  <c r="CC320" i="1"/>
  <c r="BC293" i="1"/>
  <c r="CC318" i="1"/>
  <c r="CC31" i="1"/>
  <c r="E56" i="1"/>
  <c r="E316" i="1"/>
  <c r="D181" i="1"/>
  <c r="CD130" i="1"/>
  <c r="E228" i="1"/>
  <c r="CD101" i="1"/>
  <c r="CC99" i="1"/>
  <c r="E166" i="1"/>
  <c r="CC170" i="1"/>
  <c r="BC193" i="1"/>
  <c r="CD111" i="1"/>
  <c r="E175" i="1"/>
  <c r="CC87" i="1"/>
  <c r="CC172" i="1"/>
  <c r="D211" i="1"/>
  <c r="D290" i="1"/>
  <c r="BH227" i="1"/>
  <c r="BH322" i="1" s="1"/>
  <c r="BQ227" i="1"/>
  <c r="D261" i="1"/>
  <c r="E291" i="1"/>
  <c r="D251" i="1"/>
  <c r="CC309" i="1"/>
  <c r="D276" i="1"/>
  <c r="D277" i="1"/>
  <c r="D270" i="1"/>
  <c r="D310" i="1"/>
  <c r="D258" i="1"/>
  <c r="CC289" i="1"/>
  <c r="CC228" i="1"/>
  <c r="CH227" i="1"/>
  <c r="CH322" i="1" s="1"/>
  <c r="AY227" i="1"/>
  <c r="AY322" i="1" s="1"/>
  <c r="AC227" i="1"/>
  <c r="AC322" i="1" s="1"/>
  <c r="D271" i="1"/>
  <c r="D274" i="1"/>
  <c r="D203" i="1"/>
  <c r="E195" i="1"/>
  <c r="CD169" i="1"/>
  <c r="D259" i="1"/>
  <c r="D152" i="1"/>
  <c r="E189" i="1"/>
  <c r="I146" i="1"/>
  <c r="D191" i="1"/>
  <c r="BD227" i="1"/>
  <c r="D129" i="1"/>
  <c r="D128" i="1"/>
  <c r="E225" i="1"/>
  <c r="D229" i="1"/>
  <c r="Z227" i="1"/>
  <c r="Z322" i="1" s="1"/>
  <c r="D188" i="1"/>
  <c r="D249" i="1"/>
  <c r="D312" i="1"/>
  <c r="CD224" i="1"/>
  <c r="D156" i="1"/>
  <c r="CC197" i="1"/>
  <c r="D245" i="1"/>
  <c r="J227" i="1"/>
  <c r="J322" i="1" s="1"/>
  <c r="CC151" i="1"/>
  <c r="F130" i="1"/>
  <c r="D226" i="1"/>
  <c r="D292" i="1"/>
  <c r="E309" i="1"/>
  <c r="CD186" i="1"/>
  <c r="D113" i="1"/>
  <c r="CC316" i="1"/>
  <c r="F80" i="1"/>
  <c r="BC224" i="1"/>
  <c r="D253" i="1"/>
  <c r="D240" i="1"/>
  <c r="D208" i="1"/>
  <c r="I169" i="1"/>
  <c r="D72" i="1"/>
  <c r="CC291" i="1"/>
  <c r="D196" i="1"/>
  <c r="D57" i="1"/>
  <c r="E81" i="1"/>
  <c r="T227" i="1"/>
  <c r="T322" i="1" s="1"/>
  <c r="D265" i="1"/>
  <c r="U186" i="1"/>
  <c r="D135" i="1"/>
  <c r="D100" i="1"/>
  <c r="D177" i="1"/>
  <c r="CC175" i="1"/>
  <c r="D234" i="1"/>
  <c r="CC199" i="1"/>
  <c r="D179" i="1"/>
  <c r="CC102" i="1"/>
  <c r="D144" i="1"/>
  <c r="D53" i="1"/>
  <c r="CC314" i="1"/>
  <c r="CC56" i="1"/>
  <c r="AD146" i="1"/>
  <c r="CC80" i="1"/>
  <c r="D275" i="1"/>
  <c r="CC142" i="1"/>
  <c r="D198" i="1"/>
  <c r="D153" i="1"/>
  <c r="E151" i="1"/>
  <c r="D136" i="1"/>
  <c r="E197" i="1"/>
  <c r="E268" i="1"/>
  <c r="D190" i="1"/>
  <c r="D206" i="1"/>
  <c r="CC123" i="1"/>
  <c r="CC178" i="1"/>
  <c r="D205" i="1"/>
  <c r="CC225" i="1"/>
  <c r="CC71" i="1"/>
  <c r="D159" i="1"/>
  <c r="D192" i="1"/>
  <c r="Y227" i="1"/>
  <c r="Y322" i="1" s="1"/>
  <c r="CC268" i="1"/>
  <c r="E22" i="1"/>
  <c r="F20" i="1"/>
  <c r="E18" i="1"/>
  <c r="E45" i="1"/>
  <c r="D171" i="1"/>
  <c r="F154" i="1"/>
  <c r="BC169" i="1"/>
  <c r="E44" i="1"/>
  <c r="E26" i="1"/>
  <c r="CC35" i="1"/>
  <c r="F69" i="1"/>
  <c r="D264" i="1"/>
  <c r="E58" i="1"/>
  <c r="CD49" i="1"/>
  <c r="E199" i="1"/>
  <c r="D55" i="1"/>
  <c r="CC126" i="1"/>
  <c r="E38" i="1"/>
  <c r="CD63" i="1"/>
  <c r="D19" i="1"/>
  <c r="D174" i="1"/>
  <c r="D62" i="1"/>
  <c r="D317" i="1"/>
  <c r="CC140" i="1"/>
  <c r="CC61" i="1"/>
  <c r="CC131" i="1"/>
  <c r="E289" i="1"/>
  <c r="CC66" i="1"/>
  <c r="D141" i="1"/>
  <c r="E74" i="1"/>
  <c r="CD78" i="1"/>
  <c r="U233" i="1"/>
  <c r="CE17" i="1"/>
  <c r="I233" i="1"/>
  <c r="E76" i="1"/>
  <c r="E21" i="1"/>
  <c r="D88" i="1"/>
  <c r="D212" i="1"/>
  <c r="E102" i="1"/>
  <c r="BC233" i="1"/>
  <c r="D214" i="1"/>
  <c r="CE233" i="1"/>
  <c r="D158" i="1"/>
  <c r="D29" i="1"/>
  <c r="CC58" i="1"/>
  <c r="E71" i="1"/>
  <c r="CC38" i="1"/>
  <c r="D176" i="1"/>
  <c r="CC189" i="1"/>
  <c r="F224" i="1"/>
  <c r="CC195" i="1"/>
  <c r="CC45" i="1"/>
  <c r="F293" i="1"/>
  <c r="E294" i="1"/>
  <c r="CC54" i="1"/>
  <c r="CC193" i="1"/>
  <c r="E173" i="1"/>
  <c r="CC82" i="1"/>
  <c r="E61" i="1"/>
  <c r="CC201" i="1"/>
  <c r="D103" i="1"/>
  <c r="D200" i="1"/>
  <c r="D39" i="1"/>
  <c r="F24" i="1"/>
  <c r="CD24" i="1"/>
  <c r="E87" i="1"/>
  <c r="D59" i="1"/>
  <c r="CC79" i="1"/>
  <c r="BC201" i="1"/>
  <c r="D27" i="1"/>
  <c r="D73" i="1"/>
  <c r="CC147" i="1"/>
  <c r="BQ17" i="1"/>
  <c r="F243" i="1"/>
  <c r="D75" i="1"/>
  <c r="E70" i="1"/>
  <c r="CC18" i="1"/>
  <c r="D165" i="1"/>
  <c r="F40" i="1"/>
  <c r="BC24" i="1"/>
  <c r="BC125" i="1"/>
  <c r="BC20" i="1"/>
  <c r="I17" i="1"/>
  <c r="BQ186" i="1"/>
  <c r="P17" i="1"/>
  <c r="CC294" i="1"/>
  <c r="D295" i="1"/>
  <c r="D263" i="1"/>
  <c r="CC50" i="1"/>
  <c r="CE68" i="1"/>
  <c r="D202" i="1"/>
  <c r="BC101" i="1"/>
  <c r="CD293" i="1"/>
  <c r="AD125" i="1"/>
  <c r="D42" i="1"/>
  <c r="E31" i="1"/>
  <c r="D36" i="1"/>
  <c r="D77" i="1"/>
  <c r="D246" i="1"/>
  <c r="D32" i="1"/>
  <c r="CC266" i="1"/>
  <c r="E138" i="1"/>
  <c r="D25" i="1"/>
  <c r="E35" i="1"/>
  <c r="D139" i="1"/>
  <c r="CC40" i="1"/>
  <c r="D41" i="1"/>
  <c r="BC49" i="1"/>
  <c r="D95" i="1"/>
  <c r="BD111" i="1"/>
  <c r="D92" i="1"/>
  <c r="E155" i="1"/>
  <c r="E204" i="1"/>
  <c r="AJ227" i="1"/>
  <c r="AJ322" i="1" s="1"/>
  <c r="I68" i="1"/>
  <c r="D260" i="1"/>
  <c r="CD243" i="1"/>
  <c r="D23" i="1"/>
  <c r="BC146" i="1"/>
  <c r="D256" i="1"/>
  <c r="BC63" i="1"/>
  <c r="CE146" i="1"/>
  <c r="D262" i="1"/>
  <c r="D254" i="1"/>
  <c r="U17" i="1"/>
  <c r="F49" i="1"/>
  <c r="CC69" i="1"/>
  <c r="D143" i="1"/>
  <c r="BC86" i="1"/>
  <c r="E140" i="1"/>
  <c r="CC47" i="1"/>
  <c r="X227" i="1"/>
  <c r="X322" i="1" s="1"/>
  <c r="E163" i="1"/>
  <c r="CC166" i="1"/>
  <c r="CD164" i="1"/>
  <c r="D145" i="1"/>
  <c r="D250" i="1"/>
  <c r="D157" i="1"/>
  <c r="AD68" i="1"/>
  <c r="D244" i="1"/>
  <c r="D30" i="1"/>
  <c r="E207" i="1"/>
  <c r="CD154" i="1"/>
  <c r="CC155" i="1"/>
  <c r="D255" i="1"/>
  <c r="E64" i="1"/>
  <c r="CD86" i="1"/>
  <c r="CC138" i="1"/>
  <c r="CC267" i="1"/>
  <c r="E137" i="1"/>
  <c r="CC20" i="1"/>
  <c r="E267" i="1"/>
  <c r="CG227" i="1"/>
  <c r="U68" i="1"/>
  <c r="AA227" i="1"/>
  <c r="AA322" i="1" s="1"/>
  <c r="E220" i="1"/>
  <c r="R227" i="1"/>
  <c r="R322" i="1" s="1"/>
  <c r="D34" i="1"/>
  <c r="D150" i="1"/>
  <c r="D215" i="1"/>
  <c r="D216" i="1"/>
  <c r="D148" i="1"/>
  <c r="D219" i="1"/>
  <c r="F63" i="1"/>
  <c r="D217" i="1"/>
  <c r="D218" i="1"/>
  <c r="D33" i="1"/>
  <c r="E266" i="1"/>
  <c r="CC162" i="1"/>
  <c r="CD161" i="1"/>
  <c r="F164" i="1"/>
  <c r="D213" i="1"/>
  <c r="D89" i="1"/>
  <c r="D28" i="1"/>
  <c r="P233" i="1"/>
  <c r="O227" i="1"/>
  <c r="O322" i="1" s="1"/>
  <c r="N227" i="1"/>
  <c r="N322" i="1" s="1"/>
  <c r="D187" i="1"/>
  <c r="D257" i="1"/>
  <c r="CN227" i="1"/>
  <c r="CN322" i="1" s="1"/>
  <c r="AH227" i="1"/>
  <c r="AH322" i="1" s="1"/>
  <c r="W227" i="1"/>
  <c r="W322" i="1" s="1"/>
  <c r="V227" i="1"/>
  <c r="V322" i="1" s="1"/>
  <c r="D248" i="1"/>
  <c r="D247" i="1"/>
  <c r="E170" i="1"/>
  <c r="D132" i="1"/>
  <c r="E109" i="1"/>
  <c r="D110" i="1"/>
  <c r="E82" i="1"/>
  <c r="D83" i="1"/>
  <c r="E162" i="1"/>
  <c r="F161" i="1"/>
  <c r="D231" i="1"/>
  <c r="E142" i="1"/>
  <c r="E118" i="1"/>
  <c r="BC117" i="1"/>
  <c r="F86" i="1"/>
  <c r="BC68" i="1"/>
  <c r="D319" i="1"/>
  <c r="E318" i="1"/>
  <c r="D321" i="1"/>
  <c r="E320" i="1"/>
  <c r="D91" i="1"/>
  <c r="D67" i="1"/>
  <c r="E66" i="1"/>
  <c r="E78" i="1"/>
  <c r="E84" i="1"/>
  <c r="D85" i="1"/>
  <c r="E47" i="1"/>
  <c r="D48" i="1"/>
  <c r="E50" i="1"/>
  <c r="D51" i="1"/>
  <c r="D149" i="1"/>
  <c r="E147" i="1"/>
  <c r="D127" i="1"/>
  <c r="E126" i="1"/>
  <c r="D65" i="1"/>
  <c r="CC296" i="1" l="1"/>
  <c r="CG322" i="1"/>
  <c r="BD322" i="1"/>
  <c r="BQ322" i="1"/>
  <c r="D315" i="1"/>
  <c r="D314" i="1" s="1"/>
  <c r="D180" i="1"/>
  <c r="E133" i="1"/>
  <c r="D112" i="1"/>
  <c r="CC96" i="1"/>
  <c r="E209" i="1"/>
  <c r="E96" i="1"/>
  <c r="CC243" i="1"/>
  <c r="E314" i="1"/>
  <c r="E296" i="1" s="1"/>
  <c r="D268" i="1"/>
  <c r="F17" i="1"/>
  <c r="D311" i="1"/>
  <c r="D37" i="1"/>
  <c r="D230" i="1"/>
  <c r="E104" i="1"/>
  <c r="CD160" i="1"/>
  <c r="F160" i="1"/>
  <c r="CC104" i="1"/>
  <c r="D90" i="1"/>
  <c r="CC60" i="1"/>
  <c r="E60" i="1"/>
  <c r="D119" i="1"/>
  <c r="D105" i="1"/>
  <c r="D22" i="1"/>
  <c r="D43" i="1"/>
  <c r="D124" i="1"/>
  <c r="F111" i="1"/>
  <c r="E123" i="1"/>
  <c r="E130" i="1"/>
  <c r="D194" i="1"/>
  <c r="CD125" i="1"/>
  <c r="F169" i="1"/>
  <c r="CC24" i="1"/>
  <c r="E20" i="1"/>
  <c r="D26" i="1"/>
  <c r="F146" i="1"/>
  <c r="E172" i="1"/>
  <c r="D131" i="1"/>
  <c r="D52" i="1"/>
  <c r="D178" i="1"/>
  <c r="D99" i="1"/>
  <c r="E80" i="1"/>
  <c r="D289" i="1"/>
  <c r="E193" i="1"/>
  <c r="D81" i="1"/>
  <c r="CC111" i="1"/>
  <c r="D309" i="1"/>
  <c r="D225" i="1"/>
  <c r="E224" i="1"/>
  <c r="D189" i="1"/>
  <c r="D291" i="1"/>
  <c r="CC224" i="1"/>
  <c r="D170" i="1"/>
  <c r="CE227" i="1"/>
  <c r="F186" i="1"/>
  <c r="D195" i="1"/>
  <c r="D228" i="1"/>
  <c r="CC130" i="1"/>
  <c r="U227" i="1"/>
  <c r="U322" i="1" s="1"/>
  <c r="AD227" i="1"/>
  <c r="AD322" i="1" s="1"/>
  <c r="D197" i="1"/>
  <c r="CC169" i="1"/>
  <c r="D140" i="1"/>
  <c r="F68" i="1"/>
  <c r="D56" i="1"/>
  <c r="E40" i="1"/>
  <c r="D151" i="1"/>
  <c r="CC101" i="1"/>
  <c r="F233" i="1"/>
  <c r="I227" i="1"/>
  <c r="I322" i="1" s="1"/>
  <c r="D44" i="1"/>
  <c r="CC63" i="1"/>
  <c r="CD68" i="1"/>
  <c r="D38" i="1"/>
  <c r="D21" i="1"/>
  <c r="D138" i="1"/>
  <c r="D76" i="1"/>
  <c r="D74" i="1"/>
  <c r="D175" i="1"/>
  <c r="CC78" i="1"/>
  <c r="D102" i="1"/>
  <c r="E293" i="1"/>
  <c r="D45" i="1"/>
  <c r="D31" i="1"/>
  <c r="D70" i="1"/>
  <c r="D71" i="1"/>
  <c r="BC186" i="1"/>
  <c r="D58" i="1"/>
  <c r="CD17" i="1"/>
  <c r="D199" i="1"/>
  <c r="CC186" i="1"/>
  <c r="D173" i="1"/>
  <c r="BC227" i="1"/>
  <c r="E101" i="1"/>
  <c r="D316" i="1"/>
  <c r="D61" i="1"/>
  <c r="D18" i="1"/>
  <c r="D54" i="1"/>
  <c r="D79" i="1"/>
  <c r="E69" i="1"/>
  <c r="BC17" i="1"/>
  <c r="CC49" i="1"/>
  <c r="D294" i="1"/>
  <c r="CC293" i="1"/>
  <c r="F125" i="1"/>
  <c r="D35" i="1"/>
  <c r="E24" i="1"/>
  <c r="E243" i="1"/>
  <c r="E63" i="1"/>
  <c r="CC161" i="1"/>
  <c r="D50" i="1"/>
  <c r="D320" i="1"/>
  <c r="E49" i="1"/>
  <c r="D66" i="1"/>
  <c r="E86" i="1"/>
  <c r="BC111" i="1"/>
  <c r="D266" i="1"/>
  <c r="CC86" i="1"/>
  <c r="CD233" i="1"/>
  <c r="D147" i="1"/>
  <c r="D47" i="1"/>
  <c r="D64" i="1"/>
  <c r="D126" i="1"/>
  <c r="D84" i="1"/>
  <c r="D318" i="1"/>
  <c r="D109" i="1"/>
  <c r="D220" i="1"/>
  <c r="D267" i="1"/>
  <c r="D207" i="1"/>
  <c r="D155" i="1"/>
  <c r="E154" i="1"/>
  <c r="D142" i="1"/>
  <c r="D137" i="1"/>
  <c r="CC154" i="1"/>
  <c r="CC164" i="1"/>
  <c r="D166" i="1"/>
  <c r="D204" i="1"/>
  <c r="E201" i="1"/>
  <c r="D82" i="1"/>
  <c r="E164" i="1"/>
  <c r="CD146" i="1"/>
  <c r="D163" i="1"/>
  <c r="D87" i="1"/>
  <c r="P227" i="1"/>
  <c r="P322" i="1" s="1"/>
  <c r="D162" i="1"/>
  <c r="E161" i="1"/>
  <c r="D118" i="1"/>
  <c r="E117" i="1"/>
  <c r="D296" i="1" l="1"/>
  <c r="CE322" i="1"/>
  <c r="BC322" i="1"/>
  <c r="D209" i="1"/>
  <c r="D96" i="1"/>
  <c r="D133" i="1"/>
  <c r="E160" i="1"/>
  <c r="CC160" i="1"/>
  <c r="D104" i="1"/>
  <c r="D60" i="1"/>
  <c r="D130" i="1"/>
  <c r="D123" i="1"/>
  <c r="E169" i="1"/>
  <c r="D193" i="1"/>
  <c r="D20" i="1"/>
  <c r="CC17" i="1"/>
  <c r="CC68" i="1"/>
  <c r="CC125" i="1"/>
  <c r="D80" i="1"/>
  <c r="D224" i="1"/>
  <c r="F227" i="1"/>
  <c r="F322" i="1" s="1"/>
  <c r="D78" i="1"/>
  <c r="D101" i="1"/>
  <c r="D69" i="1"/>
  <c r="D40" i="1"/>
  <c r="E233" i="1"/>
  <c r="D24" i="1"/>
  <c r="E68" i="1"/>
  <c r="CC233" i="1"/>
  <c r="D172" i="1"/>
  <c r="D293" i="1"/>
  <c r="E125" i="1"/>
  <c r="E17" i="1"/>
  <c r="D243" i="1"/>
  <c r="D117" i="1"/>
  <c r="D49" i="1"/>
  <c r="D63" i="1"/>
  <c r="D86" i="1"/>
  <c r="D201" i="1"/>
  <c r="D154" i="1"/>
  <c r="E146" i="1"/>
  <c r="E111" i="1"/>
  <c r="D161" i="1"/>
  <c r="D164" i="1"/>
  <c r="CD227" i="1"/>
  <c r="E186" i="1"/>
  <c r="CC146" i="1"/>
  <c r="CD322" i="1" l="1"/>
  <c r="D233" i="1"/>
  <c r="D160" i="1"/>
  <c r="D17" i="1"/>
  <c r="CC227" i="1"/>
  <c r="D68" i="1"/>
  <c r="D169" i="1"/>
  <c r="D125" i="1"/>
  <c r="E227" i="1"/>
  <c r="E322" i="1" s="1"/>
  <c r="D111" i="1"/>
  <c r="D146" i="1"/>
  <c r="D186" i="1"/>
  <c r="CC322" i="1" l="1"/>
  <c r="D227" i="1"/>
  <c r="D322" i="1" l="1"/>
  <c r="D325" i="1" l="1"/>
</calcChain>
</file>

<file path=xl/sharedStrings.xml><?xml version="1.0" encoding="utf-8"?>
<sst xmlns="http://schemas.openxmlformats.org/spreadsheetml/2006/main" count="1104" uniqueCount="649">
  <si>
    <t>Наименование</t>
  </si>
  <si>
    <t/>
  </si>
  <si>
    <t>ТЕКУЩИЕ РАСХОДЫ</t>
  </si>
  <si>
    <t>ОПЛАТА ТРУДА</t>
  </si>
  <si>
    <t>Продукты питания</t>
  </si>
  <si>
    <t>Оплата топлива</t>
  </si>
  <si>
    <t>ОПЛАТА УСЛУГ СВЯЗИ</t>
  </si>
  <si>
    <t>Оплата тепловой энергии</t>
  </si>
  <si>
    <t>Вывоз мусора</t>
  </si>
  <si>
    <t>Оплата газа</t>
  </si>
  <si>
    <t>Книги и период. издания</t>
  </si>
  <si>
    <t>Стипендии</t>
  </si>
  <si>
    <t>Пенсии и пособия, возмещаемые из бюджета</t>
  </si>
  <si>
    <t>Денежные компенсации</t>
  </si>
  <si>
    <t>Всего</t>
  </si>
  <si>
    <t>Мягкий инвент. и обмундир.</t>
  </si>
  <si>
    <t>Проч. расх. мат-лы и предм. снаб-я</t>
  </si>
  <si>
    <t>ТРАНСП. УСЛУГИ</t>
  </si>
  <si>
    <t>ОПЛАТА КОММУН. УСЛУГ</t>
  </si>
  <si>
    <t>ПРОЧ. ТЕК. РАСХ. НА ЗАКУП. ТОВ. И ОПЛ. УСЛУГ</t>
  </si>
  <si>
    <t>Издат. услуги</t>
  </si>
  <si>
    <t>Представит. расходы</t>
  </si>
  <si>
    <t>Приобр. и установ. счетчик.</t>
  </si>
  <si>
    <t>Проч. спец. расходы</t>
  </si>
  <si>
    <t>Вневед. охрана</t>
  </si>
  <si>
    <t>Информ.-вычисл. работы</t>
  </si>
  <si>
    <t>Молоч. смеси для детей</t>
  </si>
  <si>
    <t>Проч. тр-ты на прод. и услуги</t>
  </si>
  <si>
    <t>Трансферты на произв. цели</t>
  </si>
  <si>
    <t>Тр-ты фин. учр. и др. орг-циям</t>
  </si>
  <si>
    <t>Пенсии и пожизн. содержание</t>
  </si>
  <si>
    <t>Повышение пенсий за особ. засл. перед гос-вом</t>
  </si>
  <si>
    <t>Индексация вкладов населения</t>
  </si>
  <si>
    <t>Оплата квартир и комм. услуг</t>
  </si>
  <si>
    <t>Прочие тр-ты населению</t>
  </si>
  <si>
    <t>Кап. влож. в строительство</t>
  </si>
  <si>
    <t>Уплата % и погашение внутр-х кредитов</t>
  </si>
  <si>
    <t>Уплата % по внутр-м кредитам</t>
  </si>
  <si>
    <t>Погашение внутр-х кредитов</t>
  </si>
  <si>
    <t>Код пр-пол.</t>
  </si>
  <si>
    <t>0100</t>
  </si>
  <si>
    <t>ГОСУДАРСТВЕННОЕ УПРАВЛЕНИЕ И МЕСТНОЕ САМОУПРАВЛЕНИЕ</t>
  </si>
  <si>
    <t>0101</t>
  </si>
  <si>
    <t>102</t>
  </si>
  <si>
    <t>Администрация Президента ПМР</t>
  </si>
  <si>
    <t>0102</t>
  </si>
  <si>
    <t>101</t>
  </si>
  <si>
    <t>Верховный Совет ПМР</t>
  </si>
  <si>
    <t>103</t>
  </si>
  <si>
    <t>148</t>
  </si>
  <si>
    <t>Аппарат Уполномоченного по правам человека в ПМР</t>
  </si>
  <si>
    <t>0103</t>
  </si>
  <si>
    <t>109</t>
  </si>
  <si>
    <t>Министерство экономического развития ПМР (аппарат)</t>
  </si>
  <si>
    <t>110</t>
  </si>
  <si>
    <t>Министерство по социальной защите и труду ПМР (аппарат)</t>
  </si>
  <si>
    <t>113</t>
  </si>
  <si>
    <t>Министерство здравоохранения  ПМР (аппарат)</t>
  </si>
  <si>
    <t>114</t>
  </si>
  <si>
    <t>Министерство просвещения ПМР (аппарат)</t>
  </si>
  <si>
    <t>115</t>
  </si>
  <si>
    <t>Министерство юстиции ПМР (аппарат)</t>
  </si>
  <si>
    <t>119</t>
  </si>
  <si>
    <t>Министерство иностранных дел ПМР (аппарат)</t>
  </si>
  <si>
    <t>120</t>
  </si>
  <si>
    <t>Министерство с/х и природных ресурсов ПМР (аппарат)</t>
  </si>
  <si>
    <t>140</t>
  </si>
  <si>
    <t>ГС по спорту ПМР (аппарат)</t>
  </si>
  <si>
    <t>142</t>
  </si>
  <si>
    <t>ГС по культуре  и историческому наследию ПМР (аппарат)</t>
  </si>
  <si>
    <t>145</t>
  </si>
  <si>
    <t>ГС управления документацией и архивами ПМР (аппарат)</t>
  </si>
  <si>
    <t>146</t>
  </si>
  <si>
    <t>149</t>
  </si>
  <si>
    <t>Фонд государственного резерва ПМР (аппарат)</t>
  </si>
  <si>
    <t>150</t>
  </si>
  <si>
    <t>157</t>
  </si>
  <si>
    <t>0104</t>
  </si>
  <si>
    <t>Деятельность финансовых и налоговых органов</t>
  </si>
  <si>
    <t>0105</t>
  </si>
  <si>
    <t>Прочие расходы на общегосударственное управление</t>
  </si>
  <si>
    <t>Мин-во с/х и природных ресурсов (террит. управления)</t>
  </si>
  <si>
    <t>0108</t>
  </si>
  <si>
    <t>Функционирование органов статистики</t>
  </si>
  <si>
    <t>0110</t>
  </si>
  <si>
    <t>Функционирование Правительства ПМР</t>
  </si>
  <si>
    <t>100</t>
  </si>
  <si>
    <t>Правительство  ПМР</t>
  </si>
  <si>
    <t>0200</t>
  </si>
  <si>
    <t>ОРГАНЫ СУДЕБНОЙ ВЛАСТИ</t>
  </si>
  <si>
    <t>0201</t>
  </si>
  <si>
    <t>Конституционный суд</t>
  </si>
  <si>
    <t>125</t>
  </si>
  <si>
    <t>Конституционный суд ПМР</t>
  </si>
  <si>
    <t>0202</t>
  </si>
  <si>
    <t>Верховный суд</t>
  </si>
  <si>
    <t>106</t>
  </si>
  <si>
    <t>Верховный суд ПМР</t>
  </si>
  <si>
    <t>0203</t>
  </si>
  <si>
    <t>Судебные органы</t>
  </si>
  <si>
    <t>139</t>
  </si>
  <si>
    <t>0204</t>
  </si>
  <si>
    <t>Арбитражный суд</t>
  </si>
  <si>
    <t>107</t>
  </si>
  <si>
    <t>Арбитражный суд ПМР</t>
  </si>
  <si>
    <t>0210</t>
  </si>
  <si>
    <t>Оплата труда адвокатов</t>
  </si>
  <si>
    <t>0300</t>
  </si>
  <si>
    <t>МЕЖДУНАРОДНАЯ ДЕЯТЕЛЬНОСТЬ</t>
  </si>
  <si>
    <t>0301</t>
  </si>
  <si>
    <t>Международное сотрудничество</t>
  </si>
  <si>
    <t>Министерство иностранных дел (представительства)</t>
  </si>
  <si>
    <t>0400</t>
  </si>
  <si>
    <t>ГОСУДАРСТВЕННАЯ ОБОРОНА</t>
  </si>
  <si>
    <t>0401</t>
  </si>
  <si>
    <t>Государственная армия</t>
  </si>
  <si>
    <t>116</t>
  </si>
  <si>
    <t>Министерство обороны ПМР</t>
  </si>
  <si>
    <t>0402</t>
  </si>
  <si>
    <t>Миротворческие силы</t>
  </si>
  <si>
    <t>0500</t>
  </si>
  <si>
    <t>ПРАВООХРАНИТЕЛЬНАЯ ДЕЯТЕЛЬНОСТЬ И ОБЕСПЕЧ. БЕЗОПАСНОСТИ ГОС-ВА</t>
  </si>
  <si>
    <t>0501</t>
  </si>
  <si>
    <t>Органы внутренних дел</t>
  </si>
  <si>
    <t>117</t>
  </si>
  <si>
    <t>Министерство внутренних дел ПМР</t>
  </si>
  <si>
    <t>0503</t>
  </si>
  <si>
    <t>137</t>
  </si>
  <si>
    <t>ГС судебных исполнителей МЮ ПМР</t>
  </si>
  <si>
    <t>138</t>
  </si>
  <si>
    <t>ГС исполнения наказаний МЮ ПМР</t>
  </si>
  <si>
    <t>0505</t>
  </si>
  <si>
    <t>Органы государственной безопасности</t>
  </si>
  <si>
    <t>118</t>
  </si>
  <si>
    <t>Министерство государственной безопасности ПМР</t>
  </si>
  <si>
    <t>0507</t>
  </si>
  <si>
    <t>Следственные органы</t>
  </si>
  <si>
    <t>135</t>
  </si>
  <si>
    <t>Следственный комитет ПМР</t>
  </si>
  <si>
    <t>Прокуратура ПМР и ее территориальные органы</t>
  </si>
  <si>
    <t>108</t>
  </si>
  <si>
    <t>Прокуратура ПМР</t>
  </si>
  <si>
    <t>0509</t>
  </si>
  <si>
    <t>Надзорные органы</t>
  </si>
  <si>
    <t>151</t>
  </si>
  <si>
    <t>Служба государственного надзора МЮ ПМР</t>
  </si>
  <si>
    <t>0511</t>
  </si>
  <si>
    <t>134</t>
  </si>
  <si>
    <t>Государственный таможенный комитет ПМР</t>
  </si>
  <si>
    <t>0513</t>
  </si>
  <si>
    <t>141</t>
  </si>
  <si>
    <t>Государственная служба охраны</t>
  </si>
  <si>
    <t>0600</t>
  </si>
  <si>
    <t>ФУНДАМЕНТАЛЬНЫЕ ИССЛЕДОВАНИЯ И СОДЕЙСТВИЕ НТП</t>
  </si>
  <si>
    <t>0602</t>
  </si>
  <si>
    <t>Прикладные научные исследования</t>
  </si>
  <si>
    <t>Министерство с/х и природных ресурсов (НИУ)</t>
  </si>
  <si>
    <t>ГС экологического контроля и охраны ок. среды ПМР (наука)</t>
  </si>
  <si>
    <t>0604</t>
  </si>
  <si>
    <t>Министерство просвещения ПМР</t>
  </si>
  <si>
    <t>136</t>
  </si>
  <si>
    <t>0700</t>
  </si>
  <si>
    <t>ПРОМЫШЛЕННОСТЬ, ЭНЕРГЕТИКА И СТРОИТЕЛЬСТВО</t>
  </si>
  <si>
    <t>0707</t>
  </si>
  <si>
    <t>Компенсация разницы в тарифах</t>
  </si>
  <si>
    <t>0800</t>
  </si>
  <si>
    <t>СЕЛЬСКОЕ ХОЗЯЙСТВО</t>
  </si>
  <si>
    <t>0805</t>
  </si>
  <si>
    <t>0900</t>
  </si>
  <si>
    <t>ОХРАНА ОКРУЖ. СРЕДЫ, ГИДРОМЕТЕОРОЛОГИЯ, ЛЕСНОЕ, РЫБНОЕ И ВОДНОЕ ХОЗ-ВО</t>
  </si>
  <si>
    <t>0902</t>
  </si>
  <si>
    <t>Лесное хозяйство</t>
  </si>
  <si>
    <t>0905</t>
  </si>
  <si>
    <t>Гидрометеорология</t>
  </si>
  <si>
    <t>1000</t>
  </si>
  <si>
    <t>ТРАНСПОРТ, ДОРОЖНОЕ ХОЗЯЙСТВО, СВЯЗЬ И ИНФОРМАТИКА</t>
  </si>
  <si>
    <t>1001</t>
  </si>
  <si>
    <t>Возмещение льгот по транспорту</t>
  </si>
  <si>
    <t>1007</t>
  </si>
  <si>
    <t>Связь</t>
  </si>
  <si>
    <t>Министерство цифрового развития, связи и массовых коммуникаций (почты)</t>
  </si>
  <si>
    <t>1008</t>
  </si>
  <si>
    <t>Информатика</t>
  </si>
  <si>
    <t>1010</t>
  </si>
  <si>
    <t>Расходы в обл. тр-та, дор. хоз-ва, связи и информатики</t>
  </si>
  <si>
    <t>1300</t>
  </si>
  <si>
    <t>ОБРАЗОВАНИЕ</t>
  </si>
  <si>
    <t>1303</t>
  </si>
  <si>
    <t>Среднее образование</t>
  </si>
  <si>
    <t>Общеобразовательные школы-интернаты</t>
  </si>
  <si>
    <t>Спецшколы-интернаты</t>
  </si>
  <si>
    <t>Общеобразовательные школы</t>
  </si>
  <si>
    <t>1304</t>
  </si>
  <si>
    <t>Специальное образование</t>
  </si>
  <si>
    <t>Техникумы и колледжи системы здравоохранения</t>
  </si>
  <si>
    <t>Техникумы и колледжи системы просвещения</t>
  </si>
  <si>
    <t>1305</t>
  </si>
  <si>
    <t>Высшее образование</t>
  </si>
  <si>
    <t>Университет</t>
  </si>
  <si>
    <t>1307</t>
  </si>
  <si>
    <t>Курсы и учреждения по повышению квалификации</t>
  </si>
  <si>
    <t>ГИПК (курсы и учреждения по повышению квалификации)</t>
  </si>
  <si>
    <t>1308</t>
  </si>
  <si>
    <t>Детские дома, детские дома семейного типа</t>
  </si>
  <si>
    <t>Детский дом</t>
  </si>
  <si>
    <t>1309</t>
  </si>
  <si>
    <t>Учрежд. и меропр. в области образования, не отн. к др. гр.</t>
  </si>
  <si>
    <t>Мероприятия по охране прав детства и защите прав сирот</t>
  </si>
  <si>
    <t>Центр экспертизы качества образования</t>
  </si>
  <si>
    <t>Прочие мероприятия в области образования</t>
  </si>
  <si>
    <t>1400</t>
  </si>
  <si>
    <t>КУЛЬТУРА, ИСКУССТВО, КИНЕМАТОГРАФИЯ</t>
  </si>
  <si>
    <t>1402</t>
  </si>
  <si>
    <t>Деятельность в области культуры и искусства</t>
  </si>
  <si>
    <t>1403</t>
  </si>
  <si>
    <t>Спорт и мероприятия для молодежи</t>
  </si>
  <si>
    <t>Мероприятия для молодежи</t>
  </si>
  <si>
    <t>Мероприятия по спорту</t>
  </si>
  <si>
    <t>1404</t>
  </si>
  <si>
    <t>СДЮШОР</t>
  </si>
  <si>
    <t>РЦОП</t>
  </si>
  <si>
    <t>СРЕДСТВА МАССОВОЙ ИНФОРМАЦИИ</t>
  </si>
  <si>
    <t>1501</t>
  </si>
  <si>
    <t>Телевидение и радиовещание</t>
  </si>
  <si>
    <t>Министерство цифрового развития, связи и массовых коммуникаций (ПГТРК)</t>
  </si>
  <si>
    <t>Министерство цифрового развития, связи и массовых коммуникаций (ретрансляция)</t>
  </si>
  <si>
    <t>1502</t>
  </si>
  <si>
    <t>Периодическая печать и издательства</t>
  </si>
  <si>
    <t>ГИИЦ</t>
  </si>
  <si>
    <t>1600</t>
  </si>
  <si>
    <t>ЗДРАВООХРАНЕНИЕ</t>
  </si>
  <si>
    <t>1601</t>
  </si>
  <si>
    <t>Больницы</t>
  </si>
  <si>
    <t>1602</t>
  </si>
  <si>
    <t>Поликлиники, амбулатории и фельдшерско-акушерские пункты</t>
  </si>
  <si>
    <t>Поликлиники и амбулатории</t>
  </si>
  <si>
    <t>Станции скорой медицинской помощи</t>
  </si>
  <si>
    <t>1603</t>
  </si>
  <si>
    <t>Санитарно-эпидемиологические профилактич. службы и учрежд.</t>
  </si>
  <si>
    <t>Дом ребенка</t>
  </si>
  <si>
    <t>Мероприятия по борьбе с эпидемиями</t>
  </si>
  <si>
    <t>1604</t>
  </si>
  <si>
    <t>1605</t>
  </si>
  <si>
    <t>Консилиумы врачебной экспертизы жизнеспособности</t>
  </si>
  <si>
    <t>1700</t>
  </si>
  <si>
    <t>СОЦИАЛЬНАЯ ПОЛИТИКА</t>
  </si>
  <si>
    <t>1701</t>
  </si>
  <si>
    <t>Пенсии военнослужащим</t>
  </si>
  <si>
    <t>1702</t>
  </si>
  <si>
    <t>Пенсии и пособия работн. органов судебной власти и прокурат.</t>
  </si>
  <si>
    <t>1703</t>
  </si>
  <si>
    <t>Учреждения социального обеспечения</t>
  </si>
  <si>
    <t>Дома-интернаты для малолетних инвалидов</t>
  </si>
  <si>
    <t>Дома-интернаты для престарелых и инвалидов</t>
  </si>
  <si>
    <t>Республиканский центр по протезированию и ортопедии</t>
  </si>
  <si>
    <t>1704</t>
  </si>
  <si>
    <t>Пенсии и пособия, возмещаемые  из бюджета</t>
  </si>
  <si>
    <t>1706</t>
  </si>
  <si>
    <t>Поэтапная индексация вкладов населения</t>
  </si>
  <si>
    <t>1707</t>
  </si>
  <si>
    <t>Индексация страховых взносов населения</t>
  </si>
  <si>
    <t>1709</t>
  </si>
  <si>
    <t>Повышение пенсий за особые заслуги</t>
  </si>
  <si>
    <t>1711</t>
  </si>
  <si>
    <t>Выплата компенс. гр-нам, участ. ликв. аварии на ЧАЭС</t>
  </si>
  <si>
    <t>Возмещение вреда по трудовому увечью</t>
  </si>
  <si>
    <t>147</t>
  </si>
  <si>
    <t>1712</t>
  </si>
  <si>
    <t>156</t>
  </si>
  <si>
    <t>2000</t>
  </si>
  <si>
    <t>ФИНАНСОВАЯ ПОМОЩЬ БЮДЖЕТАМ ДРУГИХ УРОВНЕЙ</t>
  </si>
  <si>
    <t>2001</t>
  </si>
  <si>
    <t>Трансферты на покрытие разницы в ценах и тарифах на ЖКУ</t>
  </si>
  <si>
    <t>3000</t>
  </si>
  <si>
    <t>ПРОЧИЕ РАСХОДЫ</t>
  </si>
  <si>
    <t>3001</t>
  </si>
  <si>
    <t>Резервный фонд Президента ПМР</t>
  </si>
  <si>
    <t>130</t>
  </si>
  <si>
    <t>3005</t>
  </si>
  <si>
    <t>Проведение выборов и референдумов</t>
  </si>
  <si>
    <t>112</t>
  </si>
  <si>
    <t>Центральная избирательная комиссия ПМР</t>
  </si>
  <si>
    <t>3007</t>
  </si>
  <si>
    <t>Обеспечение миротворческой деятельности</t>
  </si>
  <si>
    <t>Создание и модернизация информац. ресурсов в сфере налогообложения и бюджетного процесса</t>
  </si>
  <si>
    <t>124</t>
  </si>
  <si>
    <t>3008</t>
  </si>
  <si>
    <t>Целевые программы</t>
  </si>
  <si>
    <t>ГЦП "Профилактика туберкулеза"</t>
  </si>
  <si>
    <t>3009</t>
  </si>
  <si>
    <t>Резервный фонд Правительства ПМР</t>
  </si>
  <si>
    <t>126</t>
  </si>
  <si>
    <t>3010</t>
  </si>
  <si>
    <t>3100</t>
  </si>
  <si>
    <t>ВОЗВРАТ КРЕДИТОВ ПО ГОСУДАРСТВЕННОМУ  ДОЛГУ</t>
  </si>
  <si>
    <t>3101</t>
  </si>
  <si>
    <t>Возврат кредитов по внутреннему гос. долгу</t>
  </si>
  <si>
    <t>3200</t>
  </si>
  <si>
    <t>ЦЕЛЕВЫЕ БЮДЖЕТНЫЕ ФОНДЫ</t>
  </si>
  <si>
    <t>3201</t>
  </si>
  <si>
    <t>Дорожный фонд ПМР</t>
  </si>
  <si>
    <t>131</t>
  </si>
  <si>
    <t>МЭР  (мостовые сооружения)</t>
  </si>
  <si>
    <t>Субсидии  на развитие дорожного хозяйства</t>
  </si>
  <si>
    <t>3202</t>
  </si>
  <si>
    <t>Республиканский экологический фонд ПМР</t>
  </si>
  <si>
    <t>127</t>
  </si>
  <si>
    <t>3206</t>
  </si>
  <si>
    <t>3207</t>
  </si>
  <si>
    <t>Фонд капитальных вложений</t>
  </si>
  <si>
    <t>133</t>
  </si>
  <si>
    <t>3208</t>
  </si>
  <si>
    <t>Фонд  развития предпринимательства</t>
  </si>
  <si>
    <t>3209</t>
  </si>
  <si>
    <t>Фонд поддержки молодежи</t>
  </si>
  <si>
    <t>3212</t>
  </si>
  <si>
    <t>Фонд развития мелиоративного комплекса</t>
  </si>
  <si>
    <t>ИТОГО</t>
  </si>
  <si>
    <t>ГУ "Агентство по туризму ПМР"</t>
  </si>
  <si>
    <t>ГУ "Единый аукционный центр"</t>
  </si>
  <si>
    <t>Органы, исполняющие наказания и судебные решения</t>
  </si>
  <si>
    <t>Таможенные органы ПМР</t>
  </si>
  <si>
    <t>Министерство здравоохранения  ПМР</t>
  </si>
  <si>
    <t>ПГУ им. Т. Г. Шевченко (Центр российского образования и науки)</t>
  </si>
  <si>
    <t>ГОУ СПО "Училище олимпийского резерва"</t>
  </si>
  <si>
    <t>ГА Бендер (возмещение льгот на ЖКУ)</t>
  </si>
  <si>
    <t>ГА Григориополя (возмещение льгот на ЖКУ)</t>
  </si>
  <si>
    <t>ГА Днестровска  (возмещение льгот на ЖКУ)</t>
  </si>
  <si>
    <t>ГА Дубоссар  (возмещение льгот на ЖКУ)</t>
  </si>
  <si>
    <t>ГА Каменки  (возмещение льгот на ЖКУ)</t>
  </si>
  <si>
    <t>ГА Рыбницы  (возмещение льгот на ЖКУ)</t>
  </si>
  <si>
    <t>ГА Слободзеи  (возмещение льгот на ЖКУ)</t>
  </si>
  <si>
    <t>ГА Тирасполя  (возмещение льгот на ЖКУ)</t>
  </si>
  <si>
    <t>Расходы от оказ. плат. усл. (ГУ "Архивы Приднестровья")</t>
  </si>
  <si>
    <t>[100000]</t>
  </si>
  <si>
    <t>[110000]</t>
  </si>
  <si>
    <t>[110100]</t>
  </si>
  <si>
    <t>[110200]</t>
  </si>
  <si>
    <t>[110300]</t>
  </si>
  <si>
    <t>[110310]</t>
  </si>
  <si>
    <t>[110320]</t>
  </si>
  <si>
    <t>[110330]</t>
  </si>
  <si>
    <t>[110340]</t>
  </si>
  <si>
    <t>[110350]</t>
  </si>
  <si>
    <t>[110360]</t>
  </si>
  <si>
    <t>[110400]</t>
  </si>
  <si>
    <t>[110410]</t>
  </si>
  <si>
    <t>[110420]</t>
  </si>
  <si>
    <t>[110500]</t>
  </si>
  <si>
    <t>[110600]</t>
  </si>
  <si>
    <t>[110700]</t>
  </si>
  <si>
    <t>[110710]</t>
  </si>
  <si>
    <t>[110720]</t>
  </si>
  <si>
    <t>[110730]</t>
  </si>
  <si>
    <t>[110740]</t>
  </si>
  <si>
    <t>[110750]</t>
  </si>
  <si>
    <t>[110760]</t>
  </si>
  <si>
    <t>[110770]</t>
  </si>
  <si>
    <t>[110780]</t>
  </si>
  <si>
    <t>[111000]</t>
  </si>
  <si>
    <t>[111010]</t>
  </si>
  <si>
    <t>[111011]</t>
  </si>
  <si>
    <t>[111020]</t>
  </si>
  <si>
    <t>[111030]</t>
  </si>
  <si>
    <t>[111041]</t>
  </si>
  <si>
    <t>[111042]</t>
  </si>
  <si>
    <t>[111043]</t>
  </si>
  <si>
    <t>[111044]</t>
  </si>
  <si>
    <t>[111045]</t>
  </si>
  <si>
    <t>[111046]</t>
  </si>
  <si>
    <t>[111047]</t>
  </si>
  <si>
    <t>[111049]</t>
  </si>
  <si>
    <t>[111050]</t>
  </si>
  <si>
    <t>[111051]</t>
  </si>
  <si>
    <t>[111052]</t>
  </si>
  <si>
    <t>[111053]</t>
  </si>
  <si>
    <t>[111054]</t>
  </si>
  <si>
    <t>[111055]</t>
  </si>
  <si>
    <t>[111058]</t>
  </si>
  <si>
    <t>[111070]</t>
  </si>
  <si>
    <t>[130000]</t>
  </si>
  <si>
    <t>[130100]</t>
  </si>
  <si>
    <t>[130110]</t>
  </si>
  <si>
    <t>[130120]</t>
  </si>
  <si>
    <t>[130140]</t>
  </si>
  <si>
    <t>[130200]</t>
  </si>
  <si>
    <t>[130220]</t>
  </si>
  <si>
    <t>[130280]</t>
  </si>
  <si>
    <t>[130300]</t>
  </si>
  <si>
    <t>[130400]</t>
  </si>
  <si>
    <t>[130410]</t>
  </si>
  <si>
    <t>[130500]</t>
  </si>
  <si>
    <t>[130510]</t>
  </si>
  <si>
    <t>[130530]</t>
  </si>
  <si>
    <t>[130550]</t>
  </si>
  <si>
    <t>[130560]</t>
  </si>
  <si>
    <t>[130570]</t>
  </si>
  <si>
    <t>[130580]</t>
  </si>
  <si>
    <t>[130610]</t>
  </si>
  <si>
    <t>[130630]</t>
  </si>
  <si>
    <t>[130640]</t>
  </si>
  <si>
    <t>[130650]</t>
  </si>
  <si>
    <t>[130660]</t>
  </si>
  <si>
    <t>[200000]</t>
  </si>
  <si>
    <t>[240000]</t>
  </si>
  <si>
    <t>[240100]</t>
  </si>
  <si>
    <t>[240110]</t>
  </si>
  <si>
    <t>[240120]</t>
  </si>
  <si>
    <t>[240200]</t>
  </si>
  <si>
    <t>[240210]</t>
  </si>
  <si>
    <t>[240240]</t>
  </si>
  <si>
    <t>[240300]</t>
  </si>
  <si>
    <t>[240330]</t>
  </si>
  <si>
    <t>[240340]</t>
  </si>
  <si>
    <t>[290000]</t>
  </si>
  <si>
    <t>[400000]</t>
  </si>
  <si>
    <t>[420000]</t>
  </si>
  <si>
    <t>[420100]</t>
  </si>
  <si>
    <t>[420200]</t>
  </si>
  <si>
    <t>к Закону Приднестровской Молдавской Республики</t>
  </si>
  <si>
    <t>(руб.)</t>
  </si>
  <si>
    <t>Протези-рование</t>
  </si>
  <si>
    <t>КАПИТ. РАСХОДЫ</t>
  </si>
  <si>
    <t>Капитальн. ремонт</t>
  </si>
  <si>
    <t>Субсидирование социально значимых маршрутов</t>
  </si>
  <si>
    <t>[130430]</t>
  </si>
  <si>
    <t>ГС экологического контроля и охраны окр. среды ПМР</t>
  </si>
  <si>
    <t>Переподго-товка кадров</t>
  </si>
  <si>
    <t>Денежное вознаг. за выполнен. работы, услуги</t>
  </si>
  <si>
    <t>ТЕКУЩИЕ ТРАНСФЕР-ТЫ</t>
  </si>
  <si>
    <t>ТРАНСФЕР-ТЫ НАСЕЛЕ-НИЮ</t>
  </si>
  <si>
    <t>Компенсац. тр-ных расх. инвалидам</t>
  </si>
  <si>
    <t>УЧАСТИЕ ПРАВ-ВА В ОСУЩ-ИИ ОТД-Х ПРОГР.</t>
  </si>
  <si>
    <t>Оплата работ и услуг, переданных на аутсорсинг</t>
  </si>
  <si>
    <t xml:space="preserve"> [111059] </t>
  </si>
  <si>
    <t>Министерство сельского хозяйства и природных ресурсов ПМР</t>
  </si>
  <si>
    <t>Министерство цифрового развития, связи и массовых коммуникаций (газета)</t>
  </si>
  <si>
    <t>Трансферты, выделяемые из бюджета бюджетам других уровней</t>
  </si>
  <si>
    <t>Центр национальных культур Приднестровья</t>
  </si>
  <si>
    <t>Мероприятия по оснащению рабочими тетрадями</t>
  </si>
  <si>
    <t>Мероприятия по внедрению автоматизированного государственного земельного кадастра</t>
  </si>
  <si>
    <t>Министерство цифрового развития, связи и массовых коммуникаций (возмещение льготы по усл. связи)</t>
  </si>
  <si>
    <t>[240230]</t>
  </si>
  <si>
    <t>[240250]</t>
  </si>
  <si>
    <t>[240360]</t>
  </si>
  <si>
    <t>прочих объектов</t>
  </si>
  <si>
    <t>Приложение № 2</t>
  </si>
  <si>
    <t>Министерство финансов ПМР</t>
  </si>
  <si>
    <t>Счетная палата ПМР</t>
  </si>
  <si>
    <t>Министерство юстиции (ГС РиН, УСЭ)</t>
  </si>
  <si>
    <t>в строит. коммун. объектов</t>
  </si>
  <si>
    <t>0508</t>
  </si>
  <si>
    <t>ГС экологического контроля и охраны окр. среды ПМР (ГУП "Приднестровье-лес")</t>
  </si>
  <si>
    <t>Министерство экономического развития ПМР</t>
  </si>
  <si>
    <t>Министерство цифрового развития, связи и массовой коммуникации ПМР</t>
  </si>
  <si>
    <t>КОМАНДИ-РОВКИ И СЛУЖЕБН.  РАЗЪЕЗДЫ</t>
  </si>
  <si>
    <t>Пенсии и пособия, возмещаем.  из бюджета</t>
  </si>
  <si>
    <t>КАП. ВЛОЖЕ-НИЯ В ОСНОВНЫЕ ФОНДЫ</t>
  </si>
  <si>
    <t>Финансовая помощь бюджетам других уровней</t>
  </si>
  <si>
    <t>ГЦП "Иммунизация населения ПМР"</t>
  </si>
  <si>
    <t>ГЦП "Онкология"</t>
  </si>
  <si>
    <t>ГЦП "Учебник"</t>
  </si>
  <si>
    <t>раздел, под-раздел</t>
  </si>
  <si>
    <t>Код</t>
  </si>
  <si>
    <t>Министерство цифрового развития, связи и массовых коммуникаций (лиценз. сбор)</t>
  </si>
  <si>
    <t>Прочие мероприятия по культуре и искусству ГС КиИН</t>
  </si>
  <si>
    <t>Высшие колледжи ГС КиИН</t>
  </si>
  <si>
    <t>Медикаменты, протезы и продукция, использ. по предписан. врача</t>
  </si>
  <si>
    <t>Выплаты и гарантии бывшим руковод. должн. лицам (АП)</t>
  </si>
  <si>
    <t>Учр-я и услуги в области соц. обеспеч., не отн. к др. гр.</t>
  </si>
  <si>
    <t>Гос. пособия гражданам, имеющим детей</t>
  </si>
  <si>
    <t>Выплаты и гарантии бывшим руковод. должн. лицам (ВС)</t>
  </si>
  <si>
    <t>Судебный департамент при Верховном суде ПМР</t>
  </si>
  <si>
    <t>Органы судебной власти, не отн. к др. гр.</t>
  </si>
  <si>
    <t>Органы и учреждения, не отн. к др. гр.</t>
  </si>
  <si>
    <t>Учр. и меропр. в области науч. иссл., не отн. к др. гр.</t>
  </si>
  <si>
    <t>Деят-ность и усл. в обл. пром-ти, энер-ки и строит-ва., не отн. к др. гр.</t>
  </si>
  <si>
    <t>Деят-сть и усл. в области сельского хоз-ва, не отн. к др. гр.</t>
  </si>
  <si>
    <t>Мин-во с/х и прир. рес. (РЦ ВСиФСБ)</t>
  </si>
  <si>
    <t>Мин-во с/х и прир. рес. (Республиканский  ГМЦ)</t>
  </si>
  <si>
    <t>Респ. спорт.-реаб. центр инвалидов</t>
  </si>
  <si>
    <t>Мероприятия, направл. на развитие (обновление) МТБ учреждений здравоохранения</t>
  </si>
  <si>
    <t>Расходы от оказания платных услуг</t>
  </si>
  <si>
    <t>Расходы от оказ. плат. усл. (Минэкономразвития, ГИИЦ)</t>
  </si>
  <si>
    <t>Расходы от оказ. плат. усл. (Мин-во СЗиТ, соц. патронаж)</t>
  </si>
  <si>
    <t>Расходы от оказ. плат. усл. (Минздрав, медколледжи)</t>
  </si>
  <si>
    <t>Расходы от оказ. плат. усл. (Минздрав, больницы)</t>
  </si>
  <si>
    <t>Расходы от оказ. плат. усл. (Минздрав, поликлиники)</t>
  </si>
  <si>
    <t>Расходы от оказ. плат. усл. (Минздрав, СЭС)</t>
  </si>
  <si>
    <t>Расходы от оказ. плат. усл. (Минпрос, образование)</t>
  </si>
  <si>
    <t>Расходы от оказ. плат. усл. (МВД)</t>
  </si>
  <si>
    <t>Расходы от оказ. плат. усл. (ГУ ЦКОМФП)</t>
  </si>
  <si>
    <t>Расходы от оказ. плат. усл. (по госзаказу ПГУ)</t>
  </si>
  <si>
    <t>Расходы от оказ. плат. усл. (ПГУ)</t>
  </si>
  <si>
    <t>Расходы от оказ. плат. усл. (ГС СИ МЮ)</t>
  </si>
  <si>
    <t>Расходы от оказ. плат. усл. (ГС ИН)</t>
  </si>
  <si>
    <t>Расходы от оказ. плат. усл. (ГС по спорту)</t>
  </si>
  <si>
    <t>Расходы от оказ. плат. усл. (ГС КиИН, ГОУ)</t>
  </si>
  <si>
    <t>[240270]</t>
  </si>
  <si>
    <t>Автомобильный транспорт и электротранспорт</t>
  </si>
  <si>
    <t>ГЦП "Обеспечение жильем детей-сирот"</t>
  </si>
  <si>
    <t>0904</t>
  </si>
  <si>
    <t>Охрана окружающей среды</t>
  </si>
  <si>
    <t>ГС экологического контроля и охраны окр. среды ПМР (госзаказ)</t>
  </si>
  <si>
    <t>1503</t>
  </si>
  <si>
    <t>Прочие средства массовой информации</t>
  </si>
  <si>
    <t>МЭР  (уличное освещение)</t>
  </si>
  <si>
    <t xml:space="preserve"> [130310] </t>
  </si>
  <si>
    <t>ГЦП "Переоснащение служебного автотранспорта пожарной охраны"</t>
  </si>
  <si>
    <t>Трансферты на поэтапную индексацию вкладов населения</t>
  </si>
  <si>
    <t>Трансферты на индексацию страховых взносов</t>
  </si>
  <si>
    <t>Функционирование исполнительных органов государственной власти</t>
  </si>
  <si>
    <t>Функционирование органов законодательной государственной власти</t>
  </si>
  <si>
    <t>ПРИОБР. ПРЕДМ. СНАБЖ. И РАСХ. МАТЕРИ-АЛОВ</t>
  </si>
  <si>
    <t>СРЕДСТВА, ПЕРЕДАВ. БЮДЖЕТАМ ДРУГИХ УРОВНЕЙ</t>
  </si>
  <si>
    <t>МЭР (возмещение льгот по коммунальным услугам)</t>
  </si>
  <si>
    <t>Министерство иностранных дел ПМР (госзаказ НИОКР)</t>
  </si>
  <si>
    <t>Государственная служба охраны ПМР</t>
  </si>
  <si>
    <t>Расходы, не отнесенные к другим группам</t>
  </si>
  <si>
    <t>Расходы от оказ. плат. усл. (ПГТРК)</t>
  </si>
  <si>
    <t>Расходы от оказ. плат. усл. (газета)</t>
  </si>
  <si>
    <t>Другие трансферты</t>
  </si>
  <si>
    <t>Оплата содержания помещений</t>
  </si>
  <si>
    <t>Оплата освещения помещений</t>
  </si>
  <si>
    <t>Оплата аренды помещений</t>
  </si>
  <si>
    <t>Оплата текущ. рем. зданий и помещ.</t>
  </si>
  <si>
    <t>Медикаменты и перевязочные средства и прочие лечебные расходы</t>
  </si>
  <si>
    <t>Расходы на содержание автотр-та</t>
  </si>
  <si>
    <t>Оплата водоснабжения помещений</t>
  </si>
  <si>
    <t>Оплата услуг научно-исслед. организаций</t>
  </si>
  <si>
    <t xml:space="preserve">Оплата текущ. ремонта оборуд. и инвентаря </t>
  </si>
  <si>
    <t xml:space="preserve">Госуд. и местная символика и госуд. знаки отличия </t>
  </si>
  <si>
    <t>Участие адвокатов по назначению</t>
  </si>
  <si>
    <t>Денежная компенсация (взамен продов-го пайка)</t>
  </si>
  <si>
    <t>Товары и услуги, не отнесенные к другим подстатьям</t>
  </si>
  <si>
    <t>Трансферты на продукцию и услуги</t>
  </si>
  <si>
    <t>Трансферты на покрытие разницы в ценах и тарифах</t>
  </si>
  <si>
    <t>Трансферты на покрытие потерь от предостав-я льгот по транспорту</t>
  </si>
  <si>
    <t>Трансферты из Дорожного фонда</t>
  </si>
  <si>
    <t>Трансферты из Экологи-ческого фонда</t>
  </si>
  <si>
    <t>Приобр. произв. оборуд. и предметов длительно-го пользов. для госуд-х предпр.</t>
  </si>
  <si>
    <t>Капитальные вложения в жилищное строительство</t>
  </si>
  <si>
    <t>Капитальные вложения в строительство объектов социально-культурного назначения</t>
  </si>
  <si>
    <t>Капит. вложения в строит. администра-тивных зданий</t>
  </si>
  <si>
    <t>Капит. вложения в строит. прочих объектов</t>
  </si>
  <si>
    <t>Капитальный ремонт объектов социально-культурного назначения</t>
  </si>
  <si>
    <t>Команди-ровки внутри республики</t>
  </si>
  <si>
    <t>Команди-ровки за пределы республики</t>
  </si>
  <si>
    <t>Оплата расходов, связанных с выполнением НИР, ОКиТ работ по гос-м контрактам (договорам)</t>
  </si>
  <si>
    <t>Учебные наглядные пособия, производ-я практика учащихся и студентов</t>
  </si>
  <si>
    <t>Капитальный ремонт администра-тивных зданий</t>
  </si>
  <si>
    <t xml:space="preserve">Начисл. на оплату труда (страх-е взносы на госуд-е соц-е стра-е граждан) </t>
  </si>
  <si>
    <t>Расходы от оказ. плат. усл. (ГС КиИН, театр)</t>
  </si>
  <si>
    <t>Оплата                     льгот по жилищным и коммун. услугам, а также услугам связи</t>
  </si>
  <si>
    <t>Приобр. оборуд-я и предметов длительного пользов., относ-ся к основным фондам</t>
  </si>
  <si>
    <t>Приобр. непроизвод-го оборуд. и предметов длительного пользования для госуд. учрежд.</t>
  </si>
  <si>
    <t>Министерство цифрового развития, связи и массовых коммуникаций ПМР</t>
  </si>
  <si>
    <t>Бюджетное кредитование</t>
  </si>
  <si>
    <t xml:space="preserve"> [300000] </t>
  </si>
  <si>
    <t xml:space="preserve"> [310000] </t>
  </si>
  <si>
    <t xml:space="preserve"> [310300] </t>
  </si>
  <si>
    <t>Министерство экономического развития ПМР (территор. упр-я статистики)</t>
  </si>
  <si>
    <t>Приднестровский гос. театр драмы и комедии им. Н. С. Аронецкой ГС КиИН</t>
  </si>
  <si>
    <t>0706</t>
  </si>
  <si>
    <t>Электростанции</t>
  </si>
  <si>
    <t>[130270]</t>
  </si>
  <si>
    <t>Функционирование главы государства – Президента ПМР</t>
  </si>
  <si>
    <t>Гос. поддержка производителей электроэнергии</t>
  </si>
  <si>
    <t>Министерство юстиции ПМР, ГУ "Юридическая литература"</t>
  </si>
  <si>
    <t>Учр. и услуги в области здравоохранения, не отн. к др. гр.</t>
  </si>
  <si>
    <t>Расходы от оказ. плат. усл. (Минюст, ГУ "Юридич. литер-ра")</t>
  </si>
  <si>
    <t>Расходы от оказ. плат. усл. (Мин. с/х и прир. рес., наука)</t>
  </si>
  <si>
    <t>Расходы от оказ. плат. усл. (Мин. с/х и прир. рес., ГУ "РЦ ВСиФСБ")</t>
  </si>
  <si>
    <t>Расходы от оказ. плат. усл. (Мин. с/х и прир. рес., ГМЦ)</t>
  </si>
  <si>
    <t>Расходы от оказ. плат. усл. (ГС КиИН, культура и искусство)</t>
  </si>
  <si>
    <t>Фонд поддержки территорий городов и районов</t>
  </si>
  <si>
    <t>Целевые субсидии ГА Слободзейского района и города Слободзеи</t>
  </si>
  <si>
    <t>Музеи и выставки ГС КиИН</t>
  </si>
  <si>
    <t>Дворцы и дома культуры, клубы и др. учр-я ГС КиИН</t>
  </si>
  <si>
    <t>"О республиканском бюджете на 2026 год"</t>
  </si>
  <si>
    <t>Расходы республиканского бюджета на 2026 год</t>
  </si>
  <si>
    <t>Министерство юстиции ПМР,                                         ГУ "Юридическая литература"</t>
  </si>
  <si>
    <t>Создание и модернизация программного обеспечения информационных систем</t>
  </si>
  <si>
    <t>ВЫПЛАТА ПРОЦЕНТОВ</t>
  </si>
  <si>
    <t xml:space="preserve"> [120000] </t>
  </si>
  <si>
    <t xml:space="preserve"> [120100] </t>
  </si>
  <si>
    <t xml:space="preserve"> [120120] </t>
  </si>
  <si>
    <t>Кап. тр-ты внутри страны</t>
  </si>
  <si>
    <t>Тр-ты пр-тиям и орг-циям</t>
  </si>
  <si>
    <t xml:space="preserve"> [270000] </t>
  </si>
  <si>
    <t xml:space="preserve"> [270100] </t>
  </si>
  <si>
    <t xml:space="preserve"> [270120] </t>
  </si>
  <si>
    <t>ГЦП "Развитие  ПГУ им. Т. Г. Шевченко"</t>
  </si>
  <si>
    <t>ГЦП "Равные возможности" (ГСКиИН)</t>
  </si>
  <si>
    <t>ГЦП "Равные возможности" (Министерство обороны ПМР)</t>
  </si>
  <si>
    <t>ГЦП "Равные возможности" (Министерство просвещения ПМР)</t>
  </si>
  <si>
    <t>ГЦП "Равные возможности" (Министерство по социальной защите и труду ПМР)</t>
  </si>
  <si>
    <t>Медикаменты, протезы и прочая продукция, используемая в медицинской практике по предписанию врача</t>
  </si>
  <si>
    <t>Индексация страховых взносов населения по долгосрочным договорам добровольного страхования</t>
  </si>
  <si>
    <t>Учреждения и услуги в области  социального обеспечения и социальной поддержки, не отнесенные к другим группам</t>
  </si>
  <si>
    <t>Повышение пенсий за особые заслуги перед государством</t>
  </si>
  <si>
    <t>Льготы отдельным категориям населения на жилищно-коммунальные улуги</t>
  </si>
  <si>
    <t>Проведение выборов Президента ПМР</t>
  </si>
  <si>
    <t>ЗАКУПКИ ТОВАРОВ И ОПЛАТА УСЛУГ</t>
  </si>
  <si>
    <t>Фонд по обеспечению государственных гарантий гражданам, имеющим право на земельную долю (пай)</t>
  </si>
  <si>
    <t>Резерв Дорожного фонда ПМР</t>
  </si>
  <si>
    <t>Мероприятия по реализации Государственного перечня малых объектов приватизации на 2025–2026 годы</t>
  </si>
  <si>
    <t>ГП развития минерально-сырьевой базы ПМР</t>
  </si>
  <si>
    <t>Возмещение льгот в электротранспорте (МУП "Тираспольское троллейбусное управление")</t>
  </si>
  <si>
    <t>Возмещение льгот в электротранспорте (МУП "Бендерское троллейбусное управление")</t>
  </si>
  <si>
    <t>Учреждения и мероприяти в области культуры, искусства, религии, спорта, не отнесенные к другим группам</t>
  </si>
  <si>
    <t>Гос. заказ - консультация узких специалистов</t>
  </si>
  <si>
    <t>Гос. заказ - стоматологич. и ортодонтич. помощь детям</t>
  </si>
  <si>
    <t>Гос. заказ - услуги МРТ</t>
  </si>
  <si>
    <t>ГЦП "Равные возможности"                                                     (ГА Григориополя)</t>
  </si>
  <si>
    <t>ГЦП "Равные возможности" (ГА Дубоссар)</t>
  </si>
  <si>
    <t>ГЦП "Равные возможности" (ГА Тирасполя)</t>
  </si>
  <si>
    <t>Погашение задолженности перед  ГУП "Дубоссарская ГЭС"</t>
  </si>
  <si>
    <t>Фонд по обеспечению государственных гарантий гражданам, имеющим право на земельную долю (пай), и иным работникам сельскохозяйственных предприятий</t>
  </si>
  <si>
    <t>Приобретение тр-ных ср-в для инвалидов</t>
  </si>
  <si>
    <t>Трансферты страховым компаниям на обяза- тельное го- сударствен- ное, личное страхование</t>
  </si>
  <si>
    <t>ПРЕДОСТА- ВЛЕНИЕ И ВОЗВРАТ ЗАЙМОВ ЗА СЧЕТ БЮДЖЕТА</t>
  </si>
  <si>
    <t>Предоста- вление займов финансовым учреждениям</t>
  </si>
  <si>
    <t>Предоста- вление               внутр.              займов</t>
  </si>
  <si>
    <t>ГЦП "Профилактика и лечение сердечно-сосудистых заболеваний"</t>
  </si>
  <si>
    <t>ГЦП "Профилактика и лечение ВИЧ-инфекции, вир. гепатитов В и С в ПМР"</t>
  </si>
  <si>
    <t>ГЦП "Замена свет. автом. дорог общего пользования ПМР, наход. в гос. и муниц. собствен."</t>
  </si>
  <si>
    <t>ГЦП "Льготное кредит-е граждан ПМР, являющихся участниками боевых действий, ранее не участв-х в прогр. льготн. кредит-я"</t>
  </si>
  <si>
    <t>Услуги по строительному контролю и техническому надзору</t>
  </si>
  <si>
    <t>Прочие трансферты на производ-ственные цели</t>
  </si>
  <si>
    <t>1800</t>
  </si>
  <si>
    <t>1801</t>
  </si>
  <si>
    <t>ОБСЛУЖИВАНИЕ ГОСУДАРСТВЕННОГО ДОЛГА</t>
  </si>
  <si>
    <t>Обслуживание внутреннего гос. долга</t>
  </si>
  <si>
    <t>Целевые субсидии ГА Тирасполя</t>
  </si>
  <si>
    <t>Целевые субсидии ГА Рыбницкого района и города Рыбницы</t>
  </si>
  <si>
    <t>Целевые субсидии ГА Бендер</t>
  </si>
  <si>
    <t>Целевые субсидии ГА Григориопольского района и города Григориополя</t>
  </si>
  <si>
    <t>Целевые субсидии ГА Каменского района и города Каменки</t>
  </si>
  <si>
    <t>Предоста- вление прочих внутренних займов</t>
  </si>
  <si>
    <t xml:space="preserve"> [310400] </t>
  </si>
  <si>
    <t>ГЦП "Равные возможности" (ГА Бендер)</t>
  </si>
  <si>
    <t>"О внесении изменений и дополнений</t>
  </si>
  <si>
    <t>в Закон Приднестровской Молдавской Республики</t>
  </si>
  <si>
    <t>Выплата процентов по гос. цен. бумагам</t>
  </si>
  <si>
    <t>Выплата процентов по государствен-ному внутреннему долгу</t>
  </si>
  <si>
    <t>Расходы на осуществление г. Тирасполем функций столицы</t>
  </si>
  <si>
    <t>КАПИТАЛЬ-НЫЕ ТРАНСФЕР-ТЫ</t>
  </si>
  <si>
    <t>УПЛАТА % И ПОГАШ. КРЕДИТОВ СОГЛ. ДОГОВО-РАМ, ЗАКЛЮЧ-М С ГЛ. РАСП-МИ КРЕД.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</si>
</sst>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;\-#,##0;;@"/>
    <numFmt numFmtId="165" formatCode="#,###"/>
    <numFmt numFmtId="166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  <charset val="204"/>
    </font>
    <font>
      <b/>
      <sz val="6.5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1" fillId="0" borderId="0"/>
  </cellStyleXfs>
  <cellXfs count="139">
    <xf numFmtId="0" fontId="0" fillId="0" borderId="0" xfId="0"/>
    <xf numFmtId="165" fontId="8" fillId="0" borderId="2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165" fontId="12" fillId="2" borderId="7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5" fontId="12" fillId="0" borderId="1" xfId="0" applyNumberFormat="1" applyFont="1" applyBorder="1" applyAlignment="1">
      <alignment vertical="center"/>
    </xf>
    <xf numFmtId="165" fontId="13" fillId="0" borderId="1" xfId="0" applyNumberFormat="1" applyFont="1" applyBorder="1" applyAlignment="1">
      <alignment vertical="center"/>
    </xf>
    <xf numFmtId="165" fontId="13" fillId="0" borderId="5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65" fontId="12" fillId="2" borderId="1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5" xfId="0" applyNumberFormat="1" applyFont="1" applyFill="1" applyBorder="1" applyAlignment="1">
      <alignment vertical="center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vertical="center"/>
    </xf>
    <xf numFmtId="165" fontId="13" fillId="0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vertical="center"/>
    </xf>
    <xf numFmtId="164" fontId="15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165" fontId="12" fillId="2" borderId="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164" fontId="10" fillId="0" borderId="1" xfId="0" applyNumberFormat="1" applyFont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164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4" fontId="12" fillId="0" borderId="1" xfId="0" applyNumberFormat="1" applyFont="1" applyBorder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165" fontId="12" fillId="2" borderId="8" xfId="0" applyNumberFormat="1" applyFont="1" applyFill="1" applyBorder="1" applyAlignment="1">
      <alignment vertical="center"/>
    </xf>
    <xf numFmtId="165" fontId="12" fillId="2" borderId="5" xfId="0" applyNumberFormat="1" applyFont="1" applyFill="1" applyBorder="1" applyAlignment="1">
      <alignment vertical="center"/>
    </xf>
    <xf numFmtId="166" fontId="18" fillId="0" borderId="0" xfId="16" applyNumberFormat="1" applyFont="1" applyAlignment="1">
      <alignment vertical="center"/>
    </xf>
    <xf numFmtId="164" fontId="7" fillId="0" borderId="0" xfId="0" applyNumberFormat="1" applyFont="1" applyFill="1" applyAlignment="1">
      <alignment vertical="center"/>
    </xf>
    <xf numFmtId="3" fontId="10" fillId="0" borderId="0" xfId="0" applyNumberFormat="1" applyFont="1" applyFill="1" applyAlignment="1">
      <alignment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65" fontId="8" fillId="0" borderId="1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 wrapText="1"/>
    </xf>
    <xf numFmtId="165" fontId="8" fillId="0" borderId="11" xfId="0" applyNumberFormat="1" applyFont="1" applyBorder="1" applyAlignment="1">
      <alignment horizontal="center" vertical="center"/>
    </xf>
    <xf numFmtId="165" fontId="12" fillId="2" borderId="6" xfId="0" applyNumberFormat="1" applyFont="1" applyFill="1" applyBorder="1" applyAlignme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165" fontId="12" fillId="3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1" xfId="0" applyNumberFormat="1" applyFont="1" applyFill="1" applyBorder="1" applyAlignment="1">
      <alignment vertical="center"/>
    </xf>
    <xf numFmtId="165" fontId="13" fillId="3" borderId="5" xfId="0" applyNumberFormat="1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4" fontId="7" fillId="3" borderId="0" xfId="0" applyNumberFormat="1" applyFont="1" applyFill="1" applyAlignment="1">
      <alignment vertical="center"/>
    </xf>
    <xf numFmtId="3" fontId="10" fillId="3" borderId="0" xfId="0" applyNumberFormat="1" applyFont="1" applyFill="1" applyAlignment="1">
      <alignment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10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164" fontId="12" fillId="3" borderId="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164" fontId="15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15" fillId="3" borderId="13" xfId="0" applyNumberFormat="1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vertical="center" wrapText="1"/>
    </xf>
    <xf numFmtId="164" fontId="10" fillId="3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3" fontId="10" fillId="0" borderId="17" xfId="0" applyNumberFormat="1" applyFont="1" applyBorder="1" applyAlignment="1">
      <alignment vertical="center" wrapText="1"/>
    </xf>
    <xf numFmtId="164" fontId="20" fillId="0" borderId="1" xfId="0" applyNumberFormat="1" applyFont="1" applyBorder="1" applyAlignment="1">
      <alignment vertical="center" wrapText="1"/>
    </xf>
    <xf numFmtId="166" fontId="13" fillId="0" borderId="0" xfId="16" applyNumberFormat="1" applyFont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3" borderId="4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3" borderId="9" xfId="0" applyNumberFormat="1" applyFont="1" applyFill="1" applyBorder="1" applyAlignment="1">
      <alignment horizontal="center" vertical="center" wrapText="1"/>
    </xf>
    <xf numFmtId="165" fontId="8" fillId="3" borderId="7" xfId="0" applyNumberFormat="1" applyFont="1" applyFill="1" applyBorder="1" applyAlignment="1">
      <alignment horizontal="center" vertical="center" wrapText="1"/>
    </xf>
    <xf numFmtId="165" fontId="19" fillId="0" borderId="9" xfId="0" applyNumberFormat="1" applyFont="1" applyBorder="1" applyAlignment="1">
      <alignment horizontal="center" vertical="center" wrapText="1"/>
    </xf>
    <xf numFmtId="165" fontId="19" fillId="0" borderId="7" xfId="0" applyNumberFormat="1" applyFont="1" applyBorder="1" applyAlignment="1">
      <alignment horizontal="center" vertical="center" wrapText="1"/>
    </xf>
    <xf numFmtId="164" fontId="8" fillId="3" borderId="9" xfId="0" applyNumberFormat="1" applyFont="1" applyFill="1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 wrapText="1"/>
    </xf>
    <xf numFmtId="164" fontId="22" fillId="0" borderId="10" xfId="0" applyNumberFormat="1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</cellXfs>
  <cellStyles count="45">
    <cellStyle name="Обычный" xfId="0" builtinId="0"/>
    <cellStyle name="Обычный 10" xfId="31"/>
    <cellStyle name="Обычный 12" xfId="44"/>
    <cellStyle name="Обычный 2" xfId="2"/>
    <cellStyle name="Обычный 2 2" xfId="6"/>
    <cellStyle name="Обычный 2 2 2" xfId="14"/>
    <cellStyle name="Обычный 2 2 2 2" xfId="42"/>
    <cellStyle name="Обычный 2 2 2 3" xfId="28"/>
    <cellStyle name="Обычный 2 2 3" xfId="36"/>
    <cellStyle name="Обычный 2 2 4" xfId="22"/>
    <cellStyle name="Обычный 2 3" xfId="11"/>
    <cellStyle name="Обычный 2 3 2" xfId="39"/>
    <cellStyle name="Обычный 2 3 3" xfId="25"/>
    <cellStyle name="Обычный 2 4" xfId="33"/>
    <cellStyle name="Обычный 2 5" xfId="19"/>
    <cellStyle name="Обычный 3" xfId="1"/>
    <cellStyle name="Обычный 3 2" xfId="5"/>
    <cellStyle name="Обычный 3 2 2" xfId="13"/>
    <cellStyle name="Обычный 3 2 2 2" xfId="41"/>
    <cellStyle name="Обычный 3 2 2 3" xfId="27"/>
    <cellStyle name="Обычный 3 2 3" xfId="35"/>
    <cellStyle name="Обычный 3 2 4" xfId="21"/>
    <cellStyle name="Обычный 3 3" xfId="10"/>
    <cellStyle name="Обычный 3 3 2" xfId="38"/>
    <cellStyle name="Обычный 3 3 3" xfId="24"/>
    <cellStyle name="Обычный 3 4" xfId="32"/>
    <cellStyle name="Обычный 3 5" xfId="18"/>
    <cellStyle name="Обычный 4" xfId="7"/>
    <cellStyle name="Обычный 5" xfId="4"/>
    <cellStyle name="Обычный 6" xfId="3"/>
    <cellStyle name="Обычный 6 2" xfId="12"/>
    <cellStyle name="Обычный 6 2 2" xfId="40"/>
    <cellStyle name="Обычный 6 2 3" xfId="26"/>
    <cellStyle name="Обычный 6 3" xfId="34"/>
    <cellStyle name="Обычный 6 4" xfId="20"/>
    <cellStyle name="Обычный 7" xfId="9"/>
    <cellStyle name="Обычный 8" xfId="8"/>
    <cellStyle name="Обычный 8 2" xfId="37"/>
    <cellStyle name="Обычный 8 3" xfId="23"/>
    <cellStyle name="Обычный 9" xfId="17"/>
    <cellStyle name="Финансовый" xfId="16" builtinId="3"/>
    <cellStyle name="Финансовый 2" xfId="15"/>
    <cellStyle name="Финансовый 2 2" xfId="43"/>
    <cellStyle name="Финансовый 2 3" xfId="29"/>
    <cellStyle name="Финансовый 3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25"/>
  <sheetViews>
    <sheetView tabSelected="1" view="pageBreakPreview" zoomScale="94" zoomScaleNormal="110" zoomScaleSheetLayoutView="94" workbookViewId="0">
      <pane xSplit="4" ySplit="16" topLeftCell="CN33" activePane="bottomRight" state="frozenSplit"/>
      <selection pane="topRight" activeCell="D1" sqref="D1"/>
      <selection pane="bottomLeft" activeCell="A11" sqref="A11"/>
      <selection pane="bottomRight" activeCell="CZ15" sqref="CZ15"/>
    </sheetView>
  </sheetViews>
  <sheetFormatPr defaultColWidth="9.109375" defaultRowHeight="14.4" x14ac:dyDescent="0.3"/>
  <cols>
    <col min="1" max="1" width="6.33203125" style="50" customWidth="1"/>
    <col min="2" max="2" width="4.33203125" style="50" customWidth="1"/>
    <col min="3" max="3" width="45" style="50" customWidth="1"/>
    <col min="4" max="4" width="11.6640625" style="50" customWidth="1"/>
    <col min="5" max="5" width="11.109375" style="50" customWidth="1"/>
    <col min="6" max="6" width="11" style="50" customWidth="1"/>
    <col min="7" max="7" width="11.109375" style="50" customWidth="1"/>
    <col min="8" max="10" width="9.88671875" style="50" customWidth="1"/>
    <col min="11" max="11" width="9" style="50" customWidth="1"/>
    <col min="12" max="12" width="9.5546875" style="50" customWidth="1"/>
    <col min="13" max="13" width="8.33203125" style="50" customWidth="1"/>
    <col min="14" max="14" width="8.88671875" style="50" customWidth="1"/>
    <col min="15" max="16" width="10" style="50" customWidth="1"/>
    <col min="17" max="20" width="9.109375" style="50" customWidth="1"/>
    <col min="21" max="21" width="10" style="50" customWidth="1"/>
    <col min="22" max="22" width="9.33203125" style="50" customWidth="1"/>
    <col min="23" max="23" width="8.6640625" style="50" customWidth="1"/>
    <col min="24" max="24" width="9.44140625" style="50" customWidth="1"/>
    <col min="25" max="25" width="10.44140625" style="50" customWidth="1"/>
    <col min="26" max="26" width="7.88671875" style="50" customWidth="1"/>
    <col min="27" max="27" width="8.5546875" style="50" customWidth="1"/>
    <col min="28" max="28" width="9.5546875" style="50" customWidth="1"/>
    <col min="29" max="29" width="7.88671875" style="50" customWidth="1"/>
    <col min="30" max="30" width="11.33203125" style="50" customWidth="1"/>
    <col min="31" max="31" width="9.109375" style="50" customWidth="1"/>
    <col min="32" max="32" width="12.5546875" style="50" customWidth="1"/>
    <col min="33" max="33" width="8.88671875" style="50" customWidth="1"/>
    <col min="34" max="34" width="8.6640625" style="50" customWidth="1"/>
    <col min="35" max="35" width="8.109375" style="50" customWidth="1"/>
    <col min="36" max="36" width="7.88671875" style="50" customWidth="1"/>
    <col min="37" max="37" width="9" style="50" customWidth="1"/>
    <col min="38" max="38" width="8.44140625" style="50" customWidth="1"/>
    <col min="39" max="39" width="7.88671875" style="50" customWidth="1"/>
    <col min="40" max="40" width="9" style="50" customWidth="1"/>
    <col min="41" max="41" width="10" style="50" customWidth="1"/>
    <col min="42" max="42" width="8.6640625" style="50" customWidth="1"/>
    <col min="43" max="43" width="7.88671875" style="50" customWidth="1"/>
    <col min="44" max="44" width="8.109375" style="50" customWidth="1"/>
    <col min="45" max="45" width="9.33203125" style="50" customWidth="1"/>
    <col min="46" max="46" width="8.44140625" style="50" customWidth="1"/>
    <col min="47" max="47" width="8.6640625" style="50" customWidth="1"/>
    <col min="48" max="48" width="10.33203125" style="50" customWidth="1"/>
    <col min="49" max="49" width="9.33203125" style="50" customWidth="1"/>
    <col min="50" max="50" width="9.88671875" style="50" customWidth="1"/>
    <col min="51" max="55" width="10.88671875" style="50" customWidth="1"/>
    <col min="56" max="56" width="9.6640625" style="50" customWidth="1"/>
    <col min="57" max="58" width="11" style="50" customWidth="1"/>
    <col min="59" max="59" width="9.6640625" style="50" customWidth="1"/>
    <col min="60" max="60" width="8.6640625" style="50" customWidth="1"/>
    <col min="61" max="61" width="8.88671875" style="50" customWidth="1"/>
    <col min="62" max="63" width="9.109375" style="50" customWidth="1"/>
    <col min="64" max="65" width="10.88671875" style="50" customWidth="1"/>
    <col min="66" max="66" width="10" style="50" customWidth="1"/>
    <col min="67" max="67" width="9.5546875" style="50" customWidth="1"/>
    <col min="68" max="68" width="9" style="50" customWidth="1"/>
    <col min="69" max="69" width="9.6640625" style="50" customWidth="1"/>
    <col min="70" max="70" width="10.33203125" style="50" customWidth="1"/>
    <col min="71" max="71" width="9.33203125" style="50" customWidth="1"/>
    <col min="72" max="72" width="9.5546875" style="50" customWidth="1"/>
    <col min="73" max="73" width="10.109375" style="50" customWidth="1"/>
    <col min="74" max="74" width="9.109375" style="50" customWidth="1"/>
    <col min="75" max="75" width="8.44140625" style="50" customWidth="1"/>
    <col min="76" max="76" width="10.109375" style="50" customWidth="1"/>
    <col min="77" max="77" width="11.33203125" style="50" customWidth="1"/>
    <col min="78" max="78" width="9.109375" style="50" customWidth="1"/>
    <col min="79" max="79" width="10.109375" style="50" customWidth="1"/>
    <col min="80" max="80" width="10.5546875" style="50" customWidth="1"/>
    <col min="81" max="81" width="10.109375" style="50" customWidth="1"/>
    <col min="82" max="82" width="10" style="50" customWidth="1"/>
    <col min="83" max="83" width="9.33203125" style="50" customWidth="1"/>
    <col min="84" max="84" width="8.109375" style="50" customWidth="1"/>
    <col min="85" max="86" width="10" style="50" customWidth="1"/>
    <col min="87" max="87" width="10.109375" style="50" customWidth="1"/>
    <col min="88" max="88" width="9.88671875" style="50" customWidth="1"/>
    <col min="89" max="89" width="10.44140625" style="50" customWidth="1"/>
    <col min="90" max="90" width="8.88671875" style="50" customWidth="1"/>
    <col min="91" max="91" width="8.33203125" style="50" customWidth="1"/>
    <col min="92" max="92" width="9.6640625" style="50" customWidth="1"/>
    <col min="93" max="93" width="9.88671875" style="50" customWidth="1"/>
    <col min="94" max="94" width="11.109375" style="50" customWidth="1"/>
    <col min="95" max="98" width="10.6640625" style="50" customWidth="1"/>
    <col min="99" max="99" width="11.109375" style="50" customWidth="1"/>
    <col min="100" max="100" width="10" style="50" customWidth="1"/>
    <col min="101" max="101" width="10.109375" style="50" customWidth="1"/>
    <col min="102" max="105" width="10.109375" style="78" customWidth="1"/>
    <col min="106" max="106" width="9.33203125" style="50" customWidth="1"/>
    <col min="107" max="107" width="9.6640625" style="50" customWidth="1"/>
    <col min="108" max="108" width="9" style="50" customWidth="1"/>
    <col min="109" max="16384" width="9.109375" style="50"/>
  </cols>
  <sheetData>
    <row r="1" spans="1:108" ht="15.6" x14ac:dyDescent="0.3">
      <c r="I1" s="107"/>
      <c r="J1" s="107"/>
      <c r="K1" s="107"/>
      <c r="L1" s="107"/>
      <c r="M1" s="110" t="s">
        <v>446</v>
      </c>
      <c r="N1" s="110"/>
      <c r="O1" s="110"/>
    </row>
    <row r="2" spans="1:108" ht="15.6" x14ac:dyDescent="0.3">
      <c r="I2" s="110" t="s">
        <v>419</v>
      </c>
      <c r="J2" s="110"/>
      <c r="K2" s="110"/>
      <c r="L2" s="110"/>
      <c r="M2" s="110"/>
      <c r="N2" s="110"/>
      <c r="O2" s="110"/>
    </row>
    <row r="3" spans="1:108" ht="15.6" x14ac:dyDescent="0.3">
      <c r="I3" s="110" t="s">
        <v>642</v>
      </c>
      <c r="J3" s="110"/>
      <c r="K3" s="110"/>
      <c r="L3" s="110"/>
      <c r="M3" s="110"/>
      <c r="N3" s="110"/>
      <c r="O3" s="110"/>
    </row>
    <row r="4" spans="1:108" ht="15.6" x14ac:dyDescent="0.3">
      <c r="I4" s="110" t="s">
        <v>643</v>
      </c>
      <c r="J4" s="110"/>
      <c r="K4" s="110"/>
      <c r="L4" s="110"/>
      <c r="M4" s="110"/>
      <c r="N4" s="110"/>
      <c r="O4" s="110"/>
    </row>
    <row r="5" spans="1:108" ht="15.6" x14ac:dyDescent="0.3">
      <c r="I5" s="110" t="s">
        <v>579</v>
      </c>
      <c r="J5" s="110"/>
      <c r="K5" s="110"/>
      <c r="L5" s="110"/>
      <c r="M5" s="110"/>
      <c r="N5" s="110"/>
      <c r="O5" s="110"/>
    </row>
    <row r="6" spans="1:108" ht="12" customHeight="1" x14ac:dyDescent="0.3">
      <c r="I6" s="108"/>
      <c r="J6" s="108"/>
      <c r="K6" s="108"/>
      <c r="L6" s="108"/>
      <c r="M6" s="108"/>
      <c r="N6" s="108"/>
      <c r="O6" s="109"/>
    </row>
    <row r="7" spans="1:108" s="7" customFormat="1" ht="15.6" x14ac:dyDescent="0.3">
      <c r="B7" s="6"/>
      <c r="C7" s="6"/>
      <c r="D7" s="6"/>
      <c r="E7" s="6"/>
      <c r="F7" s="6"/>
      <c r="G7" s="102"/>
      <c r="H7" s="102"/>
      <c r="I7" s="107"/>
      <c r="J7" s="107"/>
      <c r="K7" s="107"/>
      <c r="L7" s="107"/>
      <c r="M7" s="110" t="s">
        <v>446</v>
      </c>
      <c r="N7" s="110"/>
      <c r="O7" s="110"/>
      <c r="R7" s="6"/>
      <c r="S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X7" s="80"/>
      <c r="CY7" s="80"/>
      <c r="CZ7" s="80"/>
      <c r="DA7" s="80"/>
    </row>
    <row r="8" spans="1:108" s="7" customFormat="1" ht="15.6" x14ac:dyDescent="0.3">
      <c r="B8" s="6"/>
      <c r="C8" s="6"/>
      <c r="D8" s="6"/>
      <c r="E8" s="6"/>
      <c r="F8" s="6"/>
      <c r="G8" s="102"/>
      <c r="H8" s="102"/>
      <c r="I8" s="107"/>
      <c r="J8" s="110" t="s">
        <v>419</v>
      </c>
      <c r="K8" s="110"/>
      <c r="L8" s="110"/>
      <c r="M8" s="110"/>
      <c r="N8" s="110"/>
      <c r="O8" s="110"/>
      <c r="R8" s="6"/>
      <c r="S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X8" s="80"/>
      <c r="CY8" s="80"/>
      <c r="CZ8" s="80"/>
      <c r="DA8" s="80"/>
    </row>
    <row r="9" spans="1:108" s="7" customFormat="1" ht="15.6" x14ac:dyDescent="0.3">
      <c r="B9" s="6"/>
      <c r="C9" s="6"/>
      <c r="D9" s="6"/>
      <c r="E9" s="6"/>
      <c r="F9" s="6"/>
      <c r="G9" s="102"/>
      <c r="H9" s="102"/>
      <c r="I9" s="107"/>
      <c r="J9" s="110" t="s">
        <v>579</v>
      </c>
      <c r="K9" s="110"/>
      <c r="L9" s="110"/>
      <c r="M9" s="110"/>
      <c r="N9" s="110"/>
      <c r="O9" s="110"/>
      <c r="R9" s="6"/>
      <c r="S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X9" s="80"/>
      <c r="CY9" s="80"/>
      <c r="CZ9" s="80"/>
      <c r="DA9" s="80"/>
    </row>
    <row r="10" spans="1:108" s="7" customFormat="1" ht="7.2" customHeight="1" x14ac:dyDescent="0.3">
      <c r="A10" s="4"/>
      <c r="B10" s="4"/>
      <c r="C10" s="5"/>
      <c r="D10" s="6"/>
      <c r="E10" s="6"/>
      <c r="L10" s="6"/>
      <c r="M10" s="8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X10" s="80"/>
      <c r="CY10" s="80"/>
      <c r="CZ10" s="80"/>
      <c r="DA10" s="80"/>
    </row>
    <row r="11" spans="1:108" s="7" customFormat="1" ht="15.6" x14ac:dyDescent="0.3">
      <c r="A11" s="9"/>
      <c r="B11" s="9"/>
      <c r="C11" s="5"/>
      <c r="D11" s="10" t="s">
        <v>580</v>
      </c>
      <c r="E11" s="10"/>
      <c r="F11" s="10"/>
      <c r="G11" s="10"/>
      <c r="H11" s="10"/>
      <c r="I11" s="10"/>
      <c r="J11" s="10"/>
      <c r="K11" s="10"/>
      <c r="CW11" s="80"/>
      <c r="CX11" s="80"/>
      <c r="CY11" s="80"/>
      <c r="CZ11" s="80"/>
    </row>
    <row r="12" spans="1:108" s="3" customFormat="1" ht="15.6" customHeight="1" thickBot="1" x14ac:dyDescent="0.35">
      <c r="A12" s="11"/>
      <c r="B12" s="11"/>
      <c r="E12" s="12"/>
      <c r="F12" s="12"/>
      <c r="N12" s="111" t="s">
        <v>420</v>
      </c>
      <c r="O12" s="111"/>
      <c r="AZ12" s="103"/>
      <c r="BA12" s="103"/>
      <c r="BB12" s="103"/>
      <c r="CV12" s="81"/>
      <c r="CW12" s="81"/>
      <c r="CX12" s="81"/>
      <c r="CY12" s="81"/>
      <c r="DD12" s="63"/>
    </row>
    <row r="13" spans="1:108" s="3" customFormat="1" ht="26.25" customHeight="1" x14ac:dyDescent="0.3">
      <c r="A13" s="54" t="s">
        <v>463</v>
      </c>
      <c r="B13" s="123" t="s">
        <v>39</v>
      </c>
      <c r="C13" s="126" t="s">
        <v>0</v>
      </c>
      <c r="D13" s="112" t="s">
        <v>14</v>
      </c>
      <c r="E13" s="115" t="s">
        <v>2</v>
      </c>
      <c r="F13" s="115" t="s">
        <v>603</v>
      </c>
      <c r="G13" s="117" t="s">
        <v>3</v>
      </c>
      <c r="H13" s="117" t="s">
        <v>551</v>
      </c>
      <c r="I13" s="115" t="s">
        <v>513</v>
      </c>
      <c r="J13" s="117" t="s">
        <v>526</v>
      </c>
      <c r="K13" s="117" t="s">
        <v>15</v>
      </c>
      <c r="L13" s="117" t="s">
        <v>4</v>
      </c>
      <c r="M13" s="117" t="s">
        <v>5</v>
      </c>
      <c r="N13" s="117" t="s">
        <v>527</v>
      </c>
      <c r="O13" s="117" t="s">
        <v>16</v>
      </c>
      <c r="P13" s="115" t="s">
        <v>455</v>
      </c>
      <c r="Q13" s="115" t="s">
        <v>546</v>
      </c>
      <c r="R13" s="115" t="s">
        <v>547</v>
      </c>
      <c r="S13" s="115" t="s">
        <v>17</v>
      </c>
      <c r="T13" s="117" t="s">
        <v>6</v>
      </c>
      <c r="U13" s="115" t="s">
        <v>18</v>
      </c>
      <c r="V13" s="117" t="s">
        <v>522</v>
      </c>
      <c r="W13" s="117" t="s">
        <v>7</v>
      </c>
      <c r="X13" s="117" t="s">
        <v>523</v>
      </c>
      <c r="Y13" s="117" t="s">
        <v>528</v>
      </c>
      <c r="Z13" s="117" t="s">
        <v>8</v>
      </c>
      <c r="AA13" s="117" t="s">
        <v>524</v>
      </c>
      <c r="AB13" s="117" t="s">
        <v>553</v>
      </c>
      <c r="AC13" s="117" t="s">
        <v>9</v>
      </c>
      <c r="AD13" s="117" t="s">
        <v>19</v>
      </c>
      <c r="AE13" s="117" t="s">
        <v>529</v>
      </c>
      <c r="AF13" s="117" t="s">
        <v>548</v>
      </c>
      <c r="AG13" s="117" t="s">
        <v>530</v>
      </c>
      <c r="AH13" s="117" t="s">
        <v>525</v>
      </c>
      <c r="AI13" s="117" t="s">
        <v>549</v>
      </c>
      <c r="AJ13" s="117" t="s">
        <v>10</v>
      </c>
      <c r="AK13" s="117" t="s">
        <v>531</v>
      </c>
      <c r="AL13" s="117" t="s">
        <v>427</v>
      </c>
      <c r="AM13" s="117" t="s">
        <v>20</v>
      </c>
      <c r="AN13" s="117" t="s">
        <v>21</v>
      </c>
      <c r="AO13" s="117" t="s">
        <v>22</v>
      </c>
      <c r="AP13" s="117" t="s">
        <v>23</v>
      </c>
      <c r="AQ13" s="117" t="s">
        <v>24</v>
      </c>
      <c r="AR13" s="117" t="s">
        <v>25</v>
      </c>
      <c r="AS13" s="117" t="s">
        <v>532</v>
      </c>
      <c r="AT13" s="117" t="s">
        <v>26</v>
      </c>
      <c r="AU13" s="117" t="s">
        <v>421</v>
      </c>
      <c r="AV13" s="117" t="s">
        <v>533</v>
      </c>
      <c r="AW13" s="117" t="s">
        <v>428</v>
      </c>
      <c r="AX13" s="135" t="s">
        <v>433</v>
      </c>
      <c r="AY13" s="117" t="s">
        <v>534</v>
      </c>
      <c r="AZ13" s="137" t="s">
        <v>583</v>
      </c>
      <c r="BA13" s="137" t="s">
        <v>645</v>
      </c>
      <c r="BB13" s="137" t="s">
        <v>644</v>
      </c>
      <c r="BC13" s="115" t="s">
        <v>429</v>
      </c>
      <c r="BD13" s="115" t="s">
        <v>535</v>
      </c>
      <c r="BE13" s="115" t="s">
        <v>536</v>
      </c>
      <c r="BF13" s="115" t="s">
        <v>537</v>
      </c>
      <c r="BG13" s="115" t="s">
        <v>27</v>
      </c>
      <c r="BH13" s="115" t="s">
        <v>28</v>
      </c>
      <c r="BI13" s="115" t="s">
        <v>538</v>
      </c>
      <c r="BJ13" s="115" t="s">
        <v>629</v>
      </c>
      <c r="BK13" s="115" t="s">
        <v>539</v>
      </c>
      <c r="BL13" s="115" t="s">
        <v>514</v>
      </c>
      <c r="BM13" s="119" t="s">
        <v>646</v>
      </c>
      <c r="BN13" s="115" t="s">
        <v>29</v>
      </c>
      <c r="BO13" s="115" t="s">
        <v>620</v>
      </c>
      <c r="BP13" s="115" t="s">
        <v>521</v>
      </c>
      <c r="BQ13" s="115" t="s">
        <v>430</v>
      </c>
      <c r="BR13" s="115" t="s">
        <v>30</v>
      </c>
      <c r="BS13" s="115" t="s">
        <v>31</v>
      </c>
      <c r="BT13" s="115" t="s">
        <v>11</v>
      </c>
      <c r="BU13" s="115" t="s">
        <v>509</v>
      </c>
      <c r="BV13" s="115" t="s">
        <v>510</v>
      </c>
      <c r="BW13" s="115" t="s">
        <v>33</v>
      </c>
      <c r="BX13" s="115" t="s">
        <v>456</v>
      </c>
      <c r="BY13" s="115" t="s">
        <v>619</v>
      </c>
      <c r="BZ13" s="115" t="s">
        <v>431</v>
      </c>
      <c r="CA13" s="115" t="s">
        <v>13</v>
      </c>
      <c r="CB13" s="115" t="s">
        <v>34</v>
      </c>
      <c r="CC13" s="115" t="s">
        <v>422</v>
      </c>
      <c r="CD13" s="115" t="s">
        <v>457</v>
      </c>
      <c r="CE13" s="115" t="s">
        <v>554</v>
      </c>
      <c r="CF13" s="115" t="s">
        <v>540</v>
      </c>
      <c r="CG13" s="115" t="s">
        <v>555</v>
      </c>
      <c r="CH13" s="115" t="s">
        <v>35</v>
      </c>
      <c r="CI13" s="115" t="s">
        <v>541</v>
      </c>
      <c r="CJ13" s="115" t="s">
        <v>542</v>
      </c>
      <c r="CK13" s="115" t="s">
        <v>543</v>
      </c>
      <c r="CL13" s="115" t="s">
        <v>450</v>
      </c>
      <c r="CM13" s="115" t="s">
        <v>544</v>
      </c>
      <c r="CN13" s="115" t="s">
        <v>423</v>
      </c>
      <c r="CO13" s="115" t="s">
        <v>545</v>
      </c>
      <c r="CP13" s="115" t="s">
        <v>550</v>
      </c>
      <c r="CQ13" s="115" t="s">
        <v>445</v>
      </c>
      <c r="CR13" s="119" t="s">
        <v>647</v>
      </c>
      <c r="CS13" s="131" t="s">
        <v>587</v>
      </c>
      <c r="CT13" s="119" t="s">
        <v>588</v>
      </c>
      <c r="CU13" s="115" t="s">
        <v>432</v>
      </c>
      <c r="CV13" s="131" t="s">
        <v>621</v>
      </c>
      <c r="CW13" s="131" t="s">
        <v>623</v>
      </c>
      <c r="CX13" s="131" t="s">
        <v>622</v>
      </c>
      <c r="CY13" s="131" t="s">
        <v>639</v>
      </c>
      <c r="CZ13" s="133" t="s">
        <v>648</v>
      </c>
      <c r="DA13" s="119" t="s">
        <v>36</v>
      </c>
      <c r="DB13" s="119" t="s">
        <v>37</v>
      </c>
      <c r="DC13" s="129" t="s">
        <v>38</v>
      </c>
      <c r="DD13" s="62"/>
    </row>
    <row r="14" spans="1:108" s="3" customFormat="1" ht="76.2" customHeight="1" x14ac:dyDescent="0.3">
      <c r="A14" s="121" t="s">
        <v>462</v>
      </c>
      <c r="B14" s="124"/>
      <c r="C14" s="127"/>
      <c r="D14" s="113"/>
      <c r="E14" s="116"/>
      <c r="F14" s="116"/>
      <c r="G14" s="118"/>
      <c r="H14" s="118"/>
      <c r="I14" s="116"/>
      <c r="J14" s="118"/>
      <c r="K14" s="118"/>
      <c r="L14" s="118"/>
      <c r="M14" s="118"/>
      <c r="N14" s="118"/>
      <c r="O14" s="118"/>
      <c r="P14" s="116"/>
      <c r="Q14" s="116"/>
      <c r="R14" s="116"/>
      <c r="S14" s="116"/>
      <c r="T14" s="118"/>
      <c r="U14" s="116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36"/>
      <c r="AY14" s="118"/>
      <c r="AZ14" s="138"/>
      <c r="BA14" s="138"/>
      <c r="BB14" s="138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20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20"/>
      <c r="CS14" s="132"/>
      <c r="CT14" s="120"/>
      <c r="CU14" s="116"/>
      <c r="CV14" s="132"/>
      <c r="CW14" s="132"/>
      <c r="CX14" s="132"/>
      <c r="CY14" s="132"/>
      <c r="CZ14" s="134"/>
      <c r="DA14" s="120"/>
      <c r="DB14" s="120"/>
      <c r="DC14" s="130"/>
      <c r="DD14" s="63"/>
    </row>
    <row r="15" spans="1:108" s="3" customFormat="1" ht="10.199999999999999" customHeight="1" thickBot="1" x14ac:dyDescent="0.35">
      <c r="A15" s="122"/>
      <c r="B15" s="125"/>
      <c r="C15" s="128"/>
      <c r="D15" s="114"/>
      <c r="E15" s="1" t="s">
        <v>334</v>
      </c>
      <c r="F15" s="1" t="s">
        <v>335</v>
      </c>
      <c r="G15" s="1" t="s">
        <v>336</v>
      </c>
      <c r="H15" s="1" t="s">
        <v>337</v>
      </c>
      <c r="I15" s="1" t="s">
        <v>338</v>
      </c>
      <c r="J15" s="1" t="s">
        <v>339</v>
      </c>
      <c r="K15" s="1" t="s">
        <v>340</v>
      </c>
      <c r="L15" s="1" t="s">
        <v>341</v>
      </c>
      <c r="M15" s="1" t="s">
        <v>342</v>
      </c>
      <c r="N15" s="1" t="s">
        <v>343</v>
      </c>
      <c r="O15" s="1" t="s">
        <v>344</v>
      </c>
      <c r="P15" s="1" t="s">
        <v>345</v>
      </c>
      <c r="Q15" s="1" t="s">
        <v>346</v>
      </c>
      <c r="R15" s="1" t="s">
        <v>347</v>
      </c>
      <c r="S15" s="1" t="s">
        <v>348</v>
      </c>
      <c r="T15" s="1" t="s">
        <v>349</v>
      </c>
      <c r="U15" s="1" t="s">
        <v>350</v>
      </c>
      <c r="V15" s="1" t="s">
        <v>351</v>
      </c>
      <c r="W15" s="1" t="s">
        <v>352</v>
      </c>
      <c r="X15" s="1" t="s">
        <v>353</v>
      </c>
      <c r="Y15" s="1" t="s">
        <v>354</v>
      </c>
      <c r="Z15" s="1" t="s">
        <v>355</v>
      </c>
      <c r="AA15" s="1" t="s">
        <v>356</v>
      </c>
      <c r="AB15" s="1" t="s">
        <v>357</v>
      </c>
      <c r="AC15" s="1" t="s">
        <v>358</v>
      </c>
      <c r="AD15" s="1" t="s">
        <v>359</v>
      </c>
      <c r="AE15" s="1" t="s">
        <v>360</v>
      </c>
      <c r="AF15" s="1" t="s">
        <v>361</v>
      </c>
      <c r="AG15" s="1" t="s">
        <v>362</v>
      </c>
      <c r="AH15" s="1" t="s">
        <v>363</v>
      </c>
      <c r="AI15" s="1" t="s">
        <v>364</v>
      </c>
      <c r="AJ15" s="1" t="s">
        <v>365</v>
      </c>
      <c r="AK15" s="1" t="s">
        <v>366</v>
      </c>
      <c r="AL15" s="1" t="s">
        <v>367</v>
      </c>
      <c r="AM15" s="1" t="s">
        <v>368</v>
      </c>
      <c r="AN15" s="1" t="s">
        <v>369</v>
      </c>
      <c r="AO15" s="1" t="s">
        <v>370</v>
      </c>
      <c r="AP15" s="1" t="s">
        <v>371</v>
      </c>
      <c r="AQ15" s="1" t="s">
        <v>372</v>
      </c>
      <c r="AR15" s="1" t="s">
        <v>373</v>
      </c>
      <c r="AS15" s="1" t="s">
        <v>374</v>
      </c>
      <c r="AT15" s="1" t="s">
        <v>375</v>
      </c>
      <c r="AU15" s="1" t="s">
        <v>376</v>
      </c>
      <c r="AV15" s="1" t="s">
        <v>377</v>
      </c>
      <c r="AW15" s="1" t="s">
        <v>378</v>
      </c>
      <c r="AX15" s="53" t="s">
        <v>434</v>
      </c>
      <c r="AY15" s="1" t="s">
        <v>379</v>
      </c>
      <c r="AZ15" s="1" t="s">
        <v>584</v>
      </c>
      <c r="BA15" s="1" t="s">
        <v>585</v>
      </c>
      <c r="BB15" s="1" t="s">
        <v>586</v>
      </c>
      <c r="BC15" s="1" t="s">
        <v>380</v>
      </c>
      <c r="BD15" s="1" t="s">
        <v>381</v>
      </c>
      <c r="BE15" s="1" t="s">
        <v>382</v>
      </c>
      <c r="BF15" s="1" t="s">
        <v>383</v>
      </c>
      <c r="BG15" s="1" t="s">
        <v>384</v>
      </c>
      <c r="BH15" s="1" t="s">
        <v>385</v>
      </c>
      <c r="BI15" s="1" t="s">
        <v>386</v>
      </c>
      <c r="BJ15" s="1" t="s">
        <v>565</v>
      </c>
      <c r="BK15" s="1" t="s">
        <v>387</v>
      </c>
      <c r="BL15" s="1" t="s">
        <v>388</v>
      </c>
      <c r="BM15" s="1" t="s">
        <v>507</v>
      </c>
      <c r="BN15" s="1" t="s">
        <v>389</v>
      </c>
      <c r="BO15" s="1" t="s">
        <v>390</v>
      </c>
      <c r="BP15" s="1" t="s">
        <v>425</v>
      </c>
      <c r="BQ15" s="1" t="s">
        <v>391</v>
      </c>
      <c r="BR15" s="1" t="s">
        <v>392</v>
      </c>
      <c r="BS15" s="1" t="s">
        <v>393</v>
      </c>
      <c r="BT15" s="1" t="s">
        <v>394</v>
      </c>
      <c r="BU15" s="1" t="s">
        <v>395</v>
      </c>
      <c r="BV15" s="1" t="s">
        <v>396</v>
      </c>
      <c r="BW15" s="1" t="s">
        <v>397</v>
      </c>
      <c r="BX15" s="1" t="s">
        <v>398</v>
      </c>
      <c r="BY15" s="1" t="s">
        <v>399</v>
      </c>
      <c r="BZ15" s="1" t="s">
        <v>400</v>
      </c>
      <c r="CA15" s="1" t="s">
        <v>401</v>
      </c>
      <c r="CB15" s="1" t="s">
        <v>402</v>
      </c>
      <c r="CC15" s="1" t="s">
        <v>403</v>
      </c>
      <c r="CD15" s="1" t="s">
        <v>404</v>
      </c>
      <c r="CE15" s="1" t="s">
        <v>405</v>
      </c>
      <c r="CF15" s="1" t="s">
        <v>406</v>
      </c>
      <c r="CG15" s="1" t="s">
        <v>407</v>
      </c>
      <c r="CH15" s="1" t="s">
        <v>408</v>
      </c>
      <c r="CI15" s="1" t="s">
        <v>409</v>
      </c>
      <c r="CJ15" s="1" t="s">
        <v>442</v>
      </c>
      <c r="CK15" s="1" t="s">
        <v>410</v>
      </c>
      <c r="CL15" s="1" t="s">
        <v>443</v>
      </c>
      <c r="CM15" s="1" t="s">
        <v>498</v>
      </c>
      <c r="CN15" s="1" t="s">
        <v>411</v>
      </c>
      <c r="CO15" s="1" t="s">
        <v>412</v>
      </c>
      <c r="CP15" s="1" t="s">
        <v>413</v>
      </c>
      <c r="CQ15" s="1" t="s">
        <v>444</v>
      </c>
      <c r="CR15" s="1" t="s">
        <v>589</v>
      </c>
      <c r="CS15" s="1" t="s">
        <v>590</v>
      </c>
      <c r="CT15" s="1" t="s">
        <v>591</v>
      </c>
      <c r="CU15" s="1" t="s">
        <v>414</v>
      </c>
      <c r="CV15" s="82" t="s">
        <v>558</v>
      </c>
      <c r="CW15" s="82" t="s">
        <v>559</v>
      </c>
      <c r="CX15" s="82" t="s">
        <v>560</v>
      </c>
      <c r="CY15" s="82" t="s">
        <v>640</v>
      </c>
      <c r="CZ15" s="1" t="s">
        <v>415</v>
      </c>
      <c r="DA15" s="1" t="s">
        <v>416</v>
      </c>
      <c r="DB15" s="1" t="s">
        <v>417</v>
      </c>
      <c r="DC15" s="2" t="s">
        <v>418</v>
      </c>
      <c r="DD15" s="63"/>
    </row>
    <row r="16" spans="1:108" s="3" customFormat="1" ht="2.25" customHeight="1" x14ac:dyDescent="0.3">
      <c r="A16" s="91"/>
      <c r="B16" s="64"/>
      <c r="C16" s="65"/>
      <c r="D16" s="66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8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83"/>
      <c r="CW16" s="83"/>
      <c r="CX16" s="83"/>
      <c r="CY16" s="83"/>
      <c r="CZ16" s="67"/>
      <c r="DA16" s="67"/>
      <c r="DB16" s="67"/>
      <c r="DC16" s="69"/>
      <c r="DD16" s="63"/>
    </row>
    <row r="17" spans="1:108" s="58" customFormat="1" ht="31.2" x14ac:dyDescent="0.3">
      <c r="A17" s="92" t="s">
        <v>40</v>
      </c>
      <c r="B17" s="13" t="s">
        <v>1</v>
      </c>
      <c r="C17" s="14" t="s">
        <v>41</v>
      </c>
      <c r="D17" s="15">
        <f t="shared" ref="D17:AH17" si="0">SUM(D18+D20+D24+D38+D40+D45+D47)</f>
        <v>269682368</v>
      </c>
      <c r="E17" s="15">
        <f t="shared" si="0"/>
        <v>266227579</v>
      </c>
      <c r="F17" s="15">
        <f>SUM(F18+F20+F24+F38+F40+F45+F47)</f>
        <v>263108499</v>
      </c>
      <c r="G17" s="15">
        <f t="shared" si="0"/>
        <v>179017165</v>
      </c>
      <c r="H17" s="15">
        <f t="shared" si="0"/>
        <v>38108324</v>
      </c>
      <c r="I17" s="15">
        <f t="shared" si="0"/>
        <v>8957778</v>
      </c>
      <c r="J17" s="15">
        <f t="shared" si="0"/>
        <v>0</v>
      </c>
      <c r="K17" s="15">
        <f t="shared" si="0"/>
        <v>294526</v>
      </c>
      <c r="L17" s="15">
        <f t="shared" si="0"/>
        <v>0</v>
      </c>
      <c r="M17" s="15">
        <f t="shared" si="0"/>
        <v>0</v>
      </c>
      <c r="N17" s="15">
        <f t="shared" si="0"/>
        <v>6101845</v>
      </c>
      <c r="O17" s="15">
        <f t="shared" si="0"/>
        <v>2561407</v>
      </c>
      <c r="P17" s="15">
        <f t="shared" si="0"/>
        <v>1953865</v>
      </c>
      <c r="Q17" s="15">
        <f t="shared" si="0"/>
        <v>856</v>
      </c>
      <c r="R17" s="15">
        <f t="shared" si="0"/>
        <v>1953009</v>
      </c>
      <c r="S17" s="15">
        <f t="shared" si="0"/>
        <v>20000</v>
      </c>
      <c r="T17" s="15">
        <f t="shared" si="0"/>
        <v>3556524</v>
      </c>
      <c r="U17" s="15">
        <f t="shared" si="0"/>
        <v>9816050</v>
      </c>
      <c r="V17" s="15">
        <f t="shared" si="0"/>
        <v>1029557</v>
      </c>
      <c r="W17" s="15">
        <f t="shared" si="0"/>
        <v>2792102</v>
      </c>
      <c r="X17" s="15">
        <f t="shared" si="0"/>
        <v>4412873</v>
      </c>
      <c r="Y17" s="15">
        <f t="shared" si="0"/>
        <v>411798</v>
      </c>
      <c r="Z17" s="15">
        <f t="shared" si="0"/>
        <v>151288</v>
      </c>
      <c r="AA17" s="15">
        <f t="shared" si="0"/>
        <v>335982</v>
      </c>
      <c r="AB17" s="15">
        <f t="shared" si="0"/>
        <v>0</v>
      </c>
      <c r="AC17" s="15">
        <f t="shared" si="0"/>
        <v>682450</v>
      </c>
      <c r="AD17" s="15">
        <f>SUM(AD18+AD20+AD24+AD38+AD40+AD45+AD47)</f>
        <v>21678793</v>
      </c>
      <c r="AE17" s="15">
        <f t="shared" si="0"/>
        <v>50000</v>
      </c>
      <c r="AF17" s="15">
        <f t="shared" si="0"/>
        <v>0</v>
      </c>
      <c r="AG17" s="15">
        <f t="shared" si="0"/>
        <v>526953</v>
      </c>
      <c r="AH17" s="15">
        <f t="shared" si="0"/>
        <v>528634</v>
      </c>
      <c r="AI17" s="15">
        <f t="shared" ref="AI17:BS17" si="1">SUM(AI18+AI20+AI24+AI38+AI40+AI45+AI47)</f>
        <v>0</v>
      </c>
      <c r="AJ17" s="15">
        <f t="shared" si="1"/>
        <v>75138</v>
      </c>
      <c r="AK17" s="15">
        <f t="shared" si="1"/>
        <v>1043653</v>
      </c>
      <c r="AL17" s="15">
        <f t="shared" si="1"/>
        <v>98327</v>
      </c>
      <c r="AM17" s="15">
        <f t="shared" si="1"/>
        <v>649847</v>
      </c>
      <c r="AN17" s="15">
        <f t="shared" si="1"/>
        <v>8013117</v>
      </c>
      <c r="AO17" s="15">
        <f t="shared" si="1"/>
        <v>7508</v>
      </c>
      <c r="AP17" s="15">
        <f t="shared" si="1"/>
        <v>0</v>
      </c>
      <c r="AQ17" s="15">
        <f t="shared" si="1"/>
        <v>944025</v>
      </c>
      <c r="AR17" s="15">
        <f t="shared" si="1"/>
        <v>418219</v>
      </c>
      <c r="AS17" s="15">
        <f t="shared" si="1"/>
        <v>0</v>
      </c>
      <c r="AT17" s="15">
        <f t="shared" si="1"/>
        <v>0</v>
      </c>
      <c r="AU17" s="15">
        <f t="shared" si="1"/>
        <v>0</v>
      </c>
      <c r="AV17" s="15">
        <f t="shared" si="1"/>
        <v>1016988</v>
      </c>
      <c r="AW17" s="15">
        <f t="shared" si="1"/>
        <v>2122371</v>
      </c>
      <c r="AX17" s="15">
        <f>SUM(AX18+AX20+AX24+AX38+AX40+AX45+AX47)</f>
        <v>520829</v>
      </c>
      <c r="AY17" s="15">
        <f t="shared" si="1"/>
        <v>5663184</v>
      </c>
      <c r="AZ17" s="15">
        <f t="shared" si="1"/>
        <v>0</v>
      </c>
      <c r="BA17" s="15">
        <f t="shared" si="1"/>
        <v>0</v>
      </c>
      <c r="BB17" s="15">
        <f t="shared" si="1"/>
        <v>0</v>
      </c>
      <c r="BC17" s="15">
        <f t="shared" si="1"/>
        <v>3119080</v>
      </c>
      <c r="BD17" s="15">
        <f t="shared" si="1"/>
        <v>0</v>
      </c>
      <c r="BE17" s="15">
        <f t="shared" si="1"/>
        <v>0</v>
      </c>
      <c r="BF17" s="15">
        <f t="shared" si="1"/>
        <v>0</v>
      </c>
      <c r="BG17" s="15">
        <f t="shared" si="1"/>
        <v>0</v>
      </c>
      <c r="BH17" s="15">
        <f>SUM(BH18+BH20+BH24+BH38+BH40+BH45+BH47)</f>
        <v>0</v>
      </c>
      <c r="BI17" s="15">
        <f t="shared" si="1"/>
        <v>0</v>
      </c>
      <c r="BJ17" s="15">
        <f t="shared" ref="BJ17" si="2">SUM(BJ18+BJ20+BJ24+BJ38+BJ40+BJ45+BJ47)</f>
        <v>0</v>
      </c>
      <c r="BK17" s="15">
        <f t="shared" si="1"/>
        <v>0</v>
      </c>
      <c r="BL17" s="15">
        <f t="shared" si="1"/>
        <v>0</v>
      </c>
      <c r="BM17" s="15">
        <f t="shared" ref="BM17" si="3">SUM(BM18+BM20+BM24+BM38+BM40+BM45+BM47)</f>
        <v>0</v>
      </c>
      <c r="BN17" s="15">
        <f t="shared" si="1"/>
        <v>0</v>
      </c>
      <c r="BO17" s="15">
        <f t="shared" si="1"/>
        <v>0</v>
      </c>
      <c r="BP17" s="15">
        <f t="shared" si="1"/>
        <v>0</v>
      </c>
      <c r="BQ17" s="15">
        <f t="shared" si="1"/>
        <v>3119080</v>
      </c>
      <c r="BR17" s="15">
        <f t="shared" si="1"/>
        <v>0</v>
      </c>
      <c r="BS17" s="15">
        <f t="shared" si="1"/>
        <v>0</v>
      </c>
      <c r="BT17" s="15">
        <f t="shared" ref="BT17:CP17" si="4">SUM(BT18+BT20+BT24+BT38+BT40+BT45+BT47)</f>
        <v>10670</v>
      </c>
      <c r="BU17" s="15">
        <f t="shared" si="4"/>
        <v>0</v>
      </c>
      <c r="BV17" s="15">
        <f t="shared" si="4"/>
        <v>0</v>
      </c>
      <c r="BW17" s="15">
        <f t="shared" si="4"/>
        <v>0</v>
      </c>
      <c r="BX17" s="15">
        <f t="shared" si="4"/>
        <v>0</v>
      </c>
      <c r="BY17" s="15">
        <f t="shared" si="4"/>
        <v>0</v>
      </c>
      <c r="BZ17" s="15">
        <f t="shared" si="4"/>
        <v>0</v>
      </c>
      <c r="CA17" s="15">
        <f t="shared" si="4"/>
        <v>2888410</v>
      </c>
      <c r="CB17" s="15">
        <f t="shared" si="4"/>
        <v>220000</v>
      </c>
      <c r="CC17" s="15">
        <f t="shared" si="4"/>
        <v>3454789</v>
      </c>
      <c r="CD17" s="15">
        <f t="shared" si="4"/>
        <v>3454789</v>
      </c>
      <c r="CE17" s="15">
        <f t="shared" si="4"/>
        <v>2892863</v>
      </c>
      <c r="CF17" s="15">
        <f t="shared" si="4"/>
        <v>0</v>
      </c>
      <c r="CG17" s="15">
        <f t="shared" si="4"/>
        <v>2892863</v>
      </c>
      <c r="CH17" s="15">
        <f t="shared" si="4"/>
        <v>0</v>
      </c>
      <c r="CI17" s="15">
        <f t="shared" si="4"/>
        <v>0</v>
      </c>
      <c r="CJ17" s="15">
        <f t="shared" si="4"/>
        <v>0</v>
      </c>
      <c r="CK17" s="15">
        <f t="shared" si="4"/>
        <v>0</v>
      </c>
      <c r="CL17" s="15">
        <f t="shared" si="4"/>
        <v>0</v>
      </c>
      <c r="CM17" s="15">
        <f t="shared" si="4"/>
        <v>0</v>
      </c>
      <c r="CN17" s="15">
        <f t="shared" si="4"/>
        <v>561926</v>
      </c>
      <c r="CO17" s="15">
        <f t="shared" si="4"/>
        <v>0</v>
      </c>
      <c r="CP17" s="15">
        <f t="shared" si="4"/>
        <v>561926</v>
      </c>
      <c r="CQ17" s="15"/>
      <c r="CR17" s="15"/>
      <c r="CS17" s="15"/>
      <c r="CT17" s="15"/>
      <c r="CU17" s="15">
        <f>SUM(CU18+CU20+CU24+CU38+CU40+CU45+CU47)</f>
        <v>0</v>
      </c>
      <c r="CV17" s="15">
        <f t="shared" ref="CV17:CX17" si="5">SUM(CV18+CV20+CV24+CV38+CV40+CV45+CV47)</f>
        <v>0</v>
      </c>
      <c r="CW17" s="15">
        <f t="shared" si="5"/>
        <v>0</v>
      </c>
      <c r="CX17" s="15">
        <f t="shared" si="5"/>
        <v>0</v>
      </c>
      <c r="CY17" s="15">
        <f t="shared" ref="CY17" si="6">SUM(CY18+CY20+CY24+CY38+CY40+CY45+CY47)</f>
        <v>0</v>
      </c>
      <c r="CZ17" s="15">
        <f>SUM(CZ18+CZ20+CZ24+CZ38+CZ40+CZ45+CZ47)</f>
        <v>0</v>
      </c>
      <c r="DA17" s="15">
        <f>SUM(DA18+DA20+DA24+DA38+DA40+DA45+DA47)</f>
        <v>0</v>
      </c>
      <c r="DB17" s="15">
        <f>SUM(DB18+DB20+DB24+DB38+DB40+DB45+DB47)</f>
        <v>0</v>
      </c>
      <c r="DC17" s="59">
        <f>SUM(DC18+DC20+DC24+DC38+DC40+DC45+DC47)</f>
        <v>0</v>
      </c>
      <c r="DD17" s="57"/>
    </row>
    <row r="18" spans="1:108" s="58" customFormat="1" ht="31.2" x14ac:dyDescent="0.3">
      <c r="A18" s="93" t="s">
        <v>42</v>
      </c>
      <c r="B18" s="16" t="s">
        <v>1</v>
      </c>
      <c r="C18" s="17" t="s">
        <v>566</v>
      </c>
      <c r="D18" s="18">
        <f>SUM(D19)</f>
        <v>35467679</v>
      </c>
      <c r="E18" s="18">
        <f t="shared" ref="E18:BW18" si="7">SUM(E19)</f>
        <v>32855753</v>
      </c>
      <c r="F18" s="18">
        <f t="shared" si="7"/>
        <v>32823931</v>
      </c>
      <c r="G18" s="18">
        <f>G19</f>
        <v>13999081</v>
      </c>
      <c r="H18" s="18">
        <f>H19</f>
        <v>3402045</v>
      </c>
      <c r="I18" s="18">
        <f t="shared" si="7"/>
        <v>1952837</v>
      </c>
      <c r="J18" s="18">
        <f t="shared" si="7"/>
        <v>0</v>
      </c>
      <c r="K18" s="18">
        <f t="shared" si="7"/>
        <v>32000</v>
      </c>
      <c r="L18" s="18">
        <f t="shared" si="7"/>
        <v>0</v>
      </c>
      <c r="M18" s="18">
        <f t="shared" si="7"/>
        <v>0</v>
      </c>
      <c r="N18" s="18">
        <f t="shared" si="7"/>
        <v>1388317</v>
      </c>
      <c r="O18" s="18">
        <f t="shared" si="7"/>
        <v>532520</v>
      </c>
      <c r="P18" s="18">
        <f t="shared" si="7"/>
        <v>633606</v>
      </c>
      <c r="Q18" s="18">
        <f t="shared" si="7"/>
        <v>856</v>
      </c>
      <c r="R18" s="18">
        <f t="shared" si="7"/>
        <v>632750</v>
      </c>
      <c r="S18" s="18">
        <f t="shared" si="7"/>
        <v>0</v>
      </c>
      <c r="T18" s="18">
        <f t="shared" si="7"/>
        <v>354306</v>
      </c>
      <c r="U18" s="18">
        <f t="shared" si="7"/>
        <v>1633378</v>
      </c>
      <c r="V18" s="18">
        <f t="shared" si="7"/>
        <v>263250</v>
      </c>
      <c r="W18" s="18">
        <f t="shared" si="7"/>
        <v>230559</v>
      </c>
      <c r="X18" s="18">
        <f t="shared" si="7"/>
        <v>818729</v>
      </c>
      <c r="Y18" s="18">
        <f t="shared" si="7"/>
        <v>69453</v>
      </c>
      <c r="Z18" s="18">
        <f t="shared" si="7"/>
        <v>33885</v>
      </c>
      <c r="AA18" s="18">
        <f t="shared" si="7"/>
        <v>0</v>
      </c>
      <c r="AB18" s="18">
        <f t="shared" si="7"/>
        <v>0</v>
      </c>
      <c r="AC18" s="18">
        <f t="shared" si="7"/>
        <v>217502</v>
      </c>
      <c r="AD18" s="18">
        <f t="shared" si="7"/>
        <v>10848678</v>
      </c>
      <c r="AE18" s="18">
        <f t="shared" si="7"/>
        <v>0</v>
      </c>
      <c r="AF18" s="18">
        <f t="shared" si="7"/>
        <v>0</v>
      </c>
      <c r="AG18" s="18">
        <f t="shared" si="7"/>
        <v>65500</v>
      </c>
      <c r="AH18" s="18">
        <f t="shared" si="7"/>
        <v>112260</v>
      </c>
      <c r="AI18" s="18">
        <f t="shared" si="7"/>
        <v>0</v>
      </c>
      <c r="AJ18" s="18">
        <f t="shared" si="7"/>
        <v>25455</v>
      </c>
      <c r="AK18" s="18">
        <f t="shared" si="7"/>
        <v>1000574</v>
      </c>
      <c r="AL18" s="18">
        <f t="shared" si="7"/>
        <v>15000</v>
      </c>
      <c r="AM18" s="18">
        <f t="shared" si="7"/>
        <v>310000</v>
      </c>
      <c r="AN18" s="18">
        <f t="shared" si="7"/>
        <v>5382939</v>
      </c>
      <c r="AO18" s="18">
        <f t="shared" si="7"/>
        <v>7326</v>
      </c>
      <c r="AP18" s="18">
        <f t="shared" si="7"/>
        <v>0</v>
      </c>
      <c r="AQ18" s="18">
        <f t="shared" si="7"/>
        <v>0</v>
      </c>
      <c r="AR18" s="18">
        <f t="shared" si="7"/>
        <v>13574</v>
      </c>
      <c r="AS18" s="18"/>
      <c r="AT18" s="18"/>
      <c r="AU18" s="18">
        <f t="shared" si="7"/>
        <v>0</v>
      </c>
      <c r="AV18" s="18">
        <f t="shared" si="7"/>
        <v>0</v>
      </c>
      <c r="AW18" s="18">
        <f t="shared" si="7"/>
        <v>0</v>
      </c>
      <c r="AX18" s="18"/>
      <c r="AY18" s="18">
        <f t="shared" si="7"/>
        <v>3916050</v>
      </c>
      <c r="AZ18" s="18">
        <f t="shared" si="7"/>
        <v>0</v>
      </c>
      <c r="BA18" s="18">
        <f t="shared" si="7"/>
        <v>0</v>
      </c>
      <c r="BB18" s="18">
        <f t="shared" si="7"/>
        <v>0</v>
      </c>
      <c r="BC18" s="18">
        <f t="shared" si="7"/>
        <v>31822</v>
      </c>
      <c r="BD18" s="18">
        <f t="shared" si="7"/>
        <v>0</v>
      </c>
      <c r="BE18" s="18">
        <f t="shared" si="7"/>
        <v>0</v>
      </c>
      <c r="BF18" s="18">
        <f t="shared" si="7"/>
        <v>0</v>
      </c>
      <c r="BG18" s="18">
        <f t="shared" si="7"/>
        <v>0</v>
      </c>
      <c r="BH18" s="18">
        <f t="shared" si="7"/>
        <v>0</v>
      </c>
      <c r="BI18" s="18">
        <f t="shared" si="7"/>
        <v>0</v>
      </c>
      <c r="BJ18" s="18">
        <f t="shared" si="7"/>
        <v>0</v>
      </c>
      <c r="BK18" s="18">
        <f t="shared" si="7"/>
        <v>0</v>
      </c>
      <c r="BL18" s="18">
        <f t="shared" si="7"/>
        <v>0</v>
      </c>
      <c r="BM18" s="18">
        <f t="shared" si="7"/>
        <v>0</v>
      </c>
      <c r="BN18" s="18">
        <f t="shared" si="7"/>
        <v>0</v>
      </c>
      <c r="BO18" s="18">
        <f t="shared" si="7"/>
        <v>0</v>
      </c>
      <c r="BP18" s="18">
        <f t="shared" si="7"/>
        <v>0</v>
      </c>
      <c r="BQ18" s="18">
        <f t="shared" si="7"/>
        <v>31822</v>
      </c>
      <c r="BR18" s="18">
        <f t="shared" si="7"/>
        <v>0</v>
      </c>
      <c r="BS18" s="18">
        <f t="shared" si="7"/>
        <v>0</v>
      </c>
      <c r="BT18" s="18">
        <f t="shared" si="7"/>
        <v>0</v>
      </c>
      <c r="BU18" s="18">
        <f t="shared" si="7"/>
        <v>0</v>
      </c>
      <c r="BV18" s="18">
        <f t="shared" si="7"/>
        <v>0</v>
      </c>
      <c r="BW18" s="18">
        <f t="shared" si="7"/>
        <v>0</v>
      </c>
      <c r="BX18" s="18">
        <f t="shared" ref="BX18:DC18" si="8">SUM(BX19)</f>
        <v>0</v>
      </c>
      <c r="BY18" s="18">
        <f t="shared" si="8"/>
        <v>0</v>
      </c>
      <c r="BZ18" s="18">
        <f t="shared" si="8"/>
        <v>0</v>
      </c>
      <c r="CA18" s="18">
        <f t="shared" si="8"/>
        <v>31822</v>
      </c>
      <c r="CB18" s="18">
        <f t="shared" si="8"/>
        <v>0</v>
      </c>
      <c r="CC18" s="18">
        <f t="shared" si="8"/>
        <v>2611926</v>
      </c>
      <c r="CD18" s="18">
        <f t="shared" si="8"/>
        <v>2611926</v>
      </c>
      <c r="CE18" s="18">
        <f t="shared" si="8"/>
        <v>2050000</v>
      </c>
      <c r="CF18" s="18">
        <f t="shared" si="8"/>
        <v>0</v>
      </c>
      <c r="CG18" s="18">
        <f t="shared" si="8"/>
        <v>2050000</v>
      </c>
      <c r="CH18" s="18">
        <f t="shared" si="8"/>
        <v>0</v>
      </c>
      <c r="CI18" s="18">
        <f t="shared" si="8"/>
        <v>0</v>
      </c>
      <c r="CJ18" s="18">
        <f t="shared" si="8"/>
        <v>0</v>
      </c>
      <c r="CK18" s="18">
        <f t="shared" si="8"/>
        <v>0</v>
      </c>
      <c r="CL18" s="18">
        <f t="shared" si="8"/>
        <v>0</v>
      </c>
      <c r="CM18" s="18">
        <f t="shared" si="8"/>
        <v>0</v>
      </c>
      <c r="CN18" s="18">
        <f t="shared" si="8"/>
        <v>561926</v>
      </c>
      <c r="CO18" s="18">
        <f t="shared" si="8"/>
        <v>0</v>
      </c>
      <c r="CP18" s="18">
        <f t="shared" si="8"/>
        <v>561926</v>
      </c>
      <c r="CQ18" s="18"/>
      <c r="CR18" s="18"/>
      <c r="CS18" s="18"/>
      <c r="CT18" s="18"/>
      <c r="CU18" s="18">
        <f t="shared" si="8"/>
        <v>0</v>
      </c>
      <c r="CV18" s="73"/>
      <c r="CW18" s="73"/>
      <c r="CX18" s="73"/>
      <c r="CY18" s="73"/>
      <c r="CZ18" s="18">
        <f t="shared" si="8"/>
        <v>0</v>
      </c>
      <c r="DA18" s="18">
        <f t="shared" si="8"/>
        <v>0</v>
      </c>
      <c r="DB18" s="18">
        <f t="shared" si="8"/>
        <v>0</v>
      </c>
      <c r="DC18" s="46">
        <f t="shared" si="8"/>
        <v>0</v>
      </c>
      <c r="DD18" s="57"/>
    </row>
    <row r="19" spans="1:108" ht="15.6" x14ac:dyDescent="0.3">
      <c r="A19" s="94" t="s">
        <v>1</v>
      </c>
      <c r="B19" s="21" t="s">
        <v>43</v>
      </c>
      <c r="C19" s="22" t="s">
        <v>44</v>
      </c>
      <c r="D19" s="19">
        <f>SUM(E19+CC19+CZ19)</f>
        <v>35467679</v>
      </c>
      <c r="E19" s="19">
        <f>SUM(F19+BC19)</f>
        <v>32855753</v>
      </c>
      <c r="F19" s="19">
        <f>SUM(G19+H19+I19+P19+S19+T19+U19+AD19)</f>
        <v>32823931</v>
      </c>
      <c r="G19" s="19">
        <v>13999081</v>
      </c>
      <c r="H19" s="19">
        <v>3402045</v>
      </c>
      <c r="I19" s="19">
        <f t="shared" ref="I19:I75" si="9">SUM(J19:O19)</f>
        <v>1952837</v>
      </c>
      <c r="J19" s="19">
        <v>0</v>
      </c>
      <c r="K19" s="23">
        <v>32000</v>
      </c>
      <c r="L19" s="23">
        <v>0</v>
      </c>
      <c r="M19" s="23">
        <v>0</v>
      </c>
      <c r="N19" s="23">
        <v>1388317</v>
      </c>
      <c r="O19" s="23">
        <v>532520</v>
      </c>
      <c r="P19" s="19">
        <f t="shared" ref="P19:P75" si="10">SUM(Q19:R19)</f>
        <v>633606</v>
      </c>
      <c r="Q19" s="19">
        <v>856</v>
      </c>
      <c r="R19" s="19">
        <v>632750</v>
      </c>
      <c r="S19" s="19">
        <v>0</v>
      </c>
      <c r="T19" s="19">
        <v>354306</v>
      </c>
      <c r="U19" s="19">
        <f>SUM(V19:AC19)</f>
        <v>1633378</v>
      </c>
      <c r="V19" s="23">
        <v>263250</v>
      </c>
      <c r="W19" s="23">
        <f>183498+47061</f>
        <v>230559</v>
      </c>
      <c r="X19" s="23">
        <f>606142+212587</f>
        <v>818729</v>
      </c>
      <c r="Y19" s="23">
        <f>49882+19571</f>
        <v>69453</v>
      </c>
      <c r="Z19" s="23">
        <v>33885</v>
      </c>
      <c r="AA19" s="23">
        <v>0</v>
      </c>
      <c r="AB19" s="23">
        <v>0</v>
      </c>
      <c r="AC19" s="23">
        <f>169519+47983</f>
        <v>217502</v>
      </c>
      <c r="AD19" s="19">
        <f>SUM(AE19:AY19)</f>
        <v>10848678</v>
      </c>
      <c r="AE19" s="19">
        <v>0</v>
      </c>
      <c r="AF19" s="19">
        <v>0</v>
      </c>
      <c r="AG19" s="23">
        <v>65500</v>
      </c>
      <c r="AH19" s="23">
        <v>112260</v>
      </c>
      <c r="AI19" s="23">
        <v>0</v>
      </c>
      <c r="AJ19" s="23">
        <v>25455</v>
      </c>
      <c r="AK19" s="23">
        <v>1000574</v>
      </c>
      <c r="AL19" s="23">
        <v>15000</v>
      </c>
      <c r="AM19" s="23">
        <v>310000</v>
      </c>
      <c r="AN19" s="23">
        <v>5382939</v>
      </c>
      <c r="AO19" s="23">
        <v>7326</v>
      </c>
      <c r="AP19" s="23">
        <v>0</v>
      </c>
      <c r="AQ19" s="23">
        <v>0</v>
      </c>
      <c r="AR19" s="23">
        <v>13574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3916050</v>
      </c>
      <c r="AZ19" s="23"/>
      <c r="BA19" s="23"/>
      <c r="BB19" s="23"/>
      <c r="BC19" s="19">
        <f>SUM(BD19+BH19+BL19+BN19+BQ19)</f>
        <v>31822</v>
      </c>
      <c r="BD19" s="19">
        <f>SUM(BE19:BG19)</f>
        <v>0</v>
      </c>
      <c r="BE19" s="19">
        <v>0</v>
      </c>
      <c r="BF19" s="19">
        <v>0</v>
      </c>
      <c r="BG19" s="19">
        <v>0</v>
      </c>
      <c r="BH19" s="19">
        <f>SUM(BI19:BK19)</f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f t="shared" ref="BN19:BN75" si="11">SUM(BO19)</f>
        <v>0</v>
      </c>
      <c r="BO19" s="19">
        <v>0</v>
      </c>
      <c r="BP19" s="19">
        <v>0</v>
      </c>
      <c r="BQ19" s="19">
        <f>SUM(BR19:CB19)</f>
        <v>31822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31822</v>
      </c>
      <c r="CB19" s="19">
        <v>0</v>
      </c>
      <c r="CC19" s="19">
        <f>SUM(CD19+CU19)</f>
        <v>2611926</v>
      </c>
      <c r="CD19" s="19">
        <f>SUM(CE19+CH19+CN19)</f>
        <v>2611926</v>
      </c>
      <c r="CE19" s="19">
        <f t="shared" ref="CE19:CE75" si="12">SUM(CF19:CG19)</f>
        <v>2050000</v>
      </c>
      <c r="CF19" s="19">
        <v>0</v>
      </c>
      <c r="CG19" s="19">
        <v>2050000</v>
      </c>
      <c r="CH19" s="19">
        <f>SUM(CI19:CM19)</f>
        <v>0</v>
      </c>
      <c r="CI19" s="19">
        <f>1025000-1025000</f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f>SUM(CO19:CQ19)</f>
        <v>561926</v>
      </c>
      <c r="CO19" s="19"/>
      <c r="CP19" s="19">
        <v>561926</v>
      </c>
      <c r="CQ19" s="19"/>
      <c r="CR19" s="19"/>
      <c r="CS19" s="19"/>
      <c r="CT19" s="19"/>
      <c r="CU19" s="19">
        <v>0</v>
      </c>
      <c r="CV19" s="74"/>
      <c r="CW19" s="74"/>
      <c r="CX19" s="74"/>
      <c r="CY19" s="74"/>
      <c r="CZ19" s="19">
        <f t="shared" ref="CZ19:CZ75" si="13">SUM(DA19)</f>
        <v>0</v>
      </c>
      <c r="DA19" s="19">
        <f t="shared" ref="DA19:DA75" si="14">SUM(DB19:DC19)</f>
        <v>0</v>
      </c>
      <c r="DB19" s="19">
        <v>0</v>
      </c>
      <c r="DC19" s="20">
        <v>0</v>
      </c>
      <c r="DD19" s="52"/>
    </row>
    <row r="20" spans="1:108" s="58" customFormat="1" ht="31.2" x14ac:dyDescent="0.3">
      <c r="A20" s="93" t="s">
        <v>45</v>
      </c>
      <c r="B20" s="16" t="s">
        <v>1</v>
      </c>
      <c r="C20" s="17" t="s">
        <v>512</v>
      </c>
      <c r="D20" s="18">
        <f>SUM(D21:D23)</f>
        <v>44310735</v>
      </c>
      <c r="E20" s="18">
        <f t="shared" ref="E20:BW20" si="15">SUM(E21:E23)</f>
        <v>44030259</v>
      </c>
      <c r="F20" s="18">
        <f t="shared" si="15"/>
        <v>43048566</v>
      </c>
      <c r="G20" s="18">
        <f t="shared" si="15"/>
        <v>29700527</v>
      </c>
      <c r="H20" s="18">
        <f t="shared" si="15"/>
        <v>7207522</v>
      </c>
      <c r="I20" s="18">
        <f t="shared" si="15"/>
        <v>1550305</v>
      </c>
      <c r="J20" s="18">
        <f t="shared" si="15"/>
        <v>0</v>
      </c>
      <c r="K20" s="18">
        <f t="shared" si="15"/>
        <v>0</v>
      </c>
      <c r="L20" s="18">
        <f t="shared" si="15"/>
        <v>0</v>
      </c>
      <c r="M20" s="18">
        <f t="shared" si="15"/>
        <v>0</v>
      </c>
      <c r="N20" s="18">
        <f t="shared" si="15"/>
        <v>1314345</v>
      </c>
      <c r="O20" s="18">
        <f t="shared" si="15"/>
        <v>235960</v>
      </c>
      <c r="P20" s="18">
        <f t="shared" si="15"/>
        <v>612741</v>
      </c>
      <c r="Q20" s="18">
        <f t="shared" si="15"/>
        <v>0</v>
      </c>
      <c r="R20" s="18">
        <f t="shared" si="15"/>
        <v>612741</v>
      </c>
      <c r="S20" s="18">
        <f t="shared" si="15"/>
        <v>0</v>
      </c>
      <c r="T20" s="18">
        <f t="shared" si="15"/>
        <v>140207</v>
      </c>
      <c r="U20" s="18">
        <f>SUM(U21:U23)</f>
        <v>424704</v>
      </c>
      <c r="V20" s="18">
        <f t="shared" si="15"/>
        <v>71540</v>
      </c>
      <c r="W20" s="18">
        <f t="shared" si="15"/>
        <v>46024</v>
      </c>
      <c r="X20" s="18">
        <f t="shared" si="15"/>
        <v>215972</v>
      </c>
      <c r="Y20" s="18">
        <f t="shared" si="15"/>
        <v>20300</v>
      </c>
      <c r="Z20" s="18">
        <f t="shared" si="15"/>
        <v>6510</v>
      </c>
      <c r="AA20" s="18">
        <f t="shared" si="15"/>
        <v>0</v>
      </c>
      <c r="AB20" s="18">
        <f t="shared" si="15"/>
        <v>0</v>
      </c>
      <c r="AC20" s="18">
        <f t="shared" si="15"/>
        <v>64358</v>
      </c>
      <c r="AD20" s="18">
        <f t="shared" si="15"/>
        <v>3412560</v>
      </c>
      <c r="AE20" s="18">
        <f t="shared" si="15"/>
        <v>50000</v>
      </c>
      <c r="AF20" s="18">
        <f t="shared" si="15"/>
        <v>0</v>
      </c>
      <c r="AG20" s="18">
        <f t="shared" si="15"/>
        <v>52017</v>
      </c>
      <c r="AH20" s="18">
        <f t="shared" si="15"/>
        <v>330</v>
      </c>
      <c r="AI20" s="18">
        <f t="shared" si="15"/>
        <v>0</v>
      </c>
      <c r="AJ20" s="18">
        <f t="shared" si="15"/>
        <v>15500</v>
      </c>
      <c r="AK20" s="18">
        <f t="shared" si="15"/>
        <v>26500</v>
      </c>
      <c r="AL20" s="18">
        <f t="shared" si="15"/>
        <v>1352</v>
      </c>
      <c r="AM20" s="18">
        <f t="shared" si="15"/>
        <v>140713</v>
      </c>
      <c r="AN20" s="18">
        <f t="shared" si="15"/>
        <v>1781236</v>
      </c>
      <c r="AO20" s="18">
        <f t="shared" si="15"/>
        <v>0</v>
      </c>
      <c r="AP20" s="18">
        <f t="shared" si="15"/>
        <v>0</v>
      </c>
      <c r="AQ20" s="18">
        <f t="shared" si="15"/>
        <v>100870</v>
      </c>
      <c r="AR20" s="18">
        <f t="shared" si="15"/>
        <v>51491</v>
      </c>
      <c r="AS20" s="18"/>
      <c r="AT20" s="18"/>
      <c r="AU20" s="18">
        <f t="shared" si="15"/>
        <v>0</v>
      </c>
      <c r="AV20" s="18">
        <f t="shared" si="15"/>
        <v>0</v>
      </c>
      <c r="AW20" s="18">
        <f t="shared" si="15"/>
        <v>100320</v>
      </c>
      <c r="AX20" s="18"/>
      <c r="AY20" s="18">
        <f t="shared" si="15"/>
        <v>1092231</v>
      </c>
      <c r="AZ20" s="18">
        <f t="shared" si="15"/>
        <v>0</v>
      </c>
      <c r="BA20" s="18">
        <f t="shared" si="15"/>
        <v>0</v>
      </c>
      <c r="BB20" s="18">
        <f t="shared" si="15"/>
        <v>0</v>
      </c>
      <c r="BC20" s="18">
        <f t="shared" si="15"/>
        <v>981693</v>
      </c>
      <c r="BD20" s="18">
        <f t="shared" si="15"/>
        <v>0</v>
      </c>
      <c r="BE20" s="18">
        <f t="shared" si="15"/>
        <v>0</v>
      </c>
      <c r="BF20" s="18">
        <f t="shared" si="15"/>
        <v>0</v>
      </c>
      <c r="BG20" s="18">
        <f t="shared" si="15"/>
        <v>0</v>
      </c>
      <c r="BH20" s="18">
        <f t="shared" si="15"/>
        <v>0</v>
      </c>
      <c r="BI20" s="18">
        <f t="shared" si="15"/>
        <v>0</v>
      </c>
      <c r="BJ20" s="18">
        <f t="shared" ref="BJ20" si="16">SUM(BJ21:BJ23)</f>
        <v>0</v>
      </c>
      <c r="BK20" s="18">
        <f t="shared" si="15"/>
        <v>0</v>
      </c>
      <c r="BL20" s="18">
        <f t="shared" si="15"/>
        <v>0</v>
      </c>
      <c r="BM20" s="18">
        <f t="shared" ref="BM20" si="17">SUM(BM21:BM23)</f>
        <v>0</v>
      </c>
      <c r="BN20" s="18">
        <f t="shared" si="15"/>
        <v>0</v>
      </c>
      <c r="BO20" s="18">
        <f t="shared" si="15"/>
        <v>0</v>
      </c>
      <c r="BP20" s="18">
        <f t="shared" ref="BP20" si="18">SUM(BP21:BP23)</f>
        <v>0</v>
      </c>
      <c r="BQ20" s="18">
        <f>SUM(BQ21:BQ23)</f>
        <v>981693</v>
      </c>
      <c r="BR20" s="18">
        <f t="shared" si="15"/>
        <v>0</v>
      </c>
      <c r="BS20" s="18">
        <f t="shared" si="15"/>
        <v>0</v>
      </c>
      <c r="BT20" s="18">
        <f t="shared" si="15"/>
        <v>0</v>
      </c>
      <c r="BU20" s="18">
        <f t="shared" si="15"/>
        <v>0</v>
      </c>
      <c r="BV20" s="18">
        <f t="shared" si="15"/>
        <v>0</v>
      </c>
      <c r="BW20" s="18">
        <f t="shared" si="15"/>
        <v>0</v>
      </c>
      <c r="BX20" s="18">
        <f t="shared" ref="BX20:DC20" si="19">SUM(BX21:BX23)</f>
        <v>0</v>
      </c>
      <c r="BY20" s="18">
        <f t="shared" si="19"/>
        <v>0</v>
      </c>
      <c r="BZ20" s="18">
        <f t="shared" si="19"/>
        <v>0</v>
      </c>
      <c r="CA20" s="18">
        <f t="shared" si="19"/>
        <v>761693</v>
      </c>
      <c r="CB20" s="18">
        <f t="shared" si="19"/>
        <v>220000</v>
      </c>
      <c r="CC20" s="18">
        <f t="shared" si="19"/>
        <v>280476</v>
      </c>
      <c r="CD20" s="18">
        <f t="shared" si="19"/>
        <v>280476</v>
      </c>
      <c r="CE20" s="18">
        <f t="shared" si="19"/>
        <v>280476</v>
      </c>
      <c r="CF20" s="18">
        <f t="shared" si="19"/>
        <v>0</v>
      </c>
      <c r="CG20" s="18">
        <f t="shared" si="19"/>
        <v>280476</v>
      </c>
      <c r="CH20" s="18">
        <f t="shared" si="19"/>
        <v>0</v>
      </c>
      <c r="CI20" s="18">
        <f t="shared" si="19"/>
        <v>0</v>
      </c>
      <c r="CJ20" s="18">
        <f t="shared" ref="CJ20:CK20" si="20">SUM(CJ21:CJ23)</f>
        <v>0</v>
      </c>
      <c r="CK20" s="18">
        <f t="shared" si="20"/>
        <v>0</v>
      </c>
      <c r="CL20" s="18">
        <f t="shared" si="19"/>
        <v>0</v>
      </c>
      <c r="CM20" s="18">
        <f t="shared" ref="CM20" si="21">SUM(CM21:CM23)</f>
        <v>0</v>
      </c>
      <c r="CN20" s="18">
        <f t="shared" si="19"/>
        <v>0</v>
      </c>
      <c r="CO20" s="18">
        <f t="shared" ref="CO20" si="22">SUM(CO21:CO23)</f>
        <v>0</v>
      </c>
      <c r="CP20" s="18">
        <f t="shared" si="19"/>
        <v>0</v>
      </c>
      <c r="CQ20" s="18"/>
      <c r="CR20" s="18"/>
      <c r="CS20" s="18"/>
      <c r="CT20" s="18"/>
      <c r="CU20" s="18">
        <f t="shared" si="19"/>
        <v>0</v>
      </c>
      <c r="CV20" s="73"/>
      <c r="CW20" s="73"/>
      <c r="CX20" s="73"/>
      <c r="CY20" s="73"/>
      <c r="CZ20" s="18">
        <f t="shared" si="19"/>
        <v>0</v>
      </c>
      <c r="DA20" s="18">
        <f t="shared" si="19"/>
        <v>0</v>
      </c>
      <c r="DB20" s="18">
        <f t="shared" si="19"/>
        <v>0</v>
      </c>
      <c r="DC20" s="46">
        <f t="shared" si="19"/>
        <v>0</v>
      </c>
      <c r="DD20" s="57"/>
    </row>
    <row r="21" spans="1:108" s="78" customFormat="1" ht="15.6" x14ac:dyDescent="0.3">
      <c r="A21" s="96" t="s">
        <v>1</v>
      </c>
      <c r="B21" s="71" t="s">
        <v>46</v>
      </c>
      <c r="C21" s="72" t="s">
        <v>47</v>
      </c>
      <c r="D21" s="74">
        <f>SUM(E21+CC21+CZ21)</f>
        <v>30562537</v>
      </c>
      <c r="E21" s="74">
        <f>SUM(F21+BC21)</f>
        <v>30366208</v>
      </c>
      <c r="F21" s="74">
        <f t="shared" ref="F21:F23" si="23">SUM(G21+H21+I21+P21+S21+T21+U21+AD21)</f>
        <v>29615717</v>
      </c>
      <c r="G21" s="74">
        <f>19200000+772500</f>
        <v>19972500</v>
      </c>
      <c r="H21" s="74">
        <f>4597654+257500</f>
        <v>4855154</v>
      </c>
      <c r="I21" s="74">
        <f t="shared" si="9"/>
        <v>998925</v>
      </c>
      <c r="J21" s="76"/>
      <c r="K21" s="76"/>
      <c r="L21" s="76"/>
      <c r="M21" s="76"/>
      <c r="N21" s="75">
        <v>892496</v>
      </c>
      <c r="O21" s="75">
        <v>106429</v>
      </c>
      <c r="P21" s="74">
        <f t="shared" si="10"/>
        <v>600000</v>
      </c>
      <c r="Q21" s="76">
        <v>0</v>
      </c>
      <c r="R21" s="76">
        <f>200000+400000</f>
        <v>600000</v>
      </c>
      <c r="S21" s="76">
        <v>0</v>
      </c>
      <c r="T21" s="75">
        <v>32777</v>
      </c>
      <c r="U21" s="74">
        <f>SUM(V21:AC21)</f>
        <v>120926</v>
      </c>
      <c r="V21" s="75">
        <v>35020</v>
      </c>
      <c r="W21" s="75">
        <f>3480-179</f>
        <v>3301</v>
      </c>
      <c r="X21" s="75">
        <f>65959+14536</f>
        <v>80495</v>
      </c>
      <c r="Y21" s="75">
        <f>1031+145</f>
        <v>1176</v>
      </c>
      <c r="Z21" s="75">
        <v>466</v>
      </c>
      <c r="AA21" s="75">
        <v>0</v>
      </c>
      <c r="AB21" s="75">
        <v>0</v>
      </c>
      <c r="AC21" s="75">
        <f>482-14</f>
        <v>468</v>
      </c>
      <c r="AD21" s="74">
        <f>SUM(AE21:AY21)</f>
        <v>3035435</v>
      </c>
      <c r="AE21" s="76">
        <v>50000</v>
      </c>
      <c r="AF21" s="76">
        <v>0</v>
      </c>
      <c r="AG21" s="75">
        <v>30100</v>
      </c>
      <c r="AH21" s="75">
        <v>0</v>
      </c>
      <c r="AI21" s="75">
        <v>0</v>
      </c>
      <c r="AJ21" s="75">
        <v>15500</v>
      </c>
      <c r="AK21" s="75">
        <v>25000</v>
      </c>
      <c r="AL21" s="75">
        <v>1052</v>
      </c>
      <c r="AM21" s="75">
        <v>136735</v>
      </c>
      <c r="AN21" s="75">
        <f>1260563+400000</f>
        <v>1660563</v>
      </c>
      <c r="AO21" s="75">
        <v>0</v>
      </c>
      <c r="AP21" s="75">
        <v>0</v>
      </c>
      <c r="AQ21" s="75">
        <v>17776</v>
      </c>
      <c r="AR21" s="75">
        <v>16692</v>
      </c>
      <c r="AS21" s="75">
        <v>0</v>
      </c>
      <c r="AT21" s="75">
        <v>0</v>
      </c>
      <c r="AU21" s="75">
        <v>0</v>
      </c>
      <c r="AV21" s="75">
        <v>0</v>
      </c>
      <c r="AW21" s="75">
        <v>0</v>
      </c>
      <c r="AX21" s="75">
        <v>0</v>
      </c>
      <c r="AY21" s="75">
        <v>1082017</v>
      </c>
      <c r="AZ21" s="75"/>
      <c r="BA21" s="75"/>
      <c r="BB21" s="75"/>
      <c r="BC21" s="74">
        <f>SUM(BD21+BH21+BL21+BN21+BQ21)</f>
        <v>750491</v>
      </c>
      <c r="BD21" s="74">
        <f>SUM(BE21:BG21)</f>
        <v>0</v>
      </c>
      <c r="BE21" s="74">
        <v>0</v>
      </c>
      <c r="BF21" s="74">
        <v>0</v>
      </c>
      <c r="BG21" s="74">
        <v>0</v>
      </c>
      <c r="BH21" s="74">
        <f t="shared" ref="BH21:BH22" si="24">SUM(BI21:BK21)</f>
        <v>0</v>
      </c>
      <c r="BI21" s="74">
        <v>0</v>
      </c>
      <c r="BJ21" s="74">
        <v>0</v>
      </c>
      <c r="BK21" s="74">
        <v>0</v>
      </c>
      <c r="BL21" s="74">
        <v>0</v>
      </c>
      <c r="BM21" s="74">
        <v>0</v>
      </c>
      <c r="BN21" s="74">
        <f t="shared" si="11"/>
        <v>0</v>
      </c>
      <c r="BO21" s="74">
        <v>0</v>
      </c>
      <c r="BP21" s="74">
        <v>0</v>
      </c>
      <c r="BQ21" s="74">
        <f>SUM(BR21:CB21)</f>
        <v>750491</v>
      </c>
      <c r="BR21" s="74">
        <v>0</v>
      </c>
      <c r="BS21" s="74">
        <v>0</v>
      </c>
      <c r="BT21" s="74">
        <v>0</v>
      </c>
      <c r="BU21" s="74">
        <v>0</v>
      </c>
      <c r="BV21" s="74">
        <v>0</v>
      </c>
      <c r="BW21" s="74">
        <v>0</v>
      </c>
      <c r="BX21" s="74">
        <v>0</v>
      </c>
      <c r="BY21" s="74">
        <v>0</v>
      </c>
      <c r="BZ21" s="74">
        <v>0</v>
      </c>
      <c r="CA21" s="75">
        <f>1550491-800000</f>
        <v>750491</v>
      </c>
      <c r="CB21" s="74"/>
      <c r="CC21" s="74">
        <f>SUM(CD21+CU21)</f>
        <v>196329</v>
      </c>
      <c r="CD21" s="74">
        <f>SUM(CE21+CH21+CN21)</f>
        <v>196329</v>
      </c>
      <c r="CE21" s="74">
        <f t="shared" si="12"/>
        <v>196329</v>
      </c>
      <c r="CF21" s="74">
        <v>0</v>
      </c>
      <c r="CG21" s="75">
        <v>196329</v>
      </c>
      <c r="CH21" s="74">
        <f t="shared" ref="CH21:CH23" si="25">SUM(CI21:CM21)</f>
        <v>0</v>
      </c>
      <c r="CI21" s="75">
        <f>724500-724500</f>
        <v>0</v>
      </c>
      <c r="CJ21" s="75"/>
      <c r="CK21" s="74">
        <v>0</v>
      </c>
      <c r="CL21" s="74">
        <v>0</v>
      </c>
      <c r="CM21" s="74">
        <v>0</v>
      </c>
      <c r="CN21" s="74">
        <f>SUM(CO21:CQ21)</f>
        <v>0</v>
      </c>
      <c r="CO21" s="74">
        <v>0</v>
      </c>
      <c r="CP21" s="74">
        <v>0</v>
      </c>
      <c r="CQ21" s="74"/>
      <c r="CR21" s="74"/>
      <c r="CS21" s="74"/>
      <c r="CT21" s="74"/>
      <c r="CU21" s="74">
        <v>0</v>
      </c>
      <c r="CV21" s="74"/>
      <c r="CW21" s="74"/>
      <c r="CX21" s="74"/>
      <c r="CY21" s="74"/>
      <c r="CZ21" s="74">
        <f t="shared" si="13"/>
        <v>0</v>
      </c>
      <c r="DA21" s="74">
        <f t="shared" si="14"/>
        <v>0</v>
      </c>
      <c r="DB21" s="74">
        <v>0</v>
      </c>
      <c r="DC21" s="77">
        <v>0</v>
      </c>
    </row>
    <row r="22" spans="1:108" s="78" customFormat="1" ht="15.6" x14ac:dyDescent="0.3">
      <c r="A22" s="96" t="s">
        <v>1</v>
      </c>
      <c r="B22" s="71" t="s">
        <v>48</v>
      </c>
      <c r="C22" s="72" t="s">
        <v>448</v>
      </c>
      <c r="D22" s="74">
        <f>SUM(E22+CC22+CZ22)</f>
        <v>11719813</v>
      </c>
      <c r="E22" s="74">
        <f>SUM(F22+BC22)</f>
        <v>11640680</v>
      </c>
      <c r="F22" s="74">
        <f t="shared" si="23"/>
        <v>11413405</v>
      </c>
      <c r="G22" s="74">
        <v>8302554</v>
      </c>
      <c r="H22" s="74">
        <v>2019920</v>
      </c>
      <c r="I22" s="74">
        <f t="shared" si="9"/>
        <v>443817</v>
      </c>
      <c r="J22" s="76"/>
      <c r="K22" s="76"/>
      <c r="L22" s="76"/>
      <c r="M22" s="76"/>
      <c r="N22" s="75">
        <v>343697</v>
      </c>
      <c r="O22" s="75">
        <v>100120</v>
      </c>
      <c r="P22" s="74">
        <f t="shared" si="10"/>
        <v>0</v>
      </c>
      <c r="Q22" s="76">
        <v>0</v>
      </c>
      <c r="R22" s="76">
        <v>0</v>
      </c>
      <c r="S22" s="76">
        <v>0</v>
      </c>
      <c r="T22" s="75">
        <f>56830+13170</f>
        <v>70000</v>
      </c>
      <c r="U22" s="74">
        <f>SUM(V22:AC22)</f>
        <v>262076</v>
      </c>
      <c r="V22" s="75">
        <f>44500-7980</f>
        <v>36520</v>
      </c>
      <c r="W22" s="75">
        <f>23726+6592</f>
        <v>30318</v>
      </c>
      <c r="X22" s="75">
        <f>77414+31838</f>
        <v>109252</v>
      </c>
      <c r="Y22" s="75">
        <f>10963+5089</f>
        <v>16052</v>
      </c>
      <c r="Z22" s="75">
        <f>5805+239</f>
        <v>6044</v>
      </c>
      <c r="AA22" s="75">
        <v>0</v>
      </c>
      <c r="AB22" s="75">
        <v>0</v>
      </c>
      <c r="AC22" s="75">
        <f>50181+13709</f>
        <v>63890</v>
      </c>
      <c r="AD22" s="74">
        <f>SUM(AE22:AY22)</f>
        <v>315038</v>
      </c>
      <c r="AE22" s="76">
        <v>0</v>
      </c>
      <c r="AF22" s="76">
        <v>0</v>
      </c>
      <c r="AG22" s="75">
        <v>14630</v>
      </c>
      <c r="AH22" s="75">
        <v>330</v>
      </c>
      <c r="AI22" s="75">
        <v>0</v>
      </c>
      <c r="AJ22" s="75">
        <f>4479-4479</f>
        <v>0</v>
      </c>
      <c r="AK22" s="75">
        <v>1500</v>
      </c>
      <c r="AL22" s="75">
        <f>1250-950</f>
        <v>300</v>
      </c>
      <c r="AM22" s="75">
        <v>0</v>
      </c>
      <c r="AN22" s="75">
        <v>103060</v>
      </c>
      <c r="AO22" s="75">
        <v>0</v>
      </c>
      <c r="AP22" s="75">
        <v>0</v>
      </c>
      <c r="AQ22" s="75">
        <v>54135</v>
      </c>
      <c r="AR22" s="75">
        <v>34799</v>
      </c>
      <c r="AS22" s="75">
        <v>0</v>
      </c>
      <c r="AT22" s="75">
        <v>0</v>
      </c>
      <c r="AU22" s="75">
        <v>0</v>
      </c>
      <c r="AV22" s="75">
        <v>0</v>
      </c>
      <c r="AW22" s="75">
        <v>100320</v>
      </c>
      <c r="AX22" s="75">
        <v>0</v>
      </c>
      <c r="AY22" s="75">
        <v>5964</v>
      </c>
      <c r="AZ22" s="75"/>
      <c r="BA22" s="75"/>
      <c r="BB22" s="75"/>
      <c r="BC22" s="74">
        <f>SUM(BD22+BH22+BL22+BN22+BQ22)</f>
        <v>227275</v>
      </c>
      <c r="BD22" s="74">
        <f>SUM(BE22:BG22)</f>
        <v>0</v>
      </c>
      <c r="BE22" s="74">
        <v>0</v>
      </c>
      <c r="BF22" s="74">
        <v>0</v>
      </c>
      <c r="BG22" s="74">
        <v>0</v>
      </c>
      <c r="BH22" s="74">
        <f t="shared" si="24"/>
        <v>0</v>
      </c>
      <c r="BI22" s="74">
        <v>0</v>
      </c>
      <c r="BJ22" s="74">
        <v>0</v>
      </c>
      <c r="BK22" s="74">
        <v>0</v>
      </c>
      <c r="BL22" s="74">
        <v>0</v>
      </c>
      <c r="BM22" s="74">
        <v>0</v>
      </c>
      <c r="BN22" s="74">
        <f t="shared" si="11"/>
        <v>0</v>
      </c>
      <c r="BO22" s="74">
        <v>0</v>
      </c>
      <c r="BP22" s="74">
        <v>0</v>
      </c>
      <c r="BQ22" s="74">
        <f>SUM(BR22:CB22)</f>
        <v>227275</v>
      </c>
      <c r="BR22" s="74">
        <v>0</v>
      </c>
      <c r="BS22" s="74">
        <v>0</v>
      </c>
      <c r="BT22" s="74">
        <v>0</v>
      </c>
      <c r="BU22" s="74">
        <v>0</v>
      </c>
      <c r="BV22" s="74">
        <v>0</v>
      </c>
      <c r="BW22" s="74">
        <v>0</v>
      </c>
      <c r="BX22" s="74">
        <v>0</v>
      </c>
      <c r="BY22" s="74">
        <v>0</v>
      </c>
      <c r="BZ22" s="74">
        <v>0</v>
      </c>
      <c r="CA22" s="75">
        <v>7275</v>
      </c>
      <c r="CB22" s="74">
        <v>220000</v>
      </c>
      <c r="CC22" s="74">
        <f>SUM(CD22+CU22)</f>
        <v>79133</v>
      </c>
      <c r="CD22" s="74">
        <f>SUM(CE22+CH22+CN22)</f>
        <v>79133</v>
      </c>
      <c r="CE22" s="74">
        <f t="shared" si="12"/>
        <v>79133</v>
      </c>
      <c r="CF22" s="74">
        <v>0</v>
      </c>
      <c r="CG22" s="75">
        <v>79133</v>
      </c>
      <c r="CH22" s="74">
        <f t="shared" si="25"/>
        <v>0</v>
      </c>
      <c r="CI22" s="75"/>
      <c r="CJ22" s="75"/>
      <c r="CK22" s="74">
        <v>0</v>
      </c>
      <c r="CL22" s="74">
        <v>0</v>
      </c>
      <c r="CM22" s="74">
        <v>0</v>
      </c>
      <c r="CN22" s="74">
        <f>SUM(CO22:CQ22)</f>
        <v>0</v>
      </c>
      <c r="CO22" s="74">
        <v>0</v>
      </c>
      <c r="CP22" s="74"/>
      <c r="CQ22" s="74"/>
      <c r="CR22" s="74"/>
      <c r="CS22" s="74"/>
      <c r="CT22" s="74"/>
      <c r="CU22" s="74">
        <v>0</v>
      </c>
      <c r="CV22" s="74"/>
      <c r="CW22" s="74"/>
      <c r="CX22" s="74"/>
      <c r="CY22" s="74"/>
      <c r="CZ22" s="74">
        <f t="shared" si="13"/>
        <v>0</v>
      </c>
      <c r="DA22" s="74">
        <f t="shared" si="14"/>
        <v>0</v>
      </c>
      <c r="DB22" s="74">
        <v>0</v>
      </c>
      <c r="DC22" s="77">
        <v>0</v>
      </c>
    </row>
    <row r="23" spans="1:108" ht="31.2" x14ac:dyDescent="0.3">
      <c r="A23" s="94" t="s">
        <v>1</v>
      </c>
      <c r="B23" s="21" t="s">
        <v>49</v>
      </c>
      <c r="C23" s="22" t="s">
        <v>50</v>
      </c>
      <c r="D23" s="19">
        <f>SUM(E23+CC23+CZ23)</f>
        <v>2028385</v>
      </c>
      <c r="E23" s="19">
        <f>SUM(F23+BC23)</f>
        <v>2023371</v>
      </c>
      <c r="F23" s="19">
        <f t="shared" si="23"/>
        <v>2019444</v>
      </c>
      <c r="G23" s="19">
        <v>1425473</v>
      </c>
      <c r="H23" s="19">
        <v>332448</v>
      </c>
      <c r="I23" s="19">
        <f t="shared" si="9"/>
        <v>107563</v>
      </c>
      <c r="J23" s="24"/>
      <c r="K23" s="24"/>
      <c r="L23" s="24"/>
      <c r="M23" s="24"/>
      <c r="N23" s="23">
        <v>78152</v>
      </c>
      <c r="O23" s="23">
        <v>29411</v>
      </c>
      <c r="P23" s="19">
        <f t="shared" si="10"/>
        <v>12741</v>
      </c>
      <c r="Q23" s="24">
        <v>0</v>
      </c>
      <c r="R23" s="24">
        <v>12741</v>
      </c>
      <c r="S23" s="24">
        <v>0</v>
      </c>
      <c r="T23" s="23">
        <v>37430</v>
      </c>
      <c r="U23" s="19">
        <f>SUM(V23:AC23)</f>
        <v>41702</v>
      </c>
      <c r="V23" s="23">
        <v>0</v>
      </c>
      <c r="W23" s="23">
        <f>9893+2512</f>
        <v>12405</v>
      </c>
      <c r="X23" s="23">
        <f>17833+8392</f>
        <v>26225</v>
      </c>
      <c r="Y23" s="23">
        <f>2061+1011</f>
        <v>3072</v>
      </c>
      <c r="Z23" s="23">
        <v>0</v>
      </c>
      <c r="AA23" s="23">
        <v>0</v>
      </c>
      <c r="AB23" s="23">
        <v>0</v>
      </c>
      <c r="AC23" s="23">
        <v>0</v>
      </c>
      <c r="AD23" s="19">
        <f>SUM(AE23:AY23)</f>
        <v>62087</v>
      </c>
      <c r="AE23" s="24">
        <v>0</v>
      </c>
      <c r="AF23" s="24">
        <v>0</v>
      </c>
      <c r="AG23" s="23">
        <v>7287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3978</v>
      </c>
      <c r="AN23" s="23">
        <v>17613</v>
      </c>
      <c r="AO23" s="23">
        <v>0</v>
      </c>
      <c r="AP23" s="23">
        <v>0</v>
      </c>
      <c r="AQ23" s="23">
        <v>28959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4250</v>
      </c>
      <c r="AZ23" s="23"/>
      <c r="BA23" s="23"/>
      <c r="BB23" s="23"/>
      <c r="BC23" s="19">
        <f>SUM(BD23+BH23+BL23+BN23+BQ23)</f>
        <v>3927</v>
      </c>
      <c r="BD23" s="19">
        <f>SUM(BE23:BG23)</f>
        <v>0</v>
      </c>
      <c r="BE23" s="19">
        <v>0</v>
      </c>
      <c r="BF23" s="19">
        <v>0</v>
      </c>
      <c r="BG23" s="19">
        <v>0</v>
      </c>
      <c r="BH23" s="19">
        <f>SUM(BI23:BK23)</f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f t="shared" si="11"/>
        <v>0</v>
      </c>
      <c r="BO23" s="19">
        <v>0</v>
      </c>
      <c r="BP23" s="19">
        <v>0</v>
      </c>
      <c r="BQ23" s="19">
        <f>SUM(BR23:CB23)</f>
        <v>3927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23">
        <v>3927</v>
      </c>
      <c r="CB23" s="19"/>
      <c r="CC23" s="19">
        <f>SUM(CD23+CU23)</f>
        <v>5014</v>
      </c>
      <c r="CD23" s="19">
        <f>SUM(CE23+CH23+CN23)</f>
        <v>5014</v>
      </c>
      <c r="CE23" s="19">
        <f t="shared" si="12"/>
        <v>5014</v>
      </c>
      <c r="CF23" s="19">
        <v>0</v>
      </c>
      <c r="CG23" s="23">
        <v>5014</v>
      </c>
      <c r="CH23" s="19">
        <f t="shared" si="25"/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f>SUM(CO23:CQ23)</f>
        <v>0</v>
      </c>
      <c r="CO23" s="19">
        <v>0</v>
      </c>
      <c r="CP23" s="19">
        <v>0</v>
      </c>
      <c r="CQ23" s="19"/>
      <c r="CR23" s="19"/>
      <c r="CS23" s="19"/>
      <c r="CT23" s="19"/>
      <c r="CU23" s="19">
        <v>0</v>
      </c>
      <c r="CV23" s="74"/>
      <c r="CW23" s="74"/>
      <c r="CX23" s="74"/>
      <c r="CY23" s="74"/>
      <c r="CZ23" s="19">
        <f t="shared" si="13"/>
        <v>0</v>
      </c>
      <c r="DA23" s="19">
        <f t="shared" si="14"/>
        <v>0</v>
      </c>
      <c r="DB23" s="19">
        <v>0</v>
      </c>
      <c r="DC23" s="20">
        <v>0</v>
      </c>
      <c r="DD23" s="52"/>
    </row>
    <row r="24" spans="1:108" s="58" customFormat="1" ht="31.2" x14ac:dyDescent="0.3">
      <c r="A24" s="93" t="s">
        <v>51</v>
      </c>
      <c r="B24" s="16" t="s">
        <v>1</v>
      </c>
      <c r="C24" s="17" t="s">
        <v>511</v>
      </c>
      <c r="D24" s="18">
        <f t="shared" ref="D24:AR24" si="26">SUM(D25:D37)</f>
        <v>105752569</v>
      </c>
      <c r="E24" s="18">
        <f t="shared" si="26"/>
        <v>105533000</v>
      </c>
      <c r="F24" s="18">
        <f t="shared" si="26"/>
        <v>105260847</v>
      </c>
      <c r="G24" s="18">
        <f t="shared" si="26"/>
        <v>73961634</v>
      </c>
      <c r="H24" s="18">
        <f t="shared" si="26"/>
        <v>17755973</v>
      </c>
      <c r="I24" s="18">
        <f t="shared" si="26"/>
        <v>3232047</v>
      </c>
      <c r="J24" s="18">
        <f t="shared" si="26"/>
        <v>0</v>
      </c>
      <c r="K24" s="18">
        <f t="shared" si="26"/>
        <v>0</v>
      </c>
      <c r="L24" s="18">
        <f t="shared" si="26"/>
        <v>0</v>
      </c>
      <c r="M24" s="18">
        <f t="shared" si="26"/>
        <v>0</v>
      </c>
      <c r="N24" s="18">
        <f t="shared" si="26"/>
        <v>2401087</v>
      </c>
      <c r="O24" s="18">
        <f t="shared" si="26"/>
        <v>830960</v>
      </c>
      <c r="P24" s="18">
        <f t="shared" si="26"/>
        <v>682518</v>
      </c>
      <c r="Q24" s="18">
        <f t="shared" si="26"/>
        <v>0</v>
      </c>
      <c r="R24" s="18">
        <f t="shared" si="26"/>
        <v>682518</v>
      </c>
      <c r="S24" s="18">
        <f t="shared" si="26"/>
        <v>0</v>
      </c>
      <c r="T24" s="18">
        <f t="shared" si="26"/>
        <v>1814465</v>
      </c>
      <c r="U24" s="18">
        <f t="shared" si="26"/>
        <v>3707240</v>
      </c>
      <c r="V24" s="18">
        <f t="shared" si="26"/>
        <v>246653</v>
      </c>
      <c r="W24" s="18">
        <f t="shared" si="26"/>
        <v>1553751</v>
      </c>
      <c r="X24" s="18">
        <f t="shared" si="26"/>
        <v>1533801</v>
      </c>
      <c r="Y24" s="18">
        <f t="shared" si="26"/>
        <v>147857</v>
      </c>
      <c r="Z24" s="18">
        <f t="shared" si="26"/>
        <v>54024</v>
      </c>
      <c r="AA24" s="18">
        <f t="shared" si="26"/>
        <v>3201</v>
      </c>
      <c r="AB24" s="18">
        <f t="shared" si="26"/>
        <v>0</v>
      </c>
      <c r="AC24" s="18">
        <f t="shared" si="26"/>
        <v>167953</v>
      </c>
      <c r="AD24" s="18">
        <f t="shared" si="26"/>
        <v>4106970</v>
      </c>
      <c r="AE24" s="18">
        <f t="shared" si="26"/>
        <v>0</v>
      </c>
      <c r="AF24" s="18">
        <f t="shared" si="26"/>
        <v>0</v>
      </c>
      <c r="AG24" s="18">
        <f t="shared" si="26"/>
        <v>137374</v>
      </c>
      <c r="AH24" s="18">
        <f t="shared" si="26"/>
        <v>26040</v>
      </c>
      <c r="AI24" s="18">
        <f t="shared" si="26"/>
        <v>0</v>
      </c>
      <c r="AJ24" s="18">
        <f t="shared" si="26"/>
        <v>11504</v>
      </c>
      <c r="AK24" s="18">
        <f t="shared" si="26"/>
        <v>0</v>
      </c>
      <c r="AL24" s="18">
        <f t="shared" si="26"/>
        <v>77956</v>
      </c>
      <c r="AM24" s="18">
        <f t="shared" si="26"/>
        <v>104519</v>
      </c>
      <c r="AN24" s="18">
        <f t="shared" si="26"/>
        <v>520020</v>
      </c>
      <c r="AO24" s="18">
        <f t="shared" si="26"/>
        <v>0</v>
      </c>
      <c r="AP24" s="18">
        <f t="shared" si="26"/>
        <v>0</v>
      </c>
      <c r="AQ24" s="18">
        <f t="shared" si="26"/>
        <v>697623</v>
      </c>
      <c r="AR24" s="18">
        <f t="shared" si="26"/>
        <v>339558</v>
      </c>
      <c r="AS24" s="18"/>
      <c r="AT24" s="18"/>
      <c r="AU24" s="18">
        <f t="shared" ref="AU24:CP24" si="27">SUM(AU25:AU37)</f>
        <v>0</v>
      </c>
      <c r="AV24" s="18">
        <f t="shared" si="27"/>
        <v>0</v>
      </c>
      <c r="AW24" s="18">
        <f t="shared" si="27"/>
        <v>1844618</v>
      </c>
      <c r="AX24" s="18">
        <f t="shared" si="27"/>
        <v>179961</v>
      </c>
      <c r="AY24" s="18">
        <f t="shared" si="27"/>
        <v>167797</v>
      </c>
      <c r="AZ24" s="18">
        <f t="shared" si="27"/>
        <v>0</v>
      </c>
      <c r="BA24" s="18">
        <f t="shared" si="27"/>
        <v>0</v>
      </c>
      <c r="BB24" s="18">
        <f t="shared" si="27"/>
        <v>0</v>
      </c>
      <c r="BC24" s="18">
        <f t="shared" si="27"/>
        <v>272153</v>
      </c>
      <c r="BD24" s="18">
        <f t="shared" si="27"/>
        <v>0</v>
      </c>
      <c r="BE24" s="18">
        <f t="shared" si="27"/>
        <v>0</v>
      </c>
      <c r="BF24" s="18">
        <f t="shared" si="27"/>
        <v>0</v>
      </c>
      <c r="BG24" s="18">
        <f t="shared" si="27"/>
        <v>0</v>
      </c>
      <c r="BH24" s="18">
        <f t="shared" si="27"/>
        <v>0</v>
      </c>
      <c r="BI24" s="18">
        <f t="shared" si="27"/>
        <v>0</v>
      </c>
      <c r="BJ24" s="18">
        <f t="shared" ref="BJ24" si="28">SUM(BJ25:BJ37)</f>
        <v>0</v>
      </c>
      <c r="BK24" s="18">
        <f t="shared" si="27"/>
        <v>0</v>
      </c>
      <c r="BL24" s="18">
        <f t="shared" si="27"/>
        <v>0</v>
      </c>
      <c r="BM24" s="18">
        <f t="shared" ref="BM24" si="29">SUM(BM25:BM37)</f>
        <v>0</v>
      </c>
      <c r="BN24" s="18">
        <f t="shared" si="27"/>
        <v>0</v>
      </c>
      <c r="BO24" s="18">
        <f t="shared" si="27"/>
        <v>0</v>
      </c>
      <c r="BP24" s="18">
        <f t="shared" si="27"/>
        <v>0</v>
      </c>
      <c r="BQ24" s="18">
        <f t="shared" si="27"/>
        <v>272153</v>
      </c>
      <c r="BR24" s="18">
        <f t="shared" si="27"/>
        <v>0</v>
      </c>
      <c r="BS24" s="18">
        <f t="shared" si="27"/>
        <v>0</v>
      </c>
      <c r="BT24" s="18">
        <f t="shared" si="27"/>
        <v>10670</v>
      </c>
      <c r="BU24" s="18">
        <f t="shared" si="27"/>
        <v>0</v>
      </c>
      <c r="BV24" s="18">
        <f t="shared" si="27"/>
        <v>0</v>
      </c>
      <c r="BW24" s="18">
        <f t="shared" si="27"/>
        <v>0</v>
      </c>
      <c r="BX24" s="18">
        <f t="shared" si="27"/>
        <v>0</v>
      </c>
      <c r="BY24" s="18">
        <f t="shared" si="27"/>
        <v>0</v>
      </c>
      <c r="BZ24" s="18">
        <f t="shared" si="27"/>
        <v>0</v>
      </c>
      <c r="CA24" s="18">
        <f t="shared" si="27"/>
        <v>261483</v>
      </c>
      <c r="CB24" s="18">
        <f t="shared" si="27"/>
        <v>0</v>
      </c>
      <c r="CC24" s="18">
        <f t="shared" si="27"/>
        <v>219569</v>
      </c>
      <c r="CD24" s="18">
        <f t="shared" si="27"/>
        <v>219569</v>
      </c>
      <c r="CE24" s="18">
        <f t="shared" si="27"/>
        <v>219569</v>
      </c>
      <c r="CF24" s="18">
        <f t="shared" si="27"/>
        <v>0</v>
      </c>
      <c r="CG24" s="18">
        <f t="shared" si="27"/>
        <v>219569</v>
      </c>
      <c r="CH24" s="18">
        <f t="shared" si="27"/>
        <v>0</v>
      </c>
      <c r="CI24" s="18">
        <f t="shared" si="27"/>
        <v>0</v>
      </c>
      <c r="CJ24" s="18">
        <f t="shared" si="27"/>
        <v>0</v>
      </c>
      <c r="CK24" s="18">
        <f t="shared" si="27"/>
        <v>0</v>
      </c>
      <c r="CL24" s="18">
        <f t="shared" si="27"/>
        <v>0</v>
      </c>
      <c r="CM24" s="18">
        <f t="shared" ref="CM24" si="30">SUM(CM25:CM37)</f>
        <v>0</v>
      </c>
      <c r="CN24" s="18">
        <f t="shared" si="27"/>
        <v>0</v>
      </c>
      <c r="CO24" s="18">
        <f t="shared" si="27"/>
        <v>0</v>
      </c>
      <c r="CP24" s="18">
        <f t="shared" si="27"/>
        <v>0</v>
      </c>
      <c r="CQ24" s="18"/>
      <c r="CR24" s="18"/>
      <c r="CS24" s="18"/>
      <c r="CT24" s="18"/>
      <c r="CU24" s="18">
        <f t="shared" ref="CU24:DC24" si="31">SUM(CU25:CU37)</f>
        <v>0</v>
      </c>
      <c r="CV24" s="73"/>
      <c r="CW24" s="73"/>
      <c r="CX24" s="73"/>
      <c r="CY24" s="73"/>
      <c r="CZ24" s="18">
        <f t="shared" si="31"/>
        <v>0</v>
      </c>
      <c r="DA24" s="18">
        <f t="shared" si="31"/>
        <v>0</v>
      </c>
      <c r="DB24" s="18">
        <f t="shared" si="31"/>
        <v>0</v>
      </c>
      <c r="DC24" s="46">
        <f t="shared" si="31"/>
        <v>0</v>
      </c>
      <c r="DD24" s="57"/>
    </row>
    <row r="25" spans="1:108" s="78" customFormat="1" ht="31.2" x14ac:dyDescent="0.3">
      <c r="A25" s="96" t="s">
        <v>1</v>
      </c>
      <c r="B25" s="71" t="s">
        <v>52</v>
      </c>
      <c r="C25" s="72" t="s">
        <v>53</v>
      </c>
      <c r="D25" s="74">
        <f t="shared" ref="D25:D37" si="32">SUM(E25+CC25+CZ25)</f>
        <v>25455747</v>
      </c>
      <c r="E25" s="74">
        <f t="shared" ref="E25:E37" si="33">SUM(F25+BC25)</f>
        <v>25429578</v>
      </c>
      <c r="F25" s="74">
        <f t="shared" ref="F25:F36" si="34">SUM(G25+H25+I25+P25+S25+T25+U25+AD25)</f>
        <v>25429578</v>
      </c>
      <c r="G25" s="74">
        <v>18177072</v>
      </c>
      <c r="H25" s="74">
        <v>4342966</v>
      </c>
      <c r="I25" s="74">
        <f t="shared" si="9"/>
        <v>1001754</v>
      </c>
      <c r="J25" s="75">
        <v>0</v>
      </c>
      <c r="K25" s="75">
        <v>0</v>
      </c>
      <c r="L25" s="75">
        <v>0</v>
      </c>
      <c r="M25" s="75">
        <v>0</v>
      </c>
      <c r="N25" s="75">
        <v>887585</v>
      </c>
      <c r="O25" s="75">
        <v>114169</v>
      </c>
      <c r="P25" s="74">
        <f t="shared" si="10"/>
        <v>0</v>
      </c>
      <c r="Q25" s="75">
        <v>0</v>
      </c>
      <c r="R25" s="75">
        <v>0</v>
      </c>
      <c r="S25" s="75">
        <v>0</v>
      </c>
      <c r="T25" s="75">
        <v>224131</v>
      </c>
      <c r="U25" s="74">
        <f t="shared" ref="U25:U37" si="35">SUM(V25:AC25)</f>
        <v>804860</v>
      </c>
      <c r="V25" s="75">
        <v>43194</v>
      </c>
      <c r="W25" s="75">
        <f>146271+42786</f>
        <v>189057</v>
      </c>
      <c r="X25" s="75">
        <f>326221+149104</f>
        <v>475325</v>
      </c>
      <c r="Y25" s="75">
        <f>32715+9762</f>
        <v>42477</v>
      </c>
      <c r="Z25" s="75">
        <v>15602</v>
      </c>
      <c r="AA25" s="75">
        <v>1</v>
      </c>
      <c r="AB25" s="75">
        <v>0</v>
      </c>
      <c r="AC25" s="75">
        <f>29312+9892</f>
        <v>39204</v>
      </c>
      <c r="AD25" s="74">
        <f t="shared" ref="AD25:AD37" si="36">SUM(AE25:AY25)</f>
        <v>878795</v>
      </c>
      <c r="AE25" s="74">
        <v>0</v>
      </c>
      <c r="AF25" s="76">
        <v>0</v>
      </c>
      <c r="AG25" s="75">
        <v>43065</v>
      </c>
      <c r="AH25" s="75">
        <v>15000</v>
      </c>
      <c r="AI25" s="75">
        <v>0</v>
      </c>
      <c r="AJ25" s="75">
        <v>1060</v>
      </c>
      <c r="AK25" s="75">
        <v>0</v>
      </c>
      <c r="AL25" s="75">
        <v>77356</v>
      </c>
      <c r="AM25" s="75">
        <v>65029</v>
      </c>
      <c r="AN25" s="75">
        <v>45674</v>
      </c>
      <c r="AO25" s="75">
        <v>0</v>
      </c>
      <c r="AP25" s="75">
        <v>0</v>
      </c>
      <c r="AQ25" s="75">
        <v>282112</v>
      </c>
      <c r="AR25" s="75">
        <v>7186</v>
      </c>
      <c r="AS25" s="75">
        <v>0</v>
      </c>
      <c r="AT25" s="75">
        <v>0</v>
      </c>
      <c r="AU25" s="75">
        <v>0</v>
      </c>
      <c r="AV25" s="75">
        <v>0</v>
      </c>
      <c r="AW25" s="75">
        <v>338180</v>
      </c>
      <c r="AX25" s="75">
        <v>0</v>
      </c>
      <c r="AY25" s="75">
        <v>4133</v>
      </c>
      <c r="AZ25" s="75"/>
      <c r="BA25" s="75"/>
      <c r="BB25" s="75"/>
      <c r="BC25" s="74">
        <f t="shared" ref="BC25:BC37" si="37">SUM(BD25+BH25+BL25+BN25+BQ25)</f>
        <v>0</v>
      </c>
      <c r="BD25" s="74">
        <f t="shared" ref="BD25:BD37" si="38">SUM(BE25:BG25)</f>
        <v>0</v>
      </c>
      <c r="BE25" s="74">
        <v>0</v>
      </c>
      <c r="BF25" s="74">
        <v>0</v>
      </c>
      <c r="BG25" s="74">
        <v>0</v>
      </c>
      <c r="BH25" s="74">
        <f t="shared" ref="BH25:BH37" si="39">SUM(BI25:BK25)</f>
        <v>0</v>
      </c>
      <c r="BI25" s="74">
        <v>0</v>
      </c>
      <c r="BJ25" s="74">
        <v>0</v>
      </c>
      <c r="BK25" s="74">
        <v>0</v>
      </c>
      <c r="BL25" s="74">
        <v>0</v>
      </c>
      <c r="BM25" s="74">
        <v>0</v>
      </c>
      <c r="BN25" s="74">
        <f t="shared" si="11"/>
        <v>0</v>
      </c>
      <c r="BO25" s="74">
        <v>0</v>
      </c>
      <c r="BP25" s="74">
        <v>0</v>
      </c>
      <c r="BQ25" s="74">
        <f t="shared" ref="BQ25:BQ37" si="40">SUM(BR25:CB25)</f>
        <v>0</v>
      </c>
      <c r="BR25" s="74">
        <v>0</v>
      </c>
      <c r="BS25" s="74">
        <v>0</v>
      </c>
      <c r="BT25" s="74">
        <v>0</v>
      </c>
      <c r="BU25" s="74">
        <v>0</v>
      </c>
      <c r="BV25" s="74">
        <v>0</v>
      </c>
      <c r="BW25" s="74">
        <v>0</v>
      </c>
      <c r="BX25" s="74">
        <v>0</v>
      </c>
      <c r="BY25" s="74">
        <v>0</v>
      </c>
      <c r="BZ25" s="74">
        <v>0</v>
      </c>
      <c r="CA25" s="75">
        <v>0</v>
      </c>
      <c r="CB25" s="75">
        <v>0</v>
      </c>
      <c r="CC25" s="74">
        <f t="shared" ref="CC25:CC37" si="41">SUM(CD25+CU25)</f>
        <v>26169</v>
      </c>
      <c r="CD25" s="74">
        <f t="shared" ref="CD25:CD37" si="42">SUM(CE25+CH25+CN25)</f>
        <v>26169</v>
      </c>
      <c r="CE25" s="74">
        <f t="shared" si="12"/>
        <v>26169</v>
      </c>
      <c r="CF25" s="74">
        <v>0</v>
      </c>
      <c r="CG25" s="75">
        <v>26169</v>
      </c>
      <c r="CH25" s="74">
        <f t="shared" ref="CH25:CH37" si="43">SUM(CI25:CM25)</f>
        <v>0</v>
      </c>
      <c r="CI25" s="74">
        <v>0</v>
      </c>
      <c r="CJ25" s="74">
        <v>0</v>
      </c>
      <c r="CK25" s="74">
        <v>0</v>
      </c>
      <c r="CL25" s="74">
        <v>0</v>
      </c>
      <c r="CM25" s="74">
        <v>0</v>
      </c>
      <c r="CN25" s="74">
        <f t="shared" ref="CN25:CN37" si="44">SUM(CO25:CQ25)</f>
        <v>0</v>
      </c>
      <c r="CO25" s="74">
        <v>0</v>
      </c>
      <c r="CP25" s="74"/>
      <c r="CQ25" s="74"/>
      <c r="CR25" s="74"/>
      <c r="CS25" s="74"/>
      <c r="CT25" s="74"/>
      <c r="CU25" s="74">
        <v>0</v>
      </c>
      <c r="CV25" s="74"/>
      <c r="CW25" s="74"/>
      <c r="CX25" s="74"/>
      <c r="CY25" s="74"/>
      <c r="CZ25" s="74">
        <f t="shared" si="13"/>
        <v>0</v>
      </c>
      <c r="DA25" s="74">
        <f t="shared" si="14"/>
        <v>0</v>
      </c>
      <c r="DB25" s="74">
        <v>0</v>
      </c>
      <c r="DC25" s="77">
        <v>0</v>
      </c>
    </row>
    <row r="26" spans="1:108" s="78" customFormat="1" ht="31.2" x14ac:dyDescent="0.3">
      <c r="A26" s="96" t="s">
        <v>1</v>
      </c>
      <c r="B26" s="71" t="s">
        <v>54</v>
      </c>
      <c r="C26" s="72" t="s">
        <v>55</v>
      </c>
      <c r="D26" s="74">
        <f t="shared" si="32"/>
        <v>5983008</v>
      </c>
      <c r="E26" s="74">
        <f t="shared" si="33"/>
        <v>5983008</v>
      </c>
      <c r="F26" s="74">
        <f t="shared" si="34"/>
        <v>5983008</v>
      </c>
      <c r="G26" s="74">
        <v>4306536</v>
      </c>
      <c r="H26" s="74">
        <v>1077065</v>
      </c>
      <c r="I26" s="74">
        <f t="shared" si="9"/>
        <v>114830</v>
      </c>
      <c r="J26" s="75"/>
      <c r="K26" s="75">
        <v>0</v>
      </c>
      <c r="L26" s="75">
        <v>0</v>
      </c>
      <c r="M26" s="75">
        <v>0</v>
      </c>
      <c r="N26" s="75">
        <v>80291</v>
      </c>
      <c r="O26" s="75">
        <v>34539</v>
      </c>
      <c r="P26" s="74">
        <f t="shared" si="10"/>
        <v>0</v>
      </c>
      <c r="Q26" s="75">
        <v>0</v>
      </c>
      <c r="R26" s="75">
        <v>0</v>
      </c>
      <c r="S26" s="75">
        <v>0</v>
      </c>
      <c r="T26" s="75">
        <v>81657</v>
      </c>
      <c r="U26" s="74">
        <f t="shared" si="35"/>
        <v>281655</v>
      </c>
      <c r="V26" s="75">
        <v>0</v>
      </c>
      <c r="W26" s="75">
        <f>57936+27204</f>
        <v>85140</v>
      </c>
      <c r="X26" s="75">
        <f>73647+59667</f>
        <v>133314</v>
      </c>
      <c r="Y26" s="75">
        <f>6525+2657</f>
        <v>9182</v>
      </c>
      <c r="Z26" s="75">
        <f>2950</f>
        <v>2950</v>
      </c>
      <c r="AA26" s="75">
        <v>0</v>
      </c>
      <c r="AB26" s="75">
        <v>0</v>
      </c>
      <c r="AC26" s="75">
        <f>43617+7452</f>
        <v>51069</v>
      </c>
      <c r="AD26" s="74">
        <f t="shared" si="36"/>
        <v>121265</v>
      </c>
      <c r="AE26" s="74">
        <v>0</v>
      </c>
      <c r="AF26" s="76">
        <v>0</v>
      </c>
      <c r="AG26" s="75">
        <v>5000</v>
      </c>
      <c r="AH26" s="75">
        <v>4422</v>
      </c>
      <c r="AI26" s="75">
        <v>0</v>
      </c>
      <c r="AJ26" s="75">
        <v>0</v>
      </c>
      <c r="AK26" s="75">
        <v>0</v>
      </c>
      <c r="AL26" s="75">
        <v>0</v>
      </c>
      <c r="AM26" s="75">
        <v>0</v>
      </c>
      <c r="AN26" s="75">
        <v>13130</v>
      </c>
      <c r="AO26" s="75">
        <v>0</v>
      </c>
      <c r="AP26" s="75">
        <v>0</v>
      </c>
      <c r="AQ26" s="75">
        <v>48943</v>
      </c>
      <c r="AR26" s="75">
        <v>20370</v>
      </c>
      <c r="AS26" s="75">
        <v>0</v>
      </c>
      <c r="AT26" s="75">
        <v>0</v>
      </c>
      <c r="AU26" s="75">
        <v>0</v>
      </c>
      <c r="AV26" s="75">
        <v>0</v>
      </c>
      <c r="AW26" s="75">
        <v>28900</v>
      </c>
      <c r="AX26" s="75">
        <v>0</v>
      </c>
      <c r="AY26" s="75">
        <v>500</v>
      </c>
      <c r="AZ26" s="75"/>
      <c r="BA26" s="75"/>
      <c r="BB26" s="75"/>
      <c r="BC26" s="74">
        <f t="shared" si="37"/>
        <v>0</v>
      </c>
      <c r="BD26" s="74">
        <f t="shared" si="38"/>
        <v>0</v>
      </c>
      <c r="BE26" s="74">
        <v>0</v>
      </c>
      <c r="BF26" s="74">
        <v>0</v>
      </c>
      <c r="BG26" s="74">
        <v>0</v>
      </c>
      <c r="BH26" s="74">
        <f t="shared" si="39"/>
        <v>0</v>
      </c>
      <c r="BI26" s="74">
        <v>0</v>
      </c>
      <c r="BJ26" s="74">
        <v>0</v>
      </c>
      <c r="BK26" s="74">
        <v>0</v>
      </c>
      <c r="BL26" s="74">
        <v>0</v>
      </c>
      <c r="BM26" s="74">
        <v>0</v>
      </c>
      <c r="BN26" s="74">
        <f t="shared" si="11"/>
        <v>0</v>
      </c>
      <c r="BO26" s="74">
        <v>0</v>
      </c>
      <c r="BP26" s="74">
        <v>0</v>
      </c>
      <c r="BQ26" s="74">
        <f t="shared" si="40"/>
        <v>0</v>
      </c>
      <c r="BR26" s="74">
        <v>0</v>
      </c>
      <c r="BS26" s="74">
        <v>0</v>
      </c>
      <c r="BT26" s="74">
        <v>0</v>
      </c>
      <c r="BU26" s="74">
        <v>0</v>
      </c>
      <c r="BV26" s="74">
        <v>0</v>
      </c>
      <c r="BW26" s="74">
        <v>0</v>
      </c>
      <c r="BX26" s="74">
        <v>0</v>
      </c>
      <c r="BY26" s="74">
        <v>0</v>
      </c>
      <c r="BZ26" s="74">
        <v>0</v>
      </c>
      <c r="CA26" s="75">
        <v>0</v>
      </c>
      <c r="CB26" s="75">
        <v>0</v>
      </c>
      <c r="CC26" s="74">
        <f t="shared" si="41"/>
        <v>0</v>
      </c>
      <c r="CD26" s="74">
        <f t="shared" si="42"/>
        <v>0</v>
      </c>
      <c r="CE26" s="74">
        <f t="shared" si="12"/>
        <v>0</v>
      </c>
      <c r="CF26" s="74">
        <v>0</v>
      </c>
      <c r="CG26" s="75">
        <v>0</v>
      </c>
      <c r="CH26" s="74">
        <f t="shared" si="43"/>
        <v>0</v>
      </c>
      <c r="CI26" s="74">
        <v>0</v>
      </c>
      <c r="CJ26" s="74">
        <v>0</v>
      </c>
      <c r="CK26" s="74">
        <v>0</v>
      </c>
      <c r="CL26" s="74">
        <v>0</v>
      </c>
      <c r="CM26" s="74">
        <v>0</v>
      </c>
      <c r="CN26" s="74">
        <f t="shared" si="44"/>
        <v>0</v>
      </c>
      <c r="CO26" s="74">
        <v>0</v>
      </c>
      <c r="CP26" s="74">
        <v>0</v>
      </c>
      <c r="CQ26" s="74"/>
      <c r="CR26" s="74"/>
      <c r="CS26" s="74"/>
      <c r="CT26" s="74"/>
      <c r="CU26" s="74">
        <v>0</v>
      </c>
      <c r="CV26" s="74"/>
      <c r="CW26" s="74"/>
      <c r="CX26" s="74"/>
      <c r="CY26" s="74"/>
      <c r="CZ26" s="74">
        <f t="shared" si="13"/>
        <v>0</v>
      </c>
      <c r="DA26" s="74">
        <f t="shared" si="14"/>
        <v>0</v>
      </c>
      <c r="DB26" s="74">
        <v>0</v>
      </c>
      <c r="DC26" s="77">
        <v>0</v>
      </c>
    </row>
    <row r="27" spans="1:108" s="78" customFormat="1" ht="31.2" x14ac:dyDescent="0.3">
      <c r="A27" s="96" t="s">
        <v>1</v>
      </c>
      <c r="B27" s="71" t="s">
        <v>56</v>
      </c>
      <c r="C27" s="72" t="s">
        <v>57</v>
      </c>
      <c r="D27" s="74">
        <f t="shared" si="32"/>
        <v>11234834</v>
      </c>
      <c r="E27" s="74">
        <f t="shared" si="33"/>
        <v>11234834</v>
      </c>
      <c r="F27" s="74">
        <f t="shared" si="34"/>
        <v>11224164</v>
      </c>
      <c r="G27" s="74">
        <f>5932896+1776900</f>
        <v>7709796</v>
      </c>
      <c r="H27" s="74">
        <f>1410411+426456</f>
        <v>1836867</v>
      </c>
      <c r="I27" s="74">
        <f t="shared" si="9"/>
        <v>154608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154608</v>
      </c>
      <c r="P27" s="74">
        <f t="shared" si="10"/>
        <v>100000</v>
      </c>
      <c r="Q27" s="75">
        <v>0</v>
      </c>
      <c r="R27" s="75">
        <v>100000</v>
      </c>
      <c r="S27" s="75">
        <v>0</v>
      </c>
      <c r="T27" s="75">
        <v>54832</v>
      </c>
      <c r="U27" s="74">
        <f t="shared" si="35"/>
        <v>0</v>
      </c>
      <c r="V27" s="75">
        <v>0</v>
      </c>
      <c r="W27" s="75">
        <v>0</v>
      </c>
      <c r="X27" s="75">
        <v>0</v>
      </c>
      <c r="Y27" s="75">
        <v>0</v>
      </c>
      <c r="Z27" s="75">
        <v>0</v>
      </c>
      <c r="AA27" s="75">
        <v>0</v>
      </c>
      <c r="AB27" s="75">
        <v>0</v>
      </c>
      <c r="AC27" s="75">
        <v>0</v>
      </c>
      <c r="AD27" s="74">
        <f t="shared" si="36"/>
        <v>1368061</v>
      </c>
      <c r="AE27" s="74">
        <v>0</v>
      </c>
      <c r="AF27" s="76">
        <v>0</v>
      </c>
      <c r="AG27" s="75">
        <v>7147</v>
      </c>
      <c r="AH27" s="75">
        <v>0</v>
      </c>
      <c r="AI27" s="75">
        <v>0</v>
      </c>
      <c r="AJ27" s="75">
        <v>0</v>
      </c>
      <c r="AK27" s="75">
        <v>0</v>
      </c>
      <c r="AL27" s="75">
        <v>0</v>
      </c>
      <c r="AM27" s="75">
        <v>0</v>
      </c>
      <c r="AN27" s="75">
        <v>10754</v>
      </c>
      <c r="AO27" s="75">
        <v>0</v>
      </c>
      <c r="AP27" s="75">
        <v>0</v>
      </c>
      <c r="AQ27" s="75">
        <v>0</v>
      </c>
      <c r="AR27" s="75">
        <v>24000</v>
      </c>
      <c r="AS27" s="75">
        <v>0</v>
      </c>
      <c r="AT27" s="75">
        <v>0</v>
      </c>
      <c r="AU27" s="75">
        <v>0</v>
      </c>
      <c r="AV27" s="75">
        <v>0</v>
      </c>
      <c r="AW27" s="75">
        <v>1326160</v>
      </c>
      <c r="AX27" s="75">
        <v>0</v>
      </c>
      <c r="AY27" s="75">
        <v>0</v>
      </c>
      <c r="AZ27" s="75"/>
      <c r="BA27" s="75"/>
      <c r="BB27" s="75"/>
      <c r="BC27" s="74">
        <f t="shared" si="37"/>
        <v>10670</v>
      </c>
      <c r="BD27" s="74">
        <f t="shared" si="38"/>
        <v>0</v>
      </c>
      <c r="BE27" s="74">
        <v>0</v>
      </c>
      <c r="BF27" s="74">
        <v>0</v>
      </c>
      <c r="BG27" s="74">
        <v>0</v>
      </c>
      <c r="BH27" s="74">
        <f t="shared" si="39"/>
        <v>0</v>
      </c>
      <c r="BI27" s="74">
        <v>0</v>
      </c>
      <c r="BJ27" s="74">
        <v>0</v>
      </c>
      <c r="BK27" s="74">
        <v>0</v>
      </c>
      <c r="BL27" s="74">
        <v>0</v>
      </c>
      <c r="BM27" s="74">
        <v>0</v>
      </c>
      <c r="BN27" s="74">
        <f t="shared" si="11"/>
        <v>0</v>
      </c>
      <c r="BO27" s="74">
        <v>0</v>
      </c>
      <c r="BP27" s="74">
        <v>0</v>
      </c>
      <c r="BQ27" s="74">
        <f t="shared" si="40"/>
        <v>10670</v>
      </c>
      <c r="BR27" s="74">
        <v>0</v>
      </c>
      <c r="BS27" s="74">
        <v>0</v>
      </c>
      <c r="BT27" s="74">
        <v>10670</v>
      </c>
      <c r="BU27" s="74">
        <v>0</v>
      </c>
      <c r="BV27" s="74">
        <v>0</v>
      </c>
      <c r="BW27" s="74">
        <v>0</v>
      </c>
      <c r="BX27" s="74">
        <v>0</v>
      </c>
      <c r="BY27" s="74">
        <v>0</v>
      </c>
      <c r="BZ27" s="74">
        <v>0</v>
      </c>
      <c r="CA27" s="75">
        <v>0</v>
      </c>
      <c r="CB27" s="75">
        <v>0</v>
      </c>
      <c r="CC27" s="74">
        <f t="shared" si="41"/>
        <v>0</v>
      </c>
      <c r="CD27" s="74">
        <f t="shared" si="42"/>
        <v>0</v>
      </c>
      <c r="CE27" s="74">
        <f t="shared" si="12"/>
        <v>0</v>
      </c>
      <c r="CF27" s="74">
        <v>0</v>
      </c>
      <c r="CG27" s="75">
        <v>0</v>
      </c>
      <c r="CH27" s="74">
        <f t="shared" si="43"/>
        <v>0</v>
      </c>
      <c r="CI27" s="74">
        <v>0</v>
      </c>
      <c r="CJ27" s="74">
        <v>0</v>
      </c>
      <c r="CK27" s="74">
        <v>0</v>
      </c>
      <c r="CL27" s="74">
        <v>0</v>
      </c>
      <c r="CM27" s="74">
        <v>0</v>
      </c>
      <c r="CN27" s="74">
        <f t="shared" si="44"/>
        <v>0</v>
      </c>
      <c r="CO27" s="74">
        <v>0</v>
      </c>
      <c r="CP27" s="74">
        <v>0</v>
      </c>
      <c r="CQ27" s="74"/>
      <c r="CR27" s="74"/>
      <c r="CS27" s="74"/>
      <c r="CT27" s="74"/>
      <c r="CU27" s="74">
        <v>0</v>
      </c>
      <c r="CV27" s="74"/>
      <c r="CW27" s="74"/>
      <c r="CX27" s="74"/>
      <c r="CY27" s="74"/>
      <c r="CZ27" s="74">
        <f t="shared" si="13"/>
        <v>0</v>
      </c>
      <c r="DA27" s="74">
        <f t="shared" si="14"/>
        <v>0</v>
      </c>
      <c r="DB27" s="74">
        <v>0</v>
      </c>
      <c r="DC27" s="77">
        <v>0</v>
      </c>
    </row>
    <row r="28" spans="1:108" s="78" customFormat="1" ht="15.6" x14ac:dyDescent="0.3">
      <c r="A28" s="96" t="s">
        <v>1</v>
      </c>
      <c r="B28" s="71" t="s">
        <v>58</v>
      </c>
      <c r="C28" s="72" t="s">
        <v>59</v>
      </c>
      <c r="D28" s="74">
        <f t="shared" si="32"/>
        <v>7671392</v>
      </c>
      <c r="E28" s="74">
        <f t="shared" si="33"/>
        <v>7671392</v>
      </c>
      <c r="F28" s="74">
        <f t="shared" si="34"/>
        <v>7667942</v>
      </c>
      <c r="G28" s="74">
        <v>4722335</v>
      </c>
      <c r="H28" s="74">
        <v>1125417</v>
      </c>
      <c r="I28" s="74">
        <f t="shared" si="9"/>
        <v>214297</v>
      </c>
      <c r="J28" s="75">
        <v>0</v>
      </c>
      <c r="K28" s="75">
        <v>0</v>
      </c>
      <c r="L28" s="75">
        <v>0</v>
      </c>
      <c r="M28" s="75">
        <v>0</v>
      </c>
      <c r="N28" s="75">
        <v>192364</v>
      </c>
      <c r="O28" s="75">
        <v>21933</v>
      </c>
      <c r="P28" s="74">
        <f t="shared" si="10"/>
        <v>19000</v>
      </c>
      <c r="Q28" s="75">
        <v>0</v>
      </c>
      <c r="R28" s="75">
        <v>19000</v>
      </c>
      <c r="S28" s="75">
        <v>0</v>
      </c>
      <c r="T28" s="75">
        <v>1095805</v>
      </c>
      <c r="U28" s="74">
        <f t="shared" si="35"/>
        <v>394165</v>
      </c>
      <c r="V28" s="75">
        <v>5000</v>
      </c>
      <c r="W28" s="75">
        <f>183037+47691</f>
        <v>230728</v>
      </c>
      <c r="X28" s="75">
        <f>89771+54302</f>
        <v>144073</v>
      </c>
      <c r="Y28" s="75">
        <f>8787+1577</f>
        <v>10364</v>
      </c>
      <c r="Z28" s="75">
        <v>4000</v>
      </c>
      <c r="AA28" s="75">
        <v>0</v>
      </c>
      <c r="AB28" s="75">
        <v>0</v>
      </c>
      <c r="AC28" s="75">
        <v>0</v>
      </c>
      <c r="AD28" s="74">
        <f t="shared" si="36"/>
        <v>96923</v>
      </c>
      <c r="AE28" s="74">
        <v>0</v>
      </c>
      <c r="AF28" s="76">
        <v>0</v>
      </c>
      <c r="AG28" s="75">
        <v>0</v>
      </c>
      <c r="AH28" s="75">
        <v>0</v>
      </c>
      <c r="AI28" s="75">
        <v>0</v>
      </c>
      <c r="AJ28" s="75">
        <v>0</v>
      </c>
      <c r="AK28" s="75">
        <v>0</v>
      </c>
      <c r="AL28" s="75">
        <v>0</v>
      </c>
      <c r="AM28" s="75">
        <v>0</v>
      </c>
      <c r="AN28" s="75">
        <v>13386</v>
      </c>
      <c r="AO28" s="75">
        <v>0</v>
      </c>
      <c r="AP28" s="75">
        <v>0</v>
      </c>
      <c r="AQ28" s="75">
        <v>18617</v>
      </c>
      <c r="AR28" s="75">
        <v>64920</v>
      </c>
      <c r="AS28" s="75">
        <v>0</v>
      </c>
      <c r="AT28" s="75">
        <v>0</v>
      </c>
      <c r="AU28" s="75">
        <v>0</v>
      </c>
      <c r="AV28" s="75">
        <v>0</v>
      </c>
      <c r="AW28" s="75">
        <v>0</v>
      </c>
      <c r="AX28" s="75">
        <v>0</v>
      </c>
      <c r="AY28" s="75">
        <v>0</v>
      </c>
      <c r="AZ28" s="75"/>
      <c r="BA28" s="75"/>
      <c r="BB28" s="75"/>
      <c r="BC28" s="74">
        <f t="shared" si="37"/>
        <v>3450</v>
      </c>
      <c r="BD28" s="74">
        <f t="shared" si="38"/>
        <v>0</v>
      </c>
      <c r="BE28" s="74">
        <v>0</v>
      </c>
      <c r="BF28" s="74">
        <v>0</v>
      </c>
      <c r="BG28" s="74">
        <v>0</v>
      </c>
      <c r="BH28" s="74">
        <f t="shared" si="39"/>
        <v>0</v>
      </c>
      <c r="BI28" s="74">
        <v>0</v>
      </c>
      <c r="BJ28" s="74">
        <v>0</v>
      </c>
      <c r="BK28" s="74">
        <v>0</v>
      </c>
      <c r="BL28" s="74">
        <v>0</v>
      </c>
      <c r="BM28" s="74">
        <v>0</v>
      </c>
      <c r="BN28" s="74">
        <f t="shared" si="11"/>
        <v>0</v>
      </c>
      <c r="BO28" s="74">
        <v>0</v>
      </c>
      <c r="BP28" s="74">
        <v>0</v>
      </c>
      <c r="BQ28" s="74">
        <f t="shared" si="40"/>
        <v>3450</v>
      </c>
      <c r="BR28" s="74">
        <v>0</v>
      </c>
      <c r="BS28" s="74">
        <v>0</v>
      </c>
      <c r="BT28" s="74">
        <v>0</v>
      </c>
      <c r="BU28" s="74">
        <v>0</v>
      </c>
      <c r="BV28" s="74">
        <v>0</v>
      </c>
      <c r="BW28" s="74">
        <v>0</v>
      </c>
      <c r="BX28" s="74">
        <v>0</v>
      </c>
      <c r="BY28" s="74">
        <v>0</v>
      </c>
      <c r="BZ28" s="74">
        <v>0</v>
      </c>
      <c r="CA28" s="75">
        <v>3450</v>
      </c>
      <c r="CB28" s="75">
        <v>0</v>
      </c>
      <c r="CC28" s="74">
        <f t="shared" si="41"/>
        <v>0</v>
      </c>
      <c r="CD28" s="74">
        <f t="shared" si="42"/>
        <v>0</v>
      </c>
      <c r="CE28" s="74">
        <f t="shared" si="12"/>
        <v>0</v>
      </c>
      <c r="CF28" s="74">
        <v>0</v>
      </c>
      <c r="CG28" s="75">
        <v>0</v>
      </c>
      <c r="CH28" s="74">
        <f t="shared" si="43"/>
        <v>0</v>
      </c>
      <c r="CI28" s="74">
        <v>0</v>
      </c>
      <c r="CJ28" s="74">
        <v>0</v>
      </c>
      <c r="CK28" s="74">
        <v>0</v>
      </c>
      <c r="CL28" s="74">
        <v>0</v>
      </c>
      <c r="CM28" s="74">
        <v>0</v>
      </c>
      <c r="CN28" s="74">
        <f t="shared" si="44"/>
        <v>0</v>
      </c>
      <c r="CO28" s="74">
        <v>0</v>
      </c>
      <c r="CP28" s="74">
        <v>0</v>
      </c>
      <c r="CQ28" s="74"/>
      <c r="CR28" s="74"/>
      <c r="CS28" s="74"/>
      <c r="CT28" s="74"/>
      <c r="CU28" s="74">
        <v>0</v>
      </c>
      <c r="CV28" s="74"/>
      <c r="CW28" s="74"/>
      <c r="CX28" s="74"/>
      <c r="CY28" s="74"/>
      <c r="CZ28" s="74">
        <f t="shared" si="13"/>
        <v>0</v>
      </c>
      <c r="DA28" s="74">
        <f t="shared" si="14"/>
        <v>0</v>
      </c>
      <c r="DB28" s="74">
        <v>0</v>
      </c>
      <c r="DC28" s="77">
        <v>0</v>
      </c>
    </row>
    <row r="29" spans="1:108" s="78" customFormat="1" ht="15.6" x14ac:dyDescent="0.3">
      <c r="A29" s="96" t="s">
        <v>1</v>
      </c>
      <c r="B29" s="71" t="s">
        <v>60</v>
      </c>
      <c r="C29" s="72" t="s">
        <v>61</v>
      </c>
      <c r="D29" s="74">
        <f t="shared" si="32"/>
        <v>8097934</v>
      </c>
      <c r="E29" s="74">
        <f t="shared" si="33"/>
        <v>8062804</v>
      </c>
      <c r="F29" s="74">
        <f t="shared" si="34"/>
        <v>8062804</v>
      </c>
      <c r="G29" s="74">
        <v>5928844</v>
      </c>
      <c r="H29" s="74">
        <v>1428736</v>
      </c>
      <c r="I29" s="74">
        <f t="shared" si="9"/>
        <v>282195</v>
      </c>
      <c r="J29" s="75">
        <v>0</v>
      </c>
      <c r="K29" s="75">
        <f>22585-22585</f>
        <v>0</v>
      </c>
      <c r="L29" s="75"/>
      <c r="M29" s="75"/>
      <c r="N29" s="75">
        <v>182573</v>
      </c>
      <c r="O29" s="75">
        <v>99622</v>
      </c>
      <c r="P29" s="74">
        <f t="shared" si="10"/>
        <v>0</v>
      </c>
      <c r="Q29" s="75">
        <v>0</v>
      </c>
      <c r="R29" s="75">
        <v>0</v>
      </c>
      <c r="S29" s="75">
        <v>0</v>
      </c>
      <c r="T29" s="75">
        <v>76127</v>
      </c>
      <c r="U29" s="74">
        <f t="shared" si="35"/>
        <v>295288</v>
      </c>
      <c r="V29" s="75">
        <v>20094</v>
      </c>
      <c r="W29" s="75">
        <f>54551+11301</f>
        <v>65852</v>
      </c>
      <c r="X29" s="75">
        <f>115598+45499</f>
        <v>161097</v>
      </c>
      <c r="Y29" s="75">
        <f>13636+2639</f>
        <v>16275</v>
      </c>
      <c r="Z29" s="75">
        <v>3197</v>
      </c>
      <c r="AA29" s="75">
        <v>0</v>
      </c>
      <c r="AB29" s="75">
        <v>0</v>
      </c>
      <c r="AC29" s="75">
        <f>23422+5351</f>
        <v>28773</v>
      </c>
      <c r="AD29" s="74">
        <f t="shared" si="36"/>
        <v>51614</v>
      </c>
      <c r="AE29" s="74">
        <v>0</v>
      </c>
      <c r="AF29" s="76">
        <v>0</v>
      </c>
      <c r="AG29" s="75">
        <v>15460</v>
      </c>
      <c r="AH29" s="75">
        <v>0</v>
      </c>
      <c r="AI29" s="75">
        <v>0</v>
      </c>
      <c r="AJ29" s="75">
        <v>5539</v>
      </c>
      <c r="AK29" s="75">
        <v>0</v>
      </c>
      <c r="AL29" s="75">
        <v>0</v>
      </c>
      <c r="AM29" s="75">
        <v>0</v>
      </c>
      <c r="AN29" s="75">
        <v>25026</v>
      </c>
      <c r="AO29" s="75">
        <v>0</v>
      </c>
      <c r="AP29" s="75">
        <v>0</v>
      </c>
      <c r="AQ29" s="75">
        <v>0</v>
      </c>
      <c r="AR29" s="75">
        <v>0</v>
      </c>
      <c r="AS29" s="75">
        <v>0</v>
      </c>
      <c r="AT29" s="75">
        <v>0</v>
      </c>
      <c r="AU29" s="75">
        <v>0</v>
      </c>
      <c r="AV29" s="75">
        <v>0</v>
      </c>
      <c r="AW29" s="75">
        <v>0</v>
      </c>
      <c r="AX29" s="75">
        <v>0</v>
      </c>
      <c r="AY29" s="75">
        <v>5589</v>
      </c>
      <c r="AZ29" s="75"/>
      <c r="BA29" s="75"/>
      <c r="BB29" s="75"/>
      <c r="BC29" s="74">
        <f t="shared" si="37"/>
        <v>0</v>
      </c>
      <c r="BD29" s="74">
        <f t="shared" si="38"/>
        <v>0</v>
      </c>
      <c r="BE29" s="74">
        <v>0</v>
      </c>
      <c r="BF29" s="74">
        <v>0</v>
      </c>
      <c r="BG29" s="74">
        <v>0</v>
      </c>
      <c r="BH29" s="74">
        <f t="shared" si="39"/>
        <v>0</v>
      </c>
      <c r="BI29" s="74">
        <v>0</v>
      </c>
      <c r="BJ29" s="74">
        <v>0</v>
      </c>
      <c r="BK29" s="74">
        <v>0</v>
      </c>
      <c r="BL29" s="74">
        <v>0</v>
      </c>
      <c r="BM29" s="74">
        <v>0</v>
      </c>
      <c r="BN29" s="74">
        <f t="shared" si="11"/>
        <v>0</v>
      </c>
      <c r="BO29" s="74">
        <v>0</v>
      </c>
      <c r="BP29" s="74">
        <v>0</v>
      </c>
      <c r="BQ29" s="74">
        <f t="shared" si="40"/>
        <v>0</v>
      </c>
      <c r="BR29" s="74">
        <v>0</v>
      </c>
      <c r="BS29" s="74">
        <v>0</v>
      </c>
      <c r="BT29" s="74">
        <v>0</v>
      </c>
      <c r="BU29" s="74">
        <v>0</v>
      </c>
      <c r="BV29" s="74">
        <v>0</v>
      </c>
      <c r="BW29" s="74">
        <v>0</v>
      </c>
      <c r="BX29" s="74">
        <v>0</v>
      </c>
      <c r="BY29" s="74">
        <v>0</v>
      </c>
      <c r="BZ29" s="74">
        <v>0</v>
      </c>
      <c r="CA29" s="75">
        <v>0</v>
      </c>
      <c r="CB29" s="75">
        <v>0</v>
      </c>
      <c r="CC29" s="74">
        <f t="shared" si="41"/>
        <v>35130</v>
      </c>
      <c r="CD29" s="74">
        <f t="shared" si="42"/>
        <v>35130</v>
      </c>
      <c r="CE29" s="74">
        <f t="shared" si="12"/>
        <v>35130</v>
      </c>
      <c r="CF29" s="74">
        <v>0</v>
      </c>
      <c r="CG29" s="75">
        <v>35130</v>
      </c>
      <c r="CH29" s="74">
        <f t="shared" si="43"/>
        <v>0</v>
      </c>
      <c r="CI29" s="74">
        <v>0</v>
      </c>
      <c r="CJ29" s="74">
        <v>0</v>
      </c>
      <c r="CK29" s="74">
        <v>0</v>
      </c>
      <c r="CL29" s="74">
        <v>0</v>
      </c>
      <c r="CM29" s="74">
        <v>0</v>
      </c>
      <c r="CN29" s="74">
        <f t="shared" si="44"/>
        <v>0</v>
      </c>
      <c r="CO29" s="74">
        <v>0</v>
      </c>
      <c r="CP29" s="74"/>
      <c r="CQ29" s="74"/>
      <c r="CR29" s="74"/>
      <c r="CS29" s="74"/>
      <c r="CT29" s="74"/>
      <c r="CU29" s="74">
        <v>0</v>
      </c>
      <c r="CV29" s="74"/>
      <c r="CW29" s="74"/>
      <c r="CX29" s="74"/>
      <c r="CY29" s="74"/>
      <c r="CZ29" s="74">
        <f t="shared" si="13"/>
        <v>0</v>
      </c>
      <c r="DA29" s="74">
        <f t="shared" si="14"/>
        <v>0</v>
      </c>
      <c r="DB29" s="74">
        <v>0</v>
      </c>
      <c r="DC29" s="77">
        <v>0</v>
      </c>
    </row>
    <row r="30" spans="1:108" s="78" customFormat="1" ht="31.2" x14ac:dyDescent="0.3">
      <c r="A30" s="96" t="s">
        <v>1</v>
      </c>
      <c r="B30" s="71" t="s">
        <v>62</v>
      </c>
      <c r="C30" s="72" t="s">
        <v>63</v>
      </c>
      <c r="D30" s="74">
        <f t="shared" si="32"/>
        <v>7149511</v>
      </c>
      <c r="E30" s="74">
        <f t="shared" si="33"/>
        <v>7144462</v>
      </c>
      <c r="F30" s="74">
        <f t="shared" si="34"/>
        <v>6891662</v>
      </c>
      <c r="G30" s="74">
        <v>4386202</v>
      </c>
      <c r="H30" s="74">
        <v>1067538</v>
      </c>
      <c r="I30" s="74">
        <f t="shared" si="9"/>
        <v>286316</v>
      </c>
      <c r="J30" s="75">
        <v>0</v>
      </c>
      <c r="K30" s="75">
        <f>7442-7442</f>
        <v>0</v>
      </c>
      <c r="L30" s="75"/>
      <c r="M30" s="75"/>
      <c r="N30" s="75">
        <v>241849</v>
      </c>
      <c r="O30" s="75">
        <v>44467</v>
      </c>
      <c r="P30" s="74">
        <f t="shared" si="10"/>
        <v>503518</v>
      </c>
      <c r="Q30" s="75">
        <v>0</v>
      </c>
      <c r="R30" s="75">
        <v>503518</v>
      </c>
      <c r="S30" s="75">
        <v>0</v>
      </c>
      <c r="T30" s="75">
        <v>47744</v>
      </c>
      <c r="U30" s="74">
        <f t="shared" si="35"/>
        <v>200914</v>
      </c>
      <c r="V30" s="75">
        <v>15418</v>
      </c>
      <c r="W30" s="75">
        <v>0</v>
      </c>
      <c r="X30" s="75">
        <f>84420+27552</f>
        <v>111972</v>
      </c>
      <c r="Y30" s="75">
        <f>12815+6288</f>
        <v>19103</v>
      </c>
      <c r="Z30" s="75">
        <v>5514</v>
      </c>
      <c r="AA30" s="75">
        <v>0</v>
      </c>
      <c r="AB30" s="75">
        <v>0</v>
      </c>
      <c r="AC30" s="75">
        <f>34847+14060</f>
        <v>48907</v>
      </c>
      <c r="AD30" s="74">
        <f t="shared" si="36"/>
        <v>399430</v>
      </c>
      <c r="AE30" s="74">
        <v>0</v>
      </c>
      <c r="AF30" s="76">
        <v>0</v>
      </c>
      <c r="AG30" s="75">
        <v>8075</v>
      </c>
      <c r="AH30" s="75">
        <v>3326</v>
      </c>
      <c r="AI30" s="75">
        <v>0</v>
      </c>
      <c r="AJ30" s="75">
        <v>0</v>
      </c>
      <c r="AK30" s="75">
        <v>0</v>
      </c>
      <c r="AL30" s="75">
        <v>0</v>
      </c>
      <c r="AM30" s="75">
        <v>24490</v>
      </c>
      <c r="AN30" s="75">
        <v>335812</v>
      </c>
      <c r="AO30" s="75">
        <v>0</v>
      </c>
      <c r="AP30" s="75">
        <v>0</v>
      </c>
      <c r="AQ30" s="75">
        <v>19531</v>
      </c>
      <c r="AR30" s="75">
        <v>4696</v>
      </c>
      <c r="AS30" s="75">
        <v>0</v>
      </c>
      <c r="AT30" s="75">
        <v>0</v>
      </c>
      <c r="AU30" s="75">
        <v>0</v>
      </c>
      <c r="AV30" s="75">
        <v>0</v>
      </c>
      <c r="AW30" s="75">
        <v>0</v>
      </c>
      <c r="AX30" s="75">
        <v>0</v>
      </c>
      <c r="AY30" s="75">
        <v>3500</v>
      </c>
      <c r="AZ30" s="75"/>
      <c r="BA30" s="75"/>
      <c r="BB30" s="75"/>
      <c r="BC30" s="74">
        <f t="shared" si="37"/>
        <v>252800</v>
      </c>
      <c r="BD30" s="74">
        <f t="shared" si="38"/>
        <v>0</v>
      </c>
      <c r="BE30" s="74">
        <v>0</v>
      </c>
      <c r="BF30" s="74">
        <v>0</v>
      </c>
      <c r="BG30" s="74">
        <v>0</v>
      </c>
      <c r="BH30" s="74">
        <f t="shared" si="39"/>
        <v>0</v>
      </c>
      <c r="BI30" s="74">
        <v>0</v>
      </c>
      <c r="BJ30" s="74">
        <v>0</v>
      </c>
      <c r="BK30" s="74">
        <v>0</v>
      </c>
      <c r="BL30" s="74">
        <v>0</v>
      </c>
      <c r="BM30" s="74">
        <v>0</v>
      </c>
      <c r="BN30" s="74">
        <f t="shared" si="11"/>
        <v>0</v>
      </c>
      <c r="BO30" s="74">
        <v>0</v>
      </c>
      <c r="BP30" s="74">
        <v>0</v>
      </c>
      <c r="BQ30" s="74">
        <f t="shared" si="40"/>
        <v>252800</v>
      </c>
      <c r="BR30" s="74">
        <v>0</v>
      </c>
      <c r="BS30" s="74">
        <v>0</v>
      </c>
      <c r="BT30" s="74">
        <v>0</v>
      </c>
      <c r="BU30" s="74">
        <v>0</v>
      </c>
      <c r="BV30" s="74">
        <v>0</v>
      </c>
      <c r="BW30" s="74">
        <v>0</v>
      </c>
      <c r="BX30" s="74">
        <v>0</v>
      </c>
      <c r="BY30" s="74">
        <v>0</v>
      </c>
      <c r="BZ30" s="74">
        <v>0</v>
      </c>
      <c r="CA30" s="75">
        <v>252800</v>
      </c>
      <c r="CB30" s="75">
        <v>0</v>
      </c>
      <c r="CC30" s="74">
        <f t="shared" si="41"/>
        <v>5049</v>
      </c>
      <c r="CD30" s="74">
        <f t="shared" si="42"/>
        <v>5049</v>
      </c>
      <c r="CE30" s="74">
        <f t="shared" si="12"/>
        <v>5049</v>
      </c>
      <c r="CF30" s="74">
        <v>0</v>
      </c>
      <c r="CG30" s="75">
        <v>5049</v>
      </c>
      <c r="CH30" s="74">
        <f t="shared" si="43"/>
        <v>0</v>
      </c>
      <c r="CI30" s="74">
        <v>0</v>
      </c>
      <c r="CJ30" s="74">
        <v>0</v>
      </c>
      <c r="CK30" s="74">
        <v>0</v>
      </c>
      <c r="CL30" s="74">
        <v>0</v>
      </c>
      <c r="CM30" s="74">
        <v>0</v>
      </c>
      <c r="CN30" s="74">
        <f t="shared" si="44"/>
        <v>0</v>
      </c>
      <c r="CO30" s="74">
        <v>0</v>
      </c>
      <c r="CP30" s="74">
        <v>0</v>
      </c>
      <c r="CQ30" s="74"/>
      <c r="CR30" s="74"/>
      <c r="CS30" s="74"/>
      <c r="CT30" s="74"/>
      <c r="CU30" s="74">
        <v>0</v>
      </c>
      <c r="CV30" s="74"/>
      <c r="CW30" s="74"/>
      <c r="CX30" s="74"/>
      <c r="CY30" s="74"/>
      <c r="CZ30" s="74">
        <f t="shared" si="13"/>
        <v>0</v>
      </c>
      <c r="DA30" s="74">
        <f t="shared" si="14"/>
        <v>0</v>
      </c>
      <c r="DB30" s="74">
        <v>0</v>
      </c>
      <c r="DC30" s="77">
        <v>0</v>
      </c>
    </row>
    <row r="31" spans="1:108" s="78" customFormat="1" ht="27" customHeight="1" x14ac:dyDescent="0.3">
      <c r="A31" s="96" t="s">
        <v>1</v>
      </c>
      <c r="B31" s="71" t="s">
        <v>64</v>
      </c>
      <c r="C31" s="72" t="s">
        <v>65</v>
      </c>
      <c r="D31" s="74">
        <f t="shared" si="32"/>
        <v>10644453</v>
      </c>
      <c r="E31" s="74">
        <f t="shared" si="33"/>
        <v>10569490</v>
      </c>
      <c r="F31" s="74">
        <f t="shared" si="34"/>
        <v>10569490</v>
      </c>
      <c r="G31" s="74">
        <v>7436208</v>
      </c>
      <c r="H31" s="74">
        <v>1774477</v>
      </c>
      <c r="I31" s="74">
        <f t="shared" si="9"/>
        <v>546698</v>
      </c>
      <c r="J31" s="75">
        <v>0</v>
      </c>
      <c r="K31" s="75">
        <v>0</v>
      </c>
      <c r="L31" s="75"/>
      <c r="M31" s="75"/>
      <c r="N31" s="75">
        <v>349050</v>
      </c>
      <c r="O31" s="75">
        <v>197648</v>
      </c>
      <c r="P31" s="74">
        <f t="shared" si="10"/>
        <v>60000</v>
      </c>
      <c r="Q31" s="75">
        <v>0</v>
      </c>
      <c r="R31" s="75">
        <v>60000</v>
      </c>
      <c r="S31" s="75">
        <v>0</v>
      </c>
      <c r="T31" s="75">
        <v>67045</v>
      </c>
      <c r="U31" s="74">
        <f t="shared" si="35"/>
        <v>571391</v>
      </c>
      <c r="V31" s="75">
        <v>0</v>
      </c>
      <c r="W31" s="75">
        <f>282169+74574</f>
        <v>356743</v>
      </c>
      <c r="X31" s="75">
        <f>116898+57142</f>
        <v>174040</v>
      </c>
      <c r="Y31" s="75">
        <f>21425+7680</f>
        <v>29105</v>
      </c>
      <c r="Z31" s="75">
        <v>8303</v>
      </c>
      <c r="AA31" s="75">
        <v>3200</v>
      </c>
      <c r="AB31" s="75">
        <v>0</v>
      </c>
      <c r="AC31" s="75">
        <v>0</v>
      </c>
      <c r="AD31" s="74">
        <f t="shared" si="36"/>
        <v>113671</v>
      </c>
      <c r="AE31" s="74">
        <v>0</v>
      </c>
      <c r="AF31" s="76">
        <v>0</v>
      </c>
      <c r="AG31" s="75">
        <v>21504</v>
      </c>
      <c r="AH31" s="75">
        <v>0</v>
      </c>
      <c r="AI31" s="75">
        <v>0</v>
      </c>
      <c r="AJ31" s="75">
        <v>431</v>
      </c>
      <c r="AK31" s="75">
        <v>0</v>
      </c>
      <c r="AL31" s="75">
        <v>0</v>
      </c>
      <c r="AM31" s="75">
        <v>0</v>
      </c>
      <c r="AN31" s="75">
        <v>14550</v>
      </c>
      <c r="AO31" s="75">
        <v>0</v>
      </c>
      <c r="AP31" s="75">
        <v>0</v>
      </c>
      <c r="AQ31" s="75">
        <v>0</v>
      </c>
      <c r="AR31" s="75">
        <v>0</v>
      </c>
      <c r="AS31" s="75">
        <v>0</v>
      </c>
      <c r="AT31" s="75">
        <v>0</v>
      </c>
      <c r="AU31" s="75">
        <v>0</v>
      </c>
      <c r="AV31" s="75">
        <v>0</v>
      </c>
      <c r="AW31" s="75">
        <v>0</v>
      </c>
      <c r="AX31" s="75">
        <v>0</v>
      </c>
      <c r="AY31" s="75">
        <f>35186+42000</f>
        <v>77186</v>
      </c>
      <c r="AZ31" s="75"/>
      <c r="BA31" s="75"/>
      <c r="BB31" s="75"/>
      <c r="BC31" s="74">
        <f t="shared" si="37"/>
        <v>0</v>
      </c>
      <c r="BD31" s="74">
        <f t="shared" si="38"/>
        <v>0</v>
      </c>
      <c r="BE31" s="74">
        <v>0</v>
      </c>
      <c r="BF31" s="74">
        <v>0</v>
      </c>
      <c r="BG31" s="74">
        <v>0</v>
      </c>
      <c r="BH31" s="74">
        <f t="shared" si="39"/>
        <v>0</v>
      </c>
      <c r="BI31" s="74">
        <v>0</v>
      </c>
      <c r="BJ31" s="74">
        <v>0</v>
      </c>
      <c r="BK31" s="74">
        <v>0</v>
      </c>
      <c r="BL31" s="74">
        <v>0</v>
      </c>
      <c r="BM31" s="74">
        <v>0</v>
      </c>
      <c r="BN31" s="74">
        <f t="shared" si="11"/>
        <v>0</v>
      </c>
      <c r="BO31" s="74">
        <v>0</v>
      </c>
      <c r="BP31" s="74">
        <v>0</v>
      </c>
      <c r="BQ31" s="74">
        <f t="shared" si="40"/>
        <v>0</v>
      </c>
      <c r="BR31" s="74">
        <v>0</v>
      </c>
      <c r="BS31" s="74">
        <v>0</v>
      </c>
      <c r="BT31" s="74">
        <v>0</v>
      </c>
      <c r="BU31" s="74">
        <v>0</v>
      </c>
      <c r="BV31" s="74">
        <v>0</v>
      </c>
      <c r="BW31" s="74">
        <v>0</v>
      </c>
      <c r="BX31" s="74">
        <v>0</v>
      </c>
      <c r="BY31" s="74">
        <v>0</v>
      </c>
      <c r="BZ31" s="74">
        <v>0</v>
      </c>
      <c r="CA31" s="75">
        <v>0</v>
      </c>
      <c r="CB31" s="75">
        <v>0</v>
      </c>
      <c r="CC31" s="74">
        <f t="shared" si="41"/>
        <v>74963</v>
      </c>
      <c r="CD31" s="74">
        <f t="shared" si="42"/>
        <v>74963</v>
      </c>
      <c r="CE31" s="74">
        <f t="shared" si="12"/>
        <v>74963</v>
      </c>
      <c r="CF31" s="74">
        <v>0</v>
      </c>
      <c r="CG31" s="75">
        <v>74963</v>
      </c>
      <c r="CH31" s="74">
        <f t="shared" si="43"/>
        <v>0</v>
      </c>
      <c r="CI31" s="74">
        <v>0</v>
      </c>
      <c r="CJ31" s="74">
        <v>0</v>
      </c>
      <c r="CK31" s="74"/>
      <c r="CL31" s="74">
        <v>0</v>
      </c>
      <c r="CM31" s="74">
        <v>0</v>
      </c>
      <c r="CN31" s="74">
        <f t="shared" si="44"/>
        <v>0</v>
      </c>
      <c r="CO31" s="74">
        <v>0</v>
      </c>
      <c r="CP31" s="74">
        <v>0</v>
      </c>
      <c r="CQ31" s="74"/>
      <c r="CR31" s="74"/>
      <c r="CS31" s="74"/>
      <c r="CT31" s="74"/>
      <c r="CU31" s="74">
        <v>0</v>
      </c>
      <c r="CV31" s="74"/>
      <c r="CW31" s="74"/>
      <c r="CX31" s="74"/>
      <c r="CY31" s="74"/>
      <c r="CZ31" s="74">
        <f t="shared" si="13"/>
        <v>0</v>
      </c>
      <c r="DA31" s="74">
        <f t="shared" si="14"/>
        <v>0</v>
      </c>
      <c r="DB31" s="74">
        <v>0</v>
      </c>
      <c r="DC31" s="77">
        <v>0</v>
      </c>
    </row>
    <row r="32" spans="1:108" s="78" customFormat="1" ht="15.6" x14ac:dyDescent="0.3">
      <c r="A32" s="96" t="s">
        <v>1</v>
      </c>
      <c r="B32" s="71" t="s">
        <v>66</v>
      </c>
      <c r="C32" s="72" t="s">
        <v>67</v>
      </c>
      <c r="D32" s="74">
        <f t="shared" si="32"/>
        <v>1256211</v>
      </c>
      <c r="E32" s="74">
        <f t="shared" si="33"/>
        <v>1254091</v>
      </c>
      <c r="F32" s="74">
        <f t="shared" si="34"/>
        <v>1254091</v>
      </c>
      <c r="G32" s="74">
        <v>931630</v>
      </c>
      <c r="H32" s="74">
        <v>219585</v>
      </c>
      <c r="I32" s="74">
        <f t="shared" si="9"/>
        <v>26035</v>
      </c>
      <c r="J32" s="75">
        <v>0</v>
      </c>
      <c r="K32" s="75">
        <v>0</v>
      </c>
      <c r="L32" s="75"/>
      <c r="M32" s="75"/>
      <c r="N32" s="75">
        <v>15035</v>
      </c>
      <c r="O32" s="75">
        <v>11000</v>
      </c>
      <c r="P32" s="74">
        <f t="shared" si="10"/>
        <v>0</v>
      </c>
      <c r="Q32" s="75">
        <v>0</v>
      </c>
      <c r="R32" s="75">
        <v>0</v>
      </c>
      <c r="S32" s="75">
        <v>0</v>
      </c>
      <c r="T32" s="75">
        <v>15799</v>
      </c>
      <c r="U32" s="74">
        <f t="shared" si="35"/>
        <v>41637</v>
      </c>
      <c r="V32" s="75">
        <v>0</v>
      </c>
      <c r="W32" s="75">
        <f>10131+3640</f>
        <v>13771</v>
      </c>
      <c r="X32" s="75">
        <f>14472+11525</f>
        <v>25997</v>
      </c>
      <c r="Y32" s="75">
        <f>1475+394</f>
        <v>1869</v>
      </c>
      <c r="Z32" s="75">
        <v>0</v>
      </c>
      <c r="AA32" s="75">
        <v>0</v>
      </c>
      <c r="AB32" s="75">
        <v>0</v>
      </c>
      <c r="AC32" s="75">
        <v>0</v>
      </c>
      <c r="AD32" s="74">
        <f t="shared" si="36"/>
        <v>19405</v>
      </c>
      <c r="AE32" s="74">
        <v>0</v>
      </c>
      <c r="AF32" s="76">
        <v>0</v>
      </c>
      <c r="AG32" s="75">
        <v>2600</v>
      </c>
      <c r="AH32" s="75">
        <v>0</v>
      </c>
      <c r="AI32" s="75">
        <v>0</v>
      </c>
      <c r="AJ32" s="75">
        <v>0</v>
      </c>
      <c r="AK32" s="75">
        <v>0</v>
      </c>
      <c r="AL32" s="75">
        <v>0</v>
      </c>
      <c r="AM32" s="75">
        <v>0</v>
      </c>
      <c r="AN32" s="75">
        <v>5238</v>
      </c>
      <c r="AO32" s="75">
        <v>0</v>
      </c>
      <c r="AP32" s="75">
        <v>0</v>
      </c>
      <c r="AQ32" s="75">
        <v>0</v>
      </c>
      <c r="AR32" s="75">
        <v>11237</v>
      </c>
      <c r="AS32" s="75">
        <v>0</v>
      </c>
      <c r="AT32" s="75">
        <v>0</v>
      </c>
      <c r="AU32" s="75">
        <v>0</v>
      </c>
      <c r="AV32" s="75">
        <v>0</v>
      </c>
      <c r="AW32" s="75">
        <v>0</v>
      </c>
      <c r="AX32" s="75">
        <v>0</v>
      </c>
      <c r="AY32" s="75">
        <v>330</v>
      </c>
      <c r="AZ32" s="75"/>
      <c r="BA32" s="75"/>
      <c r="BB32" s="75"/>
      <c r="BC32" s="74">
        <f t="shared" si="37"/>
        <v>0</v>
      </c>
      <c r="BD32" s="74">
        <f t="shared" si="38"/>
        <v>0</v>
      </c>
      <c r="BE32" s="74">
        <v>0</v>
      </c>
      <c r="BF32" s="74">
        <v>0</v>
      </c>
      <c r="BG32" s="74">
        <v>0</v>
      </c>
      <c r="BH32" s="74">
        <f t="shared" si="39"/>
        <v>0</v>
      </c>
      <c r="BI32" s="74">
        <v>0</v>
      </c>
      <c r="BJ32" s="74">
        <v>0</v>
      </c>
      <c r="BK32" s="74">
        <v>0</v>
      </c>
      <c r="BL32" s="74">
        <v>0</v>
      </c>
      <c r="BM32" s="74">
        <v>0</v>
      </c>
      <c r="BN32" s="74">
        <f t="shared" si="11"/>
        <v>0</v>
      </c>
      <c r="BO32" s="74">
        <v>0</v>
      </c>
      <c r="BP32" s="74">
        <v>0</v>
      </c>
      <c r="BQ32" s="74">
        <f t="shared" si="40"/>
        <v>0</v>
      </c>
      <c r="BR32" s="74">
        <v>0</v>
      </c>
      <c r="BS32" s="74">
        <v>0</v>
      </c>
      <c r="BT32" s="74">
        <v>0</v>
      </c>
      <c r="BU32" s="74">
        <v>0</v>
      </c>
      <c r="BV32" s="74">
        <v>0</v>
      </c>
      <c r="BW32" s="74">
        <v>0</v>
      </c>
      <c r="BX32" s="74">
        <v>0</v>
      </c>
      <c r="BY32" s="74">
        <v>0</v>
      </c>
      <c r="BZ32" s="74">
        <v>0</v>
      </c>
      <c r="CA32" s="75">
        <v>0</v>
      </c>
      <c r="CB32" s="75">
        <v>0</v>
      </c>
      <c r="CC32" s="74">
        <f t="shared" si="41"/>
        <v>2120</v>
      </c>
      <c r="CD32" s="74">
        <f t="shared" si="42"/>
        <v>2120</v>
      </c>
      <c r="CE32" s="74">
        <f t="shared" si="12"/>
        <v>2120</v>
      </c>
      <c r="CF32" s="74">
        <v>0</v>
      </c>
      <c r="CG32" s="75">
        <v>2120</v>
      </c>
      <c r="CH32" s="74">
        <f t="shared" si="43"/>
        <v>0</v>
      </c>
      <c r="CI32" s="74">
        <v>0</v>
      </c>
      <c r="CJ32" s="74">
        <v>0</v>
      </c>
      <c r="CK32" s="74">
        <v>0</v>
      </c>
      <c r="CL32" s="74">
        <v>0</v>
      </c>
      <c r="CM32" s="74">
        <v>0</v>
      </c>
      <c r="CN32" s="74">
        <f t="shared" si="44"/>
        <v>0</v>
      </c>
      <c r="CO32" s="74">
        <v>0</v>
      </c>
      <c r="CP32" s="74">
        <v>0</v>
      </c>
      <c r="CQ32" s="74"/>
      <c r="CR32" s="74"/>
      <c r="CS32" s="74"/>
      <c r="CT32" s="74"/>
      <c r="CU32" s="74">
        <v>0</v>
      </c>
      <c r="CV32" s="74"/>
      <c r="CW32" s="74"/>
      <c r="CX32" s="74"/>
      <c r="CY32" s="74"/>
      <c r="CZ32" s="74">
        <f t="shared" si="13"/>
        <v>0</v>
      </c>
      <c r="DA32" s="74">
        <f t="shared" si="14"/>
        <v>0</v>
      </c>
      <c r="DB32" s="74">
        <v>0</v>
      </c>
      <c r="DC32" s="77">
        <v>0</v>
      </c>
    </row>
    <row r="33" spans="1:108" s="52" customFormat="1" ht="31.2" x14ac:dyDescent="0.3">
      <c r="A33" s="97" t="s">
        <v>1</v>
      </c>
      <c r="B33" s="36" t="s">
        <v>68</v>
      </c>
      <c r="C33" s="37" t="s">
        <v>69</v>
      </c>
      <c r="D33" s="39">
        <f t="shared" si="32"/>
        <v>11918793</v>
      </c>
      <c r="E33" s="39">
        <f t="shared" si="33"/>
        <v>11918793</v>
      </c>
      <c r="F33" s="39">
        <f t="shared" si="34"/>
        <v>11918793</v>
      </c>
      <c r="G33" s="39">
        <v>9307946</v>
      </c>
      <c r="H33" s="39">
        <v>2241447</v>
      </c>
      <c r="I33" s="39">
        <f t="shared" si="9"/>
        <v>18659</v>
      </c>
      <c r="J33" s="35">
        <v>0</v>
      </c>
      <c r="K33" s="35">
        <v>0</v>
      </c>
      <c r="L33" s="35"/>
      <c r="M33" s="35"/>
      <c r="N33" s="35">
        <v>15286</v>
      </c>
      <c r="O33" s="35">
        <v>3373</v>
      </c>
      <c r="P33" s="39">
        <f t="shared" si="10"/>
        <v>0</v>
      </c>
      <c r="Q33" s="35">
        <v>0</v>
      </c>
      <c r="R33" s="35">
        <v>0</v>
      </c>
      <c r="S33" s="35">
        <v>0</v>
      </c>
      <c r="T33" s="35">
        <v>23628</v>
      </c>
      <c r="U33" s="39">
        <f t="shared" si="35"/>
        <v>160491</v>
      </c>
      <c r="V33" s="35">
        <v>0</v>
      </c>
      <c r="W33" s="35">
        <f>106846+48281</f>
        <v>155127</v>
      </c>
      <c r="X33" s="35">
        <f>1431+1149</f>
        <v>2580</v>
      </c>
      <c r="Y33" s="35">
        <f>61+132</f>
        <v>193</v>
      </c>
      <c r="Z33" s="35">
        <v>2591</v>
      </c>
      <c r="AA33" s="35">
        <v>0</v>
      </c>
      <c r="AB33" s="35">
        <v>0</v>
      </c>
      <c r="AC33" s="35">
        <v>0</v>
      </c>
      <c r="AD33" s="39">
        <f t="shared" si="36"/>
        <v>166622</v>
      </c>
      <c r="AE33" s="39">
        <v>0</v>
      </c>
      <c r="AF33" s="40">
        <v>0</v>
      </c>
      <c r="AG33" s="35">
        <v>0</v>
      </c>
      <c r="AH33" s="35">
        <v>0</v>
      </c>
      <c r="AI33" s="35">
        <v>0</v>
      </c>
      <c r="AJ33" s="35">
        <v>0</v>
      </c>
      <c r="AK33" s="35">
        <v>0</v>
      </c>
      <c r="AL33" s="35">
        <v>0</v>
      </c>
      <c r="AM33" s="35">
        <v>0</v>
      </c>
      <c r="AN33" s="35">
        <v>5244</v>
      </c>
      <c r="AO33" s="35">
        <v>0</v>
      </c>
      <c r="AP33" s="35">
        <v>0</v>
      </c>
      <c r="AQ33" s="35">
        <v>0</v>
      </c>
      <c r="AR33" s="35">
        <v>10000</v>
      </c>
      <c r="AS33" s="35">
        <v>0</v>
      </c>
      <c r="AT33" s="35">
        <v>0</v>
      </c>
      <c r="AU33" s="35">
        <v>0</v>
      </c>
      <c r="AV33" s="35">
        <v>0</v>
      </c>
      <c r="AW33" s="35">
        <v>151378</v>
      </c>
      <c r="AX33" s="35">
        <v>0</v>
      </c>
      <c r="AY33" s="35">
        <v>0</v>
      </c>
      <c r="AZ33" s="35"/>
      <c r="BA33" s="35"/>
      <c r="BB33" s="35"/>
      <c r="BC33" s="39">
        <f t="shared" si="37"/>
        <v>0</v>
      </c>
      <c r="BD33" s="39">
        <f t="shared" si="38"/>
        <v>0</v>
      </c>
      <c r="BE33" s="39">
        <v>0</v>
      </c>
      <c r="BF33" s="39">
        <v>0</v>
      </c>
      <c r="BG33" s="39">
        <v>0</v>
      </c>
      <c r="BH33" s="39">
        <f t="shared" si="39"/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f t="shared" si="11"/>
        <v>0</v>
      </c>
      <c r="BO33" s="39">
        <v>0</v>
      </c>
      <c r="BP33" s="39">
        <v>0</v>
      </c>
      <c r="BQ33" s="39">
        <f t="shared" si="40"/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5">
        <v>0</v>
      </c>
      <c r="CB33" s="35">
        <v>0</v>
      </c>
      <c r="CC33" s="39">
        <f t="shared" si="41"/>
        <v>0</v>
      </c>
      <c r="CD33" s="39">
        <f t="shared" si="42"/>
        <v>0</v>
      </c>
      <c r="CE33" s="39">
        <f t="shared" si="12"/>
        <v>0</v>
      </c>
      <c r="CF33" s="39">
        <v>0</v>
      </c>
      <c r="CG33" s="35">
        <v>0</v>
      </c>
      <c r="CH33" s="39">
        <f t="shared" si="43"/>
        <v>0</v>
      </c>
      <c r="CI33" s="39">
        <v>0</v>
      </c>
      <c r="CJ33" s="39">
        <v>0</v>
      </c>
      <c r="CK33" s="39">
        <v>0</v>
      </c>
      <c r="CL33" s="39">
        <v>0</v>
      </c>
      <c r="CM33" s="39">
        <v>0</v>
      </c>
      <c r="CN33" s="39">
        <f t="shared" si="44"/>
        <v>0</v>
      </c>
      <c r="CO33" s="39">
        <v>0</v>
      </c>
      <c r="CP33" s="39">
        <v>0</v>
      </c>
      <c r="CQ33" s="39"/>
      <c r="CR33" s="39"/>
      <c r="CS33" s="39"/>
      <c r="CT33" s="39"/>
      <c r="CU33" s="39">
        <v>0</v>
      </c>
      <c r="CV33" s="39"/>
      <c r="CW33" s="39"/>
      <c r="CX33" s="39"/>
      <c r="CY33" s="39"/>
      <c r="CZ33" s="39">
        <f t="shared" si="13"/>
        <v>0</v>
      </c>
      <c r="DA33" s="39">
        <f t="shared" si="14"/>
        <v>0</v>
      </c>
      <c r="DB33" s="39">
        <v>0</v>
      </c>
      <c r="DC33" s="41">
        <v>0</v>
      </c>
    </row>
    <row r="34" spans="1:108" s="52" customFormat="1" ht="31.2" x14ac:dyDescent="0.3">
      <c r="A34" s="97" t="s">
        <v>1</v>
      </c>
      <c r="B34" s="36" t="s">
        <v>70</v>
      </c>
      <c r="C34" s="37" t="s">
        <v>71</v>
      </c>
      <c r="D34" s="39">
        <f t="shared" si="32"/>
        <v>3396128</v>
      </c>
      <c r="E34" s="39">
        <f t="shared" si="33"/>
        <v>3358303</v>
      </c>
      <c r="F34" s="39">
        <f t="shared" si="34"/>
        <v>3356003</v>
      </c>
      <c r="G34" s="39">
        <v>2166768</v>
      </c>
      <c r="H34" s="39">
        <v>539313</v>
      </c>
      <c r="I34" s="39">
        <f t="shared" si="9"/>
        <v>31830</v>
      </c>
      <c r="J34" s="35">
        <v>0</v>
      </c>
      <c r="K34" s="35">
        <v>0</v>
      </c>
      <c r="L34" s="35"/>
      <c r="M34" s="35"/>
      <c r="N34" s="35">
        <v>28610</v>
      </c>
      <c r="O34" s="35">
        <v>3220</v>
      </c>
      <c r="P34" s="39">
        <f t="shared" si="10"/>
        <v>0</v>
      </c>
      <c r="Q34" s="35">
        <v>0</v>
      </c>
      <c r="R34" s="35">
        <v>0</v>
      </c>
      <c r="S34" s="35">
        <v>0</v>
      </c>
      <c r="T34" s="35">
        <v>28654</v>
      </c>
      <c r="U34" s="39">
        <f t="shared" si="35"/>
        <v>346756</v>
      </c>
      <c r="V34" s="35">
        <v>145833</v>
      </c>
      <c r="W34" s="35">
        <f>128480+25974</f>
        <v>154454</v>
      </c>
      <c r="X34" s="35">
        <f>23550+12626</f>
        <v>36176</v>
      </c>
      <c r="Y34" s="35">
        <f>3434+1699</f>
        <v>5133</v>
      </c>
      <c r="Z34" s="35">
        <v>5160</v>
      </c>
      <c r="AA34" s="35">
        <v>0</v>
      </c>
      <c r="AB34" s="35">
        <v>0</v>
      </c>
      <c r="AC34" s="35">
        <v>0</v>
      </c>
      <c r="AD34" s="39">
        <f t="shared" si="36"/>
        <v>242682</v>
      </c>
      <c r="AE34" s="39">
        <v>0</v>
      </c>
      <c r="AF34" s="40">
        <v>0</v>
      </c>
      <c r="AG34" s="35">
        <v>0</v>
      </c>
      <c r="AH34" s="35">
        <v>0</v>
      </c>
      <c r="AI34" s="35">
        <v>0</v>
      </c>
      <c r="AJ34" s="35">
        <v>170</v>
      </c>
      <c r="AK34" s="35">
        <v>0</v>
      </c>
      <c r="AL34" s="35">
        <v>600</v>
      </c>
      <c r="AM34" s="35">
        <v>15000</v>
      </c>
      <c r="AN34" s="35">
        <v>12212</v>
      </c>
      <c r="AO34" s="35">
        <v>0</v>
      </c>
      <c r="AP34" s="35">
        <v>0</v>
      </c>
      <c r="AQ34" s="35">
        <v>214700</v>
      </c>
      <c r="AR34" s="35">
        <v>0</v>
      </c>
      <c r="AS34" s="35">
        <v>0</v>
      </c>
      <c r="AT34" s="35">
        <v>0</v>
      </c>
      <c r="AU34" s="35">
        <v>0</v>
      </c>
      <c r="AV34" s="35">
        <v>0</v>
      </c>
      <c r="AW34" s="35">
        <v>0</v>
      </c>
      <c r="AX34" s="35">
        <v>0</v>
      </c>
      <c r="AY34" s="35">
        <v>0</v>
      </c>
      <c r="AZ34" s="35"/>
      <c r="BA34" s="35"/>
      <c r="BB34" s="35"/>
      <c r="BC34" s="39">
        <f t="shared" si="37"/>
        <v>2300</v>
      </c>
      <c r="BD34" s="39">
        <f t="shared" si="38"/>
        <v>0</v>
      </c>
      <c r="BE34" s="39">
        <v>0</v>
      </c>
      <c r="BF34" s="39">
        <v>0</v>
      </c>
      <c r="BG34" s="39">
        <v>0</v>
      </c>
      <c r="BH34" s="39">
        <f t="shared" si="39"/>
        <v>0</v>
      </c>
      <c r="BI34" s="39">
        <v>0</v>
      </c>
      <c r="BJ34" s="39">
        <v>0</v>
      </c>
      <c r="BK34" s="39">
        <v>0</v>
      </c>
      <c r="BL34" s="39">
        <v>0</v>
      </c>
      <c r="BM34" s="39">
        <v>0</v>
      </c>
      <c r="BN34" s="39">
        <f t="shared" si="11"/>
        <v>0</v>
      </c>
      <c r="BO34" s="39">
        <v>0</v>
      </c>
      <c r="BP34" s="39">
        <v>0</v>
      </c>
      <c r="BQ34" s="39">
        <f t="shared" si="40"/>
        <v>2300</v>
      </c>
      <c r="BR34" s="39">
        <v>0</v>
      </c>
      <c r="BS34" s="39">
        <v>0</v>
      </c>
      <c r="BT34" s="39">
        <v>0</v>
      </c>
      <c r="BU34" s="39">
        <v>0</v>
      </c>
      <c r="BV34" s="39">
        <v>0</v>
      </c>
      <c r="BW34" s="39">
        <v>0</v>
      </c>
      <c r="BX34" s="39">
        <v>0</v>
      </c>
      <c r="BY34" s="39">
        <v>0</v>
      </c>
      <c r="BZ34" s="39">
        <v>0</v>
      </c>
      <c r="CA34" s="35">
        <v>2300</v>
      </c>
      <c r="CB34" s="39">
        <v>0</v>
      </c>
      <c r="CC34" s="39">
        <f t="shared" si="41"/>
        <v>37825</v>
      </c>
      <c r="CD34" s="39">
        <f t="shared" si="42"/>
        <v>37825</v>
      </c>
      <c r="CE34" s="39">
        <f t="shared" si="12"/>
        <v>37825</v>
      </c>
      <c r="CF34" s="39">
        <v>0</v>
      </c>
      <c r="CG34" s="35">
        <v>37825</v>
      </c>
      <c r="CH34" s="39">
        <f t="shared" si="43"/>
        <v>0</v>
      </c>
      <c r="CI34" s="39">
        <v>0</v>
      </c>
      <c r="CJ34" s="39">
        <v>0</v>
      </c>
      <c r="CK34" s="39">
        <v>0</v>
      </c>
      <c r="CL34" s="39">
        <v>0</v>
      </c>
      <c r="CM34" s="39">
        <v>0</v>
      </c>
      <c r="CN34" s="39">
        <f t="shared" si="44"/>
        <v>0</v>
      </c>
      <c r="CO34" s="39">
        <v>0</v>
      </c>
      <c r="CP34" s="39">
        <v>0</v>
      </c>
      <c r="CQ34" s="39"/>
      <c r="CR34" s="39"/>
      <c r="CS34" s="39"/>
      <c r="CT34" s="39"/>
      <c r="CU34" s="39">
        <v>0</v>
      </c>
      <c r="CV34" s="39"/>
      <c r="CW34" s="39"/>
      <c r="CX34" s="39"/>
      <c r="CY34" s="39"/>
      <c r="CZ34" s="39">
        <f t="shared" si="13"/>
        <v>0</v>
      </c>
      <c r="DA34" s="39">
        <f t="shared" si="14"/>
        <v>0</v>
      </c>
      <c r="DB34" s="39">
        <v>0</v>
      </c>
      <c r="DC34" s="41">
        <v>0</v>
      </c>
    </row>
    <row r="35" spans="1:108" s="52" customFormat="1" ht="31.2" x14ac:dyDescent="0.3">
      <c r="A35" s="97" t="s">
        <v>1</v>
      </c>
      <c r="B35" s="36" t="s">
        <v>72</v>
      </c>
      <c r="C35" s="37" t="s">
        <v>426</v>
      </c>
      <c r="D35" s="39">
        <f t="shared" si="32"/>
        <v>5772824</v>
      </c>
      <c r="E35" s="39">
        <f t="shared" si="33"/>
        <v>5736511</v>
      </c>
      <c r="F35" s="39">
        <f t="shared" si="34"/>
        <v>5736511</v>
      </c>
      <c r="G35" s="39">
        <v>4124316</v>
      </c>
      <c r="H35" s="39">
        <v>982126</v>
      </c>
      <c r="I35" s="39">
        <f t="shared" si="9"/>
        <v>349466</v>
      </c>
      <c r="J35" s="35">
        <v>0</v>
      </c>
      <c r="K35" s="35"/>
      <c r="L35" s="35"/>
      <c r="M35" s="35"/>
      <c r="N35" s="35">
        <v>314334</v>
      </c>
      <c r="O35" s="35">
        <v>35132</v>
      </c>
      <c r="P35" s="39">
        <f t="shared" si="10"/>
        <v>0</v>
      </c>
      <c r="Q35" s="35">
        <v>0</v>
      </c>
      <c r="R35" s="35">
        <v>0</v>
      </c>
      <c r="S35" s="35">
        <v>0</v>
      </c>
      <c r="T35" s="35">
        <v>42193</v>
      </c>
      <c r="U35" s="39">
        <f t="shared" si="35"/>
        <v>127577</v>
      </c>
      <c r="V35" s="35">
        <v>0</v>
      </c>
      <c r="W35" s="35">
        <f>50721+5666</f>
        <v>56387</v>
      </c>
      <c r="X35" s="35">
        <f>46883+18618</f>
        <v>65501</v>
      </c>
      <c r="Y35" s="35">
        <f>1309+498</f>
        <v>1807</v>
      </c>
      <c r="Z35" s="35">
        <v>3882</v>
      </c>
      <c r="AA35" s="35">
        <v>0</v>
      </c>
      <c r="AB35" s="35">
        <v>0</v>
      </c>
      <c r="AC35" s="35">
        <v>0</v>
      </c>
      <c r="AD35" s="39">
        <f t="shared" si="36"/>
        <v>110833</v>
      </c>
      <c r="AE35" s="39">
        <v>0</v>
      </c>
      <c r="AF35" s="40">
        <v>0</v>
      </c>
      <c r="AG35" s="35">
        <v>10000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8730</v>
      </c>
      <c r="AO35" s="35">
        <v>0</v>
      </c>
      <c r="AP35" s="35">
        <v>0</v>
      </c>
      <c r="AQ35" s="35">
        <v>483</v>
      </c>
      <c r="AR35" s="35">
        <v>44649</v>
      </c>
      <c r="AS35" s="35">
        <v>0</v>
      </c>
      <c r="AT35" s="35">
        <v>0</v>
      </c>
      <c r="AU35" s="35">
        <v>0</v>
      </c>
      <c r="AV35" s="35">
        <v>0</v>
      </c>
      <c r="AW35" s="35">
        <v>0</v>
      </c>
      <c r="AX35" s="35">
        <v>0</v>
      </c>
      <c r="AY35" s="35">
        <f>971+46000</f>
        <v>46971</v>
      </c>
      <c r="AZ35" s="35"/>
      <c r="BA35" s="35"/>
      <c r="BB35" s="35"/>
      <c r="BC35" s="39">
        <f t="shared" si="37"/>
        <v>0</v>
      </c>
      <c r="BD35" s="39">
        <f t="shared" si="38"/>
        <v>0</v>
      </c>
      <c r="BE35" s="39">
        <v>0</v>
      </c>
      <c r="BF35" s="39">
        <v>0</v>
      </c>
      <c r="BG35" s="39">
        <v>0</v>
      </c>
      <c r="BH35" s="39">
        <f t="shared" si="39"/>
        <v>0</v>
      </c>
      <c r="BI35" s="39">
        <v>0</v>
      </c>
      <c r="BJ35" s="39">
        <v>0</v>
      </c>
      <c r="BK35" s="39">
        <v>0</v>
      </c>
      <c r="BL35" s="39">
        <v>0</v>
      </c>
      <c r="BM35" s="39">
        <v>0</v>
      </c>
      <c r="BN35" s="39">
        <f t="shared" si="11"/>
        <v>0</v>
      </c>
      <c r="BO35" s="39">
        <v>0</v>
      </c>
      <c r="BP35" s="39">
        <v>0</v>
      </c>
      <c r="BQ35" s="39">
        <f t="shared" si="40"/>
        <v>0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5">
        <v>0</v>
      </c>
      <c r="CB35" s="39">
        <v>0</v>
      </c>
      <c r="CC35" s="39">
        <f t="shared" si="41"/>
        <v>36313</v>
      </c>
      <c r="CD35" s="39">
        <f t="shared" si="42"/>
        <v>36313</v>
      </c>
      <c r="CE35" s="39">
        <f t="shared" si="12"/>
        <v>36313</v>
      </c>
      <c r="CF35" s="39">
        <v>0</v>
      </c>
      <c r="CG35" s="35">
        <f>82313-46000</f>
        <v>36313</v>
      </c>
      <c r="CH35" s="39">
        <f t="shared" si="43"/>
        <v>0</v>
      </c>
      <c r="CI35" s="39">
        <v>0</v>
      </c>
      <c r="CJ35" s="39">
        <v>0</v>
      </c>
      <c r="CK35" s="39">
        <v>0</v>
      </c>
      <c r="CL35" s="39">
        <v>0</v>
      </c>
      <c r="CM35" s="39">
        <v>0</v>
      </c>
      <c r="CN35" s="39">
        <f t="shared" si="44"/>
        <v>0</v>
      </c>
      <c r="CO35" s="39">
        <v>0</v>
      </c>
      <c r="CP35" s="39">
        <v>0</v>
      </c>
      <c r="CQ35" s="39"/>
      <c r="CR35" s="39"/>
      <c r="CS35" s="39"/>
      <c r="CT35" s="39"/>
      <c r="CU35" s="39">
        <v>0</v>
      </c>
      <c r="CV35" s="39"/>
      <c r="CW35" s="39"/>
      <c r="CX35" s="39"/>
      <c r="CY35" s="39"/>
      <c r="CZ35" s="39">
        <f t="shared" si="13"/>
        <v>0</v>
      </c>
      <c r="DA35" s="39">
        <f t="shared" si="14"/>
        <v>0</v>
      </c>
      <c r="DB35" s="39">
        <v>0</v>
      </c>
      <c r="DC35" s="41">
        <v>0</v>
      </c>
    </row>
    <row r="36" spans="1:108" s="52" customFormat="1" ht="31.2" x14ac:dyDescent="0.3">
      <c r="A36" s="97" t="s">
        <v>1</v>
      </c>
      <c r="B36" s="36" t="s">
        <v>73</v>
      </c>
      <c r="C36" s="37" t="s">
        <v>74</v>
      </c>
      <c r="D36" s="39">
        <f t="shared" si="32"/>
        <v>935098</v>
      </c>
      <c r="E36" s="39">
        <f t="shared" si="33"/>
        <v>933098</v>
      </c>
      <c r="F36" s="39">
        <f t="shared" si="34"/>
        <v>930165</v>
      </c>
      <c r="G36" s="39">
        <v>652147</v>
      </c>
      <c r="H36" s="39">
        <v>147450</v>
      </c>
      <c r="I36" s="39">
        <f t="shared" si="9"/>
        <v>5500</v>
      </c>
      <c r="J36" s="35">
        <v>0</v>
      </c>
      <c r="K36" s="35"/>
      <c r="L36" s="35"/>
      <c r="M36" s="35"/>
      <c r="N36" s="35">
        <v>0</v>
      </c>
      <c r="O36" s="35">
        <v>5500</v>
      </c>
      <c r="P36" s="39">
        <f t="shared" si="10"/>
        <v>0</v>
      </c>
      <c r="Q36" s="35">
        <v>0</v>
      </c>
      <c r="R36" s="35">
        <v>0</v>
      </c>
      <c r="S36" s="35">
        <v>0</v>
      </c>
      <c r="T36" s="35">
        <v>9960</v>
      </c>
      <c r="U36" s="39">
        <f t="shared" si="35"/>
        <v>24216</v>
      </c>
      <c r="V36" s="35">
        <v>0</v>
      </c>
      <c r="W36" s="35">
        <f>9583+2312</f>
        <v>11895</v>
      </c>
      <c r="X36" s="35">
        <f>7554+3141</f>
        <v>10695</v>
      </c>
      <c r="Y36" s="35">
        <f>707+224</f>
        <v>931</v>
      </c>
      <c r="Z36" s="35">
        <v>695</v>
      </c>
      <c r="AA36" s="35">
        <v>0</v>
      </c>
      <c r="AB36" s="35">
        <v>0</v>
      </c>
      <c r="AC36" s="35">
        <v>0</v>
      </c>
      <c r="AD36" s="39">
        <f t="shared" si="36"/>
        <v>90892</v>
      </c>
      <c r="AE36" s="39">
        <v>0</v>
      </c>
      <c r="AF36" s="40">
        <v>0</v>
      </c>
      <c r="AG36" s="35">
        <v>1300</v>
      </c>
      <c r="AH36" s="35">
        <v>0</v>
      </c>
      <c r="AI36" s="35">
        <v>0</v>
      </c>
      <c r="AJ36" s="35">
        <v>0</v>
      </c>
      <c r="AK36" s="35">
        <v>0</v>
      </c>
      <c r="AL36" s="35">
        <v>0</v>
      </c>
      <c r="AM36" s="35">
        <v>0</v>
      </c>
      <c r="AN36" s="35">
        <v>8730</v>
      </c>
      <c r="AO36" s="35">
        <v>0</v>
      </c>
      <c r="AP36" s="35">
        <v>0</v>
      </c>
      <c r="AQ36" s="35">
        <v>18346</v>
      </c>
      <c r="AR36" s="35">
        <v>0</v>
      </c>
      <c r="AS36" s="35">
        <v>0</v>
      </c>
      <c r="AT36" s="35">
        <v>0</v>
      </c>
      <c r="AU36" s="35">
        <v>0</v>
      </c>
      <c r="AV36" s="35">
        <v>0</v>
      </c>
      <c r="AW36" s="35">
        <v>0</v>
      </c>
      <c r="AX36" s="35">
        <v>62316</v>
      </c>
      <c r="AY36" s="35">
        <v>200</v>
      </c>
      <c r="AZ36" s="35"/>
      <c r="BA36" s="35"/>
      <c r="BB36" s="35"/>
      <c r="BC36" s="39">
        <f t="shared" si="37"/>
        <v>2933</v>
      </c>
      <c r="BD36" s="39">
        <f t="shared" si="38"/>
        <v>0</v>
      </c>
      <c r="BE36" s="39">
        <v>0</v>
      </c>
      <c r="BF36" s="39">
        <v>0</v>
      </c>
      <c r="BG36" s="39">
        <v>0</v>
      </c>
      <c r="BH36" s="39">
        <f t="shared" si="39"/>
        <v>0</v>
      </c>
      <c r="BI36" s="39">
        <v>0</v>
      </c>
      <c r="BJ36" s="39">
        <v>0</v>
      </c>
      <c r="BK36" s="39">
        <v>0</v>
      </c>
      <c r="BL36" s="39">
        <v>0</v>
      </c>
      <c r="BM36" s="39">
        <v>0</v>
      </c>
      <c r="BN36" s="39">
        <f t="shared" si="11"/>
        <v>0</v>
      </c>
      <c r="BO36" s="39">
        <v>0</v>
      </c>
      <c r="BP36" s="39">
        <v>0</v>
      </c>
      <c r="BQ36" s="39">
        <f t="shared" si="40"/>
        <v>2933</v>
      </c>
      <c r="BR36" s="39">
        <v>0</v>
      </c>
      <c r="BS36" s="39">
        <v>0</v>
      </c>
      <c r="BT36" s="39">
        <v>0</v>
      </c>
      <c r="BU36" s="39">
        <v>0</v>
      </c>
      <c r="BV36" s="39">
        <v>0</v>
      </c>
      <c r="BW36" s="39">
        <v>0</v>
      </c>
      <c r="BX36" s="39">
        <v>0</v>
      </c>
      <c r="BY36" s="39">
        <v>0</v>
      </c>
      <c r="BZ36" s="39">
        <v>0</v>
      </c>
      <c r="CA36" s="35">
        <v>2933</v>
      </c>
      <c r="CB36" s="39">
        <v>0</v>
      </c>
      <c r="CC36" s="39">
        <f t="shared" si="41"/>
        <v>2000</v>
      </c>
      <c r="CD36" s="39">
        <f t="shared" si="42"/>
        <v>2000</v>
      </c>
      <c r="CE36" s="39">
        <f t="shared" si="12"/>
        <v>2000</v>
      </c>
      <c r="CF36" s="39">
        <v>0</v>
      </c>
      <c r="CG36" s="35">
        <v>2000</v>
      </c>
      <c r="CH36" s="39">
        <f t="shared" si="43"/>
        <v>0</v>
      </c>
      <c r="CI36" s="39">
        <v>0</v>
      </c>
      <c r="CJ36" s="39">
        <v>0</v>
      </c>
      <c r="CK36" s="39">
        <v>0</v>
      </c>
      <c r="CL36" s="39">
        <v>0</v>
      </c>
      <c r="CM36" s="39">
        <v>0</v>
      </c>
      <c r="CN36" s="39">
        <f t="shared" si="44"/>
        <v>0</v>
      </c>
      <c r="CO36" s="39">
        <v>0</v>
      </c>
      <c r="CP36" s="39">
        <v>0</v>
      </c>
      <c r="CQ36" s="39"/>
      <c r="CR36" s="39"/>
      <c r="CS36" s="39"/>
      <c r="CT36" s="39"/>
      <c r="CU36" s="39">
        <v>0</v>
      </c>
      <c r="CV36" s="39"/>
      <c r="CW36" s="39"/>
      <c r="CX36" s="39"/>
      <c r="CY36" s="39"/>
      <c r="CZ36" s="39">
        <f t="shared" si="13"/>
        <v>0</v>
      </c>
      <c r="DA36" s="39">
        <f t="shared" si="14"/>
        <v>0</v>
      </c>
      <c r="DB36" s="39">
        <v>0</v>
      </c>
      <c r="DC36" s="41">
        <v>0</v>
      </c>
    </row>
    <row r="37" spans="1:108" s="52" customFormat="1" ht="31.2" x14ac:dyDescent="0.3">
      <c r="A37" s="97" t="s">
        <v>1</v>
      </c>
      <c r="B37" s="36" t="s">
        <v>76</v>
      </c>
      <c r="C37" s="37" t="s">
        <v>556</v>
      </c>
      <c r="D37" s="39">
        <f t="shared" si="32"/>
        <v>6236636</v>
      </c>
      <c r="E37" s="39">
        <f t="shared" si="33"/>
        <v>6236636</v>
      </c>
      <c r="F37" s="39">
        <f>SUM(G37+H37+I37+P37+S37+T37+U37+AD37)</f>
        <v>6236636</v>
      </c>
      <c r="G37" s="39">
        <v>4111834</v>
      </c>
      <c r="H37" s="39">
        <v>972986</v>
      </c>
      <c r="I37" s="39">
        <f t="shared" si="9"/>
        <v>199859</v>
      </c>
      <c r="J37" s="35">
        <v>0</v>
      </c>
      <c r="K37" s="35"/>
      <c r="L37" s="35"/>
      <c r="M37" s="35"/>
      <c r="N37" s="35">
        <v>94110</v>
      </c>
      <c r="O37" s="35">
        <v>105749</v>
      </c>
      <c r="P37" s="39">
        <f t="shared" si="10"/>
        <v>0</v>
      </c>
      <c r="Q37" s="35">
        <v>0</v>
      </c>
      <c r="R37" s="35">
        <v>0</v>
      </c>
      <c r="S37" s="35">
        <v>0</v>
      </c>
      <c r="T37" s="35">
        <v>46890</v>
      </c>
      <c r="U37" s="39">
        <f t="shared" si="35"/>
        <v>458290</v>
      </c>
      <c r="V37" s="35">
        <v>17114</v>
      </c>
      <c r="W37" s="35">
        <f>187321+47276</f>
        <v>234597</v>
      </c>
      <c r="X37" s="35">
        <f>161777+31254</f>
        <v>193031</v>
      </c>
      <c r="Y37" s="35">
        <f>9616+1802</f>
        <v>11418</v>
      </c>
      <c r="Z37" s="35">
        <v>2130</v>
      </c>
      <c r="AA37" s="35">
        <v>0</v>
      </c>
      <c r="AB37" s="35">
        <v>0</v>
      </c>
      <c r="AC37" s="35">
        <v>0</v>
      </c>
      <c r="AD37" s="39">
        <f t="shared" si="36"/>
        <v>446777</v>
      </c>
      <c r="AE37" s="39">
        <v>0</v>
      </c>
      <c r="AF37" s="40">
        <v>0</v>
      </c>
      <c r="AG37" s="35">
        <v>23223</v>
      </c>
      <c r="AH37" s="35">
        <v>3292</v>
      </c>
      <c r="AI37" s="35">
        <v>0</v>
      </c>
      <c r="AJ37" s="35">
        <v>4304</v>
      </c>
      <c r="AK37" s="35">
        <v>0</v>
      </c>
      <c r="AL37" s="35">
        <v>0</v>
      </c>
      <c r="AM37" s="35">
        <v>0</v>
      </c>
      <c r="AN37" s="35">
        <v>21534</v>
      </c>
      <c r="AO37" s="35">
        <v>0</v>
      </c>
      <c r="AP37" s="35">
        <v>0</v>
      </c>
      <c r="AQ37" s="35">
        <v>94891</v>
      </c>
      <c r="AR37" s="35">
        <v>152500</v>
      </c>
      <c r="AS37" s="35">
        <v>0</v>
      </c>
      <c r="AT37" s="35">
        <v>0</v>
      </c>
      <c r="AU37" s="35">
        <v>0</v>
      </c>
      <c r="AV37" s="35">
        <v>0</v>
      </c>
      <c r="AW37" s="35">
        <v>0</v>
      </c>
      <c r="AX37" s="35">
        <v>117645</v>
      </c>
      <c r="AY37" s="35">
        <v>29388</v>
      </c>
      <c r="AZ37" s="35"/>
      <c r="BA37" s="35"/>
      <c r="BB37" s="35"/>
      <c r="BC37" s="39">
        <f t="shared" si="37"/>
        <v>0</v>
      </c>
      <c r="BD37" s="39">
        <f t="shared" si="38"/>
        <v>0</v>
      </c>
      <c r="BE37" s="39">
        <v>0</v>
      </c>
      <c r="BF37" s="39">
        <v>0</v>
      </c>
      <c r="BG37" s="39">
        <v>0</v>
      </c>
      <c r="BH37" s="39">
        <f t="shared" si="39"/>
        <v>0</v>
      </c>
      <c r="BI37" s="39">
        <v>0</v>
      </c>
      <c r="BJ37" s="39">
        <v>0</v>
      </c>
      <c r="BK37" s="39">
        <v>0</v>
      </c>
      <c r="BL37" s="39">
        <v>0</v>
      </c>
      <c r="BM37" s="39">
        <v>0</v>
      </c>
      <c r="BN37" s="39">
        <f t="shared" si="11"/>
        <v>0</v>
      </c>
      <c r="BO37" s="39">
        <v>0</v>
      </c>
      <c r="BP37" s="39">
        <v>0</v>
      </c>
      <c r="BQ37" s="39">
        <f t="shared" si="40"/>
        <v>0</v>
      </c>
      <c r="BR37" s="39">
        <v>0</v>
      </c>
      <c r="BS37" s="39">
        <v>0</v>
      </c>
      <c r="BT37" s="39">
        <v>0</v>
      </c>
      <c r="BU37" s="39">
        <v>0</v>
      </c>
      <c r="BV37" s="39">
        <v>0</v>
      </c>
      <c r="BW37" s="39">
        <v>0</v>
      </c>
      <c r="BX37" s="39">
        <v>0</v>
      </c>
      <c r="BY37" s="39">
        <v>0</v>
      </c>
      <c r="BZ37" s="39">
        <v>0</v>
      </c>
      <c r="CA37" s="35">
        <v>0</v>
      </c>
      <c r="CB37" s="39">
        <v>0</v>
      </c>
      <c r="CC37" s="39">
        <f t="shared" si="41"/>
        <v>0</v>
      </c>
      <c r="CD37" s="39">
        <f t="shared" si="42"/>
        <v>0</v>
      </c>
      <c r="CE37" s="39">
        <f t="shared" si="12"/>
        <v>0</v>
      </c>
      <c r="CF37" s="39">
        <v>0</v>
      </c>
      <c r="CG37" s="35">
        <v>0</v>
      </c>
      <c r="CH37" s="39">
        <f t="shared" si="43"/>
        <v>0</v>
      </c>
      <c r="CI37" s="39">
        <v>0</v>
      </c>
      <c r="CJ37" s="39">
        <v>0</v>
      </c>
      <c r="CK37" s="39"/>
      <c r="CL37" s="39">
        <v>0</v>
      </c>
      <c r="CM37" s="39">
        <v>0</v>
      </c>
      <c r="CN37" s="39">
        <f t="shared" si="44"/>
        <v>0</v>
      </c>
      <c r="CO37" s="39">
        <v>0</v>
      </c>
      <c r="CP37" s="39"/>
      <c r="CQ37" s="39"/>
      <c r="CR37" s="39"/>
      <c r="CS37" s="39"/>
      <c r="CT37" s="39"/>
      <c r="CU37" s="39">
        <v>0</v>
      </c>
      <c r="CV37" s="39"/>
      <c r="CW37" s="39"/>
      <c r="CX37" s="39"/>
      <c r="CY37" s="39"/>
      <c r="CZ37" s="39">
        <f t="shared" si="13"/>
        <v>0</v>
      </c>
      <c r="DA37" s="39">
        <f t="shared" si="14"/>
        <v>0</v>
      </c>
      <c r="DB37" s="39">
        <v>0</v>
      </c>
      <c r="DC37" s="41">
        <v>0</v>
      </c>
    </row>
    <row r="38" spans="1:108" s="58" customFormat="1" ht="31.2" x14ac:dyDescent="0.3">
      <c r="A38" s="93" t="s">
        <v>77</v>
      </c>
      <c r="B38" s="16" t="s">
        <v>1</v>
      </c>
      <c r="C38" s="17" t="s">
        <v>78</v>
      </c>
      <c r="D38" s="18">
        <f>SUM(D39)</f>
        <v>46262848</v>
      </c>
      <c r="E38" s="18">
        <f t="shared" ref="E38:BW38" si="45">SUM(E39)</f>
        <v>46144796</v>
      </c>
      <c r="F38" s="18">
        <f t="shared" si="45"/>
        <v>44320201</v>
      </c>
      <c r="G38" s="18">
        <f t="shared" si="45"/>
        <v>35265853</v>
      </c>
      <c r="H38" s="18">
        <f t="shared" si="45"/>
        <v>3541522</v>
      </c>
      <c r="I38" s="18">
        <f t="shared" si="45"/>
        <v>1284911</v>
      </c>
      <c r="J38" s="18">
        <f t="shared" si="45"/>
        <v>0</v>
      </c>
      <c r="K38" s="18">
        <f t="shared" si="45"/>
        <v>262526</v>
      </c>
      <c r="L38" s="18">
        <f t="shared" si="45"/>
        <v>0</v>
      </c>
      <c r="M38" s="18">
        <f t="shared" si="45"/>
        <v>0</v>
      </c>
      <c r="N38" s="18">
        <f t="shared" si="45"/>
        <v>472710</v>
      </c>
      <c r="O38" s="18">
        <f t="shared" si="45"/>
        <v>549675</v>
      </c>
      <c r="P38" s="18">
        <f t="shared" si="45"/>
        <v>0</v>
      </c>
      <c r="Q38" s="18">
        <f t="shared" si="45"/>
        <v>0</v>
      </c>
      <c r="R38" s="18">
        <f t="shared" si="45"/>
        <v>0</v>
      </c>
      <c r="S38" s="18">
        <f t="shared" si="45"/>
        <v>0</v>
      </c>
      <c r="T38" s="18">
        <f t="shared" si="45"/>
        <v>711131</v>
      </c>
      <c r="U38" s="18">
        <f t="shared" si="45"/>
        <v>1691326</v>
      </c>
      <c r="V38" s="18">
        <f t="shared" si="45"/>
        <v>254654</v>
      </c>
      <c r="W38" s="18">
        <f t="shared" si="45"/>
        <v>179862</v>
      </c>
      <c r="X38" s="18">
        <f t="shared" si="45"/>
        <v>1004917</v>
      </c>
      <c r="Y38" s="18">
        <f t="shared" si="45"/>
        <v>71225</v>
      </c>
      <c r="Z38" s="18">
        <f t="shared" si="45"/>
        <v>17713</v>
      </c>
      <c r="AA38" s="18">
        <f t="shared" si="45"/>
        <v>0</v>
      </c>
      <c r="AB38" s="18">
        <f t="shared" si="45"/>
        <v>0</v>
      </c>
      <c r="AC38" s="18">
        <f t="shared" si="45"/>
        <v>162955</v>
      </c>
      <c r="AD38" s="18">
        <f t="shared" si="45"/>
        <v>1825458</v>
      </c>
      <c r="AE38" s="18">
        <f t="shared" si="45"/>
        <v>0</v>
      </c>
      <c r="AF38" s="18">
        <f t="shared" si="45"/>
        <v>0</v>
      </c>
      <c r="AG38" s="18">
        <f t="shared" si="45"/>
        <v>193750</v>
      </c>
      <c r="AH38" s="18">
        <f t="shared" si="45"/>
        <v>80000</v>
      </c>
      <c r="AI38" s="18">
        <f t="shared" si="45"/>
        <v>0</v>
      </c>
      <c r="AJ38" s="18">
        <f t="shared" si="45"/>
        <v>20993</v>
      </c>
      <c r="AK38" s="18">
        <f t="shared" si="45"/>
        <v>6364</v>
      </c>
      <c r="AL38" s="18">
        <f t="shared" si="45"/>
        <v>4019</v>
      </c>
      <c r="AM38" s="18">
        <f t="shared" si="45"/>
        <v>0</v>
      </c>
      <c r="AN38" s="18">
        <f t="shared" si="45"/>
        <v>22407</v>
      </c>
      <c r="AO38" s="18">
        <f t="shared" si="45"/>
        <v>0</v>
      </c>
      <c r="AP38" s="18">
        <f t="shared" si="45"/>
        <v>0</v>
      </c>
      <c r="AQ38" s="18">
        <f t="shared" si="45"/>
        <v>77109</v>
      </c>
      <c r="AR38" s="18">
        <f t="shared" si="45"/>
        <v>0</v>
      </c>
      <c r="AS38" s="18"/>
      <c r="AT38" s="18"/>
      <c r="AU38" s="18">
        <f t="shared" si="45"/>
        <v>0</v>
      </c>
      <c r="AV38" s="18">
        <f t="shared" si="45"/>
        <v>1016988</v>
      </c>
      <c r="AW38" s="18">
        <f t="shared" si="45"/>
        <v>0</v>
      </c>
      <c r="AX38" s="18"/>
      <c r="AY38" s="18">
        <f t="shared" si="45"/>
        <v>403828</v>
      </c>
      <c r="AZ38" s="18">
        <f t="shared" si="45"/>
        <v>0</v>
      </c>
      <c r="BA38" s="18">
        <f t="shared" si="45"/>
        <v>0</v>
      </c>
      <c r="BB38" s="18">
        <f t="shared" si="45"/>
        <v>0</v>
      </c>
      <c r="BC38" s="18">
        <f t="shared" si="45"/>
        <v>1824595</v>
      </c>
      <c r="BD38" s="18">
        <f t="shared" si="45"/>
        <v>0</v>
      </c>
      <c r="BE38" s="18">
        <f t="shared" si="45"/>
        <v>0</v>
      </c>
      <c r="BF38" s="18">
        <f t="shared" si="45"/>
        <v>0</v>
      </c>
      <c r="BG38" s="18">
        <f t="shared" si="45"/>
        <v>0</v>
      </c>
      <c r="BH38" s="18">
        <f t="shared" si="45"/>
        <v>0</v>
      </c>
      <c r="BI38" s="18">
        <f t="shared" si="45"/>
        <v>0</v>
      </c>
      <c r="BJ38" s="18">
        <f t="shared" si="45"/>
        <v>0</v>
      </c>
      <c r="BK38" s="18">
        <f t="shared" si="45"/>
        <v>0</v>
      </c>
      <c r="BL38" s="18">
        <f t="shared" si="45"/>
        <v>0</v>
      </c>
      <c r="BM38" s="18">
        <f t="shared" si="45"/>
        <v>0</v>
      </c>
      <c r="BN38" s="18">
        <f t="shared" si="45"/>
        <v>0</v>
      </c>
      <c r="BO38" s="18">
        <f t="shared" si="45"/>
        <v>0</v>
      </c>
      <c r="BP38" s="18">
        <f t="shared" si="45"/>
        <v>0</v>
      </c>
      <c r="BQ38" s="18">
        <f t="shared" si="45"/>
        <v>1824595</v>
      </c>
      <c r="BR38" s="18">
        <f t="shared" si="45"/>
        <v>0</v>
      </c>
      <c r="BS38" s="18">
        <f t="shared" si="45"/>
        <v>0</v>
      </c>
      <c r="BT38" s="18">
        <f t="shared" si="45"/>
        <v>0</v>
      </c>
      <c r="BU38" s="18">
        <f t="shared" si="45"/>
        <v>0</v>
      </c>
      <c r="BV38" s="18">
        <f t="shared" si="45"/>
        <v>0</v>
      </c>
      <c r="BW38" s="18">
        <f t="shared" si="45"/>
        <v>0</v>
      </c>
      <c r="BX38" s="18">
        <f t="shared" ref="BX38:DC38" si="46">SUM(BX39)</f>
        <v>0</v>
      </c>
      <c r="BY38" s="18">
        <f t="shared" si="46"/>
        <v>0</v>
      </c>
      <c r="BZ38" s="18">
        <f t="shared" si="46"/>
        <v>0</v>
      </c>
      <c r="CA38" s="18">
        <f t="shared" si="46"/>
        <v>1824595</v>
      </c>
      <c r="CB38" s="18">
        <f t="shared" si="46"/>
        <v>0</v>
      </c>
      <c r="CC38" s="18">
        <f t="shared" si="46"/>
        <v>118052</v>
      </c>
      <c r="CD38" s="18">
        <f t="shared" si="46"/>
        <v>118052</v>
      </c>
      <c r="CE38" s="18">
        <f t="shared" si="46"/>
        <v>118052</v>
      </c>
      <c r="CF38" s="18">
        <f t="shared" si="46"/>
        <v>0</v>
      </c>
      <c r="CG38" s="18">
        <f>SUM(CG39)</f>
        <v>118052</v>
      </c>
      <c r="CH38" s="18">
        <f t="shared" si="46"/>
        <v>0</v>
      </c>
      <c r="CI38" s="18">
        <f t="shared" si="46"/>
        <v>0</v>
      </c>
      <c r="CJ38" s="18">
        <f t="shared" si="46"/>
        <v>0</v>
      </c>
      <c r="CK38" s="18">
        <f t="shared" si="46"/>
        <v>0</v>
      </c>
      <c r="CL38" s="18">
        <f t="shared" si="46"/>
        <v>0</v>
      </c>
      <c r="CM38" s="18">
        <f t="shared" si="46"/>
        <v>0</v>
      </c>
      <c r="CN38" s="18">
        <f t="shared" si="46"/>
        <v>0</v>
      </c>
      <c r="CO38" s="18">
        <f t="shared" si="46"/>
        <v>0</v>
      </c>
      <c r="CP38" s="18">
        <f t="shared" si="46"/>
        <v>0</v>
      </c>
      <c r="CQ38" s="18"/>
      <c r="CR38" s="18"/>
      <c r="CS38" s="18"/>
      <c r="CT38" s="18"/>
      <c r="CU38" s="18">
        <f t="shared" si="46"/>
        <v>0</v>
      </c>
      <c r="CV38" s="73"/>
      <c r="CW38" s="73"/>
      <c r="CX38" s="73"/>
      <c r="CY38" s="73"/>
      <c r="CZ38" s="18">
        <f t="shared" si="46"/>
        <v>0</v>
      </c>
      <c r="DA38" s="18">
        <f t="shared" si="46"/>
        <v>0</v>
      </c>
      <c r="DB38" s="18">
        <f t="shared" si="46"/>
        <v>0</v>
      </c>
      <c r="DC38" s="46">
        <f t="shared" si="46"/>
        <v>0</v>
      </c>
      <c r="DD38" s="57"/>
    </row>
    <row r="39" spans="1:108" s="78" customFormat="1" ht="15.6" x14ac:dyDescent="0.3">
      <c r="A39" s="96" t="s">
        <v>1</v>
      </c>
      <c r="B39" s="71" t="s">
        <v>75</v>
      </c>
      <c r="C39" s="72" t="s">
        <v>447</v>
      </c>
      <c r="D39" s="74">
        <f>SUM(E39+CC39+CZ39)</f>
        <v>46262848</v>
      </c>
      <c r="E39" s="74">
        <f>SUM(F39+BC39)</f>
        <v>46144796</v>
      </c>
      <c r="F39" s="74">
        <f>SUM(G39+H39+I39+P39+S39+T39+U39+AD39)</f>
        <v>44320201</v>
      </c>
      <c r="G39" s="74">
        <v>35265853</v>
      </c>
      <c r="H39" s="74">
        <v>3541522</v>
      </c>
      <c r="I39" s="74">
        <f t="shared" si="9"/>
        <v>1284911</v>
      </c>
      <c r="J39" s="74">
        <v>0</v>
      </c>
      <c r="K39" s="75">
        <v>262526</v>
      </c>
      <c r="L39" s="75">
        <v>0</v>
      </c>
      <c r="M39" s="75">
        <v>0</v>
      </c>
      <c r="N39" s="75">
        <v>472710</v>
      </c>
      <c r="O39" s="75">
        <v>549675</v>
      </c>
      <c r="P39" s="74">
        <f t="shared" si="10"/>
        <v>0</v>
      </c>
      <c r="Q39" s="75">
        <v>0</v>
      </c>
      <c r="R39" s="75">
        <v>0</v>
      </c>
      <c r="S39" s="75">
        <v>0</v>
      </c>
      <c r="T39" s="75">
        <v>711131</v>
      </c>
      <c r="U39" s="74">
        <f>SUM(V39:AC39)</f>
        <v>1691326</v>
      </c>
      <c r="V39" s="75">
        <v>254654</v>
      </c>
      <c r="W39" s="75">
        <f>153595+26267</f>
        <v>179862</v>
      </c>
      <c r="X39" s="75">
        <f>700909+304008</f>
        <v>1004917</v>
      </c>
      <c r="Y39" s="75">
        <f>53773+17452</f>
        <v>71225</v>
      </c>
      <c r="Z39" s="75">
        <v>17713</v>
      </c>
      <c r="AA39" s="75">
        <v>0</v>
      </c>
      <c r="AB39" s="75">
        <v>0</v>
      </c>
      <c r="AC39" s="75">
        <f>127763+35192</f>
        <v>162955</v>
      </c>
      <c r="AD39" s="74">
        <f>SUM(AE39:AY39)</f>
        <v>1825458</v>
      </c>
      <c r="AE39" s="74">
        <v>0</v>
      </c>
      <c r="AF39" s="74">
        <v>0</v>
      </c>
      <c r="AG39" s="75">
        <v>193750</v>
      </c>
      <c r="AH39" s="75">
        <v>80000</v>
      </c>
      <c r="AI39" s="75">
        <v>0</v>
      </c>
      <c r="AJ39" s="75">
        <v>20993</v>
      </c>
      <c r="AK39" s="75">
        <v>6364</v>
      </c>
      <c r="AL39" s="75">
        <v>4019</v>
      </c>
      <c r="AM39" s="75">
        <v>0</v>
      </c>
      <c r="AN39" s="75">
        <v>22407</v>
      </c>
      <c r="AO39" s="75">
        <v>0</v>
      </c>
      <c r="AP39" s="75">
        <v>0</v>
      </c>
      <c r="AQ39" s="75">
        <v>77109</v>
      </c>
      <c r="AR39" s="75">
        <v>0</v>
      </c>
      <c r="AS39" s="75">
        <v>0</v>
      </c>
      <c r="AT39" s="75">
        <v>0</v>
      </c>
      <c r="AU39" s="75">
        <v>0</v>
      </c>
      <c r="AV39" s="75">
        <v>1016988</v>
      </c>
      <c r="AW39" s="75">
        <v>0</v>
      </c>
      <c r="AX39" s="75">
        <v>0</v>
      </c>
      <c r="AY39" s="75">
        <v>403828</v>
      </c>
      <c r="AZ39" s="75"/>
      <c r="BA39" s="75"/>
      <c r="BB39" s="75"/>
      <c r="BC39" s="74">
        <f>SUM(BD39+BH39+BL39+BN39+BQ39)</f>
        <v>1824595</v>
      </c>
      <c r="BD39" s="74">
        <f>SUM(BE39:BG39)</f>
        <v>0</v>
      </c>
      <c r="BE39" s="74">
        <v>0</v>
      </c>
      <c r="BF39" s="74">
        <v>0</v>
      </c>
      <c r="BG39" s="74">
        <v>0</v>
      </c>
      <c r="BH39" s="74">
        <f>SUM(BI39:BK39)</f>
        <v>0</v>
      </c>
      <c r="BI39" s="74">
        <v>0</v>
      </c>
      <c r="BJ39" s="74">
        <v>0</v>
      </c>
      <c r="BK39" s="74">
        <v>0</v>
      </c>
      <c r="BL39" s="74">
        <v>0</v>
      </c>
      <c r="BM39" s="74">
        <v>0</v>
      </c>
      <c r="BN39" s="74">
        <f t="shared" si="11"/>
        <v>0</v>
      </c>
      <c r="BO39" s="74">
        <v>0</v>
      </c>
      <c r="BP39" s="74">
        <v>0</v>
      </c>
      <c r="BQ39" s="74">
        <f>SUM(BR39:CB39)</f>
        <v>1824595</v>
      </c>
      <c r="BR39" s="74">
        <v>0</v>
      </c>
      <c r="BS39" s="74">
        <v>0</v>
      </c>
      <c r="BT39" s="74">
        <v>0</v>
      </c>
      <c r="BU39" s="74">
        <v>0</v>
      </c>
      <c r="BV39" s="74">
        <v>0</v>
      </c>
      <c r="BW39" s="74">
        <v>0</v>
      </c>
      <c r="BX39" s="74">
        <v>0</v>
      </c>
      <c r="BY39" s="74">
        <v>0</v>
      </c>
      <c r="BZ39" s="74">
        <v>0</v>
      </c>
      <c r="CA39" s="75">
        <v>1824595</v>
      </c>
      <c r="CB39" s="74">
        <v>0</v>
      </c>
      <c r="CC39" s="74">
        <f>SUM(CD39+CU39)</f>
        <v>118052</v>
      </c>
      <c r="CD39" s="74">
        <f>SUM(CE39+CH39+CN39)</f>
        <v>118052</v>
      </c>
      <c r="CE39" s="74">
        <f>SUM(CF39:CG39)</f>
        <v>118052</v>
      </c>
      <c r="CF39" s="74">
        <v>0</v>
      </c>
      <c r="CG39" s="104">
        <v>118052</v>
      </c>
      <c r="CH39" s="74">
        <f>SUM(CI39:CM39)</f>
        <v>0</v>
      </c>
      <c r="CI39" s="74">
        <v>0</v>
      </c>
      <c r="CJ39" s="74">
        <v>0</v>
      </c>
      <c r="CK39" s="74">
        <v>0</v>
      </c>
      <c r="CL39" s="74">
        <v>0</v>
      </c>
      <c r="CM39" s="74">
        <v>0</v>
      </c>
      <c r="CN39" s="74">
        <f>SUM(CO39:CQ39)</f>
        <v>0</v>
      </c>
      <c r="CO39" s="74"/>
      <c r="CP39" s="75"/>
      <c r="CQ39" s="74"/>
      <c r="CR39" s="74"/>
      <c r="CS39" s="74"/>
      <c r="CT39" s="74"/>
      <c r="CU39" s="74">
        <v>0</v>
      </c>
      <c r="CV39" s="74"/>
      <c r="CW39" s="74"/>
      <c r="CX39" s="74"/>
      <c r="CY39" s="74"/>
      <c r="CZ39" s="74">
        <f t="shared" si="13"/>
        <v>0</v>
      </c>
      <c r="DA39" s="74">
        <f t="shared" si="14"/>
        <v>0</v>
      </c>
      <c r="DB39" s="74">
        <v>0</v>
      </c>
      <c r="DC39" s="77">
        <v>0</v>
      </c>
    </row>
    <row r="40" spans="1:108" s="58" customFormat="1" ht="31.2" x14ac:dyDescent="0.3">
      <c r="A40" s="93" t="s">
        <v>79</v>
      </c>
      <c r="B40" s="16" t="s">
        <v>1</v>
      </c>
      <c r="C40" s="17" t="s">
        <v>80</v>
      </c>
      <c r="D40" s="18">
        <f t="shared" ref="D40:AR40" si="47">SUM(D41:D44)</f>
        <v>17880793</v>
      </c>
      <c r="E40" s="18">
        <f t="shared" si="47"/>
        <v>17865448</v>
      </c>
      <c r="F40" s="18">
        <f t="shared" si="47"/>
        <v>17865448</v>
      </c>
      <c r="G40" s="18">
        <f t="shared" si="47"/>
        <v>12844788</v>
      </c>
      <c r="H40" s="18">
        <f t="shared" si="47"/>
        <v>3033182</v>
      </c>
      <c r="I40" s="18">
        <f t="shared" si="47"/>
        <v>388351</v>
      </c>
      <c r="J40" s="18">
        <f t="shared" si="47"/>
        <v>0</v>
      </c>
      <c r="K40" s="18">
        <f t="shared" si="47"/>
        <v>0</v>
      </c>
      <c r="L40" s="18">
        <f t="shared" si="47"/>
        <v>0</v>
      </c>
      <c r="M40" s="18">
        <f t="shared" si="47"/>
        <v>0</v>
      </c>
      <c r="N40" s="18">
        <f t="shared" si="47"/>
        <v>205386</v>
      </c>
      <c r="O40" s="18">
        <f t="shared" si="47"/>
        <v>182965</v>
      </c>
      <c r="P40" s="18">
        <f t="shared" si="47"/>
        <v>0</v>
      </c>
      <c r="Q40" s="18">
        <f t="shared" si="47"/>
        <v>0</v>
      </c>
      <c r="R40" s="18">
        <f t="shared" si="47"/>
        <v>0</v>
      </c>
      <c r="S40" s="18">
        <f t="shared" si="47"/>
        <v>20000</v>
      </c>
      <c r="T40" s="18">
        <f t="shared" si="47"/>
        <v>242537</v>
      </c>
      <c r="U40" s="18">
        <f t="shared" si="47"/>
        <v>957509</v>
      </c>
      <c r="V40" s="18">
        <f t="shared" si="47"/>
        <v>60096</v>
      </c>
      <c r="W40" s="18">
        <f t="shared" si="47"/>
        <v>192172</v>
      </c>
      <c r="X40" s="18">
        <f t="shared" si="47"/>
        <v>281692</v>
      </c>
      <c r="Y40" s="18">
        <f t="shared" si="47"/>
        <v>28797</v>
      </c>
      <c r="Z40" s="18">
        <f t="shared" si="47"/>
        <v>16002</v>
      </c>
      <c r="AA40" s="18">
        <f t="shared" si="47"/>
        <v>309068</v>
      </c>
      <c r="AB40" s="18">
        <f t="shared" si="47"/>
        <v>0</v>
      </c>
      <c r="AC40" s="18">
        <f t="shared" si="47"/>
        <v>69682</v>
      </c>
      <c r="AD40" s="18">
        <f t="shared" si="47"/>
        <v>379081</v>
      </c>
      <c r="AE40" s="18">
        <f t="shared" si="47"/>
        <v>0</v>
      </c>
      <c r="AF40" s="18">
        <f t="shared" si="47"/>
        <v>0</v>
      </c>
      <c r="AG40" s="18">
        <f t="shared" si="47"/>
        <v>48157</v>
      </c>
      <c r="AH40" s="18">
        <f t="shared" si="47"/>
        <v>0</v>
      </c>
      <c r="AI40" s="18">
        <f t="shared" si="47"/>
        <v>0</v>
      </c>
      <c r="AJ40" s="18">
        <f t="shared" si="47"/>
        <v>383</v>
      </c>
      <c r="AK40" s="18">
        <f t="shared" si="47"/>
        <v>132</v>
      </c>
      <c r="AL40" s="18">
        <f t="shared" si="47"/>
        <v>0</v>
      </c>
      <c r="AM40" s="18">
        <f t="shared" si="47"/>
        <v>94615</v>
      </c>
      <c r="AN40" s="18">
        <f t="shared" si="47"/>
        <v>7566</v>
      </c>
      <c r="AO40" s="18">
        <f t="shared" si="47"/>
        <v>182</v>
      </c>
      <c r="AP40" s="18">
        <f t="shared" si="47"/>
        <v>0</v>
      </c>
      <c r="AQ40" s="18">
        <f t="shared" si="47"/>
        <v>68423</v>
      </c>
      <c r="AR40" s="18">
        <f t="shared" si="47"/>
        <v>0</v>
      </c>
      <c r="AS40" s="18"/>
      <c r="AT40" s="18"/>
      <c r="AU40" s="18">
        <f>SUM(AU41:AU44)</f>
        <v>0</v>
      </c>
      <c r="AV40" s="18">
        <f>SUM(AV41:AV44)</f>
        <v>0</v>
      </c>
      <c r="AW40" s="18">
        <f>SUM(AW41:AW44)</f>
        <v>106345</v>
      </c>
      <c r="AX40" s="18"/>
      <c r="AY40" s="18">
        <f t="shared" ref="AY40:CP40" si="48">SUM(AY41:AY44)</f>
        <v>53278</v>
      </c>
      <c r="AZ40" s="18">
        <f t="shared" si="48"/>
        <v>0</v>
      </c>
      <c r="BA40" s="18">
        <f t="shared" si="48"/>
        <v>0</v>
      </c>
      <c r="BB40" s="18">
        <f t="shared" si="48"/>
        <v>0</v>
      </c>
      <c r="BC40" s="18">
        <f t="shared" si="48"/>
        <v>0</v>
      </c>
      <c r="BD40" s="18">
        <f t="shared" si="48"/>
        <v>0</v>
      </c>
      <c r="BE40" s="18">
        <f t="shared" si="48"/>
        <v>0</v>
      </c>
      <c r="BF40" s="18">
        <f t="shared" si="48"/>
        <v>0</v>
      </c>
      <c r="BG40" s="18">
        <f t="shared" si="48"/>
        <v>0</v>
      </c>
      <c r="BH40" s="18">
        <f t="shared" si="48"/>
        <v>0</v>
      </c>
      <c r="BI40" s="18">
        <f t="shared" si="48"/>
        <v>0</v>
      </c>
      <c r="BJ40" s="18">
        <f t="shared" ref="BJ40" si="49">SUM(BJ41:BJ44)</f>
        <v>0</v>
      </c>
      <c r="BK40" s="18">
        <f t="shared" si="48"/>
        <v>0</v>
      </c>
      <c r="BL40" s="18">
        <f t="shared" si="48"/>
        <v>0</v>
      </c>
      <c r="BM40" s="18">
        <f t="shared" ref="BM40" si="50">SUM(BM41:BM44)</f>
        <v>0</v>
      </c>
      <c r="BN40" s="18">
        <f t="shared" si="48"/>
        <v>0</v>
      </c>
      <c r="BO40" s="18">
        <f t="shared" si="48"/>
        <v>0</v>
      </c>
      <c r="BP40" s="18">
        <f t="shared" si="48"/>
        <v>0</v>
      </c>
      <c r="BQ40" s="18">
        <f t="shared" si="48"/>
        <v>0</v>
      </c>
      <c r="BR40" s="18">
        <f t="shared" si="48"/>
        <v>0</v>
      </c>
      <c r="BS40" s="18">
        <f t="shared" si="48"/>
        <v>0</v>
      </c>
      <c r="BT40" s="18">
        <f t="shared" si="48"/>
        <v>0</v>
      </c>
      <c r="BU40" s="18">
        <f t="shared" si="48"/>
        <v>0</v>
      </c>
      <c r="BV40" s="18">
        <f t="shared" si="48"/>
        <v>0</v>
      </c>
      <c r="BW40" s="18">
        <f t="shared" si="48"/>
        <v>0</v>
      </c>
      <c r="BX40" s="18">
        <f t="shared" si="48"/>
        <v>0</v>
      </c>
      <c r="BY40" s="18">
        <f t="shared" si="48"/>
        <v>0</v>
      </c>
      <c r="BZ40" s="18">
        <f t="shared" si="48"/>
        <v>0</v>
      </c>
      <c r="CA40" s="18">
        <f t="shared" si="48"/>
        <v>0</v>
      </c>
      <c r="CB40" s="18">
        <f t="shared" si="48"/>
        <v>0</v>
      </c>
      <c r="CC40" s="18">
        <f t="shared" si="48"/>
        <v>15345</v>
      </c>
      <c r="CD40" s="18">
        <f t="shared" si="48"/>
        <v>15345</v>
      </c>
      <c r="CE40" s="18">
        <f t="shared" si="48"/>
        <v>15345</v>
      </c>
      <c r="CF40" s="18">
        <f t="shared" si="48"/>
        <v>0</v>
      </c>
      <c r="CG40" s="18">
        <f t="shared" si="48"/>
        <v>15345</v>
      </c>
      <c r="CH40" s="18">
        <f t="shared" si="48"/>
        <v>0</v>
      </c>
      <c r="CI40" s="18">
        <f t="shared" si="48"/>
        <v>0</v>
      </c>
      <c r="CJ40" s="18">
        <f t="shared" si="48"/>
        <v>0</v>
      </c>
      <c r="CK40" s="18">
        <f t="shared" si="48"/>
        <v>0</v>
      </c>
      <c r="CL40" s="18">
        <f t="shared" si="48"/>
        <v>0</v>
      </c>
      <c r="CM40" s="18">
        <f t="shared" si="48"/>
        <v>0</v>
      </c>
      <c r="CN40" s="18">
        <f t="shared" si="48"/>
        <v>0</v>
      </c>
      <c r="CO40" s="18">
        <f t="shared" si="48"/>
        <v>0</v>
      </c>
      <c r="CP40" s="18">
        <f t="shared" si="48"/>
        <v>0</v>
      </c>
      <c r="CQ40" s="18"/>
      <c r="CR40" s="18"/>
      <c r="CS40" s="18"/>
      <c r="CT40" s="18"/>
      <c r="CU40" s="18">
        <f>SUM(CU41:CU44)</f>
        <v>0</v>
      </c>
      <c r="CV40" s="73"/>
      <c r="CW40" s="73"/>
      <c r="CX40" s="73"/>
      <c r="CY40" s="73"/>
      <c r="CZ40" s="18">
        <f>SUM(CZ41:CZ44)</f>
        <v>0</v>
      </c>
      <c r="DA40" s="18">
        <f>SUM(DA41:DA44)</f>
        <v>0</v>
      </c>
      <c r="DB40" s="18">
        <f>SUM(DB41:DB44)</f>
        <v>0</v>
      </c>
      <c r="DC40" s="46">
        <f>SUM(DC41:DC44)</f>
        <v>0</v>
      </c>
      <c r="DD40" s="57"/>
    </row>
    <row r="41" spans="1:108" s="78" customFormat="1" ht="15.6" x14ac:dyDescent="0.3">
      <c r="A41" s="96" t="s">
        <v>1</v>
      </c>
      <c r="B41" s="71" t="s">
        <v>52</v>
      </c>
      <c r="C41" s="72" t="s">
        <v>318</v>
      </c>
      <c r="D41" s="74">
        <f>SUM(E41+CC41+CZ41)</f>
        <v>1653203</v>
      </c>
      <c r="E41" s="74">
        <f>SUM(F41+BC41)</f>
        <v>1653203</v>
      </c>
      <c r="F41" s="74">
        <f t="shared" ref="F41:F43" si="51">SUM(G41+H41+I41+P41+S41+T41+U41+AD41)</f>
        <v>1653203</v>
      </c>
      <c r="G41" s="74">
        <v>1015440</v>
      </c>
      <c r="H41" s="74">
        <v>253860</v>
      </c>
      <c r="I41" s="74">
        <f t="shared" si="9"/>
        <v>18015</v>
      </c>
      <c r="J41" s="74">
        <v>0</v>
      </c>
      <c r="K41" s="74">
        <v>0</v>
      </c>
      <c r="L41" s="74">
        <v>0</v>
      </c>
      <c r="M41" s="74">
        <v>0</v>
      </c>
      <c r="N41" s="75">
        <v>10565</v>
      </c>
      <c r="O41" s="75">
        <v>7450</v>
      </c>
      <c r="P41" s="74">
        <f t="shared" si="10"/>
        <v>0</v>
      </c>
      <c r="Q41" s="75">
        <v>0</v>
      </c>
      <c r="R41" s="75">
        <v>0</v>
      </c>
      <c r="S41" s="75">
        <v>20000</v>
      </c>
      <c r="T41" s="75">
        <v>26136</v>
      </c>
      <c r="U41" s="74">
        <f t="shared" ref="U41:U44" si="52">SUM(V41:AC41)</f>
        <v>212520</v>
      </c>
      <c r="V41" s="75">
        <v>0</v>
      </c>
      <c r="W41" s="75">
        <v>0</v>
      </c>
      <c r="X41" s="75">
        <v>0</v>
      </c>
      <c r="Y41" s="75">
        <v>0</v>
      </c>
      <c r="Z41" s="75">
        <v>0</v>
      </c>
      <c r="AA41" s="75">
        <v>212520</v>
      </c>
      <c r="AB41" s="75">
        <v>0</v>
      </c>
      <c r="AC41" s="75">
        <v>0</v>
      </c>
      <c r="AD41" s="74">
        <f>SUM(AE41:AY41)</f>
        <v>107232</v>
      </c>
      <c r="AE41" s="74">
        <v>0</v>
      </c>
      <c r="AF41" s="74">
        <v>0</v>
      </c>
      <c r="AG41" s="75">
        <v>5000</v>
      </c>
      <c r="AH41" s="75">
        <v>0</v>
      </c>
      <c r="AI41" s="75">
        <v>0</v>
      </c>
      <c r="AJ41" s="75">
        <v>0</v>
      </c>
      <c r="AK41" s="75">
        <v>0</v>
      </c>
      <c r="AL41" s="75">
        <v>0</v>
      </c>
      <c r="AM41" s="75">
        <v>82050</v>
      </c>
      <c r="AN41" s="75">
        <v>0</v>
      </c>
      <c r="AO41" s="75">
        <v>0</v>
      </c>
      <c r="AP41" s="75">
        <v>0</v>
      </c>
      <c r="AQ41" s="75">
        <v>0</v>
      </c>
      <c r="AR41" s="75">
        <v>0</v>
      </c>
      <c r="AS41" s="75">
        <v>0</v>
      </c>
      <c r="AT41" s="75">
        <v>0</v>
      </c>
      <c r="AU41" s="75">
        <v>0</v>
      </c>
      <c r="AV41" s="75">
        <v>0</v>
      </c>
      <c r="AW41" s="75">
        <v>0</v>
      </c>
      <c r="AX41" s="75">
        <v>0</v>
      </c>
      <c r="AY41" s="75">
        <v>20182</v>
      </c>
      <c r="AZ41" s="75"/>
      <c r="BA41" s="75"/>
      <c r="BB41" s="75"/>
      <c r="BC41" s="74">
        <f t="shared" ref="BC41:BC44" si="53">SUM(BD41+BH41+BL41+BN41+BQ41)</f>
        <v>0</v>
      </c>
      <c r="BD41" s="74">
        <f>SUM(BE41:BG41)</f>
        <v>0</v>
      </c>
      <c r="BE41" s="74">
        <v>0</v>
      </c>
      <c r="BF41" s="74">
        <v>0</v>
      </c>
      <c r="BG41" s="74">
        <v>0</v>
      </c>
      <c r="BH41" s="74">
        <f t="shared" ref="BH41:BH44" si="54">SUM(BI41:BK41)</f>
        <v>0</v>
      </c>
      <c r="BI41" s="74">
        <v>0</v>
      </c>
      <c r="BJ41" s="74">
        <v>0</v>
      </c>
      <c r="BK41" s="74">
        <v>0</v>
      </c>
      <c r="BL41" s="74">
        <v>0</v>
      </c>
      <c r="BM41" s="74">
        <v>0</v>
      </c>
      <c r="BN41" s="74">
        <f t="shared" si="11"/>
        <v>0</v>
      </c>
      <c r="BO41" s="74">
        <v>0</v>
      </c>
      <c r="BP41" s="74">
        <v>0</v>
      </c>
      <c r="BQ41" s="74">
        <f>SUM(BR41:CB41)</f>
        <v>0</v>
      </c>
      <c r="BR41" s="74">
        <v>0</v>
      </c>
      <c r="BS41" s="74">
        <v>0</v>
      </c>
      <c r="BT41" s="74">
        <v>0</v>
      </c>
      <c r="BU41" s="74">
        <v>0</v>
      </c>
      <c r="BV41" s="74">
        <v>0</v>
      </c>
      <c r="BW41" s="74">
        <v>0</v>
      </c>
      <c r="BX41" s="74">
        <v>0</v>
      </c>
      <c r="BY41" s="74">
        <v>0</v>
      </c>
      <c r="BZ41" s="74">
        <v>0</v>
      </c>
      <c r="CA41" s="75">
        <v>0</v>
      </c>
      <c r="CB41" s="74">
        <v>0</v>
      </c>
      <c r="CC41" s="74">
        <f>SUM(CD41+CU41)</f>
        <v>0</v>
      </c>
      <c r="CD41" s="74">
        <f>SUM(CE41+CH41+CN41)</f>
        <v>0</v>
      </c>
      <c r="CE41" s="74">
        <f t="shared" si="12"/>
        <v>0</v>
      </c>
      <c r="CF41" s="74">
        <v>0</v>
      </c>
      <c r="CG41" s="75">
        <v>0</v>
      </c>
      <c r="CH41" s="74">
        <f t="shared" ref="CH41:CH44" si="55">SUM(CI41:CM41)</f>
        <v>0</v>
      </c>
      <c r="CI41" s="74">
        <v>0</v>
      </c>
      <c r="CJ41" s="74">
        <v>0</v>
      </c>
      <c r="CK41" s="74">
        <v>0</v>
      </c>
      <c r="CL41" s="74">
        <v>0</v>
      </c>
      <c r="CM41" s="74">
        <v>0</v>
      </c>
      <c r="CN41" s="74">
        <f>SUM(CO41:CQ41)</f>
        <v>0</v>
      </c>
      <c r="CO41" s="74">
        <v>0</v>
      </c>
      <c r="CP41" s="74">
        <v>0</v>
      </c>
      <c r="CQ41" s="74"/>
      <c r="CR41" s="74"/>
      <c r="CS41" s="74"/>
      <c r="CT41" s="74"/>
      <c r="CU41" s="74">
        <v>0</v>
      </c>
      <c r="CV41" s="74"/>
      <c r="CW41" s="74"/>
      <c r="CX41" s="74"/>
      <c r="CY41" s="74"/>
      <c r="CZ41" s="74">
        <f t="shared" si="13"/>
        <v>0</v>
      </c>
      <c r="DA41" s="74">
        <f t="shared" si="14"/>
        <v>0</v>
      </c>
      <c r="DB41" s="74">
        <v>0</v>
      </c>
      <c r="DC41" s="77">
        <v>0</v>
      </c>
    </row>
    <row r="42" spans="1:108" s="52" customFormat="1" ht="15.6" x14ac:dyDescent="0.3">
      <c r="A42" s="97" t="s">
        <v>1</v>
      </c>
      <c r="B42" s="36" t="s">
        <v>52</v>
      </c>
      <c r="C42" s="37" t="s">
        <v>319</v>
      </c>
      <c r="D42" s="39">
        <f>SUM(E42+CC42+CZ42)</f>
        <v>868117</v>
      </c>
      <c r="E42" s="39">
        <f>SUM(F42+BC42)</f>
        <v>868117</v>
      </c>
      <c r="F42" s="39">
        <f t="shared" si="51"/>
        <v>868117</v>
      </c>
      <c r="G42" s="39">
        <v>624000</v>
      </c>
      <c r="H42" s="39">
        <v>156000</v>
      </c>
      <c r="I42" s="39">
        <f t="shared" si="9"/>
        <v>31794</v>
      </c>
      <c r="J42" s="39">
        <v>0</v>
      </c>
      <c r="K42" s="39">
        <v>0</v>
      </c>
      <c r="L42" s="39">
        <v>0</v>
      </c>
      <c r="M42" s="39">
        <v>0</v>
      </c>
      <c r="N42" s="35">
        <v>13663</v>
      </c>
      <c r="O42" s="35">
        <v>18131</v>
      </c>
      <c r="P42" s="39">
        <f t="shared" si="10"/>
        <v>0</v>
      </c>
      <c r="Q42" s="35">
        <v>0</v>
      </c>
      <c r="R42" s="35">
        <v>0</v>
      </c>
      <c r="S42" s="35">
        <v>0</v>
      </c>
      <c r="T42" s="35">
        <v>9063</v>
      </c>
      <c r="U42" s="39">
        <f t="shared" si="52"/>
        <v>16575</v>
      </c>
      <c r="V42" s="35">
        <v>3130</v>
      </c>
      <c r="W42" s="35">
        <f>4211+1005</f>
        <v>5216</v>
      </c>
      <c r="X42" s="35">
        <f>5226+3003</f>
        <v>8229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9">
        <f>SUM(AE42:AY42)</f>
        <v>30685</v>
      </c>
      <c r="AE42" s="39">
        <v>0</v>
      </c>
      <c r="AF42" s="39">
        <v>0</v>
      </c>
      <c r="AG42" s="35">
        <v>1885</v>
      </c>
      <c r="AH42" s="35">
        <v>0</v>
      </c>
      <c r="AI42" s="35">
        <v>0</v>
      </c>
      <c r="AJ42" s="35">
        <v>0</v>
      </c>
      <c r="AK42" s="35">
        <v>0</v>
      </c>
      <c r="AL42" s="35">
        <v>0</v>
      </c>
      <c r="AM42" s="35">
        <v>0</v>
      </c>
      <c r="AN42" s="35">
        <v>0</v>
      </c>
      <c r="AO42" s="35">
        <v>0</v>
      </c>
      <c r="AP42" s="35">
        <v>0</v>
      </c>
      <c r="AQ42" s="35">
        <v>0</v>
      </c>
      <c r="AR42" s="35">
        <v>0</v>
      </c>
      <c r="AS42" s="35">
        <v>0</v>
      </c>
      <c r="AT42" s="35">
        <v>0</v>
      </c>
      <c r="AU42" s="35">
        <v>0</v>
      </c>
      <c r="AV42" s="35">
        <v>0</v>
      </c>
      <c r="AW42" s="35">
        <v>0</v>
      </c>
      <c r="AX42" s="35">
        <v>0</v>
      </c>
      <c r="AY42" s="35">
        <v>28800</v>
      </c>
      <c r="AZ42" s="35"/>
      <c r="BA42" s="35"/>
      <c r="BB42" s="35"/>
      <c r="BC42" s="39">
        <f t="shared" si="53"/>
        <v>0</v>
      </c>
      <c r="BD42" s="39">
        <f>SUM(BE42:BG42)</f>
        <v>0</v>
      </c>
      <c r="BE42" s="39">
        <v>0</v>
      </c>
      <c r="BF42" s="39">
        <v>0</v>
      </c>
      <c r="BG42" s="39">
        <v>0</v>
      </c>
      <c r="BH42" s="39">
        <f t="shared" si="54"/>
        <v>0</v>
      </c>
      <c r="BI42" s="39">
        <v>0</v>
      </c>
      <c r="BJ42" s="39">
        <v>0</v>
      </c>
      <c r="BK42" s="39">
        <v>0</v>
      </c>
      <c r="BL42" s="39">
        <v>0</v>
      </c>
      <c r="BM42" s="39">
        <v>0</v>
      </c>
      <c r="BN42" s="39">
        <f t="shared" si="11"/>
        <v>0</v>
      </c>
      <c r="BO42" s="39">
        <v>0</v>
      </c>
      <c r="BP42" s="39">
        <v>0</v>
      </c>
      <c r="BQ42" s="39">
        <f>SUM(BR42:CB42)</f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0</v>
      </c>
      <c r="CA42" s="35">
        <v>0</v>
      </c>
      <c r="CB42" s="39">
        <v>0</v>
      </c>
      <c r="CC42" s="39">
        <f>SUM(CD42+CU42)</f>
        <v>0</v>
      </c>
      <c r="CD42" s="39">
        <f>SUM(CE42+CH42+CN42)</f>
        <v>0</v>
      </c>
      <c r="CE42" s="39">
        <f t="shared" si="12"/>
        <v>0</v>
      </c>
      <c r="CF42" s="39">
        <v>0</v>
      </c>
      <c r="CG42" s="35">
        <v>0</v>
      </c>
      <c r="CH42" s="39">
        <f t="shared" si="55"/>
        <v>0</v>
      </c>
      <c r="CI42" s="39">
        <v>0</v>
      </c>
      <c r="CJ42" s="39">
        <v>0</v>
      </c>
      <c r="CK42" s="39">
        <v>0</v>
      </c>
      <c r="CL42" s="39">
        <v>0</v>
      </c>
      <c r="CM42" s="39">
        <v>0</v>
      </c>
      <c r="CN42" s="39">
        <f>SUM(CO42:CQ42)</f>
        <v>0</v>
      </c>
      <c r="CO42" s="39">
        <v>0</v>
      </c>
      <c r="CP42" s="39">
        <v>0</v>
      </c>
      <c r="CQ42" s="39"/>
      <c r="CR42" s="39"/>
      <c r="CS42" s="39"/>
      <c r="CT42" s="39"/>
      <c r="CU42" s="39">
        <v>0</v>
      </c>
      <c r="CV42" s="39"/>
      <c r="CW42" s="39"/>
      <c r="CX42" s="39"/>
      <c r="CY42" s="39"/>
      <c r="CZ42" s="39">
        <f t="shared" si="13"/>
        <v>0</v>
      </c>
      <c r="DA42" s="39">
        <f t="shared" si="14"/>
        <v>0</v>
      </c>
      <c r="DB42" s="39">
        <v>0</v>
      </c>
      <c r="DC42" s="41">
        <v>0</v>
      </c>
    </row>
    <row r="43" spans="1:108" s="52" customFormat="1" ht="15.6" x14ac:dyDescent="0.3">
      <c r="A43" s="97" t="s">
        <v>1</v>
      </c>
      <c r="B43" s="36" t="s">
        <v>60</v>
      </c>
      <c r="C43" s="37" t="s">
        <v>449</v>
      </c>
      <c r="D43" s="39">
        <f>SUM(E43+CC43+CZ43)</f>
        <v>10130560</v>
      </c>
      <c r="E43" s="39">
        <f>SUM(F43+BC43)</f>
        <v>10122571</v>
      </c>
      <c r="F43" s="39">
        <f t="shared" si="51"/>
        <v>10122571</v>
      </c>
      <c r="G43" s="39">
        <v>7470621</v>
      </c>
      <c r="H43" s="39">
        <v>1693543</v>
      </c>
      <c r="I43" s="39">
        <f t="shared" si="9"/>
        <v>203646</v>
      </c>
      <c r="J43" s="39">
        <v>0</v>
      </c>
      <c r="K43" s="39">
        <v>0</v>
      </c>
      <c r="L43" s="39">
        <v>0</v>
      </c>
      <c r="M43" s="39">
        <v>0</v>
      </c>
      <c r="N43" s="35">
        <v>90559</v>
      </c>
      <c r="O43" s="35">
        <v>113087</v>
      </c>
      <c r="P43" s="39">
        <f t="shared" si="10"/>
        <v>0</v>
      </c>
      <c r="Q43" s="35">
        <v>0</v>
      </c>
      <c r="R43" s="35">
        <v>0</v>
      </c>
      <c r="S43" s="35">
        <v>0</v>
      </c>
      <c r="T43" s="35">
        <v>124896</v>
      </c>
      <c r="U43" s="39">
        <f t="shared" si="52"/>
        <v>529383</v>
      </c>
      <c r="V43" s="35">
        <v>56966</v>
      </c>
      <c r="W43" s="35">
        <f>97445+18509</f>
        <v>115954</v>
      </c>
      <c r="X43" s="35">
        <f>161277+76679</f>
        <v>237956</v>
      </c>
      <c r="Y43" s="35">
        <f>18140+6094</f>
        <v>24234</v>
      </c>
      <c r="Z43" s="35">
        <v>9272</v>
      </c>
      <c r="AA43" s="35">
        <v>20520</v>
      </c>
      <c r="AB43" s="35">
        <v>0</v>
      </c>
      <c r="AC43" s="35">
        <f>48826+15655</f>
        <v>64481</v>
      </c>
      <c r="AD43" s="39">
        <f>SUM(AE43:AY43)</f>
        <v>100482</v>
      </c>
      <c r="AE43" s="39">
        <v>0</v>
      </c>
      <c r="AF43" s="39">
        <v>0</v>
      </c>
      <c r="AG43" s="35">
        <v>31272</v>
      </c>
      <c r="AH43" s="35">
        <v>0</v>
      </c>
      <c r="AI43" s="35">
        <v>0</v>
      </c>
      <c r="AJ43" s="35">
        <v>0</v>
      </c>
      <c r="AK43" s="35">
        <v>132</v>
      </c>
      <c r="AL43" s="35">
        <v>0</v>
      </c>
      <c r="AM43" s="35">
        <v>12565</v>
      </c>
      <c r="AN43" s="35">
        <v>7566</v>
      </c>
      <c r="AO43" s="35">
        <v>182</v>
      </c>
      <c r="AP43" s="35">
        <v>0</v>
      </c>
      <c r="AQ43" s="35">
        <v>44900</v>
      </c>
      <c r="AR43" s="35">
        <v>0</v>
      </c>
      <c r="AS43" s="35">
        <v>0</v>
      </c>
      <c r="AT43" s="35">
        <v>0</v>
      </c>
      <c r="AU43" s="35">
        <v>0</v>
      </c>
      <c r="AV43" s="35">
        <v>0</v>
      </c>
      <c r="AW43" s="35">
        <v>3865</v>
      </c>
      <c r="AX43" s="35">
        <v>0</v>
      </c>
      <c r="AY43" s="35">
        <v>0</v>
      </c>
      <c r="AZ43" s="35"/>
      <c r="BA43" s="35"/>
      <c r="BB43" s="35"/>
      <c r="BC43" s="39">
        <f>SUM(BD43+BH43+BL43+BN43+BQ43)</f>
        <v>0</v>
      </c>
      <c r="BD43" s="39">
        <f>SUM(BE43:BG43)</f>
        <v>0</v>
      </c>
      <c r="BE43" s="39">
        <v>0</v>
      </c>
      <c r="BF43" s="39">
        <v>0</v>
      </c>
      <c r="BG43" s="39">
        <v>0</v>
      </c>
      <c r="BH43" s="39">
        <f t="shared" si="54"/>
        <v>0</v>
      </c>
      <c r="BI43" s="39">
        <v>0</v>
      </c>
      <c r="BJ43" s="39">
        <v>0</v>
      </c>
      <c r="BK43" s="39">
        <v>0</v>
      </c>
      <c r="BL43" s="39">
        <v>0</v>
      </c>
      <c r="BM43" s="39">
        <v>0</v>
      </c>
      <c r="BN43" s="39">
        <f t="shared" si="11"/>
        <v>0</v>
      </c>
      <c r="BO43" s="39">
        <v>0</v>
      </c>
      <c r="BP43" s="39">
        <v>0</v>
      </c>
      <c r="BQ43" s="39">
        <f>SUM(BR43:CB43)</f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5">
        <f>2684-2684</f>
        <v>0</v>
      </c>
      <c r="CB43" s="39">
        <v>0</v>
      </c>
      <c r="CC43" s="39">
        <f>SUM(CD43+CU43)</f>
        <v>7989</v>
      </c>
      <c r="CD43" s="39">
        <f>SUM(CE43+CH43+CN43)</f>
        <v>7989</v>
      </c>
      <c r="CE43" s="39">
        <f t="shared" si="12"/>
        <v>7989</v>
      </c>
      <c r="CF43" s="39">
        <v>0</v>
      </c>
      <c r="CG43" s="35">
        <v>7989</v>
      </c>
      <c r="CH43" s="39">
        <f t="shared" si="55"/>
        <v>0</v>
      </c>
      <c r="CI43" s="39">
        <v>0</v>
      </c>
      <c r="CJ43" s="39">
        <v>0</v>
      </c>
      <c r="CK43" s="39">
        <v>0</v>
      </c>
      <c r="CL43" s="39">
        <v>0</v>
      </c>
      <c r="CM43" s="39">
        <v>0</v>
      </c>
      <c r="CN43" s="39">
        <f>SUM(CO43:CQ43)</f>
        <v>0</v>
      </c>
      <c r="CO43" s="39">
        <v>0</v>
      </c>
      <c r="CP43" s="39">
        <v>0</v>
      </c>
      <c r="CQ43" s="39"/>
      <c r="CR43" s="39"/>
      <c r="CS43" s="39"/>
      <c r="CT43" s="39"/>
      <c r="CU43" s="39">
        <v>0</v>
      </c>
      <c r="CV43" s="39"/>
      <c r="CW43" s="39"/>
      <c r="CX43" s="39"/>
      <c r="CY43" s="39"/>
      <c r="CZ43" s="39">
        <f t="shared" si="13"/>
        <v>0</v>
      </c>
      <c r="DA43" s="39">
        <f t="shared" si="14"/>
        <v>0</v>
      </c>
      <c r="DB43" s="39">
        <v>0</v>
      </c>
      <c r="DC43" s="41">
        <v>0</v>
      </c>
    </row>
    <row r="44" spans="1:108" s="52" customFormat="1" ht="31.2" x14ac:dyDescent="0.3">
      <c r="A44" s="97" t="s">
        <v>1</v>
      </c>
      <c r="B44" s="36" t="s">
        <v>64</v>
      </c>
      <c r="C44" s="37" t="s">
        <v>81</v>
      </c>
      <c r="D44" s="39">
        <f>SUM(E44+CC44+CZ44)</f>
        <v>5228913</v>
      </c>
      <c r="E44" s="39">
        <f>SUM(F44+BC44)</f>
        <v>5221557</v>
      </c>
      <c r="F44" s="39">
        <f>SUM(G44+H44+I44+P44+S44+T44+U44+AD44)</f>
        <v>5221557</v>
      </c>
      <c r="G44" s="39">
        <v>3734727</v>
      </c>
      <c r="H44" s="39">
        <v>929779</v>
      </c>
      <c r="I44" s="39">
        <f t="shared" si="9"/>
        <v>134896</v>
      </c>
      <c r="J44" s="39">
        <v>0</v>
      </c>
      <c r="K44" s="39">
        <v>0</v>
      </c>
      <c r="L44" s="39">
        <v>0</v>
      </c>
      <c r="M44" s="39">
        <v>0</v>
      </c>
      <c r="N44" s="35">
        <v>90599</v>
      </c>
      <c r="O44" s="35">
        <v>44297</v>
      </c>
      <c r="P44" s="39">
        <f t="shared" si="10"/>
        <v>0</v>
      </c>
      <c r="Q44" s="35">
        <v>0</v>
      </c>
      <c r="R44" s="35">
        <v>0</v>
      </c>
      <c r="S44" s="35">
        <v>0</v>
      </c>
      <c r="T44" s="35">
        <v>82442</v>
      </c>
      <c r="U44" s="39">
        <f t="shared" si="52"/>
        <v>199031</v>
      </c>
      <c r="V44" s="35">
        <v>0</v>
      </c>
      <c r="W44" s="35">
        <f>54249+16753</f>
        <v>71002</v>
      </c>
      <c r="X44" s="35">
        <f>16263+19244</f>
        <v>35507</v>
      </c>
      <c r="Y44" s="35">
        <f>3070+1493</f>
        <v>4563</v>
      </c>
      <c r="Z44" s="35">
        <v>6730</v>
      </c>
      <c r="AA44" s="35">
        <v>76028</v>
      </c>
      <c r="AB44" s="35">
        <v>0</v>
      </c>
      <c r="AC44" s="35">
        <f>3979+1222</f>
        <v>5201</v>
      </c>
      <c r="AD44" s="39">
        <f>SUM(AE44:AY44)</f>
        <v>140682</v>
      </c>
      <c r="AE44" s="39">
        <v>0</v>
      </c>
      <c r="AF44" s="39">
        <v>0</v>
      </c>
      <c r="AG44" s="35">
        <v>10000</v>
      </c>
      <c r="AH44" s="35">
        <v>0</v>
      </c>
      <c r="AI44" s="35">
        <v>0</v>
      </c>
      <c r="AJ44" s="35">
        <v>383</v>
      </c>
      <c r="AK44" s="35">
        <v>0</v>
      </c>
      <c r="AL44" s="35">
        <v>0</v>
      </c>
      <c r="AM44" s="35">
        <v>0</v>
      </c>
      <c r="AN44" s="35">
        <v>0</v>
      </c>
      <c r="AO44" s="35">
        <v>0</v>
      </c>
      <c r="AP44" s="35">
        <v>0</v>
      </c>
      <c r="AQ44" s="35">
        <v>23523</v>
      </c>
      <c r="AR44" s="35">
        <v>0</v>
      </c>
      <c r="AS44" s="35">
        <v>0</v>
      </c>
      <c r="AT44" s="35">
        <v>0</v>
      </c>
      <c r="AU44" s="35">
        <v>0</v>
      </c>
      <c r="AV44" s="35">
        <v>0</v>
      </c>
      <c r="AW44" s="35">
        <v>102480</v>
      </c>
      <c r="AX44" s="35">
        <v>0</v>
      </c>
      <c r="AY44" s="35">
        <v>4296</v>
      </c>
      <c r="AZ44" s="35"/>
      <c r="BA44" s="35"/>
      <c r="BB44" s="35"/>
      <c r="BC44" s="39">
        <f t="shared" si="53"/>
        <v>0</v>
      </c>
      <c r="BD44" s="39">
        <f>SUM(BE44:BG44)</f>
        <v>0</v>
      </c>
      <c r="BE44" s="39">
        <v>0</v>
      </c>
      <c r="BF44" s="39">
        <v>0</v>
      </c>
      <c r="BG44" s="39">
        <v>0</v>
      </c>
      <c r="BH44" s="39">
        <f t="shared" si="54"/>
        <v>0</v>
      </c>
      <c r="BI44" s="39">
        <v>0</v>
      </c>
      <c r="BJ44" s="39">
        <v>0</v>
      </c>
      <c r="BK44" s="39">
        <v>0</v>
      </c>
      <c r="BL44" s="39">
        <v>0</v>
      </c>
      <c r="BM44" s="39">
        <v>0</v>
      </c>
      <c r="BN44" s="39">
        <f t="shared" si="11"/>
        <v>0</v>
      </c>
      <c r="BO44" s="39">
        <v>0</v>
      </c>
      <c r="BP44" s="39">
        <v>0</v>
      </c>
      <c r="BQ44" s="39">
        <f>SUM(BR44:CB44)</f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5">
        <v>0</v>
      </c>
      <c r="CB44" s="39">
        <v>0</v>
      </c>
      <c r="CC44" s="39">
        <f>SUM(CD44+CU44)</f>
        <v>7356</v>
      </c>
      <c r="CD44" s="39">
        <f>SUM(CE44+CH44+CN44)</f>
        <v>7356</v>
      </c>
      <c r="CE44" s="39">
        <f t="shared" si="12"/>
        <v>7356</v>
      </c>
      <c r="CF44" s="39">
        <v>0</v>
      </c>
      <c r="CG44" s="35">
        <v>7356</v>
      </c>
      <c r="CH44" s="39">
        <f t="shared" si="55"/>
        <v>0</v>
      </c>
      <c r="CI44" s="39">
        <v>0</v>
      </c>
      <c r="CJ44" s="39">
        <v>0</v>
      </c>
      <c r="CK44" s="39">
        <v>0</v>
      </c>
      <c r="CL44" s="39">
        <v>0</v>
      </c>
      <c r="CM44" s="39">
        <v>0</v>
      </c>
      <c r="CN44" s="39">
        <f>SUM(CO44:CQ44)</f>
        <v>0</v>
      </c>
      <c r="CO44" s="39">
        <v>0</v>
      </c>
      <c r="CP44" s="39">
        <v>0</v>
      </c>
      <c r="CQ44" s="39"/>
      <c r="CR44" s="39"/>
      <c r="CS44" s="39"/>
      <c r="CT44" s="39"/>
      <c r="CU44" s="39">
        <v>0</v>
      </c>
      <c r="CV44" s="39"/>
      <c r="CW44" s="39"/>
      <c r="CX44" s="39"/>
      <c r="CY44" s="39"/>
      <c r="CZ44" s="39">
        <f t="shared" si="13"/>
        <v>0</v>
      </c>
      <c r="DA44" s="39">
        <f t="shared" si="14"/>
        <v>0</v>
      </c>
      <c r="DB44" s="39">
        <v>0</v>
      </c>
      <c r="DC44" s="41">
        <v>0</v>
      </c>
    </row>
    <row r="45" spans="1:108" s="58" customFormat="1" ht="15.6" x14ac:dyDescent="0.3">
      <c r="A45" s="93" t="s">
        <v>82</v>
      </c>
      <c r="B45" s="16" t="s">
        <v>1</v>
      </c>
      <c r="C45" s="17" t="s">
        <v>83</v>
      </c>
      <c r="D45" s="18">
        <f t="shared" ref="D45:AW45" si="56">SUM(D46:D46)</f>
        <v>4582382</v>
      </c>
      <c r="E45" s="18">
        <f t="shared" si="56"/>
        <v>4576241</v>
      </c>
      <c r="F45" s="18">
        <f t="shared" si="56"/>
        <v>4576241</v>
      </c>
      <c r="G45" s="18">
        <f t="shared" si="56"/>
        <v>3520240</v>
      </c>
      <c r="H45" s="18">
        <f t="shared" si="56"/>
        <v>843705</v>
      </c>
      <c r="I45" s="18">
        <f t="shared" si="56"/>
        <v>28799</v>
      </c>
      <c r="J45" s="18">
        <f t="shared" si="56"/>
        <v>0</v>
      </c>
      <c r="K45" s="18">
        <f t="shared" si="56"/>
        <v>0</v>
      </c>
      <c r="L45" s="18">
        <f t="shared" si="56"/>
        <v>0</v>
      </c>
      <c r="M45" s="18">
        <f t="shared" si="56"/>
        <v>0</v>
      </c>
      <c r="N45" s="18">
        <f t="shared" si="56"/>
        <v>0</v>
      </c>
      <c r="O45" s="18">
        <f t="shared" si="56"/>
        <v>28799</v>
      </c>
      <c r="P45" s="18">
        <f t="shared" si="56"/>
        <v>0</v>
      </c>
      <c r="Q45" s="18">
        <f t="shared" si="56"/>
        <v>0</v>
      </c>
      <c r="R45" s="18">
        <f t="shared" si="56"/>
        <v>0</v>
      </c>
      <c r="S45" s="18">
        <f t="shared" si="56"/>
        <v>0</v>
      </c>
      <c r="T45" s="18">
        <f t="shared" si="56"/>
        <v>62906</v>
      </c>
      <c r="U45" s="18">
        <f t="shared" si="56"/>
        <v>107616</v>
      </c>
      <c r="V45" s="18">
        <f t="shared" si="56"/>
        <v>8183</v>
      </c>
      <c r="W45" s="18">
        <f t="shared" si="56"/>
        <v>42144</v>
      </c>
      <c r="X45" s="18">
        <f t="shared" si="56"/>
        <v>27198</v>
      </c>
      <c r="Y45" s="18">
        <f t="shared" si="56"/>
        <v>6107</v>
      </c>
      <c r="Z45" s="18">
        <f t="shared" si="56"/>
        <v>271</v>
      </c>
      <c r="AA45" s="18">
        <f t="shared" si="56"/>
        <v>23713</v>
      </c>
      <c r="AB45" s="18">
        <f t="shared" si="56"/>
        <v>0</v>
      </c>
      <c r="AC45" s="18">
        <f t="shared" si="56"/>
        <v>0</v>
      </c>
      <c r="AD45" s="18">
        <f t="shared" si="56"/>
        <v>12975</v>
      </c>
      <c r="AE45" s="18">
        <f t="shared" si="56"/>
        <v>0</v>
      </c>
      <c r="AF45" s="18">
        <f t="shared" si="56"/>
        <v>0</v>
      </c>
      <c r="AG45" s="18">
        <f t="shared" si="56"/>
        <v>2971</v>
      </c>
      <c r="AH45" s="18">
        <f t="shared" si="56"/>
        <v>10004</v>
      </c>
      <c r="AI45" s="18">
        <f t="shared" si="56"/>
        <v>0</v>
      </c>
      <c r="AJ45" s="18">
        <f t="shared" si="56"/>
        <v>0</v>
      </c>
      <c r="AK45" s="18">
        <f t="shared" si="56"/>
        <v>0</v>
      </c>
      <c r="AL45" s="18">
        <f t="shared" si="56"/>
        <v>0</v>
      </c>
      <c r="AM45" s="18">
        <f t="shared" si="56"/>
        <v>0</v>
      </c>
      <c r="AN45" s="18">
        <f t="shared" si="56"/>
        <v>0</v>
      </c>
      <c r="AO45" s="18">
        <f t="shared" si="56"/>
        <v>0</v>
      </c>
      <c r="AP45" s="18">
        <f t="shared" si="56"/>
        <v>0</v>
      </c>
      <c r="AQ45" s="18">
        <f t="shared" si="56"/>
        <v>0</v>
      </c>
      <c r="AR45" s="18">
        <f t="shared" si="56"/>
        <v>0</v>
      </c>
      <c r="AS45" s="18">
        <f t="shared" si="56"/>
        <v>0</v>
      </c>
      <c r="AT45" s="18">
        <f t="shared" si="56"/>
        <v>0</v>
      </c>
      <c r="AU45" s="18">
        <f t="shared" si="56"/>
        <v>0</v>
      </c>
      <c r="AV45" s="18">
        <f t="shared" si="56"/>
        <v>0</v>
      </c>
      <c r="AW45" s="18">
        <f t="shared" si="56"/>
        <v>0</v>
      </c>
      <c r="AX45" s="18"/>
      <c r="AY45" s="18">
        <f t="shared" ref="AY45:DC45" si="57">SUM(AY46:AY46)</f>
        <v>0</v>
      </c>
      <c r="AZ45" s="18">
        <f t="shared" si="57"/>
        <v>0</v>
      </c>
      <c r="BA45" s="18">
        <f t="shared" si="57"/>
        <v>0</v>
      </c>
      <c r="BB45" s="18">
        <f t="shared" si="57"/>
        <v>0</v>
      </c>
      <c r="BC45" s="18">
        <f t="shared" si="57"/>
        <v>0</v>
      </c>
      <c r="BD45" s="18">
        <f t="shared" si="57"/>
        <v>0</v>
      </c>
      <c r="BE45" s="18">
        <f t="shared" si="57"/>
        <v>0</v>
      </c>
      <c r="BF45" s="18">
        <f t="shared" si="57"/>
        <v>0</v>
      </c>
      <c r="BG45" s="18">
        <f t="shared" si="57"/>
        <v>0</v>
      </c>
      <c r="BH45" s="18">
        <f t="shared" si="57"/>
        <v>0</v>
      </c>
      <c r="BI45" s="18">
        <f t="shared" si="57"/>
        <v>0</v>
      </c>
      <c r="BJ45" s="18">
        <f t="shared" si="57"/>
        <v>0</v>
      </c>
      <c r="BK45" s="18">
        <f t="shared" si="57"/>
        <v>0</v>
      </c>
      <c r="BL45" s="18">
        <f t="shared" si="57"/>
        <v>0</v>
      </c>
      <c r="BM45" s="18">
        <f t="shared" si="57"/>
        <v>0</v>
      </c>
      <c r="BN45" s="18">
        <f t="shared" si="57"/>
        <v>0</v>
      </c>
      <c r="BO45" s="18">
        <f t="shared" si="57"/>
        <v>0</v>
      </c>
      <c r="BP45" s="18">
        <f t="shared" si="57"/>
        <v>0</v>
      </c>
      <c r="BQ45" s="18">
        <f t="shared" si="57"/>
        <v>0</v>
      </c>
      <c r="BR45" s="18">
        <f t="shared" si="57"/>
        <v>0</v>
      </c>
      <c r="BS45" s="18">
        <f t="shared" si="57"/>
        <v>0</v>
      </c>
      <c r="BT45" s="18">
        <f t="shared" si="57"/>
        <v>0</v>
      </c>
      <c r="BU45" s="18">
        <f t="shared" si="57"/>
        <v>0</v>
      </c>
      <c r="BV45" s="18">
        <f t="shared" si="57"/>
        <v>0</v>
      </c>
      <c r="BW45" s="18">
        <f t="shared" si="57"/>
        <v>0</v>
      </c>
      <c r="BX45" s="18">
        <f t="shared" si="57"/>
        <v>0</v>
      </c>
      <c r="BY45" s="18">
        <f t="shared" si="57"/>
        <v>0</v>
      </c>
      <c r="BZ45" s="18">
        <f t="shared" si="57"/>
        <v>0</v>
      </c>
      <c r="CA45" s="18">
        <f t="shared" si="57"/>
        <v>0</v>
      </c>
      <c r="CB45" s="18">
        <f t="shared" si="57"/>
        <v>0</v>
      </c>
      <c r="CC45" s="18">
        <f t="shared" si="57"/>
        <v>6141</v>
      </c>
      <c r="CD45" s="18">
        <f t="shared" si="57"/>
        <v>6141</v>
      </c>
      <c r="CE45" s="18">
        <f t="shared" si="57"/>
        <v>6141</v>
      </c>
      <c r="CF45" s="18">
        <f t="shared" si="57"/>
        <v>0</v>
      </c>
      <c r="CG45" s="18">
        <f t="shared" si="57"/>
        <v>6141</v>
      </c>
      <c r="CH45" s="18">
        <f t="shared" si="57"/>
        <v>0</v>
      </c>
      <c r="CI45" s="18">
        <f t="shared" si="57"/>
        <v>0</v>
      </c>
      <c r="CJ45" s="18">
        <f t="shared" si="57"/>
        <v>0</v>
      </c>
      <c r="CK45" s="18">
        <f t="shared" si="57"/>
        <v>0</v>
      </c>
      <c r="CL45" s="18">
        <f t="shared" si="57"/>
        <v>0</v>
      </c>
      <c r="CM45" s="18">
        <f t="shared" si="57"/>
        <v>0</v>
      </c>
      <c r="CN45" s="18">
        <f t="shared" si="57"/>
        <v>0</v>
      </c>
      <c r="CO45" s="18">
        <f t="shared" si="57"/>
        <v>0</v>
      </c>
      <c r="CP45" s="18">
        <f t="shared" si="57"/>
        <v>0</v>
      </c>
      <c r="CQ45" s="18">
        <f t="shared" si="57"/>
        <v>0</v>
      </c>
      <c r="CR45" s="18"/>
      <c r="CS45" s="18"/>
      <c r="CT45" s="18"/>
      <c r="CU45" s="18">
        <f t="shared" si="57"/>
        <v>0</v>
      </c>
      <c r="CV45" s="73"/>
      <c r="CW45" s="73"/>
      <c r="CX45" s="73"/>
      <c r="CY45" s="73"/>
      <c r="CZ45" s="18">
        <f t="shared" si="57"/>
        <v>0</v>
      </c>
      <c r="DA45" s="18">
        <f t="shared" si="57"/>
        <v>0</v>
      </c>
      <c r="DB45" s="18">
        <f t="shared" si="57"/>
        <v>0</v>
      </c>
      <c r="DC45" s="46">
        <f t="shared" si="57"/>
        <v>0</v>
      </c>
      <c r="DD45" s="57"/>
    </row>
    <row r="46" spans="1:108" s="78" customFormat="1" ht="31.2" x14ac:dyDescent="0.3">
      <c r="A46" s="96" t="s">
        <v>1</v>
      </c>
      <c r="B46" s="71" t="s">
        <v>52</v>
      </c>
      <c r="C46" s="72" t="s">
        <v>561</v>
      </c>
      <c r="D46" s="74">
        <f>SUM(E46+CC46+CZ46)</f>
        <v>4582382</v>
      </c>
      <c r="E46" s="74">
        <f>SUM(F46+BC46)</f>
        <v>4576241</v>
      </c>
      <c r="F46" s="74">
        <f>SUM(G46+H46+I46+P46+S46+T46+U46+AD46)</f>
        <v>4576241</v>
      </c>
      <c r="G46" s="74">
        <v>3520240</v>
      </c>
      <c r="H46" s="74">
        <v>843705</v>
      </c>
      <c r="I46" s="74">
        <f t="shared" ref="I46" si="58">SUM(J46:O46)</f>
        <v>28799</v>
      </c>
      <c r="J46" s="74">
        <v>0</v>
      </c>
      <c r="K46" s="74">
        <v>0</v>
      </c>
      <c r="L46" s="74">
        <v>0</v>
      </c>
      <c r="M46" s="74">
        <v>0</v>
      </c>
      <c r="N46" s="74">
        <v>0</v>
      </c>
      <c r="O46" s="75">
        <v>28799</v>
      </c>
      <c r="P46" s="74">
        <f t="shared" ref="P46" si="59">SUM(Q46:R46)</f>
        <v>0</v>
      </c>
      <c r="Q46" s="74">
        <v>0</v>
      </c>
      <c r="R46" s="74">
        <v>0</v>
      </c>
      <c r="S46" s="74">
        <v>0</v>
      </c>
      <c r="T46" s="75">
        <v>62906</v>
      </c>
      <c r="U46" s="74">
        <f>SUM(V46:AC46)</f>
        <v>107616</v>
      </c>
      <c r="V46" s="75">
        <v>8183</v>
      </c>
      <c r="W46" s="75">
        <f>34047+8097</f>
        <v>42144</v>
      </c>
      <c r="X46" s="75">
        <f>28068-870</f>
        <v>27198</v>
      </c>
      <c r="Y46" s="75">
        <f>4799+1308</f>
        <v>6107</v>
      </c>
      <c r="Z46" s="75">
        <v>271</v>
      </c>
      <c r="AA46" s="75">
        <v>23713</v>
      </c>
      <c r="AB46" s="75">
        <v>0</v>
      </c>
      <c r="AC46" s="75">
        <v>0</v>
      </c>
      <c r="AD46" s="74">
        <f>SUM(AE46:AY46)</f>
        <v>12975</v>
      </c>
      <c r="AE46" s="74">
        <v>0</v>
      </c>
      <c r="AF46" s="74">
        <v>0</v>
      </c>
      <c r="AG46" s="75">
        <v>2971</v>
      </c>
      <c r="AH46" s="75">
        <v>10004</v>
      </c>
      <c r="AI46" s="75">
        <v>0</v>
      </c>
      <c r="AJ46" s="75">
        <v>0</v>
      </c>
      <c r="AK46" s="75">
        <v>0</v>
      </c>
      <c r="AL46" s="75">
        <v>0</v>
      </c>
      <c r="AM46" s="75">
        <v>0</v>
      </c>
      <c r="AN46" s="75">
        <v>0</v>
      </c>
      <c r="AO46" s="75">
        <v>0</v>
      </c>
      <c r="AP46" s="75">
        <v>0</v>
      </c>
      <c r="AQ46" s="75">
        <v>0</v>
      </c>
      <c r="AR46" s="75">
        <v>0</v>
      </c>
      <c r="AS46" s="75">
        <v>0</v>
      </c>
      <c r="AT46" s="75">
        <v>0</v>
      </c>
      <c r="AU46" s="75">
        <v>0</v>
      </c>
      <c r="AV46" s="75">
        <v>0</v>
      </c>
      <c r="AW46" s="75">
        <v>0</v>
      </c>
      <c r="AX46" s="75">
        <v>0</v>
      </c>
      <c r="AY46" s="75">
        <v>0</v>
      </c>
      <c r="AZ46" s="75"/>
      <c r="BA46" s="75"/>
      <c r="BB46" s="75"/>
      <c r="BC46" s="74">
        <f>SUM(BD46+BH46+BL46+BN46+BQ46)</f>
        <v>0</v>
      </c>
      <c r="BD46" s="74">
        <f>SUM(BE46:BG46)</f>
        <v>0</v>
      </c>
      <c r="BE46" s="74">
        <v>0</v>
      </c>
      <c r="BF46" s="74">
        <v>0</v>
      </c>
      <c r="BG46" s="74">
        <v>0</v>
      </c>
      <c r="BH46" s="74">
        <f>SUM(BI46:BK46)</f>
        <v>0</v>
      </c>
      <c r="BI46" s="74">
        <v>0</v>
      </c>
      <c r="BJ46" s="74">
        <v>0</v>
      </c>
      <c r="BK46" s="74">
        <v>0</v>
      </c>
      <c r="BL46" s="74">
        <v>0</v>
      </c>
      <c r="BM46" s="74">
        <v>0</v>
      </c>
      <c r="BN46" s="74">
        <f t="shared" ref="BN46" si="60">SUM(BO46)</f>
        <v>0</v>
      </c>
      <c r="BO46" s="74">
        <v>0</v>
      </c>
      <c r="BP46" s="74">
        <v>0</v>
      </c>
      <c r="BQ46" s="74">
        <f>SUM(BR46:CB46)</f>
        <v>0</v>
      </c>
      <c r="BR46" s="74">
        <v>0</v>
      </c>
      <c r="BS46" s="74">
        <v>0</v>
      </c>
      <c r="BT46" s="74">
        <v>0</v>
      </c>
      <c r="BU46" s="74">
        <v>0</v>
      </c>
      <c r="BV46" s="74">
        <v>0</v>
      </c>
      <c r="BW46" s="74">
        <v>0</v>
      </c>
      <c r="BX46" s="74">
        <v>0</v>
      </c>
      <c r="BY46" s="74">
        <v>0</v>
      </c>
      <c r="BZ46" s="74">
        <v>0</v>
      </c>
      <c r="CA46" s="74">
        <v>0</v>
      </c>
      <c r="CB46" s="74">
        <v>0</v>
      </c>
      <c r="CC46" s="74">
        <f>SUM(CD46+CU46)</f>
        <v>6141</v>
      </c>
      <c r="CD46" s="74">
        <f>SUM(CE46+CH46+CN46)</f>
        <v>6141</v>
      </c>
      <c r="CE46" s="74">
        <f t="shared" ref="CE46" si="61">SUM(CF46:CG46)</f>
        <v>6141</v>
      </c>
      <c r="CF46" s="74">
        <v>0</v>
      </c>
      <c r="CG46" s="75">
        <v>6141</v>
      </c>
      <c r="CH46" s="74">
        <f>SUM(CI46:CM46)</f>
        <v>0</v>
      </c>
      <c r="CI46" s="74">
        <v>0</v>
      </c>
      <c r="CJ46" s="74">
        <v>0</v>
      </c>
      <c r="CK46" s="74">
        <v>0</v>
      </c>
      <c r="CL46" s="74">
        <v>0</v>
      </c>
      <c r="CM46" s="74">
        <v>0</v>
      </c>
      <c r="CN46" s="74">
        <f>SUM(CO46:CQ46)</f>
        <v>0</v>
      </c>
      <c r="CO46" s="74">
        <v>0</v>
      </c>
      <c r="CP46" s="74">
        <v>0</v>
      </c>
      <c r="CQ46" s="74"/>
      <c r="CR46" s="74"/>
      <c r="CS46" s="74"/>
      <c r="CT46" s="74"/>
      <c r="CU46" s="74">
        <v>0</v>
      </c>
      <c r="CV46" s="74"/>
      <c r="CW46" s="74"/>
      <c r="CX46" s="74"/>
      <c r="CY46" s="74"/>
      <c r="CZ46" s="74">
        <f t="shared" ref="CZ46" si="62">SUM(DA46)</f>
        <v>0</v>
      </c>
      <c r="DA46" s="74">
        <f t="shared" ref="DA46" si="63">SUM(DB46:DC46)</f>
        <v>0</v>
      </c>
      <c r="DB46" s="74">
        <v>0</v>
      </c>
      <c r="DC46" s="77">
        <v>0</v>
      </c>
    </row>
    <row r="47" spans="1:108" s="58" customFormat="1" ht="15.6" x14ac:dyDescent="0.3">
      <c r="A47" s="93" t="s">
        <v>84</v>
      </c>
      <c r="B47" s="16" t="s">
        <v>1</v>
      </c>
      <c r="C47" s="17" t="s">
        <v>85</v>
      </c>
      <c r="D47" s="18">
        <f t="shared" ref="D47:AJ47" si="64">SUM(D48)</f>
        <v>15425362</v>
      </c>
      <c r="E47" s="18">
        <f t="shared" si="64"/>
        <v>15222082</v>
      </c>
      <c r="F47" s="18">
        <f t="shared" si="64"/>
        <v>15213265</v>
      </c>
      <c r="G47" s="18">
        <f t="shared" si="64"/>
        <v>9725042</v>
      </c>
      <c r="H47" s="18">
        <f t="shared" si="64"/>
        <v>2324375</v>
      </c>
      <c r="I47" s="18">
        <f t="shared" si="64"/>
        <v>520528</v>
      </c>
      <c r="J47" s="18">
        <f t="shared" si="64"/>
        <v>0</v>
      </c>
      <c r="K47" s="18">
        <f t="shared" si="64"/>
        <v>0</v>
      </c>
      <c r="L47" s="18">
        <f t="shared" si="64"/>
        <v>0</v>
      </c>
      <c r="M47" s="18">
        <f t="shared" si="64"/>
        <v>0</v>
      </c>
      <c r="N47" s="18">
        <f t="shared" si="64"/>
        <v>320000</v>
      </c>
      <c r="O47" s="18">
        <f t="shared" si="64"/>
        <v>200528</v>
      </c>
      <c r="P47" s="18">
        <f t="shared" si="64"/>
        <v>25000</v>
      </c>
      <c r="Q47" s="18">
        <f t="shared" si="64"/>
        <v>0</v>
      </c>
      <c r="R47" s="18">
        <f t="shared" si="64"/>
        <v>25000</v>
      </c>
      <c r="S47" s="18">
        <f t="shared" si="64"/>
        <v>0</v>
      </c>
      <c r="T47" s="18">
        <f t="shared" si="64"/>
        <v>230972</v>
      </c>
      <c r="U47" s="18">
        <f t="shared" si="64"/>
        <v>1294277</v>
      </c>
      <c r="V47" s="18">
        <f t="shared" si="64"/>
        <v>125181</v>
      </c>
      <c r="W47" s="18">
        <f t="shared" si="64"/>
        <v>547590</v>
      </c>
      <c r="X47" s="18">
        <f t="shared" si="64"/>
        <v>530564</v>
      </c>
      <c r="Y47" s="18">
        <f t="shared" si="64"/>
        <v>68059</v>
      </c>
      <c r="Z47" s="18">
        <f t="shared" si="64"/>
        <v>22883</v>
      </c>
      <c r="AA47" s="18">
        <f t="shared" si="64"/>
        <v>0</v>
      </c>
      <c r="AB47" s="18">
        <f t="shared" si="64"/>
        <v>0</v>
      </c>
      <c r="AC47" s="18">
        <f t="shared" si="64"/>
        <v>0</v>
      </c>
      <c r="AD47" s="18">
        <f t="shared" si="64"/>
        <v>1093071</v>
      </c>
      <c r="AE47" s="18">
        <f t="shared" si="64"/>
        <v>0</v>
      </c>
      <c r="AF47" s="18">
        <f t="shared" si="64"/>
        <v>0</v>
      </c>
      <c r="AG47" s="18">
        <f t="shared" si="64"/>
        <v>27184</v>
      </c>
      <c r="AH47" s="18">
        <f t="shared" si="64"/>
        <v>300000</v>
      </c>
      <c r="AI47" s="18">
        <f t="shared" si="64"/>
        <v>0</v>
      </c>
      <c r="AJ47" s="18">
        <f t="shared" si="64"/>
        <v>1303</v>
      </c>
      <c r="AK47" s="18">
        <f t="shared" ref="AK47:DC47" si="65">SUM(AK48)</f>
        <v>10083</v>
      </c>
      <c r="AL47" s="18">
        <f t="shared" si="65"/>
        <v>0</v>
      </c>
      <c r="AM47" s="18">
        <f t="shared" si="65"/>
        <v>0</v>
      </c>
      <c r="AN47" s="18">
        <f t="shared" si="65"/>
        <v>298949</v>
      </c>
      <c r="AO47" s="18">
        <f t="shared" si="65"/>
        <v>0</v>
      </c>
      <c r="AP47" s="18">
        <f t="shared" si="65"/>
        <v>0</v>
      </c>
      <c r="AQ47" s="18">
        <f t="shared" si="65"/>
        <v>0</v>
      </c>
      <c r="AR47" s="18">
        <f t="shared" si="65"/>
        <v>13596</v>
      </c>
      <c r="AS47" s="18"/>
      <c r="AT47" s="18"/>
      <c r="AU47" s="18">
        <f t="shared" si="65"/>
        <v>0</v>
      </c>
      <c r="AV47" s="18">
        <f t="shared" si="65"/>
        <v>0</v>
      </c>
      <c r="AW47" s="18">
        <f t="shared" si="65"/>
        <v>71088</v>
      </c>
      <c r="AX47" s="18">
        <f t="shared" si="65"/>
        <v>340868</v>
      </c>
      <c r="AY47" s="18">
        <f t="shared" si="65"/>
        <v>30000</v>
      </c>
      <c r="AZ47" s="18">
        <f t="shared" si="65"/>
        <v>0</v>
      </c>
      <c r="BA47" s="18">
        <f t="shared" si="65"/>
        <v>0</v>
      </c>
      <c r="BB47" s="18">
        <f t="shared" si="65"/>
        <v>0</v>
      </c>
      <c r="BC47" s="18">
        <f t="shared" si="65"/>
        <v>8817</v>
      </c>
      <c r="BD47" s="18">
        <f t="shared" si="65"/>
        <v>0</v>
      </c>
      <c r="BE47" s="18">
        <f t="shared" si="65"/>
        <v>0</v>
      </c>
      <c r="BF47" s="18">
        <f t="shared" si="65"/>
        <v>0</v>
      </c>
      <c r="BG47" s="18">
        <f t="shared" si="65"/>
        <v>0</v>
      </c>
      <c r="BH47" s="18">
        <f t="shared" si="65"/>
        <v>0</v>
      </c>
      <c r="BI47" s="18">
        <f t="shared" si="65"/>
        <v>0</v>
      </c>
      <c r="BJ47" s="18">
        <f t="shared" si="65"/>
        <v>0</v>
      </c>
      <c r="BK47" s="18">
        <f t="shared" si="65"/>
        <v>0</v>
      </c>
      <c r="BL47" s="18">
        <f t="shared" si="65"/>
        <v>0</v>
      </c>
      <c r="BM47" s="18">
        <f t="shared" si="65"/>
        <v>0</v>
      </c>
      <c r="BN47" s="18">
        <f t="shared" si="65"/>
        <v>0</v>
      </c>
      <c r="BO47" s="18">
        <f t="shared" si="65"/>
        <v>0</v>
      </c>
      <c r="BP47" s="18">
        <f t="shared" si="65"/>
        <v>0</v>
      </c>
      <c r="BQ47" s="18">
        <f t="shared" si="65"/>
        <v>8817</v>
      </c>
      <c r="BR47" s="18">
        <f t="shared" si="65"/>
        <v>0</v>
      </c>
      <c r="BS47" s="18">
        <f t="shared" si="65"/>
        <v>0</v>
      </c>
      <c r="BT47" s="18">
        <f t="shared" si="65"/>
        <v>0</v>
      </c>
      <c r="BU47" s="18">
        <f t="shared" si="65"/>
        <v>0</v>
      </c>
      <c r="BV47" s="18">
        <f t="shared" si="65"/>
        <v>0</v>
      </c>
      <c r="BW47" s="18">
        <f t="shared" si="65"/>
        <v>0</v>
      </c>
      <c r="BX47" s="18">
        <f t="shared" si="65"/>
        <v>0</v>
      </c>
      <c r="BY47" s="18">
        <f t="shared" si="65"/>
        <v>0</v>
      </c>
      <c r="BZ47" s="18">
        <f t="shared" si="65"/>
        <v>0</v>
      </c>
      <c r="CA47" s="18">
        <f t="shared" si="65"/>
        <v>8817</v>
      </c>
      <c r="CB47" s="18">
        <f t="shared" si="65"/>
        <v>0</v>
      </c>
      <c r="CC47" s="18">
        <f t="shared" si="65"/>
        <v>203280</v>
      </c>
      <c r="CD47" s="18">
        <f t="shared" si="65"/>
        <v>203280</v>
      </c>
      <c r="CE47" s="18">
        <f t="shared" si="65"/>
        <v>203280</v>
      </c>
      <c r="CF47" s="18">
        <f t="shared" si="65"/>
        <v>0</v>
      </c>
      <c r="CG47" s="18">
        <f t="shared" si="65"/>
        <v>203280</v>
      </c>
      <c r="CH47" s="18">
        <f t="shared" si="65"/>
        <v>0</v>
      </c>
      <c r="CI47" s="18">
        <f t="shared" si="65"/>
        <v>0</v>
      </c>
      <c r="CJ47" s="18">
        <f t="shared" si="65"/>
        <v>0</v>
      </c>
      <c r="CK47" s="18">
        <f t="shared" si="65"/>
        <v>0</v>
      </c>
      <c r="CL47" s="18">
        <f t="shared" si="65"/>
        <v>0</v>
      </c>
      <c r="CM47" s="18">
        <f t="shared" si="65"/>
        <v>0</v>
      </c>
      <c r="CN47" s="18">
        <f t="shared" si="65"/>
        <v>0</v>
      </c>
      <c r="CO47" s="18">
        <f t="shared" si="65"/>
        <v>0</v>
      </c>
      <c r="CP47" s="18">
        <f t="shared" si="65"/>
        <v>0</v>
      </c>
      <c r="CQ47" s="18"/>
      <c r="CR47" s="18"/>
      <c r="CS47" s="18"/>
      <c r="CT47" s="18"/>
      <c r="CU47" s="18">
        <f t="shared" si="65"/>
        <v>0</v>
      </c>
      <c r="CV47" s="73"/>
      <c r="CW47" s="73"/>
      <c r="CX47" s="73"/>
      <c r="CY47" s="73"/>
      <c r="CZ47" s="18">
        <f t="shared" si="65"/>
        <v>0</v>
      </c>
      <c r="DA47" s="18">
        <f t="shared" si="65"/>
        <v>0</v>
      </c>
      <c r="DB47" s="18">
        <f t="shared" si="65"/>
        <v>0</v>
      </c>
      <c r="DC47" s="46">
        <f t="shared" si="65"/>
        <v>0</v>
      </c>
      <c r="DD47" s="57"/>
    </row>
    <row r="48" spans="1:108" s="78" customFormat="1" ht="15.6" x14ac:dyDescent="0.3">
      <c r="A48" s="96" t="s">
        <v>1</v>
      </c>
      <c r="B48" s="71" t="s">
        <v>86</v>
      </c>
      <c r="C48" s="72" t="s">
        <v>87</v>
      </c>
      <c r="D48" s="74">
        <f>SUM(E48+CC48+CZ48)</f>
        <v>15425362</v>
      </c>
      <c r="E48" s="74">
        <f>SUM(F48+BC48)</f>
        <v>15222082</v>
      </c>
      <c r="F48" s="74">
        <f>SUM(G48+H48+I48+P48+S48+T48+U48+AD48)</f>
        <v>15213265</v>
      </c>
      <c r="G48" s="74">
        <v>9725042</v>
      </c>
      <c r="H48" s="74">
        <v>2324375</v>
      </c>
      <c r="I48" s="74">
        <f t="shared" si="9"/>
        <v>520528</v>
      </c>
      <c r="J48" s="75"/>
      <c r="K48" s="75">
        <v>0</v>
      </c>
      <c r="L48" s="75">
        <v>0</v>
      </c>
      <c r="M48" s="75">
        <v>0</v>
      </c>
      <c r="N48" s="75">
        <v>320000</v>
      </c>
      <c r="O48" s="75">
        <v>200528</v>
      </c>
      <c r="P48" s="74">
        <f t="shared" si="10"/>
        <v>25000</v>
      </c>
      <c r="Q48" s="75">
        <v>0</v>
      </c>
      <c r="R48" s="75">
        <v>25000</v>
      </c>
      <c r="S48" s="75">
        <v>0</v>
      </c>
      <c r="T48" s="75">
        <v>230972</v>
      </c>
      <c r="U48" s="74">
        <f>SUM(V48:AC48)</f>
        <v>1294277</v>
      </c>
      <c r="V48" s="75">
        <v>125181</v>
      </c>
      <c r="W48" s="75">
        <f>445222+102368</f>
        <v>547590</v>
      </c>
      <c r="X48" s="75">
        <f>381834+148730</f>
        <v>530564</v>
      </c>
      <c r="Y48" s="75">
        <f>58109+9950</f>
        <v>68059</v>
      </c>
      <c r="Z48" s="75">
        <v>22883</v>
      </c>
      <c r="AA48" s="75">
        <v>0</v>
      </c>
      <c r="AB48" s="75">
        <v>0</v>
      </c>
      <c r="AC48" s="75">
        <v>0</v>
      </c>
      <c r="AD48" s="74">
        <f>SUM(AE48:AY48)</f>
        <v>1093071</v>
      </c>
      <c r="AE48" s="75">
        <v>0</v>
      </c>
      <c r="AF48" s="75">
        <v>0</v>
      </c>
      <c r="AG48" s="75">
        <v>27184</v>
      </c>
      <c r="AH48" s="75">
        <v>300000</v>
      </c>
      <c r="AI48" s="75">
        <v>0</v>
      </c>
      <c r="AJ48" s="75">
        <v>1303</v>
      </c>
      <c r="AK48" s="75">
        <v>10083</v>
      </c>
      <c r="AL48" s="75">
        <v>0</v>
      </c>
      <c r="AM48" s="75">
        <v>0</v>
      </c>
      <c r="AN48" s="75">
        <v>298949</v>
      </c>
      <c r="AO48" s="75">
        <v>0</v>
      </c>
      <c r="AP48" s="75">
        <v>0</v>
      </c>
      <c r="AQ48" s="75">
        <v>0</v>
      </c>
      <c r="AR48" s="75">
        <v>13596</v>
      </c>
      <c r="AS48" s="75">
        <v>0</v>
      </c>
      <c r="AT48" s="75">
        <v>0</v>
      </c>
      <c r="AU48" s="75">
        <v>0</v>
      </c>
      <c r="AV48" s="75">
        <v>0</v>
      </c>
      <c r="AW48" s="75">
        <v>71088</v>
      </c>
      <c r="AX48" s="75">
        <v>340868</v>
      </c>
      <c r="AY48" s="75">
        <v>30000</v>
      </c>
      <c r="AZ48" s="75"/>
      <c r="BA48" s="75"/>
      <c r="BB48" s="75"/>
      <c r="BC48" s="74">
        <f>SUM(BD48+BH48+BL48+BN48+BQ48)</f>
        <v>8817</v>
      </c>
      <c r="BD48" s="74">
        <f>SUM(BE48:BG48)</f>
        <v>0</v>
      </c>
      <c r="BE48" s="74">
        <v>0</v>
      </c>
      <c r="BF48" s="74">
        <v>0</v>
      </c>
      <c r="BG48" s="74">
        <v>0</v>
      </c>
      <c r="BH48" s="74">
        <f>SUM(BK48:BK48)</f>
        <v>0</v>
      </c>
      <c r="BI48" s="74">
        <v>0</v>
      </c>
      <c r="BJ48" s="74">
        <v>0</v>
      </c>
      <c r="BK48" s="74">
        <v>0</v>
      </c>
      <c r="BL48" s="74">
        <v>0</v>
      </c>
      <c r="BM48" s="74">
        <v>0</v>
      </c>
      <c r="BN48" s="74">
        <f t="shared" si="11"/>
        <v>0</v>
      </c>
      <c r="BO48" s="74">
        <v>0</v>
      </c>
      <c r="BP48" s="74">
        <v>0</v>
      </c>
      <c r="BQ48" s="74">
        <f>SUM(BR48:CB48)</f>
        <v>8817</v>
      </c>
      <c r="BR48" s="74">
        <v>0</v>
      </c>
      <c r="BS48" s="74">
        <v>0</v>
      </c>
      <c r="BT48" s="74">
        <v>0</v>
      </c>
      <c r="BU48" s="74">
        <v>0</v>
      </c>
      <c r="BV48" s="74">
        <v>0</v>
      </c>
      <c r="BW48" s="74">
        <v>0</v>
      </c>
      <c r="BX48" s="74">
        <v>0</v>
      </c>
      <c r="BY48" s="74">
        <v>0</v>
      </c>
      <c r="BZ48" s="74">
        <v>0</v>
      </c>
      <c r="CA48" s="75">
        <v>8817</v>
      </c>
      <c r="CB48" s="74">
        <v>0</v>
      </c>
      <c r="CC48" s="74">
        <f>SUM(CD48+CU48)</f>
        <v>203280</v>
      </c>
      <c r="CD48" s="74">
        <f>SUM(CE48+CH48+CN48)</f>
        <v>203280</v>
      </c>
      <c r="CE48" s="74">
        <f t="shared" si="12"/>
        <v>203280</v>
      </c>
      <c r="CF48" s="74">
        <v>0</v>
      </c>
      <c r="CG48" s="75">
        <v>203280</v>
      </c>
      <c r="CH48" s="74">
        <f>SUM(CI48:CM48)</f>
        <v>0</v>
      </c>
      <c r="CI48" s="74">
        <v>0</v>
      </c>
      <c r="CJ48" s="74">
        <v>0</v>
      </c>
      <c r="CK48" s="74">
        <v>0</v>
      </c>
      <c r="CL48" s="74">
        <v>0</v>
      </c>
      <c r="CM48" s="74">
        <v>0</v>
      </c>
      <c r="CN48" s="74">
        <f>SUM(CO48:CQ48)</f>
        <v>0</v>
      </c>
      <c r="CO48" s="74"/>
      <c r="CP48" s="101"/>
      <c r="CQ48" s="74"/>
      <c r="CR48" s="74"/>
      <c r="CS48" s="74"/>
      <c r="CT48" s="74"/>
      <c r="CU48" s="74">
        <v>0</v>
      </c>
      <c r="CV48" s="74"/>
      <c r="CW48" s="74"/>
      <c r="CX48" s="74"/>
      <c r="CY48" s="74"/>
      <c r="CZ48" s="74">
        <f t="shared" si="13"/>
        <v>0</v>
      </c>
      <c r="DA48" s="74">
        <f t="shared" si="14"/>
        <v>0</v>
      </c>
      <c r="DB48" s="74">
        <v>0</v>
      </c>
      <c r="DC48" s="77">
        <v>0</v>
      </c>
    </row>
    <row r="49" spans="1:108" s="58" customFormat="1" ht="15.6" x14ac:dyDescent="0.3">
      <c r="A49" s="95" t="s">
        <v>88</v>
      </c>
      <c r="B49" s="25" t="s">
        <v>1</v>
      </c>
      <c r="C49" s="26" t="s">
        <v>89</v>
      </c>
      <c r="D49" s="27">
        <f>SUM(D50+D52+D54+D56+D58)</f>
        <v>58154425</v>
      </c>
      <c r="E49" s="27">
        <f t="shared" ref="E49:BW49" si="66">SUM(E50+E52+E54+E56+E58)</f>
        <v>57960991</v>
      </c>
      <c r="F49" s="27">
        <f t="shared" si="66"/>
        <v>57953275</v>
      </c>
      <c r="G49" s="27">
        <f t="shared" si="66"/>
        <v>46946281</v>
      </c>
      <c r="H49" s="27">
        <f t="shared" si="66"/>
        <v>5768996</v>
      </c>
      <c r="I49" s="27">
        <f t="shared" si="66"/>
        <v>955167</v>
      </c>
      <c r="J49" s="27">
        <f t="shared" si="66"/>
        <v>0</v>
      </c>
      <c r="K49" s="27">
        <f t="shared" si="66"/>
        <v>0</v>
      </c>
      <c r="L49" s="27">
        <f t="shared" si="66"/>
        <v>0</v>
      </c>
      <c r="M49" s="27">
        <f t="shared" si="66"/>
        <v>0</v>
      </c>
      <c r="N49" s="27">
        <f t="shared" si="66"/>
        <v>723842</v>
      </c>
      <c r="O49" s="27">
        <f t="shared" si="66"/>
        <v>231325</v>
      </c>
      <c r="P49" s="27">
        <f t="shared" si="66"/>
        <v>5000</v>
      </c>
      <c r="Q49" s="27">
        <f t="shared" si="66"/>
        <v>5000</v>
      </c>
      <c r="R49" s="27">
        <f t="shared" si="66"/>
        <v>0</v>
      </c>
      <c r="S49" s="27">
        <f t="shared" si="66"/>
        <v>0</v>
      </c>
      <c r="T49" s="27">
        <f t="shared" si="66"/>
        <v>517090</v>
      </c>
      <c r="U49" s="27">
        <f t="shared" si="66"/>
        <v>1660510</v>
      </c>
      <c r="V49" s="27">
        <f t="shared" si="66"/>
        <v>125530</v>
      </c>
      <c r="W49" s="27">
        <f t="shared" si="66"/>
        <v>345961</v>
      </c>
      <c r="X49" s="27">
        <f t="shared" si="66"/>
        <v>835295</v>
      </c>
      <c r="Y49" s="27">
        <f t="shared" si="66"/>
        <v>83088</v>
      </c>
      <c r="Z49" s="27">
        <f t="shared" si="66"/>
        <v>14990</v>
      </c>
      <c r="AA49" s="27">
        <f t="shared" si="66"/>
        <v>0</v>
      </c>
      <c r="AB49" s="27">
        <f t="shared" si="66"/>
        <v>0</v>
      </c>
      <c r="AC49" s="27">
        <f t="shared" si="66"/>
        <v>255646</v>
      </c>
      <c r="AD49" s="27">
        <f t="shared" si="66"/>
        <v>2100231</v>
      </c>
      <c r="AE49" s="27">
        <f t="shared" si="66"/>
        <v>0</v>
      </c>
      <c r="AF49" s="27">
        <f t="shared" si="66"/>
        <v>0</v>
      </c>
      <c r="AG49" s="27">
        <f t="shared" si="66"/>
        <v>25490</v>
      </c>
      <c r="AH49" s="27">
        <f t="shared" si="66"/>
        <v>78909</v>
      </c>
      <c r="AI49" s="27">
        <f t="shared" si="66"/>
        <v>0</v>
      </c>
      <c r="AJ49" s="27">
        <f t="shared" si="66"/>
        <v>7438</v>
      </c>
      <c r="AK49" s="27">
        <f t="shared" si="66"/>
        <v>0</v>
      </c>
      <c r="AL49" s="27">
        <f t="shared" si="66"/>
        <v>1302</v>
      </c>
      <c r="AM49" s="27">
        <f t="shared" si="66"/>
        <v>51470</v>
      </c>
      <c r="AN49" s="27">
        <f t="shared" si="66"/>
        <v>166064</v>
      </c>
      <c r="AO49" s="27">
        <f t="shared" si="66"/>
        <v>0</v>
      </c>
      <c r="AP49" s="27">
        <f t="shared" si="66"/>
        <v>0</v>
      </c>
      <c r="AQ49" s="27">
        <f t="shared" si="66"/>
        <v>955021</v>
      </c>
      <c r="AR49" s="27">
        <f t="shared" si="66"/>
        <v>15137</v>
      </c>
      <c r="AS49" s="27">
        <f t="shared" si="66"/>
        <v>690000</v>
      </c>
      <c r="AT49" s="27"/>
      <c r="AU49" s="27">
        <f t="shared" si="66"/>
        <v>0</v>
      </c>
      <c r="AV49" s="27">
        <f t="shared" si="66"/>
        <v>0</v>
      </c>
      <c r="AW49" s="27">
        <f t="shared" si="66"/>
        <v>59400</v>
      </c>
      <c r="AX49" s="27"/>
      <c r="AY49" s="27">
        <f t="shared" si="66"/>
        <v>50000</v>
      </c>
      <c r="AZ49" s="27">
        <f t="shared" si="66"/>
        <v>0</v>
      </c>
      <c r="BA49" s="27">
        <f t="shared" si="66"/>
        <v>0</v>
      </c>
      <c r="BB49" s="27">
        <f t="shared" si="66"/>
        <v>0</v>
      </c>
      <c r="BC49" s="27">
        <f t="shared" si="66"/>
        <v>7716</v>
      </c>
      <c r="BD49" s="27">
        <f t="shared" si="66"/>
        <v>0</v>
      </c>
      <c r="BE49" s="27">
        <f t="shared" si="66"/>
        <v>0</v>
      </c>
      <c r="BF49" s="27">
        <f t="shared" si="66"/>
        <v>0</v>
      </c>
      <c r="BG49" s="27">
        <f t="shared" si="66"/>
        <v>0</v>
      </c>
      <c r="BH49" s="27">
        <f t="shared" si="66"/>
        <v>0</v>
      </c>
      <c r="BI49" s="27">
        <f t="shared" si="66"/>
        <v>0</v>
      </c>
      <c r="BJ49" s="27">
        <f t="shared" ref="BJ49" si="67">SUM(BJ50+BJ52+BJ54+BJ56+BJ58)</f>
        <v>0</v>
      </c>
      <c r="BK49" s="27">
        <f t="shared" si="66"/>
        <v>0</v>
      </c>
      <c r="BL49" s="27">
        <f t="shared" si="66"/>
        <v>0</v>
      </c>
      <c r="BM49" s="27">
        <f t="shared" ref="BM49" si="68">SUM(BM50+BM52+BM54+BM56+BM58)</f>
        <v>0</v>
      </c>
      <c r="BN49" s="27">
        <f t="shared" si="66"/>
        <v>0</v>
      </c>
      <c r="BO49" s="27">
        <f t="shared" si="66"/>
        <v>0</v>
      </c>
      <c r="BP49" s="27">
        <f t="shared" ref="BP49" si="69">SUM(BP50+BP52+BP54+BP56+BP58)</f>
        <v>0</v>
      </c>
      <c r="BQ49" s="27">
        <f t="shared" si="66"/>
        <v>7716</v>
      </c>
      <c r="BR49" s="27">
        <f t="shared" si="66"/>
        <v>0</v>
      </c>
      <c r="BS49" s="27">
        <f t="shared" si="66"/>
        <v>0</v>
      </c>
      <c r="BT49" s="27">
        <f t="shared" si="66"/>
        <v>0</v>
      </c>
      <c r="BU49" s="27">
        <f t="shared" si="66"/>
        <v>0</v>
      </c>
      <c r="BV49" s="27">
        <f t="shared" si="66"/>
        <v>0</v>
      </c>
      <c r="BW49" s="27">
        <f t="shared" si="66"/>
        <v>0</v>
      </c>
      <c r="BX49" s="27">
        <f t="shared" ref="BX49:DC49" si="70">SUM(BX50+BX52+BX54+BX56+BX58)</f>
        <v>0</v>
      </c>
      <c r="BY49" s="27">
        <f t="shared" si="70"/>
        <v>0</v>
      </c>
      <c r="BZ49" s="27">
        <f t="shared" si="70"/>
        <v>0</v>
      </c>
      <c r="CA49" s="27">
        <f t="shared" si="70"/>
        <v>7716</v>
      </c>
      <c r="CB49" s="27">
        <f t="shared" si="70"/>
        <v>0</v>
      </c>
      <c r="CC49" s="27">
        <f t="shared" si="70"/>
        <v>193434</v>
      </c>
      <c r="CD49" s="27">
        <f t="shared" si="70"/>
        <v>193434</v>
      </c>
      <c r="CE49" s="27">
        <f t="shared" si="70"/>
        <v>193434</v>
      </c>
      <c r="CF49" s="27">
        <f t="shared" si="70"/>
        <v>0</v>
      </c>
      <c r="CG49" s="27">
        <f t="shared" si="70"/>
        <v>193434</v>
      </c>
      <c r="CH49" s="27">
        <f t="shared" si="70"/>
        <v>0</v>
      </c>
      <c r="CI49" s="27">
        <f t="shared" si="70"/>
        <v>0</v>
      </c>
      <c r="CJ49" s="27">
        <f t="shared" ref="CJ49:CK49" si="71">SUM(CJ50+CJ52+CJ54+CJ56+CJ58)</f>
        <v>0</v>
      </c>
      <c r="CK49" s="27">
        <f t="shared" si="71"/>
        <v>0</v>
      </c>
      <c r="CL49" s="27">
        <f t="shared" si="70"/>
        <v>0</v>
      </c>
      <c r="CM49" s="27">
        <f t="shared" ref="CM49" si="72">SUM(CM50+CM52+CM54+CM56+CM58)</f>
        <v>0</v>
      </c>
      <c r="CN49" s="27">
        <f t="shared" si="70"/>
        <v>0</v>
      </c>
      <c r="CO49" s="27">
        <f t="shared" ref="CO49" si="73">SUM(CO50+CO52+CO54+CO56+CO58)</f>
        <v>0</v>
      </c>
      <c r="CP49" s="27">
        <f t="shared" si="70"/>
        <v>0</v>
      </c>
      <c r="CQ49" s="27"/>
      <c r="CR49" s="27"/>
      <c r="CS49" s="27"/>
      <c r="CT49" s="27"/>
      <c r="CU49" s="27">
        <f t="shared" si="70"/>
        <v>0</v>
      </c>
      <c r="CV49" s="27">
        <f t="shared" si="70"/>
        <v>0</v>
      </c>
      <c r="CW49" s="27">
        <f t="shared" si="70"/>
        <v>0</v>
      </c>
      <c r="CX49" s="27">
        <f t="shared" si="70"/>
        <v>0</v>
      </c>
      <c r="CY49" s="27">
        <f t="shared" ref="CY49" si="74">SUM(CY50+CY52+CY54+CY56+CY58)</f>
        <v>0</v>
      </c>
      <c r="CZ49" s="27">
        <f t="shared" si="70"/>
        <v>0</v>
      </c>
      <c r="DA49" s="27">
        <f t="shared" si="70"/>
        <v>0</v>
      </c>
      <c r="DB49" s="27">
        <f t="shared" si="70"/>
        <v>0</v>
      </c>
      <c r="DC49" s="60">
        <f t="shared" si="70"/>
        <v>0</v>
      </c>
      <c r="DD49" s="57"/>
    </row>
    <row r="50" spans="1:108" s="58" customFormat="1" ht="15.6" x14ac:dyDescent="0.3">
      <c r="A50" s="93" t="s">
        <v>90</v>
      </c>
      <c r="B50" s="16" t="s">
        <v>1</v>
      </c>
      <c r="C50" s="17" t="s">
        <v>91</v>
      </c>
      <c r="D50" s="18">
        <f t="shared" ref="D50:BT50" si="75">SUM(D51)</f>
        <v>5093873</v>
      </c>
      <c r="E50" s="18">
        <f t="shared" si="75"/>
        <v>5093873</v>
      </c>
      <c r="F50" s="18">
        <f t="shared" si="75"/>
        <v>5093873</v>
      </c>
      <c r="G50" s="18">
        <f t="shared" si="75"/>
        <v>4013382</v>
      </c>
      <c r="H50" s="18">
        <f t="shared" si="75"/>
        <v>591930</v>
      </c>
      <c r="I50" s="18">
        <f t="shared" si="75"/>
        <v>68582</v>
      </c>
      <c r="J50" s="18">
        <f t="shared" si="75"/>
        <v>0</v>
      </c>
      <c r="K50" s="18">
        <f t="shared" si="75"/>
        <v>0</v>
      </c>
      <c r="L50" s="18">
        <f t="shared" si="75"/>
        <v>0</v>
      </c>
      <c r="M50" s="18">
        <f t="shared" si="75"/>
        <v>0</v>
      </c>
      <c r="N50" s="18">
        <f t="shared" si="75"/>
        <v>61023</v>
      </c>
      <c r="O50" s="18">
        <f t="shared" si="75"/>
        <v>7559</v>
      </c>
      <c r="P50" s="18">
        <f t="shared" si="75"/>
        <v>0</v>
      </c>
      <c r="Q50" s="18">
        <f t="shared" si="75"/>
        <v>0</v>
      </c>
      <c r="R50" s="18">
        <f t="shared" si="75"/>
        <v>0</v>
      </c>
      <c r="S50" s="18">
        <f t="shared" si="75"/>
        <v>0</v>
      </c>
      <c r="T50" s="18">
        <f t="shared" si="75"/>
        <v>19582</v>
      </c>
      <c r="U50" s="18">
        <f t="shared" si="75"/>
        <v>307634</v>
      </c>
      <c r="V50" s="18">
        <f t="shared" si="75"/>
        <v>5470</v>
      </c>
      <c r="W50" s="18">
        <f t="shared" si="75"/>
        <v>0</v>
      </c>
      <c r="X50" s="18">
        <f t="shared" si="75"/>
        <v>218114</v>
      </c>
      <c r="Y50" s="18">
        <f t="shared" si="75"/>
        <v>15411</v>
      </c>
      <c r="Z50" s="18">
        <f t="shared" si="75"/>
        <v>1166</v>
      </c>
      <c r="AA50" s="18">
        <f t="shared" si="75"/>
        <v>0</v>
      </c>
      <c r="AB50" s="18">
        <f t="shared" si="75"/>
        <v>0</v>
      </c>
      <c r="AC50" s="18">
        <f t="shared" si="75"/>
        <v>67473</v>
      </c>
      <c r="AD50" s="18">
        <f t="shared" si="75"/>
        <v>92763</v>
      </c>
      <c r="AE50" s="18">
        <f t="shared" si="75"/>
        <v>0</v>
      </c>
      <c r="AF50" s="18">
        <f t="shared" si="75"/>
        <v>0</v>
      </c>
      <c r="AG50" s="18">
        <f t="shared" si="75"/>
        <v>2240</v>
      </c>
      <c r="AH50" s="18">
        <f t="shared" si="75"/>
        <v>0</v>
      </c>
      <c r="AI50" s="18">
        <f t="shared" si="75"/>
        <v>0</v>
      </c>
      <c r="AJ50" s="18">
        <f t="shared" si="75"/>
        <v>0</v>
      </c>
      <c r="AK50" s="18">
        <f t="shared" si="75"/>
        <v>0</v>
      </c>
      <c r="AL50" s="18">
        <f t="shared" si="75"/>
        <v>354</v>
      </c>
      <c r="AM50" s="18">
        <f t="shared" si="75"/>
        <v>0</v>
      </c>
      <c r="AN50" s="18">
        <f t="shared" si="75"/>
        <v>69646</v>
      </c>
      <c r="AO50" s="18">
        <f t="shared" si="75"/>
        <v>0</v>
      </c>
      <c r="AP50" s="18">
        <f t="shared" si="75"/>
        <v>0</v>
      </c>
      <c r="AQ50" s="18">
        <f t="shared" si="75"/>
        <v>15523</v>
      </c>
      <c r="AR50" s="18">
        <f t="shared" si="75"/>
        <v>5000</v>
      </c>
      <c r="AS50" s="18"/>
      <c r="AT50" s="18"/>
      <c r="AU50" s="18">
        <f t="shared" si="75"/>
        <v>0</v>
      </c>
      <c r="AV50" s="18">
        <f t="shared" si="75"/>
        <v>0</v>
      </c>
      <c r="AW50" s="18">
        <f t="shared" si="75"/>
        <v>0</v>
      </c>
      <c r="AX50" s="18"/>
      <c r="AY50" s="18">
        <f t="shared" si="75"/>
        <v>0</v>
      </c>
      <c r="AZ50" s="18"/>
      <c r="BA50" s="18"/>
      <c r="BB50" s="18"/>
      <c r="BC50" s="18">
        <f t="shared" si="75"/>
        <v>0</v>
      </c>
      <c r="BD50" s="18">
        <f t="shared" si="75"/>
        <v>0</v>
      </c>
      <c r="BE50" s="18">
        <f t="shared" si="75"/>
        <v>0</v>
      </c>
      <c r="BF50" s="18">
        <f t="shared" si="75"/>
        <v>0</v>
      </c>
      <c r="BG50" s="18">
        <f t="shared" si="75"/>
        <v>0</v>
      </c>
      <c r="BH50" s="18">
        <f t="shared" si="75"/>
        <v>0</v>
      </c>
      <c r="BI50" s="18">
        <f t="shared" si="75"/>
        <v>0</v>
      </c>
      <c r="BJ50" s="18">
        <f t="shared" si="75"/>
        <v>0</v>
      </c>
      <c r="BK50" s="18">
        <f t="shared" si="75"/>
        <v>0</v>
      </c>
      <c r="BL50" s="18">
        <f t="shared" si="75"/>
        <v>0</v>
      </c>
      <c r="BM50" s="18">
        <f t="shared" si="75"/>
        <v>0</v>
      </c>
      <c r="BN50" s="18">
        <f t="shared" si="75"/>
        <v>0</v>
      </c>
      <c r="BO50" s="18">
        <f t="shared" si="75"/>
        <v>0</v>
      </c>
      <c r="BP50" s="18">
        <f t="shared" si="75"/>
        <v>0</v>
      </c>
      <c r="BQ50" s="18">
        <f t="shared" si="75"/>
        <v>0</v>
      </c>
      <c r="BR50" s="18">
        <f t="shared" si="75"/>
        <v>0</v>
      </c>
      <c r="BS50" s="18">
        <f t="shared" si="75"/>
        <v>0</v>
      </c>
      <c r="BT50" s="18">
        <f t="shared" si="75"/>
        <v>0</v>
      </c>
      <c r="BU50" s="18">
        <f t="shared" ref="BU50:DC50" si="76">SUM(BU51)</f>
        <v>0</v>
      </c>
      <c r="BV50" s="18">
        <f t="shared" si="76"/>
        <v>0</v>
      </c>
      <c r="BW50" s="18">
        <f t="shared" si="76"/>
        <v>0</v>
      </c>
      <c r="BX50" s="18">
        <f t="shared" si="76"/>
        <v>0</v>
      </c>
      <c r="BY50" s="18">
        <f t="shared" si="76"/>
        <v>0</v>
      </c>
      <c r="BZ50" s="18">
        <f t="shared" si="76"/>
        <v>0</v>
      </c>
      <c r="CA50" s="18">
        <f t="shared" si="76"/>
        <v>0</v>
      </c>
      <c r="CB50" s="18">
        <f t="shared" si="76"/>
        <v>0</v>
      </c>
      <c r="CC50" s="18">
        <f t="shared" si="76"/>
        <v>0</v>
      </c>
      <c r="CD50" s="18">
        <f t="shared" si="76"/>
        <v>0</v>
      </c>
      <c r="CE50" s="18">
        <f t="shared" si="76"/>
        <v>0</v>
      </c>
      <c r="CF50" s="18">
        <f t="shared" si="76"/>
        <v>0</v>
      </c>
      <c r="CG50" s="18">
        <f t="shared" si="76"/>
        <v>0</v>
      </c>
      <c r="CH50" s="18">
        <f t="shared" si="76"/>
        <v>0</v>
      </c>
      <c r="CI50" s="18">
        <f t="shared" si="76"/>
        <v>0</v>
      </c>
      <c r="CJ50" s="18">
        <f t="shared" si="76"/>
        <v>0</v>
      </c>
      <c r="CK50" s="18">
        <f t="shared" si="76"/>
        <v>0</v>
      </c>
      <c r="CL50" s="18">
        <f t="shared" si="76"/>
        <v>0</v>
      </c>
      <c r="CM50" s="18">
        <f t="shared" si="76"/>
        <v>0</v>
      </c>
      <c r="CN50" s="18">
        <f t="shared" si="76"/>
        <v>0</v>
      </c>
      <c r="CO50" s="18">
        <f t="shared" si="76"/>
        <v>0</v>
      </c>
      <c r="CP50" s="18">
        <f t="shared" si="76"/>
        <v>0</v>
      </c>
      <c r="CQ50" s="18"/>
      <c r="CR50" s="18"/>
      <c r="CS50" s="18"/>
      <c r="CT50" s="18"/>
      <c r="CU50" s="18">
        <f t="shared" si="76"/>
        <v>0</v>
      </c>
      <c r="CV50" s="73"/>
      <c r="CW50" s="73"/>
      <c r="CX50" s="73"/>
      <c r="CY50" s="73"/>
      <c r="CZ50" s="18">
        <f t="shared" si="76"/>
        <v>0</v>
      </c>
      <c r="DA50" s="18">
        <f t="shared" si="76"/>
        <v>0</v>
      </c>
      <c r="DB50" s="18">
        <f t="shared" si="76"/>
        <v>0</v>
      </c>
      <c r="DC50" s="46">
        <f t="shared" si="76"/>
        <v>0</v>
      </c>
      <c r="DD50" s="57"/>
    </row>
    <row r="51" spans="1:108" s="78" customFormat="1" ht="15.6" x14ac:dyDescent="0.3">
      <c r="A51" s="96" t="s">
        <v>1</v>
      </c>
      <c r="B51" s="71" t="s">
        <v>92</v>
      </c>
      <c r="C51" s="72" t="s">
        <v>93</v>
      </c>
      <c r="D51" s="74">
        <f>SUM(E51+CC51+CZ51)</f>
        <v>5093873</v>
      </c>
      <c r="E51" s="74">
        <f>SUM(F51+BC51)</f>
        <v>5093873</v>
      </c>
      <c r="F51" s="74">
        <f>SUM(G51+H51+I51+P51+S51+T51+U51+AD51)</f>
        <v>5093873</v>
      </c>
      <c r="G51" s="74">
        <v>4013382</v>
      </c>
      <c r="H51" s="74">
        <v>591930</v>
      </c>
      <c r="I51" s="74">
        <f t="shared" si="9"/>
        <v>68582</v>
      </c>
      <c r="J51" s="75">
        <v>0</v>
      </c>
      <c r="K51" s="75">
        <v>0</v>
      </c>
      <c r="L51" s="75">
        <v>0</v>
      </c>
      <c r="M51" s="75">
        <v>0</v>
      </c>
      <c r="N51" s="75">
        <v>61023</v>
      </c>
      <c r="O51" s="75">
        <v>7559</v>
      </c>
      <c r="P51" s="74">
        <f t="shared" si="10"/>
        <v>0</v>
      </c>
      <c r="Q51" s="74">
        <v>0</v>
      </c>
      <c r="R51" s="74">
        <v>0</v>
      </c>
      <c r="S51" s="74">
        <v>0</v>
      </c>
      <c r="T51" s="75">
        <v>19582</v>
      </c>
      <c r="U51" s="74">
        <f>SUM(V51:AC51)</f>
        <v>307634</v>
      </c>
      <c r="V51" s="75">
        <v>5470</v>
      </c>
      <c r="W51" s="75">
        <v>0</v>
      </c>
      <c r="X51" s="75">
        <f>145744+72370</f>
        <v>218114</v>
      </c>
      <c r="Y51" s="75">
        <f>10626+4785</f>
        <v>15411</v>
      </c>
      <c r="Z51" s="75">
        <v>1166</v>
      </c>
      <c r="AA51" s="75">
        <v>0</v>
      </c>
      <c r="AB51" s="75">
        <v>0</v>
      </c>
      <c r="AC51" s="75">
        <f>49513+17960</f>
        <v>67473</v>
      </c>
      <c r="AD51" s="74">
        <f>SUM(AE51:AY51)</f>
        <v>92763</v>
      </c>
      <c r="AE51" s="74">
        <v>0</v>
      </c>
      <c r="AF51" s="74">
        <v>0</v>
      </c>
      <c r="AG51" s="75">
        <v>2240</v>
      </c>
      <c r="AH51" s="75">
        <v>0</v>
      </c>
      <c r="AI51" s="75">
        <v>0</v>
      </c>
      <c r="AJ51" s="75">
        <v>0</v>
      </c>
      <c r="AK51" s="75">
        <v>0</v>
      </c>
      <c r="AL51" s="75">
        <v>354</v>
      </c>
      <c r="AM51" s="75">
        <f>3277-3277</f>
        <v>0</v>
      </c>
      <c r="AN51" s="75">
        <v>69646</v>
      </c>
      <c r="AO51" s="75">
        <v>0</v>
      </c>
      <c r="AP51" s="75">
        <v>0</v>
      </c>
      <c r="AQ51" s="75">
        <v>15523</v>
      </c>
      <c r="AR51" s="75">
        <v>5000</v>
      </c>
      <c r="AS51" s="75">
        <v>0</v>
      </c>
      <c r="AT51" s="75">
        <v>0</v>
      </c>
      <c r="AU51" s="75">
        <v>0</v>
      </c>
      <c r="AV51" s="75">
        <v>0</v>
      </c>
      <c r="AW51" s="75">
        <v>0</v>
      </c>
      <c r="AX51" s="75">
        <v>0</v>
      </c>
      <c r="AY51" s="75">
        <f>500-500</f>
        <v>0</v>
      </c>
      <c r="AZ51" s="75"/>
      <c r="BA51" s="75"/>
      <c r="BB51" s="75"/>
      <c r="BC51" s="74">
        <f>SUM(BD51+BH51+BL51+BN51+BQ51)</f>
        <v>0</v>
      </c>
      <c r="BD51" s="74">
        <f>SUM(BE51:BG51)</f>
        <v>0</v>
      </c>
      <c r="BE51" s="74">
        <v>0</v>
      </c>
      <c r="BF51" s="74">
        <v>0</v>
      </c>
      <c r="BG51" s="74">
        <v>0</v>
      </c>
      <c r="BH51" s="74">
        <f>SUM(BI51:BK51)</f>
        <v>0</v>
      </c>
      <c r="BI51" s="74">
        <v>0</v>
      </c>
      <c r="BJ51" s="74">
        <v>0</v>
      </c>
      <c r="BK51" s="74">
        <v>0</v>
      </c>
      <c r="BL51" s="74">
        <v>0</v>
      </c>
      <c r="BM51" s="74">
        <v>0</v>
      </c>
      <c r="BN51" s="74">
        <f t="shared" si="11"/>
        <v>0</v>
      </c>
      <c r="BO51" s="74">
        <v>0</v>
      </c>
      <c r="BP51" s="74">
        <v>0</v>
      </c>
      <c r="BQ51" s="74">
        <f>SUM(BR51:CB51)</f>
        <v>0</v>
      </c>
      <c r="BR51" s="74">
        <v>0</v>
      </c>
      <c r="BS51" s="74">
        <v>0</v>
      </c>
      <c r="BT51" s="74">
        <v>0</v>
      </c>
      <c r="BU51" s="74">
        <v>0</v>
      </c>
      <c r="BV51" s="74">
        <v>0</v>
      </c>
      <c r="BW51" s="74">
        <v>0</v>
      </c>
      <c r="BX51" s="74">
        <v>0</v>
      </c>
      <c r="BY51" s="74">
        <v>0</v>
      </c>
      <c r="BZ51" s="74">
        <v>0</v>
      </c>
      <c r="CA51" s="74">
        <f>11886-11886</f>
        <v>0</v>
      </c>
      <c r="CB51" s="74">
        <v>0</v>
      </c>
      <c r="CC51" s="74">
        <f>SUM(CD51+CU51)</f>
        <v>0</v>
      </c>
      <c r="CD51" s="74">
        <f>SUM(CE51+CH51+CN51)</f>
        <v>0</v>
      </c>
      <c r="CE51" s="74">
        <f t="shared" si="12"/>
        <v>0</v>
      </c>
      <c r="CF51" s="74">
        <v>0</v>
      </c>
      <c r="CG51" s="75">
        <f>30705-30705</f>
        <v>0</v>
      </c>
      <c r="CH51" s="74">
        <f>SUM(CI51:CM51)</f>
        <v>0</v>
      </c>
      <c r="CI51" s="74">
        <v>0</v>
      </c>
      <c r="CJ51" s="74">
        <v>0</v>
      </c>
      <c r="CK51" s="74">
        <v>0</v>
      </c>
      <c r="CL51" s="74">
        <v>0</v>
      </c>
      <c r="CM51" s="74">
        <v>0</v>
      </c>
      <c r="CN51" s="74">
        <f>SUM(CO51:CQ51)</f>
        <v>0</v>
      </c>
      <c r="CO51" s="74">
        <v>0</v>
      </c>
      <c r="CP51" s="74">
        <v>0</v>
      </c>
      <c r="CQ51" s="74"/>
      <c r="CR51" s="74"/>
      <c r="CS51" s="74"/>
      <c r="CT51" s="74"/>
      <c r="CU51" s="74">
        <v>0</v>
      </c>
      <c r="CV51" s="74"/>
      <c r="CW51" s="74"/>
      <c r="CX51" s="74"/>
      <c r="CY51" s="74"/>
      <c r="CZ51" s="74">
        <f t="shared" si="13"/>
        <v>0</v>
      </c>
      <c r="DA51" s="74">
        <f t="shared" si="14"/>
        <v>0</v>
      </c>
      <c r="DB51" s="74">
        <v>0</v>
      </c>
      <c r="DC51" s="77">
        <v>0</v>
      </c>
    </row>
    <row r="52" spans="1:108" s="58" customFormat="1" ht="15.6" x14ac:dyDescent="0.3">
      <c r="A52" s="93" t="s">
        <v>94</v>
      </c>
      <c r="B52" s="16" t="s">
        <v>1</v>
      </c>
      <c r="C52" s="17" t="s">
        <v>95</v>
      </c>
      <c r="D52" s="18">
        <f t="shared" ref="D52:AJ52" si="77">SUM(D53)</f>
        <v>14276906</v>
      </c>
      <c r="E52" s="18">
        <f t="shared" si="77"/>
        <v>14260906</v>
      </c>
      <c r="F52" s="18">
        <f t="shared" si="77"/>
        <v>14260906</v>
      </c>
      <c r="G52" s="18">
        <f t="shared" si="77"/>
        <v>12097977</v>
      </c>
      <c r="H52" s="18">
        <f t="shared" si="77"/>
        <v>1203808</v>
      </c>
      <c r="I52" s="18">
        <f t="shared" si="77"/>
        <v>217983</v>
      </c>
      <c r="J52" s="18">
        <f t="shared" si="77"/>
        <v>0</v>
      </c>
      <c r="K52" s="18">
        <f t="shared" si="77"/>
        <v>0</v>
      </c>
      <c r="L52" s="18">
        <f t="shared" si="77"/>
        <v>0</v>
      </c>
      <c r="M52" s="18">
        <f t="shared" si="77"/>
        <v>0</v>
      </c>
      <c r="N52" s="18">
        <f t="shared" si="77"/>
        <v>184983</v>
      </c>
      <c r="O52" s="18">
        <f t="shared" si="77"/>
        <v>33000</v>
      </c>
      <c r="P52" s="18">
        <f t="shared" si="77"/>
        <v>5000</v>
      </c>
      <c r="Q52" s="18">
        <f t="shared" si="77"/>
        <v>5000</v>
      </c>
      <c r="R52" s="18">
        <f t="shared" si="77"/>
        <v>0</v>
      </c>
      <c r="S52" s="18">
        <f t="shared" si="77"/>
        <v>0</v>
      </c>
      <c r="T52" s="18">
        <f t="shared" si="77"/>
        <v>36066</v>
      </c>
      <c r="U52" s="18">
        <f t="shared" si="77"/>
        <v>306001</v>
      </c>
      <c r="V52" s="18">
        <f t="shared" si="77"/>
        <v>5000</v>
      </c>
      <c r="W52" s="18">
        <f t="shared" si="77"/>
        <v>150230</v>
      </c>
      <c r="X52" s="18">
        <f t="shared" si="77"/>
        <v>135748</v>
      </c>
      <c r="Y52" s="18">
        <f t="shared" si="77"/>
        <v>11199</v>
      </c>
      <c r="Z52" s="18">
        <f t="shared" si="77"/>
        <v>3824</v>
      </c>
      <c r="AA52" s="18">
        <f t="shared" si="77"/>
        <v>0</v>
      </c>
      <c r="AB52" s="18">
        <f t="shared" si="77"/>
        <v>0</v>
      </c>
      <c r="AC52" s="18">
        <f t="shared" si="77"/>
        <v>0</v>
      </c>
      <c r="AD52" s="18">
        <f t="shared" si="77"/>
        <v>394071</v>
      </c>
      <c r="AE52" s="18">
        <f t="shared" si="77"/>
        <v>0</v>
      </c>
      <c r="AF52" s="18">
        <f t="shared" si="77"/>
        <v>0</v>
      </c>
      <c r="AG52" s="18">
        <f t="shared" si="77"/>
        <v>2000</v>
      </c>
      <c r="AH52" s="18">
        <f t="shared" si="77"/>
        <v>15000</v>
      </c>
      <c r="AI52" s="18">
        <f t="shared" si="77"/>
        <v>0</v>
      </c>
      <c r="AJ52" s="18">
        <f t="shared" si="77"/>
        <v>0</v>
      </c>
      <c r="AK52" s="18">
        <f t="shared" ref="AK52:DC52" si="78">SUM(AK53)</f>
        <v>0</v>
      </c>
      <c r="AL52" s="18">
        <f t="shared" si="78"/>
        <v>218</v>
      </c>
      <c r="AM52" s="18">
        <f t="shared" si="78"/>
        <v>4500</v>
      </c>
      <c r="AN52" s="18">
        <f t="shared" si="78"/>
        <v>57424</v>
      </c>
      <c r="AO52" s="18">
        <f t="shared" si="78"/>
        <v>0</v>
      </c>
      <c r="AP52" s="18">
        <f t="shared" si="78"/>
        <v>0</v>
      </c>
      <c r="AQ52" s="18">
        <f t="shared" si="78"/>
        <v>304929</v>
      </c>
      <c r="AR52" s="18">
        <f t="shared" si="78"/>
        <v>0</v>
      </c>
      <c r="AS52" s="18"/>
      <c r="AT52" s="18"/>
      <c r="AU52" s="18">
        <f t="shared" si="78"/>
        <v>0</v>
      </c>
      <c r="AV52" s="18">
        <f t="shared" si="78"/>
        <v>0</v>
      </c>
      <c r="AW52" s="18">
        <f t="shared" si="78"/>
        <v>0</v>
      </c>
      <c r="AX52" s="18"/>
      <c r="AY52" s="18">
        <f t="shared" si="78"/>
        <v>10000</v>
      </c>
      <c r="AZ52" s="18">
        <f t="shared" si="78"/>
        <v>0</v>
      </c>
      <c r="BA52" s="18">
        <f t="shared" si="78"/>
        <v>0</v>
      </c>
      <c r="BB52" s="18">
        <f t="shared" si="78"/>
        <v>0</v>
      </c>
      <c r="BC52" s="18">
        <f t="shared" si="78"/>
        <v>0</v>
      </c>
      <c r="BD52" s="18">
        <f t="shared" si="78"/>
        <v>0</v>
      </c>
      <c r="BE52" s="18">
        <f t="shared" si="78"/>
        <v>0</v>
      </c>
      <c r="BF52" s="18">
        <f t="shared" si="78"/>
        <v>0</v>
      </c>
      <c r="BG52" s="18">
        <f t="shared" si="78"/>
        <v>0</v>
      </c>
      <c r="BH52" s="18">
        <f t="shared" si="78"/>
        <v>0</v>
      </c>
      <c r="BI52" s="18">
        <f t="shared" si="78"/>
        <v>0</v>
      </c>
      <c r="BJ52" s="18">
        <f t="shared" si="78"/>
        <v>0</v>
      </c>
      <c r="BK52" s="18">
        <f t="shared" si="78"/>
        <v>0</v>
      </c>
      <c r="BL52" s="18">
        <f t="shared" si="78"/>
        <v>0</v>
      </c>
      <c r="BM52" s="18">
        <f t="shared" si="78"/>
        <v>0</v>
      </c>
      <c r="BN52" s="18">
        <f t="shared" si="78"/>
        <v>0</v>
      </c>
      <c r="BO52" s="18">
        <f t="shared" si="78"/>
        <v>0</v>
      </c>
      <c r="BP52" s="18">
        <f t="shared" si="78"/>
        <v>0</v>
      </c>
      <c r="BQ52" s="18">
        <f t="shared" si="78"/>
        <v>0</v>
      </c>
      <c r="BR52" s="18">
        <f t="shared" si="78"/>
        <v>0</v>
      </c>
      <c r="BS52" s="18">
        <f t="shared" si="78"/>
        <v>0</v>
      </c>
      <c r="BT52" s="18">
        <f t="shared" si="78"/>
        <v>0</v>
      </c>
      <c r="BU52" s="18">
        <f t="shared" si="78"/>
        <v>0</v>
      </c>
      <c r="BV52" s="18">
        <f t="shared" si="78"/>
        <v>0</v>
      </c>
      <c r="BW52" s="18">
        <f t="shared" si="78"/>
        <v>0</v>
      </c>
      <c r="BX52" s="18">
        <f t="shared" si="78"/>
        <v>0</v>
      </c>
      <c r="BY52" s="18">
        <f t="shared" si="78"/>
        <v>0</v>
      </c>
      <c r="BZ52" s="18">
        <f t="shared" si="78"/>
        <v>0</v>
      </c>
      <c r="CA52" s="18">
        <f t="shared" si="78"/>
        <v>0</v>
      </c>
      <c r="CB52" s="18">
        <f t="shared" si="78"/>
        <v>0</v>
      </c>
      <c r="CC52" s="18">
        <f t="shared" si="78"/>
        <v>16000</v>
      </c>
      <c r="CD52" s="18">
        <f t="shared" si="78"/>
        <v>16000</v>
      </c>
      <c r="CE52" s="18">
        <f t="shared" si="78"/>
        <v>16000</v>
      </c>
      <c r="CF52" s="18">
        <f t="shared" si="78"/>
        <v>0</v>
      </c>
      <c r="CG52" s="18">
        <f t="shared" si="78"/>
        <v>16000</v>
      </c>
      <c r="CH52" s="18">
        <f t="shared" si="78"/>
        <v>0</v>
      </c>
      <c r="CI52" s="18">
        <f t="shared" si="78"/>
        <v>0</v>
      </c>
      <c r="CJ52" s="18">
        <f t="shared" si="78"/>
        <v>0</v>
      </c>
      <c r="CK52" s="18">
        <f t="shared" si="78"/>
        <v>0</v>
      </c>
      <c r="CL52" s="18">
        <f t="shared" si="78"/>
        <v>0</v>
      </c>
      <c r="CM52" s="18">
        <f t="shared" si="78"/>
        <v>0</v>
      </c>
      <c r="CN52" s="18">
        <f t="shared" si="78"/>
        <v>0</v>
      </c>
      <c r="CO52" s="18">
        <f t="shared" si="78"/>
        <v>0</v>
      </c>
      <c r="CP52" s="18">
        <f t="shared" si="78"/>
        <v>0</v>
      </c>
      <c r="CQ52" s="18"/>
      <c r="CR52" s="18"/>
      <c r="CS52" s="18"/>
      <c r="CT52" s="18"/>
      <c r="CU52" s="18">
        <f t="shared" si="78"/>
        <v>0</v>
      </c>
      <c r="CV52" s="73"/>
      <c r="CW52" s="73"/>
      <c r="CX52" s="73"/>
      <c r="CY52" s="73"/>
      <c r="CZ52" s="18">
        <f t="shared" si="78"/>
        <v>0</v>
      </c>
      <c r="DA52" s="18">
        <f t="shared" si="78"/>
        <v>0</v>
      </c>
      <c r="DB52" s="18">
        <f t="shared" si="78"/>
        <v>0</v>
      </c>
      <c r="DC52" s="46">
        <f t="shared" si="78"/>
        <v>0</v>
      </c>
      <c r="DD52" s="57"/>
    </row>
    <row r="53" spans="1:108" s="78" customFormat="1" ht="15.6" x14ac:dyDescent="0.3">
      <c r="A53" s="96" t="s">
        <v>1</v>
      </c>
      <c r="B53" s="71" t="s">
        <v>96</v>
      </c>
      <c r="C53" s="72" t="s">
        <v>97</v>
      </c>
      <c r="D53" s="74">
        <f>SUM(E53+CC53+CZ53)</f>
        <v>14276906</v>
      </c>
      <c r="E53" s="74">
        <f>SUM(F53+BC53)</f>
        <v>14260906</v>
      </c>
      <c r="F53" s="74">
        <f>SUM(G53+H53+I53+P53+S53+T53+U53+AD53)</f>
        <v>14260906</v>
      </c>
      <c r="G53" s="74">
        <v>12097977</v>
      </c>
      <c r="H53" s="74">
        <v>1203808</v>
      </c>
      <c r="I53" s="74">
        <f t="shared" si="9"/>
        <v>217983</v>
      </c>
      <c r="J53" s="75">
        <v>0</v>
      </c>
      <c r="K53" s="75"/>
      <c r="L53" s="75"/>
      <c r="M53" s="75"/>
      <c r="N53" s="75">
        <v>184983</v>
      </c>
      <c r="O53" s="75">
        <v>33000</v>
      </c>
      <c r="P53" s="74">
        <f t="shared" si="10"/>
        <v>5000</v>
      </c>
      <c r="Q53" s="75">
        <v>5000</v>
      </c>
      <c r="R53" s="75">
        <v>0</v>
      </c>
      <c r="S53" s="75">
        <v>0</v>
      </c>
      <c r="T53" s="75">
        <v>36066</v>
      </c>
      <c r="U53" s="74">
        <f>SUM(V53:AC53)</f>
        <v>306001</v>
      </c>
      <c r="V53" s="75">
        <v>5000</v>
      </c>
      <c r="W53" s="75">
        <f>101910+48320</f>
        <v>150230</v>
      </c>
      <c r="X53" s="75">
        <f>93214+42534</f>
        <v>135748</v>
      </c>
      <c r="Y53" s="75">
        <f>8104+3095</f>
        <v>11199</v>
      </c>
      <c r="Z53" s="75">
        <v>3824</v>
      </c>
      <c r="AA53" s="75">
        <v>0</v>
      </c>
      <c r="AB53" s="75">
        <v>0</v>
      </c>
      <c r="AC53" s="75">
        <v>0</v>
      </c>
      <c r="AD53" s="74">
        <f>SUM(AE53:AY53)</f>
        <v>394071</v>
      </c>
      <c r="AE53" s="74">
        <v>0</v>
      </c>
      <c r="AF53" s="74">
        <v>0</v>
      </c>
      <c r="AG53" s="75">
        <v>2000</v>
      </c>
      <c r="AH53" s="75">
        <v>15000</v>
      </c>
      <c r="AI53" s="75"/>
      <c r="AJ53" s="75"/>
      <c r="AK53" s="75"/>
      <c r="AL53" s="75">
        <v>218</v>
      </c>
      <c r="AM53" s="75">
        <v>4500</v>
      </c>
      <c r="AN53" s="75">
        <v>57424</v>
      </c>
      <c r="AO53" s="75"/>
      <c r="AP53" s="75"/>
      <c r="AQ53" s="75">
        <v>304929</v>
      </c>
      <c r="AR53" s="75">
        <v>0</v>
      </c>
      <c r="AS53" s="75">
        <v>0</v>
      </c>
      <c r="AT53" s="75">
        <v>0</v>
      </c>
      <c r="AU53" s="75">
        <v>0</v>
      </c>
      <c r="AV53" s="75">
        <v>0</v>
      </c>
      <c r="AW53" s="75">
        <v>0</v>
      </c>
      <c r="AX53" s="75">
        <v>0</v>
      </c>
      <c r="AY53" s="75">
        <v>10000</v>
      </c>
      <c r="AZ53" s="75"/>
      <c r="BA53" s="75"/>
      <c r="BB53" s="75"/>
      <c r="BC53" s="74">
        <f>SUM(BD53+BH53+BL53+BN53+BQ53)</f>
        <v>0</v>
      </c>
      <c r="BD53" s="74">
        <f>SUM(BE53:BG53)</f>
        <v>0</v>
      </c>
      <c r="BE53" s="74">
        <v>0</v>
      </c>
      <c r="BF53" s="74">
        <v>0</v>
      </c>
      <c r="BG53" s="74">
        <v>0</v>
      </c>
      <c r="BH53" s="74">
        <f>SUM(BI53:BK53)</f>
        <v>0</v>
      </c>
      <c r="BI53" s="74">
        <v>0</v>
      </c>
      <c r="BJ53" s="74">
        <v>0</v>
      </c>
      <c r="BK53" s="74">
        <v>0</v>
      </c>
      <c r="BL53" s="74">
        <v>0</v>
      </c>
      <c r="BM53" s="74">
        <v>0</v>
      </c>
      <c r="BN53" s="74">
        <f t="shared" si="11"/>
        <v>0</v>
      </c>
      <c r="BO53" s="74">
        <v>0</v>
      </c>
      <c r="BP53" s="74">
        <v>0</v>
      </c>
      <c r="BQ53" s="74">
        <f>SUM(BR53:CB53)</f>
        <v>0</v>
      </c>
      <c r="BR53" s="74">
        <v>0</v>
      </c>
      <c r="BS53" s="74">
        <v>0</v>
      </c>
      <c r="BT53" s="74">
        <v>0</v>
      </c>
      <c r="BU53" s="74">
        <v>0</v>
      </c>
      <c r="BV53" s="74">
        <v>0</v>
      </c>
      <c r="BW53" s="74">
        <v>0</v>
      </c>
      <c r="BX53" s="74">
        <v>0</v>
      </c>
      <c r="BY53" s="74">
        <v>0</v>
      </c>
      <c r="BZ53" s="74">
        <v>0</v>
      </c>
      <c r="CA53" s="74">
        <v>0</v>
      </c>
      <c r="CB53" s="74">
        <v>0</v>
      </c>
      <c r="CC53" s="74">
        <f>SUM(CD53+CU53)</f>
        <v>16000</v>
      </c>
      <c r="CD53" s="74">
        <f>SUM(CE53+CH53+CN53)</f>
        <v>16000</v>
      </c>
      <c r="CE53" s="74">
        <f t="shared" si="12"/>
        <v>16000</v>
      </c>
      <c r="CF53" s="74">
        <v>0</v>
      </c>
      <c r="CG53" s="75">
        <v>16000</v>
      </c>
      <c r="CH53" s="74">
        <f>SUM(CI53:CM53)</f>
        <v>0</v>
      </c>
      <c r="CI53" s="74">
        <v>0</v>
      </c>
      <c r="CJ53" s="74">
        <v>0</v>
      </c>
      <c r="CK53" s="74">
        <v>0</v>
      </c>
      <c r="CL53" s="74">
        <v>0</v>
      </c>
      <c r="CM53" s="74">
        <v>0</v>
      </c>
      <c r="CN53" s="74">
        <f>SUM(CO53:CQ53)</f>
        <v>0</v>
      </c>
      <c r="CO53" s="74">
        <v>0</v>
      </c>
      <c r="CP53" s="74">
        <v>0</v>
      </c>
      <c r="CQ53" s="74"/>
      <c r="CR53" s="74"/>
      <c r="CS53" s="74"/>
      <c r="CT53" s="74"/>
      <c r="CU53" s="74">
        <v>0</v>
      </c>
      <c r="CV53" s="74"/>
      <c r="CW53" s="74"/>
      <c r="CX53" s="74"/>
      <c r="CY53" s="74"/>
      <c r="CZ53" s="74">
        <f t="shared" si="13"/>
        <v>0</v>
      </c>
      <c r="DA53" s="74">
        <f t="shared" si="14"/>
        <v>0</v>
      </c>
      <c r="DB53" s="74">
        <v>0</v>
      </c>
      <c r="DC53" s="77">
        <v>0</v>
      </c>
    </row>
    <row r="54" spans="1:108" s="58" customFormat="1" ht="15.6" x14ac:dyDescent="0.3">
      <c r="A54" s="93" t="s">
        <v>98</v>
      </c>
      <c r="B54" s="16" t="s">
        <v>1</v>
      </c>
      <c r="C54" s="17" t="s">
        <v>99</v>
      </c>
      <c r="D54" s="18">
        <f t="shared" ref="D54:AJ54" si="79">SUM(D55)</f>
        <v>31349055</v>
      </c>
      <c r="E54" s="18">
        <f t="shared" si="79"/>
        <v>31175621</v>
      </c>
      <c r="F54" s="18">
        <f t="shared" si="79"/>
        <v>31175621</v>
      </c>
      <c r="G54" s="18">
        <f t="shared" si="79"/>
        <v>25380271</v>
      </c>
      <c r="H54" s="18">
        <f t="shared" si="79"/>
        <v>3349246</v>
      </c>
      <c r="I54" s="18">
        <f t="shared" si="79"/>
        <v>464917</v>
      </c>
      <c r="J54" s="18">
        <f t="shared" si="79"/>
        <v>0</v>
      </c>
      <c r="K54" s="18">
        <f t="shared" si="79"/>
        <v>0</v>
      </c>
      <c r="L54" s="18">
        <f t="shared" si="79"/>
        <v>0</v>
      </c>
      <c r="M54" s="18">
        <f t="shared" si="79"/>
        <v>0</v>
      </c>
      <c r="N54" s="18">
        <f t="shared" si="79"/>
        <v>302339</v>
      </c>
      <c r="O54" s="18">
        <f t="shared" si="79"/>
        <v>162578</v>
      </c>
      <c r="P54" s="18">
        <f t="shared" si="79"/>
        <v>0</v>
      </c>
      <c r="Q54" s="18">
        <f t="shared" si="79"/>
        <v>0</v>
      </c>
      <c r="R54" s="18">
        <f t="shared" si="79"/>
        <v>0</v>
      </c>
      <c r="S54" s="18">
        <f t="shared" si="79"/>
        <v>0</v>
      </c>
      <c r="T54" s="18">
        <f t="shared" si="79"/>
        <v>379397</v>
      </c>
      <c r="U54" s="18">
        <f t="shared" si="79"/>
        <v>872961</v>
      </c>
      <c r="V54" s="18">
        <f t="shared" si="79"/>
        <v>80000</v>
      </c>
      <c r="W54" s="18">
        <f t="shared" si="79"/>
        <v>195731</v>
      </c>
      <c r="X54" s="18">
        <f t="shared" si="79"/>
        <v>393103</v>
      </c>
      <c r="Y54" s="18">
        <f t="shared" si="79"/>
        <v>50232</v>
      </c>
      <c r="Z54" s="18">
        <f t="shared" si="79"/>
        <v>10000</v>
      </c>
      <c r="AA54" s="18">
        <f t="shared" si="79"/>
        <v>0</v>
      </c>
      <c r="AB54" s="18">
        <f t="shared" si="79"/>
        <v>0</v>
      </c>
      <c r="AC54" s="18">
        <f t="shared" si="79"/>
        <v>143895</v>
      </c>
      <c r="AD54" s="18">
        <f t="shared" si="79"/>
        <v>728829</v>
      </c>
      <c r="AE54" s="18">
        <f t="shared" si="79"/>
        <v>0</v>
      </c>
      <c r="AF54" s="18">
        <f t="shared" si="79"/>
        <v>0</v>
      </c>
      <c r="AG54" s="18">
        <f t="shared" si="79"/>
        <v>10000</v>
      </c>
      <c r="AH54" s="18">
        <f t="shared" si="79"/>
        <v>60228</v>
      </c>
      <c r="AI54" s="18">
        <f t="shared" si="79"/>
        <v>0</v>
      </c>
      <c r="AJ54" s="18">
        <f t="shared" si="79"/>
        <v>5563</v>
      </c>
      <c r="AK54" s="18">
        <f t="shared" ref="AK54:DC54" si="80">SUM(AK55)</f>
        <v>0</v>
      </c>
      <c r="AL54" s="18">
        <f t="shared" si="80"/>
        <v>505</v>
      </c>
      <c r="AM54" s="18">
        <f t="shared" si="80"/>
        <v>46970</v>
      </c>
      <c r="AN54" s="18">
        <f t="shared" si="80"/>
        <v>5238</v>
      </c>
      <c r="AO54" s="18">
        <f t="shared" si="80"/>
        <v>0</v>
      </c>
      <c r="AP54" s="18">
        <f t="shared" si="80"/>
        <v>0</v>
      </c>
      <c r="AQ54" s="18">
        <f t="shared" si="80"/>
        <v>594825</v>
      </c>
      <c r="AR54" s="18">
        <f t="shared" si="80"/>
        <v>0</v>
      </c>
      <c r="AS54" s="18"/>
      <c r="AT54" s="18"/>
      <c r="AU54" s="18">
        <f t="shared" si="80"/>
        <v>0</v>
      </c>
      <c r="AV54" s="18">
        <f t="shared" si="80"/>
        <v>0</v>
      </c>
      <c r="AW54" s="18">
        <f t="shared" si="80"/>
        <v>3000</v>
      </c>
      <c r="AX54" s="18"/>
      <c r="AY54" s="18">
        <f t="shared" si="80"/>
        <v>2500</v>
      </c>
      <c r="AZ54" s="18">
        <f t="shared" si="80"/>
        <v>0</v>
      </c>
      <c r="BA54" s="18">
        <f t="shared" si="80"/>
        <v>0</v>
      </c>
      <c r="BB54" s="18">
        <f t="shared" si="80"/>
        <v>0</v>
      </c>
      <c r="BC54" s="18">
        <f t="shared" si="80"/>
        <v>0</v>
      </c>
      <c r="BD54" s="18">
        <f t="shared" si="80"/>
        <v>0</v>
      </c>
      <c r="BE54" s="18">
        <f t="shared" si="80"/>
        <v>0</v>
      </c>
      <c r="BF54" s="18">
        <f t="shared" si="80"/>
        <v>0</v>
      </c>
      <c r="BG54" s="18">
        <f t="shared" si="80"/>
        <v>0</v>
      </c>
      <c r="BH54" s="18">
        <f t="shared" si="80"/>
        <v>0</v>
      </c>
      <c r="BI54" s="18">
        <f t="shared" si="80"/>
        <v>0</v>
      </c>
      <c r="BJ54" s="18">
        <f t="shared" si="80"/>
        <v>0</v>
      </c>
      <c r="BK54" s="18">
        <f t="shared" si="80"/>
        <v>0</v>
      </c>
      <c r="BL54" s="18">
        <f t="shared" si="80"/>
        <v>0</v>
      </c>
      <c r="BM54" s="18">
        <f t="shared" si="80"/>
        <v>0</v>
      </c>
      <c r="BN54" s="18">
        <f t="shared" si="80"/>
        <v>0</v>
      </c>
      <c r="BO54" s="18">
        <f t="shared" si="80"/>
        <v>0</v>
      </c>
      <c r="BP54" s="18">
        <f t="shared" si="80"/>
        <v>0</v>
      </c>
      <c r="BQ54" s="18">
        <f t="shared" ref="AK54:DC56" si="81">SUM(BQ55)</f>
        <v>0</v>
      </c>
      <c r="BR54" s="18">
        <f t="shared" si="80"/>
        <v>0</v>
      </c>
      <c r="BS54" s="18">
        <f t="shared" si="80"/>
        <v>0</v>
      </c>
      <c r="BT54" s="18">
        <f t="shared" si="80"/>
        <v>0</v>
      </c>
      <c r="BU54" s="18">
        <f t="shared" si="80"/>
        <v>0</v>
      </c>
      <c r="BV54" s="18">
        <f t="shared" si="80"/>
        <v>0</v>
      </c>
      <c r="BW54" s="18">
        <f t="shared" si="80"/>
        <v>0</v>
      </c>
      <c r="BX54" s="18">
        <f t="shared" si="80"/>
        <v>0</v>
      </c>
      <c r="BY54" s="18">
        <f t="shared" si="80"/>
        <v>0</v>
      </c>
      <c r="BZ54" s="18">
        <f t="shared" si="80"/>
        <v>0</v>
      </c>
      <c r="CA54" s="18">
        <f t="shared" si="80"/>
        <v>0</v>
      </c>
      <c r="CB54" s="18">
        <f t="shared" si="80"/>
        <v>0</v>
      </c>
      <c r="CC54" s="18">
        <f t="shared" si="80"/>
        <v>173434</v>
      </c>
      <c r="CD54" s="18">
        <f t="shared" si="80"/>
        <v>173434</v>
      </c>
      <c r="CE54" s="18">
        <f t="shared" si="80"/>
        <v>173434</v>
      </c>
      <c r="CF54" s="18">
        <f t="shared" si="80"/>
        <v>0</v>
      </c>
      <c r="CG54" s="18">
        <f t="shared" si="80"/>
        <v>173434</v>
      </c>
      <c r="CH54" s="18">
        <f t="shared" si="80"/>
        <v>0</v>
      </c>
      <c r="CI54" s="18">
        <f t="shared" si="80"/>
        <v>0</v>
      </c>
      <c r="CJ54" s="18">
        <f t="shared" si="80"/>
        <v>0</v>
      </c>
      <c r="CK54" s="18">
        <f t="shared" si="80"/>
        <v>0</v>
      </c>
      <c r="CL54" s="18">
        <f t="shared" si="80"/>
        <v>0</v>
      </c>
      <c r="CM54" s="18">
        <f t="shared" si="80"/>
        <v>0</v>
      </c>
      <c r="CN54" s="18">
        <f t="shared" si="80"/>
        <v>0</v>
      </c>
      <c r="CO54" s="18">
        <f t="shared" si="80"/>
        <v>0</v>
      </c>
      <c r="CP54" s="18">
        <f t="shared" si="80"/>
        <v>0</v>
      </c>
      <c r="CQ54" s="18"/>
      <c r="CR54" s="18"/>
      <c r="CS54" s="18"/>
      <c r="CT54" s="18"/>
      <c r="CU54" s="18">
        <f t="shared" si="80"/>
        <v>0</v>
      </c>
      <c r="CV54" s="73"/>
      <c r="CW54" s="73"/>
      <c r="CX54" s="73"/>
      <c r="CY54" s="73"/>
      <c r="CZ54" s="18">
        <f t="shared" si="80"/>
        <v>0</v>
      </c>
      <c r="DA54" s="18">
        <f t="shared" si="80"/>
        <v>0</v>
      </c>
      <c r="DB54" s="18">
        <f t="shared" si="80"/>
        <v>0</v>
      </c>
      <c r="DC54" s="46">
        <f t="shared" si="80"/>
        <v>0</v>
      </c>
      <c r="DD54" s="57"/>
    </row>
    <row r="55" spans="1:108" s="78" customFormat="1" ht="31.2" x14ac:dyDescent="0.3">
      <c r="A55" s="96" t="s">
        <v>1</v>
      </c>
      <c r="B55" s="71" t="s">
        <v>100</v>
      </c>
      <c r="C55" s="72" t="s">
        <v>472</v>
      </c>
      <c r="D55" s="74">
        <f>SUM(E55+CC55+CZ55)</f>
        <v>31349055</v>
      </c>
      <c r="E55" s="74">
        <f>SUM(F55+BC55)</f>
        <v>31175621</v>
      </c>
      <c r="F55" s="74">
        <f>SUM(G55+H55+I55+P55+S55+T55+U55+AD55)</f>
        <v>31175621</v>
      </c>
      <c r="G55" s="74">
        <v>25380271</v>
      </c>
      <c r="H55" s="74">
        <v>3349246</v>
      </c>
      <c r="I55" s="74">
        <f t="shared" si="9"/>
        <v>464917</v>
      </c>
      <c r="J55" s="75">
        <v>0</v>
      </c>
      <c r="K55" s="75"/>
      <c r="L55" s="75"/>
      <c r="M55" s="75"/>
      <c r="N55" s="75">
        <v>302339</v>
      </c>
      <c r="O55" s="75">
        <v>162578</v>
      </c>
      <c r="P55" s="74">
        <f t="shared" si="10"/>
        <v>0</v>
      </c>
      <c r="Q55" s="75">
        <v>0</v>
      </c>
      <c r="R55" s="75">
        <v>0</v>
      </c>
      <c r="S55" s="75">
        <v>0</v>
      </c>
      <c r="T55" s="75">
        <v>379397</v>
      </c>
      <c r="U55" s="74">
        <f>SUM(V55:AC55)</f>
        <v>872961</v>
      </c>
      <c r="V55" s="75">
        <v>80000</v>
      </c>
      <c r="W55" s="75">
        <f>155656+40075</f>
        <v>195731</v>
      </c>
      <c r="X55" s="75">
        <f>269340+123763</f>
        <v>393103</v>
      </c>
      <c r="Y55" s="75">
        <f>36482+13750</f>
        <v>50232</v>
      </c>
      <c r="Z55" s="75">
        <v>10000</v>
      </c>
      <c r="AA55" s="75">
        <v>0</v>
      </c>
      <c r="AB55" s="75">
        <v>0</v>
      </c>
      <c r="AC55" s="75">
        <f>110164+33731</f>
        <v>143895</v>
      </c>
      <c r="AD55" s="74">
        <f>SUM(AE55:AY55)</f>
        <v>728829</v>
      </c>
      <c r="AE55" s="74">
        <v>0</v>
      </c>
      <c r="AF55" s="74"/>
      <c r="AG55" s="75">
        <v>10000</v>
      </c>
      <c r="AH55" s="75">
        <v>60228</v>
      </c>
      <c r="AI55" s="75"/>
      <c r="AJ55" s="75">
        <v>5563</v>
      </c>
      <c r="AK55" s="75"/>
      <c r="AL55" s="75">
        <v>505</v>
      </c>
      <c r="AM55" s="75">
        <v>46970</v>
      </c>
      <c r="AN55" s="75">
        <v>5238</v>
      </c>
      <c r="AO55" s="75"/>
      <c r="AP55" s="75"/>
      <c r="AQ55" s="75">
        <v>594825</v>
      </c>
      <c r="AR55" s="75">
        <v>0</v>
      </c>
      <c r="AS55" s="75">
        <v>0</v>
      </c>
      <c r="AT55" s="75">
        <v>0</v>
      </c>
      <c r="AU55" s="75">
        <v>0</v>
      </c>
      <c r="AV55" s="75">
        <v>0</v>
      </c>
      <c r="AW55" s="75">
        <v>3000</v>
      </c>
      <c r="AX55" s="75">
        <v>0</v>
      </c>
      <c r="AY55" s="75">
        <v>2500</v>
      </c>
      <c r="AZ55" s="75"/>
      <c r="BA55" s="75"/>
      <c r="BB55" s="75"/>
      <c r="BC55" s="74">
        <f>SUM(BD55+BH55+BL55+BN55+BQ55)</f>
        <v>0</v>
      </c>
      <c r="BD55" s="74">
        <f>SUM(BE55:BG55)</f>
        <v>0</v>
      </c>
      <c r="BE55" s="74">
        <v>0</v>
      </c>
      <c r="BF55" s="74">
        <v>0</v>
      </c>
      <c r="BG55" s="74">
        <v>0</v>
      </c>
      <c r="BH55" s="74">
        <f>SUM(BI55:BK55)</f>
        <v>0</v>
      </c>
      <c r="BI55" s="74">
        <v>0</v>
      </c>
      <c r="BJ55" s="74">
        <v>0</v>
      </c>
      <c r="BK55" s="74">
        <v>0</v>
      </c>
      <c r="BL55" s="74">
        <v>0</v>
      </c>
      <c r="BM55" s="74">
        <v>0</v>
      </c>
      <c r="BN55" s="74">
        <f t="shared" si="11"/>
        <v>0</v>
      </c>
      <c r="BO55" s="74">
        <v>0</v>
      </c>
      <c r="BP55" s="74">
        <v>0</v>
      </c>
      <c r="BQ55" s="74">
        <f>SUM(BR55:CB55)</f>
        <v>0</v>
      </c>
      <c r="BR55" s="74">
        <v>0</v>
      </c>
      <c r="BS55" s="74">
        <v>0</v>
      </c>
      <c r="BT55" s="74">
        <v>0</v>
      </c>
      <c r="BU55" s="74">
        <v>0</v>
      </c>
      <c r="BV55" s="74">
        <v>0</v>
      </c>
      <c r="BW55" s="74">
        <v>0</v>
      </c>
      <c r="BX55" s="74">
        <v>0</v>
      </c>
      <c r="BY55" s="74">
        <v>0</v>
      </c>
      <c r="BZ55" s="74">
        <v>0</v>
      </c>
      <c r="CA55" s="74">
        <v>0</v>
      </c>
      <c r="CB55" s="74">
        <v>0</v>
      </c>
      <c r="CC55" s="74">
        <f>SUM(CD55+CU55)</f>
        <v>173434</v>
      </c>
      <c r="CD55" s="74">
        <f>SUM(CE55+CH55+CN55)</f>
        <v>173434</v>
      </c>
      <c r="CE55" s="74">
        <f t="shared" si="12"/>
        <v>173434</v>
      </c>
      <c r="CF55" s="74">
        <v>0</v>
      </c>
      <c r="CG55" s="75">
        <v>173434</v>
      </c>
      <c r="CH55" s="74">
        <f>SUM(CI55:CM55)</f>
        <v>0</v>
      </c>
      <c r="CI55" s="74">
        <v>0</v>
      </c>
      <c r="CJ55" s="74">
        <v>0</v>
      </c>
      <c r="CK55" s="74">
        <v>0</v>
      </c>
      <c r="CL55" s="74">
        <v>0</v>
      </c>
      <c r="CM55" s="74">
        <v>0</v>
      </c>
      <c r="CN55" s="74">
        <f>SUM(CO55:CQ55)</f>
        <v>0</v>
      </c>
      <c r="CO55" s="74"/>
      <c r="CP55" s="75"/>
      <c r="CQ55" s="74"/>
      <c r="CR55" s="74"/>
      <c r="CS55" s="74"/>
      <c r="CT55" s="74"/>
      <c r="CU55" s="74">
        <v>0</v>
      </c>
      <c r="CV55" s="74"/>
      <c r="CW55" s="74"/>
      <c r="CX55" s="74"/>
      <c r="CY55" s="74"/>
      <c r="CZ55" s="74">
        <f t="shared" si="13"/>
        <v>0</v>
      </c>
      <c r="DA55" s="74">
        <f t="shared" si="14"/>
        <v>0</v>
      </c>
      <c r="DB55" s="74">
        <v>0</v>
      </c>
      <c r="DC55" s="77">
        <v>0</v>
      </c>
    </row>
    <row r="56" spans="1:108" s="58" customFormat="1" ht="15.6" x14ac:dyDescent="0.3">
      <c r="A56" s="93" t="s">
        <v>101</v>
      </c>
      <c r="B56" s="16" t="s">
        <v>1</v>
      </c>
      <c r="C56" s="17" t="s">
        <v>102</v>
      </c>
      <c r="D56" s="18">
        <f t="shared" ref="D56:AJ56" si="82">SUM(D57)</f>
        <v>6742091</v>
      </c>
      <c r="E56" s="18">
        <f t="shared" si="82"/>
        <v>6738091</v>
      </c>
      <c r="F56" s="18">
        <f t="shared" si="82"/>
        <v>6730375</v>
      </c>
      <c r="G56" s="18">
        <f t="shared" si="82"/>
        <v>5454651</v>
      </c>
      <c r="H56" s="18">
        <f t="shared" si="82"/>
        <v>624012</v>
      </c>
      <c r="I56" s="18">
        <f t="shared" si="82"/>
        <v>203685</v>
      </c>
      <c r="J56" s="18">
        <f t="shared" si="82"/>
        <v>0</v>
      </c>
      <c r="K56" s="18">
        <f t="shared" si="82"/>
        <v>0</v>
      </c>
      <c r="L56" s="18">
        <f t="shared" si="82"/>
        <v>0</v>
      </c>
      <c r="M56" s="18">
        <f t="shared" si="82"/>
        <v>0</v>
      </c>
      <c r="N56" s="18">
        <f t="shared" si="82"/>
        <v>175497</v>
      </c>
      <c r="O56" s="18">
        <f t="shared" si="82"/>
        <v>28188</v>
      </c>
      <c r="P56" s="18">
        <f t="shared" si="82"/>
        <v>0</v>
      </c>
      <c r="Q56" s="18">
        <f t="shared" si="82"/>
        <v>0</v>
      </c>
      <c r="R56" s="18">
        <f t="shared" si="82"/>
        <v>0</v>
      </c>
      <c r="S56" s="18">
        <f t="shared" si="82"/>
        <v>0</v>
      </c>
      <c r="T56" s="18">
        <f t="shared" si="82"/>
        <v>82045</v>
      </c>
      <c r="U56" s="18">
        <f t="shared" si="82"/>
        <v>173914</v>
      </c>
      <c r="V56" s="18">
        <f t="shared" si="82"/>
        <v>35060</v>
      </c>
      <c r="W56" s="18">
        <f t="shared" si="82"/>
        <v>0</v>
      </c>
      <c r="X56" s="18">
        <f t="shared" si="82"/>
        <v>88330</v>
      </c>
      <c r="Y56" s="18">
        <f t="shared" si="82"/>
        <v>6246</v>
      </c>
      <c r="Z56" s="18">
        <f t="shared" si="82"/>
        <v>0</v>
      </c>
      <c r="AA56" s="18">
        <f t="shared" si="82"/>
        <v>0</v>
      </c>
      <c r="AB56" s="18">
        <f t="shared" si="82"/>
        <v>0</v>
      </c>
      <c r="AC56" s="18">
        <f t="shared" si="82"/>
        <v>44278</v>
      </c>
      <c r="AD56" s="18">
        <f t="shared" si="82"/>
        <v>192068</v>
      </c>
      <c r="AE56" s="18">
        <f t="shared" si="82"/>
        <v>0</v>
      </c>
      <c r="AF56" s="18">
        <f t="shared" si="82"/>
        <v>0</v>
      </c>
      <c r="AG56" s="18">
        <f t="shared" si="82"/>
        <v>11250</v>
      </c>
      <c r="AH56" s="18">
        <f t="shared" si="82"/>
        <v>3681</v>
      </c>
      <c r="AI56" s="18">
        <f t="shared" si="82"/>
        <v>0</v>
      </c>
      <c r="AJ56" s="18">
        <f t="shared" si="82"/>
        <v>1875</v>
      </c>
      <c r="AK56" s="18">
        <f t="shared" si="81"/>
        <v>0</v>
      </c>
      <c r="AL56" s="18">
        <f t="shared" si="81"/>
        <v>225</v>
      </c>
      <c r="AM56" s="18">
        <f t="shared" si="81"/>
        <v>0</v>
      </c>
      <c r="AN56" s="18">
        <f t="shared" si="81"/>
        <v>33756</v>
      </c>
      <c r="AO56" s="18">
        <f t="shared" si="81"/>
        <v>0</v>
      </c>
      <c r="AP56" s="18">
        <f t="shared" si="81"/>
        <v>0</v>
      </c>
      <c r="AQ56" s="18">
        <f t="shared" si="81"/>
        <v>39744</v>
      </c>
      <c r="AR56" s="18">
        <f t="shared" si="81"/>
        <v>10137</v>
      </c>
      <c r="AS56" s="18"/>
      <c r="AT56" s="18"/>
      <c r="AU56" s="18">
        <f t="shared" si="81"/>
        <v>0</v>
      </c>
      <c r="AV56" s="18">
        <f t="shared" si="81"/>
        <v>0</v>
      </c>
      <c r="AW56" s="18">
        <f t="shared" si="81"/>
        <v>56400</v>
      </c>
      <c r="AX56" s="18"/>
      <c r="AY56" s="18">
        <f t="shared" si="81"/>
        <v>35000</v>
      </c>
      <c r="AZ56" s="18">
        <f t="shared" si="81"/>
        <v>0</v>
      </c>
      <c r="BA56" s="18">
        <f t="shared" si="81"/>
        <v>0</v>
      </c>
      <c r="BB56" s="18">
        <f t="shared" si="81"/>
        <v>0</v>
      </c>
      <c r="BC56" s="18">
        <f t="shared" si="81"/>
        <v>7716</v>
      </c>
      <c r="BD56" s="18">
        <f t="shared" si="81"/>
        <v>0</v>
      </c>
      <c r="BE56" s="18">
        <f t="shared" si="81"/>
        <v>0</v>
      </c>
      <c r="BF56" s="18">
        <f t="shared" si="81"/>
        <v>0</v>
      </c>
      <c r="BG56" s="18">
        <f t="shared" si="81"/>
        <v>0</v>
      </c>
      <c r="BH56" s="18">
        <f t="shared" si="81"/>
        <v>0</v>
      </c>
      <c r="BI56" s="18">
        <f t="shared" si="81"/>
        <v>0</v>
      </c>
      <c r="BJ56" s="18">
        <f t="shared" si="81"/>
        <v>0</v>
      </c>
      <c r="BK56" s="18">
        <f t="shared" si="81"/>
        <v>0</v>
      </c>
      <c r="BL56" s="18">
        <f t="shared" si="81"/>
        <v>0</v>
      </c>
      <c r="BM56" s="18">
        <f t="shared" si="81"/>
        <v>0</v>
      </c>
      <c r="BN56" s="18">
        <f t="shared" si="81"/>
        <v>0</v>
      </c>
      <c r="BO56" s="18">
        <f t="shared" si="81"/>
        <v>0</v>
      </c>
      <c r="BP56" s="18">
        <f t="shared" si="81"/>
        <v>0</v>
      </c>
      <c r="BQ56" s="18">
        <f t="shared" si="81"/>
        <v>7716</v>
      </c>
      <c r="BR56" s="18">
        <f t="shared" si="81"/>
        <v>0</v>
      </c>
      <c r="BS56" s="18">
        <f t="shared" si="81"/>
        <v>0</v>
      </c>
      <c r="BT56" s="18">
        <f t="shared" si="81"/>
        <v>0</v>
      </c>
      <c r="BU56" s="18">
        <f t="shared" si="81"/>
        <v>0</v>
      </c>
      <c r="BV56" s="18">
        <f t="shared" si="81"/>
        <v>0</v>
      </c>
      <c r="BW56" s="18">
        <f t="shared" si="81"/>
        <v>0</v>
      </c>
      <c r="BX56" s="18">
        <f t="shared" si="81"/>
        <v>0</v>
      </c>
      <c r="BY56" s="18">
        <f t="shared" si="81"/>
        <v>0</v>
      </c>
      <c r="BZ56" s="18">
        <f t="shared" si="81"/>
        <v>0</v>
      </c>
      <c r="CA56" s="18">
        <f t="shared" si="81"/>
        <v>7716</v>
      </c>
      <c r="CB56" s="18">
        <f t="shared" si="81"/>
        <v>0</v>
      </c>
      <c r="CC56" s="18">
        <f t="shared" si="81"/>
        <v>4000</v>
      </c>
      <c r="CD56" s="18">
        <f t="shared" si="81"/>
        <v>4000</v>
      </c>
      <c r="CE56" s="18">
        <f t="shared" si="81"/>
        <v>4000</v>
      </c>
      <c r="CF56" s="18">
        <f t="shared" si="81"/>
        <v>0</v>
      </c>
      <c r="CG56" s="18">
        <f t="shared" si="81"/>
        <v>4000</v>
      </c>
      <c r="CH56" s="18">
        <f t="shared" si="81"/>
        <v>0</v>
      </c>
      <c r="CI56" s="18">
        <f t="shared" si="81"/>
        <v>0</v>
      </c>
      <c r="CJ56" s="18">
        <f t="shared" si="81"/>
        <v>0</v>
      </c>
      <c r="CK56" s="18">
        <f t="shared" si="81"/>
        <v>0</v>
      </c>
      <c r="CL56" s="18">
        <f t="shared" si="81"/>
        <v>0</v>
      </c>
      <c r="CM56" s="18">
        <f t="shared" si="81"/>
        <v>0</v>
      </c>
      <c r="CN56" s="18">
        <f t="shared" si="81"/>
        <v>0</v>
      </c>
      <c r="CO56" s="18">
        <f t="shared" si="81"/>
        <v>0</v>
      </c>
      <c r="CP56" s="18">
        <f t="shared" si="81"/>
        <v>0</v>
      </c>
      <c r="CQ56" s="18"/>
      <c r="CR56" s="18"/>
      <c r="CS56" s="18"/>
      <c r="CT56" s="18"/>
      <c r="CU56" s="18">
        <f t="shared" si="81"/>
        <v>0</v>
      </c>
      <c r="CV56" s="73"/>
      <c r="CW56" s="73"/>
      <c r="CX56" s="73"/>
      <c r="CY56" s="73"/>
      <c r="CZ56" s="18">
        <f t="shared" si="81"/>
        <v>0</v>
      </c>
      <c r="DA56" s="18">
        <f t="shared" si="81"/>
        <v>0</v>
      </c>
      <c r="DB56" s="18">
        <f t="shared" si="81"/>
        <v>0</v>
      </c>
      <c r="DC56" s="46">
        <f t="shared" si="81"/>
        <v>0</v>
      </c>
      <c r="DD56" s="57"/>
    </row>
    <row r="57" spans="1:108" s="78" customFormat="1" ht="15.6" x14ac:dyDescent="0.3">
      <c r="A57" s="96" t="s">
        <v>1</v>
      </c>
      <c r="B57" s="71" t="s">
        <v>103</v>
      </c>
      <c r="C57" s="72" t="s">
        <v>104</v>
      </c>
      <c r="D57" s="74">
        <f>SUM(E57+CC57+CZ57)</f>
        <v>6742091</v>
      </c>
      <c r="E57" s="74">
        <f>SUM(F57+BC57)</f>
        <v>6738091</v>
      </c>
      <c r="F57" s="74">
        <f>SUM(G57+H57+I57+P57+S57+T57+U57+AD57)</f>
        <v>6730375</v>
      </c>
      <c r="G57" s="74">
        <v>5454651</v>
      </c>
      <c r="H57" s="74">
        <v>624012</v>
      </c>
      <c r="I57" s="74">
        <f t="shared" si="9"/>
        <v>203685</v>
      </c>
      <c r="J57" s="75">
        <v>0</v>
      </c>
      <c r="K57" s="74">
        <v>0</v>
      </c>
      <c r="L57" s="74">
        <v>0</v>
      </c>
      <c r="M57" s="74">
        <v>0</v>
      </c>
      <c r="N57" s="75">
        <v>175497</v>
      </c>
      <c r="O57" s="75">
        <v>28188</v>
      </c>
      <c r="P57" s="74">
        <f t="shared" si="10"/>
        <v>0</v>
      </c>
      <c r="Q57" s="74">
        <v>0</v>
      </c>
      <c r="R57" s="74">
        <v>0</v>
      </c>
      <c r="S57" s="74">
        <v>0</v>
      </c>
      <c r="T57" s="75">
        <v>82045</v>
      </c>
      <c r="U57" s="74">
        <f>SUM(V57:AC57)</f>
        <v>173914</v>
      </c>
      <c r="V57" s="75">
        <v>35060</v>
      </c>
      <c r="W57" s="75">
        <v>0</v>
      </c>
      <c r="X57" s="75">
        <f>68117+20213</f>
        <v>88330</v>
      </c>
      <c r="Y57" s="75">
        <f>4606+1640</f>
        <v>6246</v>
      </c>
      <c r="Z57" s="75">
        <v>0</v>
      </c>
      <c r="AA57" s="75">
        <v>0</v>
      </c>
      <c r="AB57" s="75">
        <v>0</v>
      </c>
      <c r="AC57" s="75">
        <f>34786+9492</f>
        <v>44278</v>
      </c>
      <c r="AD57" s="74">
        <f>SUM(AE57:AY57)</f>
        <v>192068</v>
      </c>
      <c r="AE57" s="74">
        <v>0</v>
      </c>
      <c r="AF57" s="74">
        <v>0</v>
      </c>
      <c r="AG57" s="75">
        <v>11250</v>
      </c>
      <c r="AH57" s="75">
        <v>3681</v>
      </c>
      <c r="AI57" s="75"/>
      <c r="AJ57" s="75">
        <v>1875</v>
      </c>
      <c r="AK57" s="75"/>
      <c r="AL57" s="75">
        <v>225</v>
      </c>
      <c r="AM57" s="75"/>
      <c r="AN57" s="75">
        <v>33756</v>
      </c>
      <c r="AO57" s="75"/>
      <c r="AP57" s="75"/>
      <c r="AQ57" s="75">
        <v>39744</v>
      </c>
      <c r="AR57" s="75">
        <v>10137</v>
      </c>
      <c r="AS57" s="75">
        <v>0</v>
      </c>
      <c r="AT57" s="75">
        <v>0</v>
      </c>
      <c r="AU57" s="75">
        <v>0</v>
      </c>
      <c r="AV57" s="75">
        <v>0</v>
      </c>
      <c r="AW57" s="75">
        <v>56400</v>
      </c>
      <c r="AX57" s="75">
        <v>0</v>
      </c>
      <c r="AY57" s="75">
        <v>35000</v>
      </c>
      <c r="AZ57" s="75"/>
      <c r="BA57" s="75"/>
      <c r="BB57" s="75"/>
      <c r="BC57" s="74">
        <f>SUM(BD57+BH57+BL57+BN57+BQ57)</f>
        <v>7716</v>
      </c>
      <c r="BD57" s="74">
        <f>SUM(BE57:BG57)</f>
        <v>0</v>
      </c>
      <c r="BE57" s="74">
        <v>0</v>
      </c>
      <c r="BF57" s="74">
        <v>0</v>
      </c>
      <c r="BG57" s="74">
        <v>0</v>
      </c>
      <c r="BH57" s="74">
        <f>SUM(BI57:BK57)</f>
        <v>0</v>
      </c>
      <c r="BI57" s="74">
        <v>0</v>
      </c>
      <c r="BJ57" s="74">
        <v>0</v>
      </c>
      <c r="BK57" s="74">
        <v>0</v>
      </c>
      <c r="BL57" s="74">
        <v>0</v>
      </c>
      <c r="BM57" s="74">
        <v>0</v>
      </c>
      <c r="BN57" s="74">
        <f t="shared" si="11"/>
        <v>0</v>
      </c>
      <c r="BO57" s="74">
        <v>0</v>
      </c>
      <c r="BP57" s="74">
        <v>0</v>
      </c>
      <c r="BQ57" s="74">
        <f>SUM(BR57:CB57)</f>
        <v>7716</v>
      </c>
      <c r="BR57" s="74">
        <v>0</v>
      </c>
      <c r="BS57" s="74">
        <v>0</v>
      </c>
      <c r="BT57" s="74">
        <v>0</v>
      </c>
      <c r="BU57" s="74">
        <v>0</v>
      </c>
      <c r="BV57" s="74">
        <v>0</v>
      </c>
      <c r="BW57" s="74">
        <v>0</v>
      </c>
      <c r="BX57" s="74">
        <v>0</v>
      </c>
      <c r="BY57" s="74">
        <v>0</v>
      </c>
      <c r="BZ57" s="74">
        <v>0</v>
      </c>
      <c r="CA57" s="74">
        <v>7716</v>
      </c>
      <c r="CB57" s="74">
        <v>0</v>
      </c>
      <c r="CC57" s="74">
        <f>SUM(CD57+CU57)</f>
        <v>4000</v>
      </c>
      <c r="CD57" s="74">
        <f>SUM(CE57+CH57+CN57)</f>
        <v>4000</v>
      </c>
      <c r="CE57" s="74">
        <f t="shared" si="12"/>
        <v>4000</v>
      </c>
      <c r="CF57" s="74">
        <v>0</v>
      </c>
      <c r="CG57" s="75">
        <v>4000</v>
      </c>
      <c r="CH57" s="74">
        <f>SUM(CI57:CM57)</f>
        <v>0</v>
      </c>
      <c r="CI57" s="74">
        <v>0</v>
      </c>
      <c r="CJ57" s="74">
        <v>0</v>
      </c>
      <c r="CK57" s="74">
        <v>0</v>
      </c>
      <c r="CL57" s="74">
        <v>0</v>
      </c>
      <c r="CM57" s="74">
        <v>0</v>
      </c>
      <c r="CN57" s="74">
        <f>SUM(CO57:CQ57)</f>
        <v>0</v>
      </c>
      <c r="CO57" s="74">
        <v>0</v>
      </c>
      <c r="CP57" s="74">
        <v>0</v>
      </c>
      <c r="CQ57" s="74"/>
      <c r="CR57" s="74"/>
      <c r="CS57" s="74"/>
      <c r="CT57" s="74"/>
      <c r="CU57" s="74">
        <v>0</v>
      </c>
      <c r="CV57" s="74"/>
      <c r="CW57" s="74"/>
      <c r="CX57" s="74"/>
      <c r="CY57" s="74"/>
      <c r="CZ57" s="74">
        <f t="shared" si="13"/>
        <v>0</v>
      </c>
      <c r="DA57" s="74">
        <f t="shared" si="14"/>
        <v>0</v>
      </c>
      <c r="DB57" s="74">
        <v>0</v>
      </c>
      <c r="DC57" s="77">
        <v>0</v>
      </c>
    </row>
    <row r="58" spans="1:108" s="58" customFormat="1" ht="15.6" x14ac:dyDescent="0.3">
      <c r="A58" s="93" t="s">
        <v>105</v>
      </c>
      <c r="B58" s="16" t="s">
        <v>1</v>
      </c>
      <c r="C58" s="17" t="s">
        <v>473</v>
      </c>
      <c r="D58" s="18">
        <f t="shared" ref="D58:AJ58" si="83">SUM(D59)</f>
        <v>692500</v>
      </c>
      <c r="E58" s="18">
        <f t="shared" si="83"/>
        <v>692500</v>
      </c>
      <c r="F58" s="18">
        <f t="shared" si="83"/>
        <v>692500</v>
      </c>
      <c r="G58" s="18">
        <f t="shared" si="83"/>
        <v>0</v>
      </c>
      <c r="H58" s="18">
        <f t="shared" si="83"/>
        <v>0</v>
      </c>
      <c r="I58" s="18">
        <f t="shared" si="83"/>
        <v>0</v>
      </c>
      <c r="J58" s="18">
        <f t="shared" si="83"/>
        <v>0</v>
      </c>
      <c r="K58" s="18">
        <f t="shared" si="83"/>
        <v>0</v>
      </c>
      <c r="L58" s="18">
        <f t="shared" si="83"/>
        <v>0</v>
      </c>
      <c r="M58" s="18">
        <f t="shared" si="83"/>
        <v>0</v>
      </c>
      <c r="N58" s="18">
        <f t="shared" si="83"/>
        <v>0</v>
      </c>
      <c r="O58" s="18">
        <f t="shared" si="83"/>
        <v>0</v>
      </c>
      <c r="P58" s="18">
        <f t="shared" si="83"/>
        <v>0</v>
      </c>
      <c r="Q58" s="18">
        <f t="shared" si="83"/>
        <v>0</v>
      </c>
      <c r="R58" s="18">
        <f t="shared" si="83"/>
        <v>0</v>
      </c>
      <c r="S58" s="18">
        <f t="shared" si="83"/>
        <v>0</v>
      </c>
      <c r="T58" s="18">
        <f t="shared" si="83"/>
        <v>0</v>
      </c>
      <c r="U58" s="18">
        <f t="shared" si="83"/>
        <v>0</v>
      </c>
      <c r="V58" s="18">
        <f t="shared" si="83"/>
        <v>0</v>
      </c>
      <c r="W58" s="18">
        <f t="shared" si="83"/>
        <v>0</v>
      </c>
      <c r="X58" s="18">
        <f t="shared" si="83"/>
        <v>0</v>
      </c>
      <c r="Y58" s="18">
        <f t="shared" si="83"/>
        <v>0</v>
      </c>
      <c r="Z58" s="18">
        <f t="shared" si="83"/>
        <v>0</v>
      </c>
      <c r="AA58" s="18">
        <f t="shared" si="83"/>
        <v>0</v>
      </c>
      <c r="AB58" s="18">
        <f t="shared" si="83"/>
        <v>0</v>
      </c>
      <c r="AC58" s="18">
        <f t="shared" si="83"/>
        <v>0</v>
      </c>
      <c r="AD58" s="18">
        <f t="shared" si="83"/>
        <v>692500</v>
      </c>
      <c r="AE58" s="18">
        <f t="shared" si="83"/>
        <v>0</v>
      </c>
      <c r="AF58" s="18">
        <f t="shared" si="83"/>
        <v>0</v>
      </c>
      <c r="AG58" s="18">
        <f t="shared" si="83"/>
        <v>0</v>
      </c>
      <c r="AH58" s="18">
        <f t="shared" si="83"/>
        <v>0</v>
      </c>
      <c r="AI58" s="18">
        <f t="shared" si="83"/>
        <v>0</v>
      </c>
      <c r="AJ58" s="18">
        <f t="shared" si="83"/>
        <v>0</v>
      </c>
      <c r="AK58" s="18">
        <f t="shared" ref="AK58:DC58" si="84">SUM(AK59)</f>
        <v>0</v>
      </c>
      <c r="AL58" s="18">
        <f t="shared" si="84"/>
        <v>0</v>
      </c>
      <c r="AM58" s="18">
        <f t="shared" si="84"/>
        <v>0</v>
      </c>
      <c r="AN58" s="18">
        <f t="shared" si="84"/>
        <v>0</v>
      </c>
      <c r="AO58" s="18">
        <f t="shared" si="84"/>
        <v>0</v>
      </c>
      <c r="AP58" s="18">
        <f t="shared" si="84"/>
        <v>0</v>
      </c>
      <c r="AQ58" s="18">
        <f t="shared" si="84"/>
        <v>0</v>
      </c>
      <c r="AR58" s="18">
        <f t="shared" si="84"/>
        <v>0</v>
      </c>
      <c r="AS58" s="18">
        <f t="shared" si="84"/>
        <v>690000</v>
      </c>
      <c r="AT58" s="18">
        <f t="shared" si="84"/>
        <v>0</v>
      </c>
      <c r="AU58" s="18">
        <f t="shared" si="84"/>
        <v>0</v>
      </c>
      <c r="AV58" s="18">
        <f t="shared" si="84"/>
        <v>0</v>
      </c>
      <c r="AW58" s="18">
        <f t="shared" si="84"/>
        <v>0</v>
      </c>
      <c r="AX58" s="18"/>
      <c r="AY58" s="18">
        <f t="shared" si="84"/>
        <v>2500</v>
      </c>
      <c r="AZ58" s="18">
        <f t="shared" si="84"/>
        <v>0</v>
      </c>
      <c r="BA58" s="18">
        <f t="shared" si="84"/>
        <v>0</v>
      </c>
      <c r="BB58" s="18">
        <f t="shared" si="84"/>
        <v>0</v>
      </c>
      <c r="BC58" s="18">
        <f t="shared" si="84"/>
        <v>0</v>
      </c>
      <c r="BD58" s="18">
        <f t="shared" si="84"/>
        <v>0</v>
      </c>
      <c r="BE58" s="18">
        <f t="shared" si="84"/>
        <v>0</v>
      </c>
      <c r="BF58" s="18">
        <f t="shared" si="84"/>
        <v>0</v>
      </c>
      <c r="BG58" s="18">
        <f t="shared" si="84"/>
        <v>0</v>
      </c>
      <c r="BH58" s="18">
        <f t="shared" si="84"/>
        <v>0</v>
      </c>
      <c r="BI58" s="18">
        <f t="shared" si="84"/>
        <v>0</v>
      </c>
      <c r="BJ58" s="18">
        <f t="shared" si="84"/>
        <v>0</v>
      </c>
      <c r="BK58" s="18">
        <f t="shared" si="84"/>
        <v>0</v>
      </c>
      <c r="BL58" s="18">
        <f t="shared" si="84"/>
        <v>0</v>
      </c>
      <c r="BM58" s="18">
        <f t="shared" si="84"/>
        <v>0</v>
      </c>
      <c r="BN58" s="18">
        <f t="shared" si="84"/>
        <v>0</v>
      </c>
      <c r="BO58" s="18">
        <f t="shared" si="84"/>
        <v>0</v>
      </c>
      <c r="BP58" s="18">
        <f t="shared" si="84"/>
        <v>0</v>
      </c>
      <c r="BQ58" s="18">
        <f t="shared" si="84"/>
        <v>0</v>
      </c>
      <c r="BR58" s="18">
        <f t="shared" si="84"/>
        <v>0</v>
      </c>
      <c r="BS58" s="18">
        <f t="shared" si="84"/>
        <v>0</v>
      </c>
      <c r="BT58" s="18">
        <f t="shared" si="84"/>
        <v>0</v>
      </c>
      <c r="BU58" s="18">
        <f t="shared" si="84"/>
        <v>0</v>
      </c>
      <c r="BV58" s="18">
        <f t="shared" si="84"/>
        <v>0</v>
      </c>
      <c r="BW58" s="18">
        <f t="shared" si="84"/>
        <v>0</v>
      </c>
      <c r="BX58" s="18">
        <f t="shared" si="84"/>
        <v>0</v>
      </c>
      <c r="BY58" s="18">
        <f t="shared" si="84"/>
        <v>0</v>
      </c>
      <c r="BZ58" s="18">
        <f t="shared" si="84"/>
        <v>0</v>
      </c>
      <c r="CA58" s="18">
        <f t="shared" si="84"/>
        <v>0</v>
      </c>
      <c r="CB58" s="18">
        <f t="shared" si="84"/>
        <v>0</v>
      </c>
      <c r="CC58" s="18">
        <f t="shared" si="84"/>
        <v>0</v>
      </c>
      <c r="CD58" s="18">
        <f t="shared" si="84"/>
        <v>0</v>
      </c>
      <c r="CE58" s="18">
        <f t="shared" si="84"/>
        <v>0</v>
      </c>
      <c r="CF58" s="18">
        <f t="shared" si="84"/>
        <v>0</v>
      </c>
      <c r="CG58" s="18">
        <f t="shared" si="84"/>
        <v>0</v>
      </c>
      <c r="CH58" s="18">
        <f t="shared" si="84"/>
        <v>0</v>
      </c>
      <c r="CI58" s="18">
        <f t="shared" si="84"/>
        <v>0</v>
      </c>
      <c r="CJ58" s="18">
        <f t="shared" si="84"/>
        <v>0</v>
      </c>
      <c r="CK58" s="18">
        <f t="shared" si="84"/>
        <v>0</v>
      </c>
      <c r="CL58" s="18">
        <f t="shared" si="84"/>
        <v>0</v>
      </c>
      <c r="CM58" s="18">
        <f t="shared" si="84"/>
        <v>0</v>
      </c>
      <c r="CN58" s="18">
        <f t="shared" si="84"/>
        <v>0</v>
      </c>
      <c r="CO58" s="18">
        <f t="shared" si="84"/>
        <v>0</v>
      </c>
      <c r="CP58" s="18">
        <f t="shared" si="84"/>
        <v>0</v>
      </c>
      <c r="CQ58" s="18"/>
      <c r="CR58" s="18"/>
      <c r="CS58" s="18"/>
      <c r="CT58" s="18"/>
      <c r="CU58" s="18">
        <f t="shared" si="84"/>
        <v>0</v>
      </c>
      <c r="CV58" s="73"/>
      <c r="CW58" s="73"/>
      <c r="CX58" s="73"/>
      <c r="CY58" s="73"/>
      <c r="CZ58" s="18">
        <f t="shared" si="84"/>
        <v>0</v>
      </c>
      <c r="DA58" s="18">
        <f t="shared" si="84"/>
        <v>0</v>
      </c>
      <c r="DB58" s="18">
        <f t="shared" si="84"/>
        <v>0</v>
      </c>
      <c r="DC58" s="46">
        <f t="shared" si="84"/>
        <v>0</v>
      </c>
      <c r="DD58" s="57"/>
    </row>
    <row r="59" spans="1:108" ht="15.6" x14ac:dyDescent="0.3">
      <c r="A59" s="94" t="s">
        <v>1</v>
      </c>
      <c r="B59" s="21" t="s">
        <v>100</v>
      </c>
      <c r="C59" s="22" t="s">
        <v>106</v>
      </c>
      <c r="D59" s="19">
        <f>SUM(E59+CC59+CZ59)</f>
        <v>692500</v>
      </c>
      <c r="E59" s="19">
        <f>SUM(F59+BC59)</f>
        <v>692500</v>
      </c>
      <c r="F59" s="19">
        <f>SUM(G59+H59+I59+P59+S59+T59+U59+AD59)</f>
        <v>692500</v>
      </c>
      <c r="G59" s="19">
        <v>0</v>
      </c>
      <c r="H59" s="19">
        <v>0</v>
      </c>
      <c r="I59" s="19">
        <f t="shared" si="9"/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f t="shared" si="10"/>
        <v>0</v>
      </c>
      <c r="Q59" s="19">
        <v>0</v>
      </c>
      <c r="R59" s="19">
        <v>0</v>
      </c>
      <c r="S59" s="19">
        <v>0</v>
      </c>
      <c r="T59" s="19">
        <v>0</v>
      </c>
      <c r="U59" s="19">
        <f>SUM(V59:AC59)</f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f>SUM(AE59:AY59)</f>
        <v>692500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690000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2500</v>
      </c>
      <c r="AZ59" s="19"/>
      <c r="BA59" s="19"/>
      <c r="BB59" s="19"/>
      <c r="BC59" s="19">
        <f>SUM(BD59+BH59+BL59+BN59+BQ59)</f>
        <v>0</v>
      </c>
      <c r="BD59" s="19">
        <f>SUM(BE59:BG59)</f>
        <v>0</v>
      </c>
      <c r="BE59" s="19">
        <v>0</v>
      </c>
      <c r="BF59" s="19">
        <v>0</v>
      </c>
      <c r="BG59" s="19">
        <v>0</v>
      </c>
      <c r="BH59" s="19">
        <f>SUM(BI59:BK59)</f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f t="shared" si="11"/>
        <v>0</v>
      </c>
      <c r="BO59" s="19">
        <v>0</v>
      </c>
      <c r="BP59" s="19">
        <v>0</v>
      </c>
      <c r="BQ59" s="19">
        <f>SUM(BR59:CB59)</f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f>SUM(CD59+CU59)</f>
        <v>0</v>
      </c>
      <c r="CD59" s="19">
        <f>SUM(CE59+CH59+CN59)</f>
        <v>0</v>
      </c>
      <c r="CE59" s="19">
        <f t="shared" si="12"/>
        <v>0</v>
      </c>
      <c r="CF59" s="19">
        <v>0</v>
      </c>
      <c r="CG59" s="19">
        <v>0</v>
      </c>
      <c r="CH59" s="19">
        <f>SUM(CI59:CM59)</f>
        <v>0</v>
      </c>
      <c r="CI59" s="19">
        <v>0</v>
      </c>
      <c r="CJ59" s="19">
        <v>0</v>
      </c>
      <c r="CK59" s="19">
        <v>0</v>
      </c>
      <c r="CL59" s="19">
        <v>0</v>
      </c>
      <c r="CM59" s="19">
        <v>0</v>
      </c>
      <c r="CN59" s="19">
        <f>SUM(CO59:CQ59)</f>
        <v>0</v>
      </c>
      <c r="CO59" s="19">
        <v>0</v>
      </c>
      <c r="CP59" s="19">
        <v>0</v>
      </c>
      <c r="CQ59" s="19"/>
      <c r="CR59" s="19"/>
      <c r="CS59" s="19"/>
      <c r="CT59" s="19"/>
      <c r="CU59" s="19">
        <v>0</v>
      </c>
      <c r="CV59" s="74"/>
      <c r="CW59" s="74"/>
      <c r="CX59" s="74"/>
      <c r="CY59" s="74"/>
      <c r="CZ59" s="19">
        <f t="shared" si="13"/>
        <v>0</v>
      </c>
      <c r="DA59" s="19">
        <f t="shared" si="14"/>
        <v>0</v>
      </c>
      <c r="DB59" s="19">
        <v>0</v>
      </c>
      <c r="DC59" s="20">
        <v>0</v>
      </c>
      <c r="DD59" s="52"/>
    </row>
    <row r="60" spans="1:108" s="58" customFormat="1" ht="15.6" x14ac:dyDescent="0.3">
      <c r="A60" s="95" t="s">
        <v>107</v>
      </c>
      <c r="B60" s="25" t="s">
        <v>1</v>
      </c>
      <c r="C60" s="26" t="s">
        <v>108</v>
      </c>
      <c r="D60" s="27">
        <f>SUM(D61)</f>
        <v>4219355</v>
      </c>
      <c r="E60" s="27">
        <f t="shared" ref="E60:BP60" si="85">SUM(E61)</f>
        <v>4219355</v>
      </c>
      <c r="F60" s="27">
        <f t="shared" si="85"/>
        <v>4219355</v>
      </c>
      <c r="G60" s="27">
        <f t="shared" si="85"/>
        <v>2412907</v>
      </c>
      <c r="H60" s="27">
        <f t="shared" si="85"/>
        <v>603227</v>
      </c>
      <c r="I60" s="27">
        <f t="shared" si="85"/>
        <v>137372</v>
      </c>
      <c r="J60" s="27">
        <f t="shared" si="85"/>
        <v>0</v>
      </c>
      <c r="K60" s="27">
        <f t="shared" si="85"/>
        <v>0</v>
      </c>
      <c r="L60" s="27">
        <f t="shared" si="85"/>
        <v>0</v>
      </c>
      <c r="M60" s="27">
        <f t="shared" si="85"/>
        <v>0</v>
      </c>
      <c r="N60" s="27">
        <f t="shared" si="85"/>
        <v>115541</v>
      </c>
      <c r="O60" s="27">
        <f t="shared" si="85"/>
        <v>21831</v>
      </c>
      <c r="P60" s="27">
        <f t="shared" si="85"/>
        <v>112517</v>
      </c>
      <c r="Q60" s="27">
        <f t="shared" si="85"/>
        <v>0</v>
      </c>
      <c r="R60" s="27">
        <f t="shared" si="85"/>
        <v>112517</v>
      </c>
      <c r="S60" s="27">
        <f t="shared" si="85"/>
        <v>0</v>
      </c>
      <c r="T60" s="27">
        <f t="shared" si="85"/>
        <v>34466</v>
      </c>
      <c r="U60" s="27">
        <f t="shared" si="85"/>
        <v>642075</v>
      </c>
      <c r="V60" s="27">
        <f t="shared" si="85"/>
        <v>0</v>
      </c>
      <c r="W60" s="27">
        <f t="shared" si="85"/>
        <v>0</v>
      </c>
      <c r="X60" s="27">
        <f t="shared" si="85"/>
        <v>0</v>
      </c>
      <c r="Y60" s="27">
        <f t="shared" si="85"/>
        <v>0</v>
      </c>
      <c r="Z60" s="27">
        <f t="shared" si="85"/>
        <v>0</v>
      </c>
      <c r="AA60" s="27">
        <f t="shared" si="85"/>
        <v>642075</v>
      </c>
      <c r="AB60" s="27">
        <f t="shared" si="85"/>
        <v>0</v>
      </c>
      <c r="AC60" s="27">
        <f t="shared" si="85"/>
        <v>0</v>
      </c>
      <c r="AD60" s="27">
        <f t="shared" si="85"/>
        <v>276791</v>
      </c>
      <c r="AE60" s="27">
        <f t="shared" si="85"/>
        <v>0</v>
      </c>
      <c r="AF60" s="27">
        <f t="shared" si="85"/>
        <v>0</v>
      </c>
      <c r="AG60" s="27">
        <f t="shared" si="85"/>
        <v>0</v>
      </c>
      <c r="AH60" s="27">
        <f t="shared" si="85"/>
        <v>0</v>
      </c>
      <c r="AI60" s="27">
        <f t="shared" si="85"/>
        <v>0</v>
      </c>
      <c r="AJ60" s="27">
        <f t="shared" si="85"/>
        <v>0</v>
      </c>
      <c r="AK60" s="27">
        <f t="shared" si="85"/>
        <v>0</v>
      </c>
      <c r="AL60" s="27">
        <f t="shared" si="85"/>
        <v>0</v>
      </c>
      <c r="AM60" s="27">
        <f t="shared" si="85"/>
        <v>0</v>
      </c>
      <c r="AN60" s="27">
        <f t="shared" si="85"/>
        <v>125823</v>
      </c>
      <c r="AO60" s="27">
        <f t="shared" si="85"/>
        <v>0</v>
      </c>
      <c r="AP60" s="27">
        <f t="shared" si="85"/>
        <v>0</v>
      </c>
      <c r="AQ60" s="27">
        <f t="shared" si="85"/>
        <v>0</v>
      </c>
      <c r="AR60" s="27">
        <f t="shared" si="85"/>
        <v>0</v>
      </c>
      <c r="AS60" s="27">
        <f t="shared" si="85"/>
        <v>0</v>
      </c>
      <c r="AT60" s="27">
        <f t="shared" si="85"/>
        <v>0</v>
      </c>
      <c r="AU60" s="27">
        <f t="shared" si="85"/>
        <v>0</v>
      </c>
      <c r="AV60" s="27">
        <f t="shared" si="85"/>
        <v>0</v>
      </c>
      <c r="AW60" s="27">
        <f t="shared" si="85"/>
        <v>31248</v>
      </c>
      <c r="AX60" s="27">
        <f t="shared" si="85"/>
        <v>0</v>
      </c>
      <c r="AY60" s="27">
        <f t="shared" si="85"/>
        <v>119720</v>
      </c>
      <c r="AZ60" s="27">
        <f t="shared" si="85"/>
        <v>0</v>
      </c>
      <c r="BA60" s="27">
        <f t="shared" si="85"/>
        <v>0</v>
      </c>
      <c r="BB60" s="27">
        <f t="shared" si="85"/>
        <v>0</v>
      </c>
      <c r="BC60" s="27">
        <f t="shared" si="85"/>
        <v>0</v>
      </c>
      <c r="BD60" s="27">
        <f t="shared" si="85"/>
        <v>0</v>
      </c>
      <c r="BE60" s="27">
        <f t="shared" si="85"/>
        <v>0</v>
      </c>
      <c r="BF60" s="27">
        <f t="shared" si="85"/>
        <v>0</v>
      </c>
      <c r="BG60" s="27">
        <f t="shared" si="85"/>
        <v>0</v>
      </c>
      <c r="BH60" s="27">
        <f t="shared" si="85"/>
        <v>0</v>
      </c>
      <c r="BI60" s="27">
        <f t="shared" si="85"/>
        <v>0</v>
      </c>
      <c r="BJ60" s="27">
        <f t="shared" si="85"/>
        <v>0</v>
      </c>
      <c r="BK60" s="27">
        <f t="shared" si="85"/>
        <v>0</v>
      </c>
      <c r="BL60" s="27">
        <f t="shared" si="85"/>
        <v>0</v>
      </c>
      <c r="BM60" s="27">
        <f t="shared" si="85"/>
        <v>0</v>
      </c>
      <c r="BN60" s="27">
        <f t="shared" si="85"/>
        <v>0</v>
      </c>
      <c r="BO60" s="27">
        <f t="shared" si="85"/>
        <v>0</v>
      </c>
      <c r="BP60" s="27">
        <f t="shared" si="85"/>
        <v>0</v>
      </c>
      <c r="BQ60" s="27">
        <f t="shared" ref="BQ60:DB60" si="86">SUM(BQ61)</f>
        <v>0</v>
      </c>
      <c r="BR60" s="27">
        <f t="shared" si="86"/>
        <v>0</v>
      </c>
      <c r="BS60" s="27">
        <f t="shared" si="86"/>
        <v>0</v>
      </c>
      <c r="BT60" s="27">
        <f t="shared" si="86"/>
        <v>0</v>
      </c>
      <c r="BU60" s="27">
        <f t="shared" si="86"/>
        <v>0</v>
      </c>
      <c r="BV60" s="27">
        <f t="shared" si="86"/>
        <v>0</v>
      </c>
      <c r="BW60" s="27">
        <f t="shared" si="86"/>
        <v>0</v>
      </c>
      <c r="BX60" s="27">
        <f t="shared" si="86"/>
        <v>0</v>
      </c>
      <c r="BY60" s="27">
        <f t="shared" si="86"/>
        <v>0</v>
      </c>
      <c r="BZ60" s="27">
        <f t="shared" si="86"/>
        <v>0</v>
      </c>
      <c r="CA60" s="27">
        <f t="shared" si="86"/>
        <v>0</v>
      </c>
      <c r="CB60" s="27">
        <f t="shared" si="86"/>
        <v>0</v>
      </c>
      <c r="CC60" s="27">
        <f t="shared" si="86"/>
        <v>0</v>
      </c>
      <c r="CD60" s="27">
        <f t="shared" si="86"/>
        <v>0</v>
      </c>
      <c r="CE60" s="27">
        <f t="shared" si="86"/>
        <v>0</v>
      </c>
      <c r="CF60" s="27">
        <f t="shared" si="86"/>
        <v>0</v>
      </c>
      <c r="CG60" s="27">
        <f t="shared" si="86"/>
        <v>0</v>
      </c>
      <c r="CH60" s="27">
        <f t="shared" si="86"/>
        <v>0</v>
      </c>
      <c r="CI60" s="27">
        <f t="shared" si="86"/>
        <v>0</v>
      </c>
      <c r="CJ60" s="27">
        <f t="shared" si="86"/>
        <v>0</v>
      </c>
      <c r="CK60" s="27">
        <f t="shared" si="86"/>
        <v>0</v>
      </c>
      <c r="CL60" s="27">
        <f t="shared" si="86"/>
        <v>0</v>
      </c>
      <c r="CM60" s="27">
        <f t="shared" si="86"/>
        <v>0</v>
      </c>
      <c r="CN60" s="27">
        <f t="shared" si="86"/>
        <v>0</v>
      </c>
      <c r="CO60" s="27">
        <f t="shared" si="86"/>
        <v>0</v>
      </c>
      <c r="CP60" s="27">
        <f t="shared" si="86"/>
        <v>0</v>
      </c>
      <c r="CQ60" s="27">
        <f t="shared" si="86"/>
        <v>0</v>
      </c>
      <c r="CR60" s="27"/>
      <c r="CS60" s="27"/>
      <c r="CT60" s="27"/>
      <c r="CU60" s="27">
        <f t="shared" si="86"/>
        <v>0</v>
      </c>
      <c r="CV60" s="27">
        <f t="shared" si="86"/>
        <v>0</v>
      </c>
      <c r="CW60" s="27">
        <f t="shared" si="86"/>
        <v>0</v>
      </c>
      <c r="CX60" s="27">
        <f t="shared" si="86"/>
        <v>0</v>
      </c>
      <c r="CY60" s="27">
        <f t="shared" si="86"/>
        <v>0</v>
      </c>
      <c r="CZ60" s="27">
        <f t="shared" si="86"/>
        <v>0</v>
      </c>
      <c r="DA60" s="27">
        <f t="shared" si="86"/>
        <v>0</v>
      </c>
      <c r="DB60" s="27">
        <f t="shared" si="86"/>
        <v>0</v>
      </c>
      <c r="DC60" s="60">
        <f>SUM(DC61)</f>
        <v>0</v>
      </c>
      <c r="DD60" s="57"/>
    </row>
    <row r="61" spans="1:108" s="58" customFormat="1" ht="15.6" x14ac:dyDescent="0.3">
      <c r="A61" s="93" t="s">
        <v>109</v>
      </c>
      <c r="B61" s="16" t="s">
        <v>1</v>
      </c>
      <c r="C61" s="17" t="s">
        <v>110</v>
      </c>
      <c r="D61" s="18">
        <f t="shared" ref="D61:BT61" si="87">SUM(D62)</f>
        <v>4219355</v>
      </c>
      <c r="E61" s="18">
        <f t="shared" si="87"/>
        <v>4219355</v>
      </c>
      <c r="F61" s="18">
        <f t="shared" si="87"/>
        <v>4219355</v>
      </c>
      <c r="G61" s="18">
        <f t="shared" si="87"/>
        <v>2412907</v>
      </c>
      <c r="H61" s="18">
        <f t="shared" si="87"/>
        <v>603227</v>
      </c>
      <c r="I61" s="18">
        <f t="shared" si="87"/>
        <v>137372</v>
      </c>
      <c r="J61" s="18">
        <f t="shared" si="87"/>
        <v>0</v>
      </c>
      <c r="K61" s="18">
        <f t="shared" si="87"/>
        <v>0</v>
      </c>
      <c r="L61" s="18">
        <f t="shared" si="87"/>
        <v>0</v>
      </c>
      <c r="M61" s="18">
        <f t="shared" si="87"/>
        <v>0</v>
      </c>
      <c r="N61" s="18">
        <f t="shared" si="87"/>
        <v>115541</v>
      </c>
      <c r="O61" s="18">
        <f t="shared" si="87"/>
        <v>21831</v>
      </c>
      <c r="P61" s="18">
        <f t="shared" si="87"/>
        <v>112517</v>
      </c>
      <c r="Q61" s="18">
        <f t="shared" si="87"/>
        <v>0</v>
      </c>
      <c r="R61" s="18">
        <f t="shared" si="87"/>
        <v>112517</v>
      </c>
      <c r="S61" s="18">
        <f t="shared" si="87"/>
        <v>0</v>
      </c>
      <c r="T61" s="18">
        <f t="shared" si="87"/>
        <v>34466</v>
      </c>
      <c r="U61" s="18">
        <f t="shared" si="87"/>
        <v>642075</v>
      </c>
      <c r="V61" s="18">
        <f t="shared" si="87"/>
        <v>0</v>
      </c>
      <c r="W61" s="18">
        <f t="shared" si="87"/>
        <v>0</v>
      </c>
      <c r="X61" s="18">
        <f t="shared" si="87"/>
        <v>0</v>
      </c>
      <c r="Y61" s="18">
        <f t="shared" si="87"/>
        <v>0</v>
      </c>
      <c r="Z61" s="18">
        <f t="shared" si="87"/>
        <v>0</v>
      </c>
      <c r="AA61" s="18">
        <f t="shared" si="87"/>
        <v>642075</v>
      </c>
      <c r="AB61" s="18">
        <f t="shared" si="87"/>
        <v>0</v>
      </c>
      <c r="AC61" s="18">
        <f t="shared" si="87"/>
        <v>0</v>
      </c>
      <c r="AD61" s="18">
        <f t="shared" si="87"/>
        <v>276791</v>
      </c>
      <c r="AE61" s="18">
        <f t="shared" si="87"/>
        <v>0</v>
      </c>
      <c r="AF61" s="18">
        <f t="shared" si="87"/>
        <v>0</v>
      </c>
      <c r="AG61" s="18">
        <f t="shared" si="87"/>
        <v>0</v>
      </c>
      <c r="AH61" s="18">
        <f t="shared" si="87"/>
        <v>0</v>
      </c>
      <c r="AI61" s="18">
        <f t="shared" si="87"/>
        <v>0</v>
      </c>
      <c r="AJ61" s="18">
        <f t="shared" si="87"/>
        <v>0</v>
      </c>
      <c r="AK61" s="18">
        <f t="shared" si="87"/>
        <v>0</v>
      </c>
      <c r="AL61" s="18">
        <f t="shared" si="87"/>
        <v>0</v>
      </c>
      <c r="AM61" s="18">
        <f t="shared" si="87"/>
        <v>0</v>
      </c>
      <c r="AN61" s="18">
        <f t="shared" si="87"/>
        <v>125823</v>
      </c>
      <c r="AO61" s="18">
        <f t="shared" si="87"/>
        <v>0</v>
      </c>
      <c r="AP61" s="18">
        <f t="shared" si="87"/>
        <v>0</v>
      </c>
      <c r="AQ61" s="18">
        <f t="shared" si="87"/>
        <v>0</v>
      </c>
      <c r="AR61" s="18">
        <f t="shared" si="87"/>
        <v>0</v>
      </c>
      <c r="AS61" s="18"/>
      <c r="AT61" s="18"/>
      <c r="AU61" s="18">
        <f t="shared" si="87"/>
        <v>0</v>
      </c>
      <c r="AV61" s="18">
        <f t="shared" si="87"/>
        <v>0</v>
      </c>
      <c r="AW61" s="18">
        <f t="shared" si="87"/>
        <v>31248</v>
      </c>
      <c r="AX61" s="18"/>
      <c r="AY61" s="18">
        <f t="shared" si="87"/>
        <v>119720</v>
      </c>
      <c r="AZ61" s="18">
        <f t="shared" si="87"/>
        <v>0</v>
      </c>
      <c r="BA61" s="18">
        <f t="shared" si="87"/>
        <v>0</v>
      </c>
      <c r="BB61" s="18">
        <f t="shared" si="87"/>
        <v>0</v>
      </c>
      <c r="BC61" s="18">
        <f t="shared" si="87"/>
        <v>0</v>
      </c>
      <c r="BD61" s="18">
        <f t="shared" si="87"/>
        <v>0</v>
      </c>
      <c r="BE61" s="18">
        <f t="shared" si="87"/>
        <v>0</v>
      </c>
      <c r="BF61" s="18">
        <f t="shared" si="87"/>
        <v>0</v>
      </c>
      <c r="BG61" s="18">
        <f t="shared" si="87"/>
        <v>0</v>
      </c>
      <c r="BH61" s="18">
        <f t="shared" si="87"/>
        <v>0</v>
      </c>
      <c r="BI61" s="18">
        <f t="shared" si="87"/>
        <v>0</v>
      </c>
      <c r="BJ61" s="18">
        <f t="shared" si="87"/>
        <v>0</v>
      </c>
      <c r="BK61" s="18">
        <f t="shared" si="87"/>
        <v>0</v>
      </c>
      <c r="BL61" s="18">
        <f t="shared" si="87"/>
        <v>0</v>
      </c>
      <c r="BM61" s="18">
        <f t="shared" si="87"/>
        <v>0</v>
      </c>
      <c r="BN61" s="18">
        <f t="shared" si="87"/>
        <v>0</v>
      </c>
      <c r="BO61" s="18">
        <f t="shared" si="87"/>
        <v>0</v>
      </c>
      <c r="BP61" s="18">
        <f t="shared" si="87"/>
        <v>0</v>
      </c>
      <c r="BQ61" s="18">
        <f t="shared" si="87"/>
        <v>0</v>
      </c>
      <c r="BR61" s="18">
        <f t="shared" si="87"/>
        <v>0</v>
      </c>
      <c r="BS61" s="18">
        <f t="shared" si="87"/>
        <v>0</v>
      </c>
      <c r="BT61" s="18">
        <f t="shared" si="87"/>
        <v>0</v>
      </c>
      <c r="BU61" s="18">
        <f t="shared" ref="BU61:DC61" si="88">SUM(BU62)</f>
        <v>0</v>
      </c>
      <c r="BV61" s="18">
        <f t="shared" si="88"/>
        <v>0</v>
      </c>
      <c r="BW61" s="18">
        <f t="shared" si="88"/>
        <v>0</v>
      </c>
      <c r="BX61" s="18">
        <f t="shared" si="88"/>
        <v>0</v>
      </c>
      <c r="BY61" s="18">
        <f t="shared" si="88"/>
        <v>0</v>
      </c>
      <c r="BZ61" s="18">
        <f t="shared" si="88"/>
        <v>0</v>
      </c>
      <c r="CA61" s="18">
        <f t="shared" si="88"/>
        <v>0</v>
      </c>
      <c r="CB61" s="18">
        <f t="shared" si="88"/>
        <v>0</v>
      </c>
      <c r="CC61" s="18">
        <f t="shared" si="88"/>
        <v>0</v>
      </c>
      <c r="CD61" s="18">
        <f t="shared" si="88"/>
        <v>0</v>
      </c>
      <c r="CE61" s="18">
        <f t="shared" si="88"/>
        <v>0</v>
      </c>
      <c r="CF61" s="18">
        <f t="shared" si="88"/>
        <v>0</v>
      </c>
      <c r="CG61" s="18">
        <f t="shared" si="88"/>
        <v>0</v>
      </c>
      <c r="CH61" s="18">
        <f t="shared" si="88"/>
        <v>0</v>
      </c>
      <c r="CI61" s="18">
        <f t="shared" si="88"/>
        <v>0</v>
      </c>
      <c r="CJ61" s="18">
        <f t="shared" si="88"/>
        <v>0</v>
      </c>
      <c r="CK61" s="18">
        <f t="shared" si="88"/>
        <v>0</v>
      </c>
      <c r="CL61" s="18">
        <f t="shared" si="88"/>
        <v>0</v>
      </c>
      <c r="CM61" s="18">
        <f t="shared" si="88"/>
        <v>0</v>
      </c>
      <c r="CN61" s="18">
        <f t="shared" si="88"/>
        <v>0</v>
      </c>
      <c r="CO61" s="18">
        <f t="shared" si="88"/>
        <v>0</v>
      </c>
      <c r="CP61" s="18">
        <f t="shared" si="88"/>
        <v>0</v>
      </c>
      <c r="CQ61" s="18"/>
      <c r="CR61" s="18"/>
      <c r="CS61" s="18"/>
      <c r="CT61" s="18"/>
      <c r="CU61" s="18">
        <f t="shared" si="88"/>
        <v>0</v>
      </c>
      <c r="CV61" s="73"/>
      <c r="CW61" s="73"/>
      <c r="CX61" s="73"/>
      <c r="CY61" s="73"/>
      <c r="CZ61" s="18">
        <f t="shared" si="88"/>
        <v>0</v>
      </c>
      <c r="DA61" s="18">
        <f t="shared" si="88"/>
        <v>0</v>
      </c>
      <c r="DB61" s="18">
        <f t="shared" si="88"/>
        <v>0</v>
      </c>
      <c r="DC61" s="46">
        <f t="shared" si="88"/>
        <v>0</v>
      </c>
      <c r="DD61" s="57"/>
    </row>
    <row r="62" spans="1:108" s="78" customFormat="1" ht="31.2" x14ac:dyDescent="0.3">
      <c r="A62" s="96" t="s">
        <v>1</v>
      </c>
      <c r="B62" s="71" t="s">
        <v>62</v>
      </c>
      <c r="C62" s="72" t="s">
        <v>111</v>
      </c>
      <c r="D62" s="74">
        <f>SUM(E62+CC62+CZ62)</f>
        <v>4219355</v>
      </c>
      <c r="E62" s="74">
        <f>SUM(F62+BC62)</f>
        <v>4219355</v>
      </c>
      <c r="F62" s="74">
        <f>SUM(G62+H62+I62+P62+S62+T62+U62+AD62)</f>
        <v>4219355</v>
      </c>
      <c r="G62" s="74">
        <v>2412907</v>
      </c>
      <c r="H62" s="74">
        <v>603227</v>
      </c>
      <c r="I62" s="74">
        <f t="shared" si="9"/>
        <v>137372</v>
      </c>
      <c r="J62" s="74">
        <v>0</v>
      </c>
      <c r="K62" s="74">
        <v>0</v>
      </c>
      <c r="L62" s="74">
        <v>0</v>
      </c>
      <c r="M62" s="74">
        <v>0</v>
      </c>
      <c r="N62" s="75">
        <v>115541</v>
      </c>
      <c r="O62" s="75">
        <v>21831</v>
      </c>
      <c r="P62" s="74">
        <f t="shared" si="10"/>
        <v>112517</v>
      </c>
      <c r="Q62" s="74">
        <v>0</v>
      </c>
      <c r="R62" s="75">
        <v>112517</v>
      </c>
      <c r="S62" s="75">
        <v>0</v>
      </c>
      <c r="T62" s="75">
        <v>34466</v>
      </c>
      <c r="U62" s="74">
        <f>SUM(V62:AC62)</f>
        <v>642075</v>
      </c>
      <c r="V62" s="75"/>
      <c r="W62" s="75"/>
      <c r="X62" s="75"/>
      <c r="Y62" s="75"/>
      <c r="Z62" s="75"/>
      <c r="AA62" s="75">
        <v>642075</v>
      </c>
      <c r="AB62" s="74">
        <v>0</v>
      </c>
      <c r="AC62" s="74">
        <v>0</v>
      </c>
      <c r="AD62" s="74">
        <f>SUM(AE62:AY62)</f>
        <v>276791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5"/>
      <c r="AK62" s="74">
        <v>0</v>
      </c>
      <c r="AL62" s="74">
        <v>0</v>
      </c>
      <c r="AM62" s="74">
        <v>0</v>
      </c>
      <c r="AN62" s="75">
        <v>125823</v>
      </c>
      <c r="AO62" s="74">
        <v>0</v>
      </c>
      <c r="AP62" s="74">
        <v>0</v>
      </c>
      <c r="AQ62" s="74">
        <v>0</v>
      </c>
      <c r="AR62" s="74">
        <v>0</v>
      </c>
      <c r="AS62" s="74">
        <v>0</v>
      </c>
      <c r="AT62" s="74">
        <v>0</v>
      </c>
      <c r="AU62" s="74">
        <v>0</v>
      </c>
      <c r="AV62" s="74">
        <v>0</v>
      </c>
      <c r="AW62" s="75">
        <v>31248</v>
      </c>
      <c r="AX62" s="75">
        <v>0</v>
      </c>
      <c r="AY62" s="75">
        <v>119720</v>
      </c>
      <c r="AZ62" s="75"/>
      <c r="BA62" s="75"/>
      <c r="BB62" s="75"/>
      <c r="BC62" s="74">
        <f>SUM(BD62+BH62+BL62+BN62+BQ62)</f>
        <v>0</v>
      </c>
      <c r="BD62" s="74">
        <f>SUM(BE62:BG62)</f>
        <v>0</v>
      </c>
      <c r="BE62" s="74">
        <v>0</v>
      </c>
      <c r="BF62" s="74">
        <v>0</v>
      </c>
      <c r="BG62" s="74">
        <v>0</v>
      </c>
      <c r="BH62" s="74">
        <f>SUM(BI62:BK62)</f>
        <v>0</v>
      </c>
      <c r="BI62" s="74">
        <v>0</v>
      </c>
      <c r="BJ62" s="74">
        <v>0</v>
      </c>
      <c r="BK62" s="74">
        <v>0</v>
      </c>
      <c r="BL62" s="74">
        <v>0</v>
      </c>
      <c r="BM62" s="74">
        <v>0</v>
      </c>
      <c r="BN62" s="74">
        <f t="shared" si="11"/>
        <v>0</v>
      </c>
      <c r="BO62" s="74">
        <v>0</v>
      </c>
      <c r="BP62" s="74">
        <v>0</v>
      </c>
      <c r="BQ62" s="74">
        <f>SUM(BR62:CB62)</f>
        <v>0</v>
      </c>
      <c r="BR62" s="74">
        <v>0</v>
      </c>
      <c r="BS62" s="74">
        <v>0</v>
      </c>
      <c r="BT62" s="74">
        <v>0</v>
      </c>
      <c r="BU62" s="74">
        <v>0</v>
      </c>
      <c r="BV62" s="74">
        <v>0</v>
      </c>
      <c r="BW62" s="74">
        <v>0</v>
      </c>
      <c r="BX62" s="74">
        <v>0</v>
      </c>
      <c r="BY62" s="74">
        <v>0</v>
      </c>
      <c r="BZ62" s="74">
        <v>0</v>
      </c>
      <c r="CA62" s="74">
        <v>0</v>
      </c>
      <c r="CB62" s="74">
        <v>0</v>
      </c>
      <c r="CC62" s="74">
        <f>SUM(CD62+CU62)</f>
        <v>0</v>
      </c>
      <c r="CD62" s="74">
        <f>SUM(CE62+CH62+CN62)</f>
        <v>0</v>
      </c>
      <c r="CE62" s="74">
        <f t="shared" si="12"/>
        <v>0</v>
      </c>
      <c r="CF62" s="74">
        <v>0</v>
      </c>
      <c r="CG62" s="75">
        <f>11000-11000</f>
        <v>0</v>
      </c>
      <c r="CH62" s="74">
        <f>SUM(CI62:CM62)</f>
        <v>0</v>
      </c>
      <c r="CI62" s="74">
        <v>0</v>
      </c>
      <c r="CJ62" s="74">
        <v>0</v>
      </c>
      <c r="CK62" s="74">
        <v>0</v>
      </c>
      <c r="CL62" s="74">
        <v>0</v>
      </c>
      <c r="CM62" s="74">
        <v>0</v>
      </c>
      <c r="CN62" s="74">
        <f>SUM(CO62:CQ62)</f>
        <v>0</v>
      </c>
      <c r="CO62" s="74">
        <v>0</v>
      </c>
      <c r="CP62" s="74">
        <v>0</v>
      </c>
      <c r="CQ62" s="74"/>
      <c r="CR62" s="74"/>
      <c r="CS62" s="74"/>
      <c r="CT62" s="74"/>
      <c r="CU62" s="74">
        <v>0</v>
      </c>
      <c r="CV62" s="74"/>
      <c r="CW62" s="74"/>
      <c r="CX62" s="74"/>
      <c r="CY62" s="74"/>
      <c r="CZ62" s="74">
        <f t="shared" si="13"/>
        <v>0</v>
      </c>
      <c r="DA62" s="74">
        <f t="shared" si="14"/>
        <v>0</v>
      </c>
      <c r="DB62" s="74">
        <v>0</v>
      </c>
      <c r="DC62" s="77">
        <v>0</v>
      </c>
    </row>
    <row r="63" spans="1:108" s="58" customFormat="1" ht="15.6" x14ac:dyDescent="0.3">
      <c r="A63" s="95" t="s">
        <v>112</v>
      </c>
      <c r="B63" s="25" t="s">
        <v>1</v>
      </c>
      <c r="C63" s="26" t="s">
        <v>113</v>
      </c>
      <c r="D63" s="27">
        <f t="shared" ref="D63:BT63" si="89">SUM(D64+D66)</f>
        <v>315497759</v>
      </c>
      <c r="E63" s="27">
        <f t="shared" si="89"/>
        <v>303543679</v>
      </c>
      <c r="F63" s="27">
        <f t="shared" si="89"/>
        <v>297041960</v>
      </c>
      <c r="G63" s="27">
        <f t="shared" si="89"/>
        <v>158897484</v>
      </c>
      <c r="H63" s="27">
        <f t="shared" si="89"/>
        <v>7409657</v>
      </c>
      <c r="I63" s="27">
        <f t="shared" si="89"/>
        <v>86785717</v>
      </c>
      <c r="J63" s="27">
        <f t="shared" si="89"/>
        <v>351580</v>
      </c>
      <c r="K63" s="27">
        <f t="shared" si="89"/>
        <v>21029408</v>
      </c>
      <c r="L63" s="27">
        <f t="shared" si="89"/>
        <v>24002040</v>
      </c>
      <c r="M63" s="27">
        <f t="shared" si="89"/>
        <v>8409900</v>
      </c>
      <c r="N63" s="27">
        <f t="shared" si="89"/>
        <v>23348369</v>
      </c>
      <c r="O63" s="27">
        <f t="shared" si="89"/>
        <v>9644420</v>
      </c>
      <c r="P63" s="27">
        <f t="shared" si="89"/>
        <v>145817</v>
      </c>
      <c r="Q63" s="27">
        <f t="shared" si="89"/>
        <v>54776</v>
      </c>
      <c r="R63" s="27">
        <f t="shared" si="89"/>
        <v>91041</v>
      </c>
      <c r="S63" s="27">
        <f t="shared" si="89"/>
        <v>0</v>
      </c>
      <c r="T63" s="27">
        <f t="shared" si="89"/>
        <v>551211</v>
      </c>
      <c r="U63" s="27">
        <f t="shared" si="89"/>
        <v>20528310</v>
      </c>
      <c r="V63" s="27">
        <f t="shared" si="89"/>
        <v>1051505</v>
      </c>
      <c r="W63" s="27">
        <f t="shared" si="89"/>
        <v>4731303</v>
      </c>
      <c r="X63" s="27">
        <f t="shared" si="89"/>
        <v>11436208</v>
      </c>
      <c r="Y63" s="27">
        <f t="shared" si="89"/>
        <v>1957282</v>
      </c>
      <c r="Z63" s="27">
        <f t="shared" si="89"/>
        <v>68110</v>
      </c>
      <c r="AA63" s="27">
        <f t="shared" si="89"/>
        <v>0</v>
      </c>
      <c r="AB63" s="27">
        <f t="shared" si="89"/>
        <v>0</v>
      </c>
      <c r="AC63" s="27">
        <f t="shared" si="89"/>
        <v>1283902</v>
      </c>
      <c r="AD63" s="27">
        <f t="shared" si="89"/>
        <v>22723764</v>
      </c>
      <c r="AE63" s="27">
        <f t="shared" si="89"/>
        <v>0</v>
      </c>
      <c r="AF63" s="27">
        <f t="shared" si="89"/>
        <v>0</v>
      </c>
      <c r="AG63" s="27">
        <f t="shared" si="89"/>
        <v>981225</v>
      </c>
      <c r="AH63" s="27">
        <f t="shared" si="89"/>
        <v>1247827</v>
      </c>
      <c r="AI63" s="27">
        <f t="shared" si="89"/>
        <v>77230</v>
      </c>
      <c r="AJ63" s="27">
        <f t="shared" si="89"/>
        <v>8000</v>
      </c>
      <c r="AK63" s="27">
        <f t="shared" si="89"/>
        <v>0</v>
      </c>
      <c r="AL63" s="27">
        <f t="shared" si="89"/>
        <v>41966</v>
      </c>
      <c r="AM63" s="27">
        <f t="shared" si="89"/>
        <v>77866</v>
      </c>
      <c r="AN63" s="27">
        <f t="shared" si="89"/>
        <v>54714</v>
      </c>
      <c r="AO63" s="27">
        <f t="shared" si="89"/>
        <v>43466</v>
      </c>
      <c r="AP63" s="27">
        <f t="shared" si="89"/>
        <v>9231211</v>
      </c>
      <c r="AQ63" s="27">
        <f t="shared" si="89"/>
        <v>54364</v>
      </c>
      <c r="AR63" s="27">
        <f t="shared" si="89"/>
        <v>0</v>
      </c>
      <c r="AS63" s="27"/>
      <c r="AT63" s="27"/>
      <c r="AU63" s="27">
        <f t="shared" si="89"/>
        <v>0</v>
      </c>
      <c r="AV63" s="27">
        <f t="shared" si="89"/>
        <v>7322875</v>
      </c>
      <c r="AW63" s="27">
        <f t="shared" si="89"/>
        <v>1418</v>
      </c>
      <c r="AX63" s="27"/>
      <c r="AY63" s="27">
        <f t="shared" si="89"/>
        <v>3581602</v>
      </c>
      <c r="AZ63" s="27">
        <f t="shared" si="89"/>
        <v>0</v>
      </c>
      <c r="BA63" s="27">
        <f t="shared" si="89"/>
        <v>0</v>
      </c>
      <c r="BB63" s="27">
        <f t="shared" si="89"/>
        <v>0</v>
      </c>
      <c r="BC63" s="27">
        <f t="shared" si="89"/>
        <v>6501719</v>
      </c>
      <c r="BD63" s="27">
        <f t="shared" si="89"/>
        <v>0</v>
      </c>
      <c r="BE63" s="27">
        <f t="shared" si="89"/>
        <v>0</v>
      </c>
      <c r="BF63" s="27">
        <f t="shared" si="89"/>
        <v>0</v>
      </c>
      <c r="BG63" s="27">
        <f t="shared" si="89"/>
        <v>0</v>
      </c>
      <c r="BH63" s="27">
        <f t="shared" si="89"/>
        <v>0</v>
      </c>
      <c r="BI63" s="27">
        <f t="shared" si="89"/>
        <v>0</v>
      </c>
      <c r="BJ63" s="27">
        <f t="shared" ref="BJ63" si="90">SUM(BJ64+BJ66)</f>
        <v>0</v>
      </c>
      <c r="BK63" s="27">
        <f t="shared" si="89"/>
        <v>0</v>
      </c>
      <c r="BL63" s="27">
        <f t="shared" si="89"/>
        <v>0</v>
      </c>
      <c r="BM63" s="27">
        <f t="shared" ref="BM63" si="91">SUM(BM64+BM66)</f>
        <v>0</v>
      </c>
      <c r="BN63" s="27">
        <f t="shared" si="89"/>
        <v>198630</v>
      </c>
      <c r="BO63" s="27">
        <f t="shared" si="89"/>
        <v>198630</v>
      </c>
      <c r="BP63" s="27">
        <f t="shared" ref="BP63" si="92">SUM(BP64+BP66)</f>
        <v>0</v>
      </c>
      <c r="BQ63" s="27">
        <f t="shared" si="89"/>
        <v>6303089</v>
      </c>
      <c r="BR63" s="27">
        <f t="shared" si="89"/>
        <v>0</v>
      </c>
      <c r="BS63" s="27">
        <f t="shared" si="89"/>
        <v>0</v>
      </c>
      <c r="BT63" s="27">
        <f t="shared" si="89"/>
        <v>0</v>
      </c>
      <c r="BU63" s="27">
        <f t="shared" ref="BU63:DC63" si="93">SUM(BU64+BU66)</f>
        <v>0</v>
      </c>
      <c r="BV63" s="27">
        <f t="shared" si="93"/>
        <v>0</v>
      </c>
      <c r="BW63" s="27">
        <f t="shared" si="93"/>
        <v>0</v>
      </c>
      <c r="BX63" s="27">
        <f t="shared" si="93"/>
        <v>0</v>
      </c>
      <c r="BY63" s="27">
        <f t="shared" si="93"/>
        <v>0</v>
      </c>
      <c r="BZ63" s="27">
        <f t="shared" si="93"/>
        <v>0</v>
      </c>
      <c r="CA63" s="27">
        <f t="shared" si="93"/>
        <v>5507628</v>
      </c>
      <c r="CB63" s="27">
        <f t="shared" si="93"/>
        <v>795461</v>
      </c>
      <c r="CC63" s="27">
        <f t="shared" si="93"/>
        <v>11954080</v>
      </c>
      <c r="CD63" s="27">
        <f t="shared" si="93"/>
        <v>11954080</v>
      </c>
      <c r="CE63" s="27">
        <f t="shared" si="93"/>
        <v>5938126</v>
      </c>
      <c r="CF63" s="27">
        <f t="shared" si="93"/>
        <v>0</v>
      </c>
      <c r="CG63" s="27">
        <f t="shared" si="93"/>
        <v>5938126</v>
      </c>
      <c r="CH63" s="27">
        <f t="shared" si="93"/>
        <v>205293</v>
      </c>
      <c r="CI63" s="27">
        <f t="shared" si="93"/>
        <v>0</v>
      </c>
      <c r="CJ63" s="27">
        <f t="shared" ref="CJ63:CK63" si="94">SUM(CJ64+CJ66)</f>
        <v>205293</v>
      </c>
      <c r="CK63" s="27">
        <f t="shared" si="94"/>
        <v>0</v>
      </c>
      <c r="CL63" s="27">
        <f t="shared" si="93"/>
        <v>0</v>
      </c>
      <c r="CM63" s="27">
        <f t="shared" ref="CM63" si="95">SUM(CM64+CM66)</f>
        <v>0</v>
      </c>
      <c r="CN63" s="27">
        <f t="shared" si="93"/>
        <v>5810661</v>
      </c>
      <c r="CO63" s="27">
        <f t="shared" ref="CO63" si="96">SUM(CO64+CO66)</f>
        <v>0</v>
      </c>
      <c r="CP63" s="27">
        <f t="shared" si="93"/>
        <v>5810661</v>
      </c>
      <c r="CQ63" s="27"/>
      <c r="CR63" s="27"/>
      <c r="CS63" s="27"/>
      <c r="CT63" s="27"/>
      <c r="CU63" s="27">
        <f t="shared" si="93"/>
        <v>0</v>
      </c>
      <c r="CV63" s="27">
        <f t="shared" si="93"/>
        <v>0</v>
      </c>
      <c r="CW63" s="27">
        <f t="shared" si="93"/>
        <v>0</v>
      </c>
      <c r="CX63" s="27">
        <f t="shared" si="93"/>
        <v>0</v>
      </c>
      <c r="CY63" s="27">
        <f t="shared" ref="CY63" si="97">SUM(CY64+CY66)</f>
        <v>0</v>
      </c>
      <c r="CZ63" s="27">
        <f t="shared" si="93"/>
        <v>0</v>
      </c>
      <c r="DA63" s="27">
        <f t="shared" si="93"/>
        <v>0</v>
      </c>
      <c r="DB63" s="27">
        <f t="shared" si="93"/>
        <v>0</v>
      </c>
      <c r="DC63" s="60">
        <f t="shared" si="93"/>
        <v>0</v>
      </c>
      <c r="DD63" s="57"/>
    </row>
    <row r="64" spans="1:108" s="58" customFormat="1" ht="15.6" x14ac:dyDescent="0.3">
      <c r="A64" s="93" t="s">
        <v>114</v>
      </c>
      <c r="B64" s="16" t="s">
        <v>1</v>
      </c>
      <c r="C64" s="17" t="s">
        <v>115</v>
      </c>
      <c r="D64" s="18">
        <f t="shared" ref="D64:BT64" si="98">SUM(D65)</f>
        <v>266966238</v>
      </c>
      <c r="E64" s="18">
        <f t="shared" si="98"/>
        <v>257651998</v>
      </c>
      <c r="F64" s="18">
        <f t="shared" si="98"/>
        <v>255659251</v>
      </c>
      <c r="G64" s="18">
        <f t="shared" si="98"/>
        <v>128725845</v>
      </c>
      <c r="H64" s="18">
        <f t="shared" si="98"/>
        <v>7155565</v>
      </c>
      <c r="I64" s="18">
        <f t="shared" si="98"/>
        <v>78558309</v>
      </c>
      <c r="J64" s="18">
        <f t="shared" si="98"/>
        <v>308050</v>
      </c>
      <c r="K64" s="18">
        <f t="shared" si="98"/>
        <v>20000341</v>
      </c>
      <c r="L64" s="18">
        <f t="shared" si="98"/>
        <v>21237799</v>
      </c>
      <c r="M64" s="18">
        <f t="shared" si="98"/>
        <v>8409900</v>
      </c>
      <c r="N64" s="18">
        <f t="shared" si="98"/>
        <v>19723777</v>
      </c>
      <c r="O64" s="18">
        <f t="shared" si="98"/>
        <v>8878442</v>
      </c>
      <c r="P64" s="18">
        <f t="shared" si="98"/>
        <v>0</v>
      </c>
      <c r="Q64" s="18">
        <f t="shared" si="98"/>
        <v>0</v>
      </c>
      <c r="R64" s="18">
        <f t="shared" si="98"/>
        <v>0</v>
      </c>
      <c r="S64" s="18">
        <f t="shared" si="98"/>
        <v>0</v>
      </c>
      <c r="T64" s="18">
        <f t="shared" si="98"/>
        <v>485780</v>
      </c>
      <c r="U64" s="18">
        <f t="shared" si="98"/>
        <v>20517810</v>
      </c>
      <c r="V64" s="18">
        <f t="shared" si="98"/>
        <v>1041005</v>
      </c>
      <c r="W64" s="18">
        <f t="shared" si="98"/>
        <v>4731303</v>
      </c>
      <c r="X64" s="18">
        <f t="shared" si="98"/>
        <v>11436208</v>
      </c>
      <c r="Y64" s="18">
        <f t="shared" si="98"/>
        <v>1957282</v>
      </c>
      <c r="Z64" s="18">
        <f t="shared" si="98"/>
        <v>68110</v>
      </c>
      <c r="AA64" s="18">
        <f t="shared" si="98"/>
        <v>0</v>
      </c>
      <c r="AB64" s="18">
        <f t="shared" si="98"/>
        <v>0</v>
      </c>
      <c r="AC64" s="18">
        <f t="shared" si="98"/>
        <v>1283902</v>
      </c>
      <c r="AD64" s="18">
        <f t="shared" si="98"/>
        <v>20215942</v>
      </c>
      <c r="AE64" s="18">
        <f t="shared" si="98"/>
        <v>0</v>
      </c>
      <c r="AF64" s="18">
        <f t="shared" si="98"/>
        <v>0</v>
      </c>
      <c r="AG64" s="18">
        <f t="shared" si="98"/>
        <v>956225</v>
      </c>
      <c r="AH64" s="18">
        <f t="shared" si="98"/>
        <v>947827</v>
      </c>
      <c r="AI64" s="18">
        <f t="shared" si="98"/>
        <v>77230</v>
      </c>
      <c r="AJ64" s="18">
        <f t="shared" si="98"/>
        <v>8000</v>
      </c>
      <c r="AK64" s="18">
        <f t="shared" si="98"/>
        <v>0</v>
      </c>
      <c r="AL64" s="18">
        <f t="shared" si="98"/>
        <v>41966</v>
      </c>
      <c r="AM64" s="18">
        <f t="shared" si="98"/>
        <v>39866</v>
      </c>
      <c r="AN64" s="18">
        <f t="shared" si="98"/>
        <v>25032</v>
      </c>
      <c r="AO64" s="18">
        <f t="shared" si="98"/>
        <v>43466</v>
      </c>
      <c r="AP64" s="18">
        <f t="shared" si="98"/>
        <v>9124211</v>
      </c>
      <c r="AQ64" s="18">
        <f t="shared" si="98"/>
        <v>54364</v>
      </c>
      <c r="AR64" s="18">
        <f t="shared" si="98"/>
        <v>0</v>
      </c>
      <c r="AS64" s="18"/>
      <c r="AT64" s="18"/>
      <c r="AU64" s="18">
        <f t="shared" si="98"/>
        <v>0</v>
      </c>
      <c r="AV64" s="18">
        <f t="shared" si="98"/>
        <v>5322875</v>
      </c>
      <c r="AW64" s="18">
        <f t="shared" si="98"/>
        <v>1418</v>
      </c>
      <c r="AX64" s="18"/>
      <c r="AY64" s="18">
        <f t="shared" si="98"/>
        <v>3573462</v>
      </c>
      <c r="AZ64" s="18">
        <f t="shared" si="98"/>
        <v>0</v>
      </c>
      <c r="BA64" s="18">
        <f t="shared" si="98"/>
        <v>0</v>
      </c>
      <c r="BB64" s="18">
        <f t="shared" si="98"/>
        <v>0</v>
      </c>
      <c r="BC64" s="18">
        <f t="shared" si="98"/>
        <v>1992747</v>
      </c>
      <c r="BD64" s="18">
        <f t="shared" si="98"/>
        <v>0</v>
      </c>
      <c r="BE64" s="18">
        <f t="shared" si="98"/>
        <v>0</v>
      </c>
      <c r="BF64" s="18">
        <f t="shared" si="98"/>
        <v>0</v>
      </c>
      <c r="BG64" s="18">
        <f t="shared" si="98"/>
        <v>0</v>
      </c>
      <c r="BH64" s="18">
        <f t="shared" si="98"/>
        <v>0</v>
      </c>
      <c r="BI64" s="18">
        <f t="shared" si="98"/>
        <v>0</v>
      </c>
      <c r="BJ64" s="18">
        <f t="shared" si="98"/>
        <v>0</v>
      </c>
      <c r="BK64" s="18">
        <f t="shared" si="98"/>
        <v>0</v>
      </c>
      <c r="BL64" s="18">
        <f t="shared" si="98"/>
        <v>0</v>
      </c>
      <c r="BM64" s="18">
        <f t="shared" si="98"/>
        <v>0</v>
      </c>
      <c r="BN64" s="18">
        <f t="shared" si="98"/>
        <v>198630</v>
      </c>
      <c r="BO64" s="18">
        <f t="shared" si="98"/>
        <v>198630</v>
      </c>
      <c r="BP64" s="18">
        <f t="shared" si="98"/>
        <v>0</v>
      </c>
      <c r="BQ64" s="18">
        <f t="shared" si="98"/>
        <v>1794117</v>
      </c>
      <c r="BR64" s="18">
        <f t="shared" si="98"/>
        <v>0</v>
      </c>
      <c r="BS64" s="18">
        <f t="shared" si="98"/>
        <v>0</v>
      </c>
      <c r="BT64" s="18">
        <f t="shared" si="98"/>
        <v>0</v>
      </c>
      <c r="BU64" s="18">
        <f t="shared" ref="BU64:DC64" si="99">SUM(BU65)</f>
        <v>0</v>
      </c>
      <c r="BV64" s="18">
        <f t="shared" si="99"/>
        <v>0</v>
      </c>
      <c r="BW64" s="18">
        <f t="shared" si="99"/>
        <v>0</v>
      </c>
      <c r="BX64" s="18">
        <f t="shared" si="99"/>
        <v>0</v>
      </c>
      <c r="BY64" s="18">
        <f t="shared" si="99"/>
        <v>0</v>
      </c>
      <c r="BZ64" s="18">
        <f t="shared" si="99"/>
        <v>0</v>
      </c>
      <c r="CA64" s="18">
        <f t="shared" si="99"/>
        <v>1507628</v>
      </c>
      <c r="CB64" s="18">
        <f t="shared" si="99"/>
        <v>286489</v>
      </c>
      <c r="CC64" s="18">
        <f t="shared" si="99"/>
        <v>9314240</v>
      </c>
      <c r="CD64" s="18">
        <f t="shared" si="99"/>
        <v>9314240</v>
      </c>
      <c r="CE64" s="18">
        <f t="shared" si="99"/>
        <v>4373447</v>
      </c>
      <c r="CF64" s="18">
        <f t="shared" si="99"/>
        <v>0</v>
      </c>
      <c r="CG64" s="18">
        <f t="shared" si="99"/>
        <v>4373447</v>
      </c>
      <c r="CH64" s="18">
        <f t="shared" si="99"/>
        <v>205293</v>
      </c>
      <c r="CI64" s="18">
        <f t="shared" si="99"/>
        <v>0</v>
      </c>
      <c r="CJ64" s="18">
        <f t="shared" si="99"/>
        <v>205293</v>
      </c>
      <c r="CK64" s="18">
        <f t="shared" si="99"/>
        <v>0</v>
      </c>
      <c r="CL64" s="18">
        <f t="shared" si="99"/>
        <v>0</v>
      </c>
      <c r="CM64" s="18">
        <f t="shared" si="99"/>
        <v>0</v>
      </c>
      <c r="CN64" s="18">
        <f t="shared" si="99"/>
        <v>4735500</v>
      </c>
      <c r="CO64" s="18">
        <f t="shared" si="99"/>
        <v>0</v>
      </c>
      <c r="CP64" s="18">
        <f t="shared" si="99"/>
        <v>4735500</v>
      </c>
      <c r="CQ64" s="18"/>
      <c r="CR64" s="18"/>
      <c r="CS64" s="18"/>
      <c r="CT64" s="18"/>
      <c r="CU64" s="18">
        <f t="shared" si="99"/>
        <v>0</v>
      </c>
      <c r="CV64" s="73"/>
      <c r="CW64" s="73"/>
      <c r="CX64" s="73"/>
      <c r="CY64" s="73"/>
      <c r="CZ64" s="18">
        <f t="shared" si="99"/>
        <v>0</v>
      </c>
      <c r="DA64" s="18">
        <f t="shared" si="99"/>
        <v>0</v>
      </c>
      <c r="DB64" s="18">
        <f t="shared" si="99"/>
        <v>0</v>
      </c>
      <c r="DC64" s="46">
        <f t="shared" si="99"/>
        <v>0</v>
      </c>
      <c r="DD64" s="57"/>
    </row>
    <row r="65" spans="1:108" s="78" customFormat="1" ht="15.6" x14ac:dyDescent="0.3">
      <c r="A65" s="96" t="s">
        <v>1</v>
      </c>
      <c r="B65" s="71" t="s">
        <v>116</v>
      </c>
      <c r="C65" s="72" t="s">
        <v>117</v>
      </c>
      <c r="D65" s="74">
        <f>SUM(E65+CC65+CZ65)</f>
        <v>266966238</v>
      </c>
      <c r="E65" s="74">
        <f>SUM(F65+BC65)</f>
        <v>257651998</v>
      </c>
      <c r="F65" s="74">
        <f>SUM(G65+H65+I65+P65+S65+T65+U65+AD65)</f>
        <v>255659251</v>
      </c>
      <c r="G65" s="74">
        <v>128725845</v>
      </c>
      <c r="H65" s="74">
        <v>7155565</v>
      </c>
      <c r="I65" s="74">
        <f t="shared" si="9"/>
        <v>78558309</v>
      </c>
      <c r="J65" s="75">
        <v>308050</v>
      </c>
      <c r="K65" s="75">
        <v>20000341</v>
      </c>
      <c r="L65" s="75">
        <f>25861377-4623578</f>
        <v>21237799</v>
      </c>
      <c r="M65" s="75">
        <v>8409900</v>
      </c>
      <c r="N65" s="75">
        <v>19723777</v>
      </c>
      <c r="O65" s="75">
        <v>8878442</v>
      </c>
      <c r="P65" s="74">
        <f t="shared" si="10"/>
        <v>0</v>
      </c>
      <c r="Q65" s="75"/>
      <c r="R65" s="75">
        <v>0</v>
      </c>
      <c r="S65" s="75">
        <v>0</v>
      </c>
      <c r="T65" s="75">
        <v>485780</v>
      </c>
      <c r="U65" s="74">
        <f>SUM(V65:AC65)</f>
        <v>20517810</v>
      </c>
      <c r="V65" s="75">
        <v>1041005</v>
      </c>
      <c r="W65" s="75">
        <f>3819817+911486</f>
        <v>4731303</v>
      </c>
      <c r="X65" s="75">
        <f>8038310+3397898</f>
        <v>11436208</v>
      </c>
      <c r="Y65" s="75">
        <f>1302641+654641</f>
        <v>1957282</v>
      </c>
      <c r="Z65" s="75">
        <f>61114+6996</f>
        <v>68110</v>
      </c>
      <c r="AA65" s="75">
        <v>0</v>
      </c>
      <c r="AB65" s="75">
        <v>0</v>
      </c>
      <c r="AC65" s="75">
        <f>953094+330808</f>
        <v>1283902</v>
      </c>
      <c r="AD65" s="74">
        <f>SUM(AE65:AY65)</f>
        <v>20215942</v>
      </c>
      <c r="AE65" s="74">
        <v>0</v>
      </c>
      <c r="AF65" s="74">
        <v>0</v>
      </c>
      <c r="AG65" s="75">
        <f>831813+124412</f>
        <v>956225</v>
      </c>
      <c r="AH65" s="75">
        <v>947827</v>
      </c>
      <c r="AI65" s="75">
        <v>77230</v>
      </c>
      <c r="AJ65" s="75">
        <v>8000</v>
      </c>
      <c r="AK65" s="75">
        <v>0</v>
      </c>
      <c r="AL65" s="75">
        <v>41966</v>
      </c>
      <c r="AM65" s="75">
        <v>39866</v>
      </c>
      <c r="AN65" s="75">
        <v>25032</v>
      </c>
      <c r="AO65" s="75">
        <v>43466</v>
      </c>
      <c r="AP65" s="75">
        <v>9124211</v>
      </c>
      <c r="AQ65" s="75">
        <f>46064+8300</f>
        <v>54364</v>
      </c>
      <c r="AR65" s="75">
        <v>0</v>
      </c>
      <c r="AS65" s="75">
        <v>0</v>
      </c>
      <c r="AT65" s="75">
        <v>0</v>
      </c>
      <c r="AU65" s="75">
        <v>0</v>
      </c>
      <c r="AV65" s="75">
        <v>5322875</v>
      </c>
      <c r="AW65" s="75">
        <v>1418</v>
      </c>
      <c r="AX65" s="75">
        <v>0</v>
      </c>
      <c r="AY65" s="75">
        <f>3455685+117777</f>
        <v>3573462</v>
      </c>
      <c r="AZ65" s="75"/>
      <c r="BA65" s="75"/>
      <c r="BB65" s="75"/>
      <c r="BC65" s="74">
        <f>SUM(BD65+BH65+BL65+BN65+BQ65)</f>
        <v>1992747</v>
      </c>
      <c r="BD65" s="74">
        <f>SUM(BE65:BG65)</f>
        <v>0</v>
      </c>
      <c r="BE65" s="74">
        <v>0</v>
      </c>
      <c r="BF65" s="74">
        <v>0</v>
      </c>
      <c r="BG65" s="74">
        <v>0</v>
      </c>
      <c r="BH65" s="74">
        <f>SUM(BI65:BK65)</f>
        <v>0</v>
      </c>
      <c r="BI65" s="74">
        <v>0</v>
      </c>
      <c r="BJ65" s="74">
        <v>0</v>
      </c>
      <c r="BK65" s="74">
        <v>0</v>
      </c>
      <c r="BL65" s="74">
        <v>0</v>
      </c>
      <c r="BM65" s="75"/>
      <c r="BN65" s="74">
        <f t="shared" si="11"/>
        <v>198630</v>
      </c>
      <c r="BO65" s="75">
        <v>198630</v>
      </c>
      <c r="BP65" s="74"/>
      <c r="BQ65" s="74">
        <f>SUM(BR65:CB65)</f>
        <v>1794117</v>
      </c>
      <c r="BR65" s="74">
        <v>0</v>
      </c>
      <c r="BS65" s="74">
        <v>0</v>
      </c>
      <c r="BT65" s="74">
        <v>0</v>
      </c>
      <c r="BU65" s="74">
        <v>0</v>
      </c>
      <c r="BV65" s="74">
        <v>0</v>
      </c>
      <c r="BW65" s="74">
        <v>0</v>
      </c>
      <c r="BX65" s="74">
        <v>0</v>
      </c>
      <c r="BY65" s="74">
        <v>0</v>
      </c>
      <c r="BZ65" s="74">
        <v>0</v>
      </c>
      <c r="CA65" s="75">
        <v>1507628</v>
      </c>
      <c r="CB65" s="75">
        <v>286489</v>
      </c>
      <c r="CC65" s="74">
        <f>SUM(CD65+CU65)</f>
        <v>9314240</v>
      </c>
      <c r="CD65" s="74">
        <f>SUM(CE65+CH65+CN65)</f>
        <v>9314240</v>
      </c>
      <c r="CE65" s="74">
        <f t="shared" si="12"/>
        <v>4373447</v>
      </c>
      <c r="CF65" s="74">
        <v>0</v>
      </c>
      <c r="CG65" s="75">
        <f>4836225-462778</f>
        <v>4373447</v>
      </c>
      <c r="CH65" s="74">
        <f>SUM(CI65:CM65)</f>
        <v>205293</v>
      </c>
      <c r="CI65" s="74">
        <v>0</v>
      </c>
      <c r="CJ65" s="74">
        <f>0+205293</f>
        <v>205293</v>
      </c>
      <c r="CK65" s="74"/>
      <c r="CL65" s="74">
        <v>0</v>
      </c>
      <c r="CM65" s="74">
        <v>0</v>
      </c>
      <c r="CN65" s="74">
        <f>SUM(CO65:CQ65)</f>
        <v>4735500</v>
      </c>
      <c r="CO65" s="74"/>
      <c r="CP65" s="75">
        <v>4735500</v>
      </c>
      <c r="CQ65" s="74"/>
      <c r="CR65" s="74"/>
      <c r="CS65" s="74"/>
      <c r="CT65" s="74"/>
      <c r="CU65" s="74">
        <v>0</v>
      </c>
      <c r="CV65" s="74"/>
      <c r="CW65" s="74"/>
      <c r="CX65" s="74"/>
      <c r="CY65" s="74"/>
      <c r="CZ65" s="74">
        <f t="shared" si="13"/>
        <v>0</v>
      </c>
      <c r="DA65" s="74">
        <f t="shared" si="14"/>
        <v>0</v>
      </c>
      <c r="DB65" s="74">
        <v>0</v>
      </c>
      <c r="DC65" s="77">
        <v>0</v>
      </c>
    </row>
    <row r="66" spans="1:108" s="58" customFormat="1" ht="15.6" x14ac:dyDescent="0.3">
      <c r="A66" s="93" t="s">
        <v>118</v>
      </c>
      <c r="B66" s="16" t="s">
        <v>1</v>
      </c>
      <c r="C66" s="17" t="s">
        <v>119</v>
      </c>
      <c r="D66" s="18">
        <f t="shared" ref="D66:AJ66" si="100">SUM(D67)</f>
        <v>48531521</v>
      </c>
      <c r="E66" s="18">
        <f t="shared" si="100"/>
        <v>45891681</v>
      </c>
      <c r="F66" s="18">
        <f t="shared" si="100"/>
        <v>41382709</v>
      </c>
      <c r="G66" s="18">
        <f t="shared" si="100"/>
        <v>30171639</v>
      </c>
      <c r="H66" s="18">
        <f t="shared" si="100"/>
        <v>254092</v>
      </c>
      <c r="I66" s="18">
        <f t="shared" si="100"/>
        <v>8227408</v>
      </c>
      <c r="J66" s="18">
        <f t="shared" si="100"/>
        <v>43530</v>
      </c>
      <c r="K66" s="18">
        <f t="shared" si="100"/>
        <v>1029067</v>
      </c>
      <c r="L66" s="18">
        <f t="shared" si="100"/>
        <v>2764241</v>
      </c>
      <c r="M66" s="18">
        <f t="shared" si="100"/>
        <v>0</v>
      </c>
      <c r="N66" s="18">
        <f t="shared" si="100"/>
        <v>3624592</v>
      </c>
      <c r="O66" s="18">
        <f t="shared" si="100"/>
        <v>765978</v>
      </c>
      <c r="P66" s="18">
        <f t="shared" si="100"/>
        <v>145817</v>
      </c>
      <c r="Q66" s="18">
        <f t="shared" si="100"/>
        <v>54776</v>
      </c>
      <c r="R66" s="18">
        <f t="shared" si="100"/>
        <v>91041</v>
      </c>
      <c r="S66" s="18">
        <f t="shared" si="100"/>
        <v>0</v>
      </c>
      <c r="T66" s="18">
        <f t="shared" si="100"/>
        <v>65431</v>
      </c>
      <c r="U66" s="18">
        <f t="shared" si="100"/>
        <v>10500</v>
      </c>
      <c r="V66" s="18">
        <f t="shared" si="100"/>
        <v>10500</v>
      </c>
      <c r="W66" s="18">
        <f t="shared" si="100"/>
        <v>0</v>
      </c>
      <c r="X66" s="18">
        <f t="shared" si="100"/>
        <v>0</v>
      </c>
      <c r="Y66" s="18">
        <f t="shared" si="100"/>
        <v>0</v>
      </c>
      <c r="Z66" s="18">
        <f t="shared" si="100"/>
        <v>0</v>
      </c>
      <c r="AA66" s="18">
        <f t="shared" si="100"/>
        <v>0</v>
      </c>
      <c r="AB66" s="18">
        <f t="shared" si="100"/>
        <v>0</v>
      </c>
      <c r="AC66" s="18">
        <f t="shared" si="100"/>
        <v>0</v>
      </c>
      <c r="AD66" s="18">
        <f t="shared" si="100"/>
        <v>2507822</v>
      </c>
      <c r="AE66" s="18">
        <f t="shared" si="100"/>
        <v>0</v>
      </c>
      <c r="AF66" s="18">
        <f t="shared" si="100"/>
        <v>0</v>
      </c>
      <c r="AG66" s="18">
        <f t="shared" si="100"/>
        <v>25000</v>
      </c>
      <c r="AH66" s="18">
        <f t="shared" si="100"/>
        <v>300000</v>
      </c>
      <c r="AI66" s="18">
        <f t="shared" si="100"/>
        <v>0</v>
      </c>
      <c r="AJ66" s="18">
        <f t="shared" si="100"/>
        <v>0</v>
      </c>
      <c r="AK66" s="18">
        <f t="shared" ref="AK66:DC66" si="101">SUM(AK67)</f>
        <v>0</v>
      </c>
      <c r="AL66" s="18">
        <f t="shared" si="101"/>
        <v>0</v>
      </c>
      <c r="AM66" s="18">
        <f t="shared" si="101"/>
        <v>38000</v>
      </c>
      <c r="AN66" s="18">
        <f t="shared" si="101"/>
        <v>29682</v>
      </c>
      <c r="AO66" s="18">
        <f t="shared" si="101"/>
        <v>0</v>
      </c>
      <c r="AP66" s="18">
        <f t="shared" si="101"/>
        <v>107000</v>
      </c>
      <c r="AQ66" s="18">
        <f t="shared" si="101"/>
        <v>0</v>
      </c>
      <c r="AR66" s="18">
        <f t="shared" si="101"/>
        <v>0</v>
      </c>
      <c r="AS66" s="18"/>
      <c r="AT66" s="18"/>
      <c r="AU66" s="18">
        <f t="shared" si="101"/>
        <v>0</v>
      </c>
      <c r="AV66" s="18">
        <f t="shared" si="101"/>
        <v>2000000</v>
      </c>
      <c r="AW66" s="18">
        <f t="shared" si="101"/>
        <v>0</v>
      </c>
      <c r="AX66" s="18"/>
      <c r="AY66" s="18">
        <f t="shared" si="101"/>
        <v>8140</v>
      </c>
      <c r="AZ66" s="18">
        <f t="shared" si="101"/>
        <v>0</v>
      </c>
      <c r="BA66" s="18">
        <f t="shared" si="101"/>
        <v>0</v>
      </c>
      <c r="BB66" s="18">
        <f t="shared" si="101"/>
        <v>0</v>
      </c>
      <c r="BC66" s="18">
        <f t="shared" si="101"/>
        <v>4508972</v>
      </c>
      <c r="BD66" s="18">
        <f t="shared" si="101"/>
        <v>0</v>
      </c>
      <c r="BE66" s="18">
        <f t="shared" si="101"/>
        <v>0</v>
      </c>
      <c r="BF66" s="18">
        <f t="shared" si="101"/>
        <v>0</v>
      </c>
      <c r="BG66" s="18">
        <f t="shared" si="101"/>
        <v>0</v>
      </c>
      <c r="BH66" s="18">
        <f t="shared" si="101"/>
        <v>0</v>
      </c>
      <c r="BI66" s="18">
        <f t="shared" si="101"/>
        <v>0</v>
      </c>
      <c r="BJ66" s="18">
        <f t="shared" si="101"/>
        <v>0</v>
      </c>
      <c r="BK66" s="18">
        <f t="shared" si="101"/>
        <v>0</v>
      </c>
      <c r="BL66" s="18">
        <f t="shared" si="101"/>
        <v>0</v>
      </c>
      <c r="BM66" s="18">
        <f t="shared" si="101"/>
        <v>0</v>
      </c>
      <c r="BN66" s="18">
        <f t="shared" si="101"/>
        <v>0</v>
      </c>
      <c r="BO66" s="18">
        <f t="shared" si="101"/>
        <v>0</v>
      </c>
      <c r="BP66" s="18">
        <f t="shared" si="101"/>
        <v>0</v>
      </c>
      <c r="BQ66" s="18">
        <f t="shared" si="101"/>
        <v>4508972</v>
      </c>
      <c r="BR66" s="18">
        <f t="shared" si="101"/>
        <v>0</v>
      </c>
      <c r="BS66" s="18">
        <f t="shared" si="101"/>
        <v>0</v>
      </c>
      <c r="BT66" s="18">
        <f t="shared" si="101"/>
        <v>0</v>
      </c>
      <c r="BU66" s="18">
        <f t="shared" si="101"/>
        <v>0</v>
      </c>
      <c r="BV66" s="18">
        <f t="shared" si="101"/>
        <v>0</v>
      </c>
      <c r="BW66" s="18">
        <f t="shared" si="101"/>
        <v>0</v>
      </c>
      <c r="BX66" s="18">
        <f t="shared" si="101"/>
        <v>0</v>
      </c>
      <c r="BY66" s="18">
        <f t="shared" si="101"/>
        <v>0</v>
      </c>
      <c r="BZ66" s="18">
        <f t="shared" si="101"/>
        <v>0</v>
      </c>
      <c r="CA66" s="18">
        <f t="shared" si="101"/>
        <v>4000000</v>
      </c>
      <c r="CB66" s="18">
        <f t="shared" si="101"/>
        <v>508972</v>
      </c>
      <c r="CC66" s="18">
        <f t="shared" si="101"/>
        <v>2639840</v>
      </c>
      <c r="CD66" s="18">
        <f t="shared" si="101"/>
        <v>2639840</v>
      </c>
      <c r="CE66" s="18">
        <f t="shared" si="101"/>
        <v>1564679</v>
      </c>
      <c r="CF66" s="18">
        <f t="shared" si="101"/>
        <v>0</v>
      </c>
      <c r="CG66" s="18">
        <f t="shared" si="101"/>
        <v>1564679</v>
      </c>
      <c r="CH66" s="18">
        <f t="shared" si="101"/>
        <v>0</v>
      </c>
      <c r="CI66" s="18">
        <f t="shared" si="101"/>
        <v>0</v>
      </c>
      <c r="CJ66" s="18">
        <f t="shared" si="101"/>
        <v>0</v>
      </c>
      <c r="CK66" s="18">
        <f t="shared" si="101"/>
        <v>0</v>
      </c>
      <c r="CL66" s="18">
        <f t="shared" si="101"/>
        <v>0</v>
      </c>
      <c r="CM66" s="18">
        <f t="shared" si="101"/>
        <v>0</v>
      </c>
      <c r="CN66" s="18">
        <f t="shared" si="101"/>
        <v>1075161</v>
      </c>
      <c r="CO66" s="18">
        <f t="shared" si="101"/>
        <v>0</v>
      </c>
      <c r="CP66" s="18">
        <f t="shared" si="101"/>
        <v>1075161</v>
      </c>
      <c r="CQ66" s="18"/>
      <c r="CR66" s="18"/>
      <c r="CS66" s="18"/>
      <c r="CT66" s="18"/>
      <c r="CU66" s="18">
        <f t="shared" si="101"/>
        <v>0</v>
      </c>
      <c r="CV66" s="73"/>
      <c r="CW66" s="73"/>
      <c r="CX66" s="73"/>
      <c r="CY66" s="73"/>
      <c r="CZ66" s="18">
        <f t="shared" si="101"/>
        <v>0</v>
      </c>
      <c r="DA66" s="18">
        <f t="shared" si="101"/>
        <v>0</v>
      </c>
      <c r="DB66" s="18">
        <f t="shared" si="101"/>
        <v>0</v>
      </c>
      <c r="DC66" s="46">
        <f t="shared" si="101"/>
        <v>0</v>
      </c>
      <c r="DD66" s="57"/>
    </row>
    <row r="67" spans="1:108" ht="15.6" x14ac:dyDescent="0.3">
      <c r="A67" s="94" t="s">
        <v>1</v>
      </c>
      <c r="B67" s="21" t="s">
        <v>116</v>
      </c>
      <c r="C67" s="22" t="s">
        <v>119</v>
      </c>
      <c r="D67" s="18">
        <f>SUM(E67+CC67+CZ67)</f>
        <v>48531521</v>
      </c>
      <c r="E67" s="19">
        <f>SUM(F67+BC67)</f>
        <v>45891681</v>
      </c>
      <c r="F67" s="19">
        <f>SUM(G67+H67+I67+P67+S67+T67+U67+AD67)</f>
        <v>41382709</v>
      </c>
      <c r="G67" s="19">
        <v>30171639</v>
      </c>
      <c r="H67" s="19">
        <v>254092</v>
      </c>
      <c r="I67" s="19">
        <f t="shared" si="9"/>
        <v>8227408</v>
      </c>
      <c r="J67" s="23">
        <v>43530</v>
      </c>
      <c r="K67" s="23">
        <v>1029067</v>
      </c>
      <c r="L67" s="23">
        <f>3366030-601789</f>
        <v>2764241</v>
      </c>
      <c r="M67" s="23">
        <v>0</v>
      </c>
      <c r="N67" s="23">
        <v>3624592</v>
      </c>
      <c r="O67" s="23">
        <v>765978</v>
      </c>
      <c r="P67" s="19">
        <f t="shared" si="10"/>
        <v>145817</v>
      </c>
      <c r="Q67" s="23">
        <v>54776</v>
      </c>
      <c r="R67" s="23">
        <v>91041</v>
      </c>
      <c r="S67" s="23">
        <v>0</v>
      </c>
      <c r="T67" s="23">
        <v>65431</v>
      </c>
      <c r="U67" s="19">
        <f>SUM(V67:AC67)</f>
        <v>10500</v>
      </c>
      <c r="V67" s="23">
        <v>10500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f>SUM(AE67:AY67)</f>
        <v>2507822</v>
      </c>
      <c r="AE67" s="19">
        <v>0</v>
      </c>
      <c r="AF67" s="19">
        <v>0</v>
      </c>
      <c r="AG67" s="23">
        <v>25000</v>
      </c>
      <c r="AH67" s="23">
        <v>300000</v>
      </c>
      <c r="AI67" s="23">
        <v>0</v>
      </c>
      <c r="AJ67" s="23">
        <v>0</v>
      </c>
      <c r="AK67" s="23">
        <v>0</v>
      </c>
      <c r="AL67" s="23">
        <v>0</v>
      </c>
      <c r="AM67" s="23">
        <v>38000</v>
      </c>
      <c r="AN67" s="23">
        <v>29682</v>
      </c>
      <c r="AO67" s="23">
        <v>0</v>
      </c>
      <c r="AP67" s="23">
        <v>107000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2000000</v>
      </c>
      <c r="AW67" s="23">
        <v>0</v>
      </c>
      <c r="AX67" s="23">
        <v>0</v>
      </c>
      <c r="AY67" s="23">
        <v>8140</v>
      </c>
      <c r="AZ67" s="23"/>
      <c r="BA67" s="23"/>
      <c r="BB67" s="23"/>
      <c r="BC67" s="19">
        <f>SUM(BD67+BH67+BL67+BN67+BQ67)</f>
        <v>4508972</v>
      </c>
      <c r="BD67" s="19">
        <f>SUM(BE67:BG67)</f>
        <v>0</v>
      </c>
      <c r="BE67" s="19">
        <v>0</v>
      </c>
      <c r="BF67" s="19">
        <v>0</v>
      </c>
      <c r="BG67" s="19">
        <v>0</v>
      </c>
      <c r="BH67" s="19">
        <f>SUM(BI67:BK67)</f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f t="shared" si="11"/>
        <v>0</v>
      </c>
      <c r="BO67" s="19">
        <v>0</v>
      </c>
      <c r="BP67" s="19">
        <v>0</v>
      </c>
      <c r="BQ67" s="19">
        <f>SUM(BR67:CB67)</f>
        <v>4508972</v>
      </c>
      <c r="BR67" s="19">
        <v>0</v>
      </c>
      <c r="BS67" s="19">
        <v>0</v>
      </c>
      <c r="BT67" s="19">
        <v>0</v>
      </c>
      <c r="BU67" s="19">
        <v>0</v>
      </c>
      <c r="BV67" s="19">
        <v>0</v>
      </c>
      <c r="BW67" s="19">
        <v>0</v>
      </c>
      <c r="BX67" s="19">
        <v>0</v>
      </c>
      <c r="BY67" s="19">
        <v>0</v>
      </c>
      <c r="BZ67" s="19">
        <v>0</v>
      </c>
      <c r="CA67" s="23">
        <v>4000000</v>
      </c>
      <c r="CB67" s="23">
        <v>508972</v>
      </c>
      <c r="CC67" s="19">
        <f>SUM(CD67+CU67)</f>
        <v>2639840</v>
      </c>
      <c r="CD67" s="19">
        <f>SUM(CE67+CH67+CN67)</f>
        <v>2639840</v>
      </c>
      <c r="CE67" s="19">
        <f t="shared" si="12"/>
        <v>1564679</v>
      </c>
      <c r="CF67" s="19">
        <v>0</v>
      </c>
      <c r="CG67" s="23">
        <v>1564679</v>
      </c>
      <c r="CH67" s="19">
        <f>SUM(CI67:CM67)</f>
        <v>0</v>
      </c>
      <c r="CI67" s="19">
        <v>0</v>
      </c>
      <c r="CJ67" s="19">
        <v>0</v>
      </c>
      <c r="CK67" s="19">
        <v>0</v>
      </c>
      <c r="CL67" s="19">
        <v>0</v>
      </c>
      <c r="CM67" s="19">
        <v>0</v>
      </c>
      <c r="CN67" s="19">
        <f>SUM(CO67:CQ67)</f>
        <v>1075161</v>
      </c>
      <c r="CO67" s="19">
        <v>0</v>
      </c>
      <c r="CP67" s="23">
        <v>1075161</v>
      </c>
      <c r="CQ67" s="19"/>
      <c r="CR67" s="19"/>
      <c r="CS67" s="19"/>
      <c r="CT67" s="19"/>
      <c r="CU67" s="19">
        <v>0</v>
      </c>
      <c r="CV67" s="74"/>
      <c r="CW67" s="74"/>
      <c r="CX67" s="74"/>
      <c r="CY67" s="74"/>
      <c r="CZ67" s="19">
        <f t="shared" si="13"/>
        <v>0</v>
      </c>
      <c r="DA67" s="19">
        <f t="shared" si="14"/>
        <v>0</v>
      </c>
      <c r="DB67" s="19">
        <v>0</v>
      </c>
      <c r="DC67" s="20">
        <v>0</v>
      </c>
      <c r="DD67" s="52"/>
    </row>
    <row r="68" spans="1:108" s="58" customFormat="1" ht="46.8" x14ac:dyDescent="0.3">
      <c r="A68" s="95" t="s">
        <v>120</v>
      </c>
      <c r="B68" s="25" t="s">
        <v>1</v>
      </c>
      <c r="C68" s="26" t="s">
        <v>121</v>
      </c>
      <c r="D68" s="27">
        <f>SUM(D69+D71+D74+D76+D78+D80+D84+D82)</f>
        <v>728984025</v>
      </c>
      <c r="E68" s="27">
        <f t="shared" ref="E68:BR68" si="102">SUM(E69+E71+E74+E76+E78+E80+E84+E82)</f>
        <v>721928904</v>
      </c>
      <c r="F68" s="27">
        <f t="shared" si="102"/>
        <v>719162731</v>
      </c>
      <c r="G68" s="27">
        <f t="shared" si="102"/>
        <v>509387106</v>
      </c>
      <c r="H68" s="27">
        <f t="shared" si="102"/>
        <v>21417964</v>
      </c>
      <c r="I68" s="27">
        <f t="shared" si="102"/>
        <v>70865194</v>
      </c>
      <c r="J68" s="27">
        <f t="shared" si="102"/>
        <v>1077476</v>
      </c>
      <c r="K68" s="27">
        <f t="shared" si="102"/>
        <v>13707725</v>
      </c>
      <c r="L68" s="27">
        <f t="shared" si="102"/>
        <v>19822093</v>
      </c>
      <c r="M68" s="27">
        <f t="shared" si="102"/>
        <v>316905</v>
      </c>
      <c r="N68" s="27">
        <f t="shared" si="102"/>
        <v>31159030</v>
      </c>
      <c r="O68" s="27">
        <f t="shared" si="102"/>
        <v>4781965</v>
      </c>
      <c r="P68" s="27">
        <f t="shared" si="102"/>
        <v>6636185</v>
      </c>
      <c r="Q68" s="27">
        <f t="shared" si="102"/>
        <v>71095</v>
      </c>
      <c r="R68" s="27">
        <f t="shared" si="102"/>
        <v>6565090</v>
      </c>
      <c r="S68" s="27">
        <f t="shared" si="102"/>
        <v>45833</v>
      </c>
      <c r="T68" s="27">
        <f t="shared" si="102"/>
        <v>5977854</v>
      </c>
      <c r="U68" s="27">
        <f t="shared" si="102"/>
        <v>49369894</v>
      </c>
      <c r="V68" s="27">
        <f t="shared" si="102"/>
        <v>1763269</v>
      </c>
      <c r="W68" s="27">
        <f t="shared" si="102"/>
        <v>8168800</v>
      </c>
      <c r="X68" s="27">
        <f t="shared" si="102"/>
        <v>29023035</v>
      </c>
      <c r="Y68" s="27">
        <f t="shared" si="102"/>
        <v>6391388</v>
      </c>
      <c r="Z68" s="27">
        <f t="shared" si="102"/>
        <v>687302</v>
      </c>
      <c r="AA68" s="27">
        <f t="shared" si="102"/>
        <v>53224</v>
      </c>
      <c r="AB68" s="27">
        <f t="shared" si="102"/>
        <v>0</v>
      </c>
      <c r="AC68" s="27">
        <f t="shared" si="102"/>
        <v>3282876</v>
      </c>
      <c r="AD68" s="27">
        <f t="shared" si="102"/>
        <v>55462701</v>
      </c>
      <c r="AE68" s="27">
        <f t="shared" si="102"/>
        <v>0</v>
      </c>
      <c r="AF68" s="27">
        <f t="shared" si="102"/>
        <v>0</v>
      </c>
      <c r="AG68" s="27">
        <f t="shared" si="102"/>
        <v>519617</v>
      </c>
      <c r="AH68" s="27">
        <f t="shared" si="102"/>
        <v>944319</v>
      </c>
      <c r="AI68" s="27">
        <f t="shared" si="102"/>
        <v>0</v>
      </c>
      <c r="AJ68" s="27">
        <f t="shared" si="102"/>
        <v>6626</v>
      </c>
      <c r="AK68" s="27">
        <f t="shared" si="102"/>
        <v>116899</v>
      </c>
      <c r="AL68" s="27">
        <f t="shared" si="102"/>
        <v>28554</v>
      </c>
      <c r="AM68" s="27">
        <f t="shared" si="102"/>
        <v>1515965</v>
      </c>
      <c r="AN68" s="27">
        <f t="shared" si="102"/>
        <v>127361</v>
      </c>
      <c r="AO68" s="27">
        <f t="shared" si="102"/>
        <v>6072</v>
      </c>
      <c r="AP68" s="27">
        <f t="shared" si="102"/>
        <v>313768</v>
      </c>
      <c r="AQ68" s="27">
        <f t="shared" si="102"/>
        <v>2600929</v>
      </c>
      <c r="AR68" s="27">
        <f t="shared" si="102"/>
        <v>370800</v>
      </c>
      <c r="AS68" s="27"/>
      <c r="AT68" s="27"/>
      <c r="AU68" s="27">
        <f t="shared" si="102"/>
        <v>0</v>
      </c>
      <c r="AV68" s="27">
        <f t="shared" si="102"/>
        <v>39563440</v>
      </c>
      <c r="AW68" s="27">
        <f t="shared" si="102"/>
        <v>544927</v>
      </c>
      <c r="AX68" s="27">
        <f t="shared" si="102"/>
        <v>1017463</v>
      </c>
      <c r="AY68" s="27">
        <f t="shared" si="102"/>
        <v>7785961</v>
      </c>
      <c r="AZ68" s="27">
        <f t="shared" si="102"/>
        <v>0</v>
      </c>
      <c r="BA68" s="27">
        <f t="shared" si="102"/>
        <v>0</v>
      </c>
      <c r="BB68" s="27">
        <f t="shared" si="102"/>
        <v>0</v>
      </c>
      <c r="BC68" s="27">
        <f t="shared" si="102"/>
        <v>2766173</v>
      </c>
      <c r="BD68" s="27">
        <f t="shared" si="102"/>
        <v>0</v>
      </c>
      <c r="BE68" s="27">
        <f t="shared" si="102"/>
        <v>0</v>
      </c>
      <c r="BF68" s="27">
        <f t="shared" si="102"/>
        <v>0</v>
      </c>
      <c r="BG68" s="27">
        <f t="shared" si="102"/>
        <v>0</v>
      </c>
      <c r="BH68" s="27">
        <f t="shared" si="102"/>
        <v>0</v>
      </c>
      <c r="BI68" s="27">
        <f t="shared" si="102"/>
        <v>0</v>
      </c>
      <c r="BJ68" s="27">
        <f t="shared" ref="BJ68" si="103">SUM(BJ69+BJ71+BJ74+BJ76+BJ78+BJ80+BJ84+BJ82)</f>
        <v>0</v>
      </c>
      <c r="BK68" s="27">
        <f t="shared" si="102"/>
        <v>0</v>
      </c>
      <c r="BL68" s="27">
        <f t="shared" si="102"/>
        <v>0</v>
      </c>
      <c r="BM68" s="27">
        <f t="shared" ref="BM68" si="104">SUM(BM69+BM71+BM74+BM76+BM78+BM80+BM84+BM82)</f>
        <v>0</v>
      </c>
      <c r="BN68" s="27">
        <f t="shared" si="102"/>
        <v>765520</v>
      </c>
      <c r="BO68" s="27">
        <f t="shared" si="102"/>
        <v>765520</v>
      </c>
      <c r="BP68" s="27">
        <f t="shared" ref="BP68" si="105">SUM(BP69+BP71+BP74+BP76+BP78+BP80+BP84+BP82)</f>
        <v>0</v>
      </c>
      <c r="BQ68" s="27">
        <f t="shared" si="102"/>
        <v>2000653</v>
      </c>
      <c r="BR68" s="27">
        <f t="shared" si="102"/>
        <v>0</v>
      </c>
      <c r="BS68" s="27">
        <f t="shared" ref="BS68:DC68" si="106">SUM(BS69+BS71+BS74+BS76+BS78+BS80+BS84+BS82)</f>
        <v>0</v>
      </c>
      <c r="BT68" s="27">
        <f t="shared" si="106"/>
        <v>2678</v>
      </c>
      <c r="BU68" s="27">
        <f t="shared" si="106"/>
        <v>0</v>
      </c>
      <c r="BV68" s="27">
        <f t="shared" si="106"/>
        <v>0</v>
      </c>
      <c r="BW68" s="27">
        <f t="shared" si="106"/>
        <v>0</v>
      </c>
      <c r="BX68" s="27">
        <f t="shared" si="106"/>
        <v>0</v>
      </c>
      <c r="BY68" s="27">
        <f t="shared" si="106"/>
        <v>0</v>
      </c>
      <c r="BZ68" s="27">
        <f t="shared" si="106"/>
        <v>0</v>
      </c>
      <c r="CA68" s="27">
        <f t="shared" si="106"/>
        <v>1483540</v>
      </c>
      <c r="CB68" s="27">
        <f t="shared" si="106"/>
        <v>514435</v>
      </c>
      <c r="CC68" s="27">
        <f t="shared" si="106"/>
        <v>7055121</v>
      </c>
      <c r="CD68" s="27">
        <f t="shared" si="106"/>
        <v>2237245</v>
      </c>
      <c r="CE68" s="27">
        <f t="shared" si="106"/>
        <v>2237245</v>
      </c>
      <c r="CF68" s="27">
        <f t="shared" si="106"/>
        <v>0</v>
      </c>
      <c r="CG68" s="27">
        <f t="shared" si="106"/>
        <v>2237245</v>
      </c>
      <c r="CH68" s="27">
        <f t="shared" si="106"/>
        <v>0</v>
      </c>
      <c r="CI68" s="27">
        <f t="shared" si="106"/>
        <v>0</v>
      </c>
      <c r="CJ68" s="27">
        <f t="shared" ref="CJ68:CK68" si="107">SUM(CJ69+CJ71+CJ74+CJ76+CJ78+CJ80+CJ84+CJ82)</f>
        <v>0</v>
      </c>
      <c r="CK68" s="27">
        <f t="shared" si="107"/>
        <v>0</v>
      </c>
      <c r="CL68" s="27">
        <f t="shared" si="106"/>
        <v>0</v>
      </c>
      <c r="CM68" s="27">
        <f t="shared" ref="CM68" si="108">SUM(CM69+CM71+CM74+CM76+CM78+CM80+CM84+CM82)</f>
        <v>0</v>
      </c>
      <c r="CN68" s="27">
        <f t="shared" si="106"/>
        <v>0</v>
      </c>
      <c r="CO68" s="27">
        <f t="shared" ref="CO68" si="109">SUM(CO69+CO71+CO74+CO76+CO78+CO80+CO84+CO82)</f>
        <v>0</v>
      </c>
      <c r="CP68" s="27">
        <f t="shared" si="106"/>
        <v>0</v>
      </c>
      <c r="CQ68" s="27"/>
      <c r="CR68" s="27"/>
      <c r="CS68" s="27"/>
      <c r="CT68" s="27"/>
      <c r="CU68" s="27">
        <f t="shared" si="106"/>
        <v>4817876</v>
      </c>
      <c r="CV68" s="27">
        <f t="shared" si="106"/>
        <v>0</v>
      </c>
      <c r="CW68" s="27">
        <f t="shared" si="106"/>
        <v>0</v>
      </c>
      <c r="CX68" s="27">
        <f t="shared" si="106"/>
        <v>0</v>
      </c>
      <c r="CY68" s="27">
        <f t="shared" ref="CY68" si="110">SUM(CY69+CY71+CY74+CY76+CY78+CY80+CY84+CY82)</f>
        <v>0</v>
      </c>
      <c r="CZ68" s="27">
        <f t="shared" si="106"/>
        <v>0</v>
      </c>
      <c r="DA68" s="27">
        <f t="shared" si="106"/>
        <v>0</v>
      </c>
      <c r="DB68" s="27">
        <f t="shared" si="106"/>
        <v>0</v>
      </c>
      <c r="DC68" s="60">
        <f t="shared" si="106"/>
        <v>0</v>
      </c>
      <c r="DD68" s="57"/>
    </row>
    <row r="69" spans="1:108" s="58" customFormat="1" ht="15.6" x14ac:dyDescent="0.3">
      <c r="A69" s="93" t="s">
        <v>122</v>
      </c>
      <c r="B69" s="16" t="s">
        <v>1</v>
      </c>
      <c r="C69" s="17" t="s">
        <v>123</v>
      </c>
      <c r="D69" s="18">
        <f t="shared" ref="D69:BT69" si="111">SUM(D70)</f>
        <v>316309125</v>
      </c>
      <c r="E69" s="18">
        <f t="shared" si="111"/>
        <v>310778141</v>
      </c>
      <c r="F69" s="18">
        <f t="shared" si="111"/>
        <v>310031332</v>
      </c>
      <c r="G69" s="18">
        <f t="shared" si="111"/>
        <v>222297483</v>
      </c>
      <c r="H69" s="18">
        <f t="shared" si="111"/>
        <v>13107444</v>
      </c>
      <c r="I69" s="18">
        <f t="shared" si="111"/>
        <v>33099988</v>
      </c>
      <c r="J69" s="18">
        <f t="shared" si="111"/>
        <v>346230</v>
      </c>
      <c r="K69" s="18">
        <f t="shared" si="111"/>
        <v>7294740</v>
      </c>
      <c r="L69" s="18">
        <f t="shared" si="111"/>
        <v>4845480</v>
      </c>
      <c r="M69" s="18">
        <f t="shared" si="111"/>
        <v>0</v>
      </c>
      <c r="N69" s="18">
        <f t="shared" si="111"/>
        <v>18432721</v>
      </c>
      <c r="O69" s="18">
        <f t="shared" si="111"/>
        <v>2180817</v>
      </c>
      <c r="P69" s="18">
        <f t="shared" si="111"/>
        <v>34260</v>
      </c>
      <c r="Q69" s="18">
        <f t="shared" si="111"/>
        <v>34260</v>
      </c>
      <c r="R69" s="18">
        <f t="shared" si="111"/>
        <v>0</v>
      </c>
      <c r="S69" s="18">
        <f t="shared" si="111"/>
        <v>45528</v>
      </c>
      <c r="T69" s="18">
        <f t="shared" si="111"/>
        <v>4154836</v>
      </c>
      <c r="U69" s="18">
        <f t="shared" si="111"/>
        <v>16681202</v>
      </c>
      <c r="V69" s="18">
        <f t="shared" si="111"/>
        <v>518867</v>
      </c>
      <c r="W69" s="18">
        <f t="shared" si="111"/>
        <v>5652672</v>
      </c>
      <c r="X69" s="18">
        <f t="shared" si="111"/>
        <v>8324785</v>
      </c>
      <c r="Y69" s="18">
        <f t="shared" si="111"/>
        <v>1127515</v>
      </c>
      <c r="Z69" s="18">
        <f t="shared" si="111"/>
        <v>337341</v>
      </c>
      <c r="AA69" s="18">
        <f t="shared" si="111"/>
        <v>37350</v>
      </c>
      <c r="AB69" s="18">
        <f t="shared" si="111"/>
        <v>0</v>
      </c>
      <c r="AC69" s="18">
        <f t="shared" si="111"/>
        <v>682672</v>
      </c>
      <c r="AD69" s="18">
        <f t="shared" si="111"/>
        <v>20610591</v>
      </c>
      <c r="AE69" s="18">
        <f t="shared" si="111"/>
        <v>0</v>
      </c>
      <c r="AF69" s="18">
        <f t="shared" si="111"/>
        <v>0</v>
      </c>
      <c r="AG69" s="18">
        <f t="shared" si="111"/>
        <v>389367</v>
      </c>
      <c r="AH69" s="18">
        <f t="shared" si="111"/>
        <v>93364</v>
      </c>
      <c r="AI69" s="18">
        <f t="shared" si="111"/>
        <v>0</v>
      </c>
      <c r="AJ69" s="18">
        <f t="shared" si="111"/>
        <v>0</v>
      </c>
      <c r="AK69" s="18">
        <f t="shared" si="111"/>
        <v>94440</v>
      </c>
      <c r="AL69" s="18">
        <f t="shared" si="111"/>
        <v>18023</v>
      </c>
      <c r="AM69" s="18">
        <f t="shared" si="111"/>
        <v>1352722</v>
      </c>
      <c r="AN69" s="18">
        <f t="shared" si="111"/>
        <v>18042</v>
      </c>
      <c r="AO69" s="18">
        <f t="shared" si="111"/>
        <v>4292</v>
      </c>
      <c r="AP69" s="18">
        <f t="shared" si="111"/>
        <v>203358</v>
      </c>
      <c r="AQ69" s="18">
        <f t="shared" si="111"/>
        <v>1875086</v>
      </c>
      <c r="AR69" s="18">
        <f t="shared" si="111"/>
        <v>108000</v>
      </c>
      <c r="AS69" s="18"/>
      <c r="AT69" s="18"/>
      <c r="AU69" s="18">
        <f t="shared" si="111"/>
        <v>0</v>
      </c>
      <c r="AV69" s="18">
        <f t="shared" si="111"/>
        <v>9610780</v>
      </c>
      <c r="AW69" s="18">
        <f t="shared" si="111"/>
        <v>104927</v>
      </c>
      <c r="AX69" s="18">
        <f t="shared" si="111"/>
        <v>32551</v>
      </c>
      <c r="AY69" s="18">
        <f t="shared" si="111"/>
        <v>6705639</v>
      </c>
      <c r="AZ69" s="18"/>
      <c r="BA69" s="18"/>
      <c r="BB69" s="18"/>
      <c r="BC69" s="18">
        <f t="shared" si="111"/>
        <v>746809</v>
      </c>
      <c r="BD69" s="18">
        <f t="shared" si="111"/>
        <v>0</v>
      </c>
      <c r="BE69" s="18">
        <f t="shared" si="111"/>
        <v>0</v>
      </c>
      <c r="BF69" s="18">
        <f t="shared" si="111"/>
        <v>0</v>
      </c>
      <c r="BG69" s="18">
        <f t="shared" si="111"/>
        <v>0</v>
      </c>
      <c r="BH69" s="18">
        <f t="shared" si="111"/>
        <v>0</v>
      </c>
      <c r="BI69" s="18">
        <f t="shared" si="111"/>
        <v>0</v>
      </c>
      <c r="BJ69" s="18">
        <f t="shared" si="111"/>
        <v>0</v>
      </c>
      <c r="BK69" s="18">
        <f t="shared" si="111"/>
        <v>0</v>
      </c>
      <c r="BL69" s="18">
        <f t="shared" si="111"/>
        <v>0</v>
      </c>
      <c r="BM69" s="18">
        <f t="shared" si="111"/>
        <v>0</v>
      </c>
      <c r="BN69" s="18">
        <f t="shared" si="111"/>
        <v>304566</v>
      </c>
      <c r="BO69" s="18">
        <f t="shared" si="111"/>
        <v>304566</v>
      </c>
      <c r="BP69" s="18">
        <f t="shared" si="111"/>
        <v>0</v>
      </c>
      <c r="BQ69" s="18">
        <f t="shared" si="111"/>
        <v>442243</v>
      </c>
      <c r="BR69" s="18">
        <f t="shared" si="111"/>
        <v>0</v>
      </c>
      <c r="BS69" s="18">
        <f t="shared" si="111"/>
        <v>0</v>
      </c>
      <c r="BT69" s="18">
        <f t="shared" si="111"/>
        <v>2678</v>
      </c>
      <c r="BU69" s="18">
        <f t="shared" ref="BU69:DC69" si="112">SUM(BU70)</f>
        <v>0</v>
      </c>
      <c r="BV69" s="18">
        <f t="shared" si="112"/>
        <v>0</v>
      </c>
      <c r="BW69" s="18">
        <f t="shared" si="112"/>
        <v>0</v>
      </c>
      <c r="BX69" s="18">
        <f t="shared" si="112"/>
        <v>0</v>
      </c>
      <c r="BY69" s="18">
        <f t="shared" si="112"/>
        <v>0</v>
      </c>
      <c r="BZ69" s="18">
        <f t="shared" si="112"/>
        <v>0</v>
      </c>
      <c r="CA69" s="18">
        <f t="shared" si="112"/>
        <v>379661</v>
      </c>
      <c r="CB69" s="18">
        <f t="shared" si="112"/>
        <v>59904</v>
      </c>
      <c r="CC69" s="18">
        <f t="shared" si="112"/>
        <v>5530984</v>
      </c>
      <c r="CD69" s="18">
        <f t="shared" si="112"/>
        <v>713108</v>
      </c>
      <c r="CE69" s="18">
        <f t="shared" si="112"/>
        <v>713108</v>
      </c>
      <c r="CF69" s="18">
        <f t="shared" si="112"/>
        <v>0</v>
      </c>
      <c r="CG69" s="18">
        <f t="shared" si="112"/>
        <v>713108</v>
      </c>
      <c r="CH69" s="18">
        <f t="shared" si="112"/>
        <v>0</v>
      </c>
      <c r="CI69" s="18">
        <f t="shared" si="112"/>
        <v>0</v>
      </c>
      <c r="CJ69" s="18">
        <f t="shared" si="112"/>
        <v>0</v>
      </c>
      <c r="CK69" s="18">
        <f t="shared" si="112"/>
        <v>0</v>
      </c>
      <c r="CL69" s="18">
        <f t="shared" si="112"/>
        <v>0</v>
      </c>
      <c r="CM69" s="18">
        <f t="shared" si="112"/>
        <v>0</v>
      </c>
      <c r="CN69" s="18">
        <f t="shared" si="112"/>
        <v>0</v>
      </c>
      <c r="CO69" s="18">
        <f t="shared" si="112"/>
        <v>0</v>
      </c>
      <c r="CP69" s="18">
        <f t="shared" si="112"/>
        <v>0</v>
      </c>
      <c r="CQ69" s="18"/>
      <c r="CR69" s="18"/>
      <c r="CS69" s="18"/>
      <c r="CT69" s="18"/>
      <c r="CU69" s="18">
        <f t="shared" si="112"/>
        <v>4817876</v>
      </c>
      <c r="CV69" s="73"/>
      <c r="CW69" s="73"/>
      <c r="CX69" s="73"/>
      <c r="CY69" s="73"/>
      <c r="CZ69" s="18">
        <f t="shared" si="112"/>
        <v>0</v>
      </c>
      <c r="DA69" s="18">
        <f t="shared" si="112"/>
        <v>0</v>
      </c>
      <c r="DB69" s="18">
        <f t="shared" si="112"/>
        <v>0</v>
      </c>
      <c r="DC69" s="46">
        <f t="shared" si="112"/>
        <v>0</v>
      </c>
      <c r="DD69" s="57"/>
    </row>
    <row r="70" spans="1:108" s="78" customFormat="1" ht="15.6" x14ac:dyDescent="0.3">
      <c r="A70" s="96" t="s">
        <v>1</v>
      </c>
      <c r="B70" s="71" t="s">
        <v>124</v>
      </c>
      <c r="C70" s="72" t="s">
        <v>125</v>
      </c>
      <c r="D70" s="74">
        <f>SUM(E70+CC70+CZ70)</f>
        <v>316309125</v>
      </c>
      <c r="E70" s="74">
        <f>SUM(F70+BC70)</f>
        <v>310778141</v>
      </c>
      <c r="F70" s="74">
        <f>SUM(G70+H70+I70+P70+S70+T70+U70+AD70)</f>
        <v>310031332</v>
      </c>
      <c r="G70" s="74">
        <v>222297483</v>
      </c>
      <c r="H70" s="74">
        <v>13107444</v>
      </c>
      <c r="I70" s="74">
        <f t="shared" si="9"/>
        <v>33099988</v>
      </c>
      <c r="J70" s="75">
        <v>346230</v>
      </c>
      <c r="K70" s="75">
        <v>7294740</v>
      </c>
      <c r="L70" s="75">
        <f>5900366-1054886</f>
        <v>4845480</v>
      </c>
      <c r="M70" s="75">
        <v>0</v>
      </c>
      <c r="N70" s="75">
        <v>18432721</v>
      </c>
      <c r="O70" s="75">
        <v>2180817</v>
      </c>
      <c r="P70" s="74">
        <f t="shared" si="10"/>
        <v>34260</v>
      </c>
      <c r="Q70" s="75">
        <v>34260</v>
      </c>
      <c r="R70" s="75">
        <v>0</v>
      </c>
      <c r="S70" s="75">
        <v>45528</v>
      </c>
      <c r="T70" s="75">
        <v>4154836</v>
      </c>
      <c r="U70" s="74">
        <f>SUM(V70:AC70)</f>
        <v>16681202</v>
      </c>
      <c r="V70" s="75">
        <v>518867</v>
      </c>
      <c r="W70" s="75">
        <f>4561616+1091056</f>
        <v>5652672</v>
      </c>
      <c r="X70" s="75">
        <f>5920647+2404138</f>
        <v>8324785</v>
      </c>
      <c r="Y70" s="75">
        <f>1058259+69256</f>
        <v>1127515</v>
      </c>
      <c r="Z70" s="75">
        <v>337341</v>
      </c>
      <c r="AA70" s="75">
        <v>37350</v>
      </c>
      <c r="AB70" s="75">
        <v>0</v>
      </c>
      <c r="AC70" s="75">
        <f>515546+167126</f>
        <v>682672</v>
      </c>
      <c r="AD70" s="74">
        <f>SUM(AE70:AY70)</f>
        <v>20610591</v>
      </c>
      <c r="AE70" s="74">
        <v>0</v>
      </c>
      <c r="AF70" s="74">
        <v>0</v>
      </c>
      <c r="AG70" s="75">
        <v>389367</v>
      </c>
      <c r="AH70" s="75">
        <v>93364</v>
      </c>
      <c r="AI70" s="75">
        <v>0</v>
      </c>
      <c r="AJ70" s="75">
        <v>0</v>
      </c>
      <c r="AK70" s="75">
        <v>94440</v>
      </c>
      <c r="AL70" s="75">
        <v>18023</v>
      </c>
      <c r="AM70" s="75">
        <v>1352722</v>
      </c>
      <c r="AN70" s="75">
        <v>18042</v>
      </c>
      <c r="AO70" s="75">
        <v>4292</v>
      </c>
      <c r="AP70" s="75">
        <v>203358</v>
      </c>
      <c r="AQ70" s="75">
        <v>1875086</v>
      </c>
      <c r="AR70" s="75">
        <v>108000</v>
      </c>
      <c r="AS70" s="75">
        <v>0</v>
      </c>
      <c r="AT70" s="75">
        <v>0</v>
      </c>
      <c r="AU70" s="75">
        <v>0</v>
      </c>
      <c r="AV70" s="75">
        <v>9610780</v>
      </c>
      <c r="AW70" s="75">
        <v>104927</v>
      </c>
      <c r="AX70" s="75">
        <v>32551</v>
      </c>
      <c r="AY70" s="75">
        <v>6705639</v>
      </c>
      <c r="AZ70" s="75"/>
      <c r="BA70" s="75"/>
      <c r="BB70" s="75"/>
      <c r="BC70" s="74">
        <f>SUM(BD70+BH70+BL70+BN70+BQ70)</f>
        <v>746809</v>
      </c>
      <c r="BD70" s="74">
        <f>SUM(BE70:BG70)</f>
        <v>0</v>
      </c>
      <c r="BE70" s="74">
        <v>0</v>
      </c>
      <c r="BF70" s="74">
        <v>0</v>
      </c>
      <c r="BG70" s="74">
        <v>0</v>
      </c>
      <c r="BH70" s="74">
        <f>SUM(BI70:BK70)</f>
        <v>0</v>
      </c>
      <c r="BI70" s="74">
        <v>0</v>
      </c>
      <c r="BJ70" s="74">
        <v>0</v>
      </c>
      <c r="BK70" s="74">
        <v>0</v>
      </c>
      <c r="BL70" s="74">
        <v>0</v>
      </c>
      <c r="BM70" s="74"/>
      <c r="BN70" s="74">
        <f t="shared" si="11"/>
        <v>304566</v>
      </c>
      <c r="BO70" s="74">
        <v>304566</v>
      </c>
      <c r="BP70" s="74"/>
      <c r="BQ70" s="74">
        <f>SUM(BR70:CB70)</f>
        <v>442243</v>
      </c>
      <c r="BR70" s="74">
        <v>0</v>
      </c>
      <c r="BS70" s="74">
        <v>0</v>
      </c>
      <c r="BT70" s="75">
        <v>2678</v>
      </c>
      <c r="BU70" s="74">
        <v>0</v>
      </c>
      <c r="BV70" s="74">
        <v>0</v>
      </c>
      <c r="BW70" s="74">
        <v>0</v>
      </c>
      <c r="BX70" s="74">
        <v>0</v>
      </c>
      <c r="BY70" s="74">
        <v>0</v>
      </c>
      <c r="BZ70" s="74">
        <v>0</v>
      </c>
      <c r="CA70" s="75">
        <v>379661</v>
      </c>
      <c r="CB70" s="75">
        <v>59904</v>
      </c>
      <c r="CC70" s="74">
        <f>SUM(CD70+CU70)</f>
        <v>5530984</v>
      </c>
      <c r="CD70" s="74">
        <f>SUM(CE70+CH70+CN70)</f>
        <v>713108</v>
      </c>
      <c r="CE70" s="74">
        <f t="shared" si="12"/>
        <v>713108</v>
      </c>
      <c r="CF70" s="74">
        <v>0</v>
      </c>
      <c r="CG70" s="75">
        <v>713108</v>
      </c>
      <c r="CH70" s="74">
        <f>SUM(CI70:CM70)</f>
        <v>0</v>
      </c>
      <c r="CI70" s="74">
        <v>0</v>
      </c>
      <c r="CJ70" s="74">
        <v>0</v>
      </c>
      <c r="CK70" s="75"/>
      <c r="CL70" s="75"/>
      <c r="CM70" s="75"/>
      <c r="CN70" s="74">
        <f>SUM(CO70:CQ70)</f>
        <v>0</v>
      </c>
      <c r="CO70" s="75"/>
      <c r="CP70" s="74"/>
      <c r="CQ70" s="74"/>
      <c r="CR70" s="74"/>
      <c r="CS70" s="74"/>
      <c r="CT70" s="74"/>
      <c r="CU70" s="74">
        <v>4817876</v>
      </c>
      <c r="CV70" s="74"/>
      <c r="CW70" s="74"/>
      <c r="CX70" s="74"/>
      <c r="CY70" s="74"/>
      <c r="CZ70" s="74">
        <f t="shared" si="13"/>
        <v>0</v>
      </c>
      <c r="DA70" s="74">
        <f t="shared" si="14"/>
        <v>0</v>
      </c>
      <c r="DB70" s="74">
        <v>0</v>
      </c>
      <c r="DC70" s="77">
        <v>0</v>
      </c>
    </row>
    <row r="71" spans="1:108" s="58" customFormat="1" ht="31.2" x14ac:dyDescent="0.3">
      <c r="A71" s="93" t="s">
        <v>126</v>
      </c>
      <c r="B71" s="16" t="s">
        <v>1</v>
      </c>
      <c r="C71" s="17" t="s">
        <v>320</v>
      </c>
      <c r="D71" s="18">
        <f>SUM(D72:D73)</f>
        <v>119436614</v>
      </c>
      <c r="E71" s="18">
        <f t="shared" ref="E71:BW71" si="113">SUM(E72:E73)</f>
        <v>119125344</v>
      </c>
      <c r="F71" s="18">
        <f t="shared" si="113"/>
        <v>118976934</v>
      </c>
      <c r="G71" s="18">
        <f t="shared" si="113"/>
        <v>69298724</v>
      </c>
      <c r="H71" s="18">
        <f t="shared" si="113"/>
        <v>2732236</v>
      </c>
      <c r="I71" s="18">
        <f t="shared" si="113"/>
        <v>21348962</v>
      </c>
      <c r="J71" s="18">
        <f t="shared" si="113"/>
        <v>416844</v>
      </c>
      <c r="K71" s="18">
        <f t="shared" si="113"/>
        <v>4060000</v>
      </c>
      <c r="L71" s="18">
        <f t="shared" si="113"/>
        <v>14213443</v>
      </c>
      <c r="M71" s="18">
        <f t="shared" si="113"/>
        <v>0</v>
      </c>
      <c r="N71" s="18">
        <f t="shared" si="113"/>
        <v>1669529</v>
      </c>
      <c r="O71" s="18">
        <f t="shared" si="113"/>
        <v>989146</v>
      </c>
      <c r="P71" s="18">
        <f t="shared" si="113"/>
        <v>0</v>
      </c>
      <c r="Q71" s="18">
        <f t="shared" si="113"/>
        <v>0</v>
      </c>
      <c r="R71" s="18">
        <f t="shared" si="113"/>
        <v>0</v>
      </c>
      <c r="S71" s="18">
        <f t="shared" si="113"/>
        <v>0</v>
      </c>
      <c r="T71" s="18">
        <f t="shared" si="113"/>
        <v>434535</v>
      </c>
      <c r="U71" s="18">
        <f t="shared" si="113"/>
        <v>20896200</v>
      </c>
      <c r="V71" s="18">
        <f t="shared" si="113"/>
        <v>772170</v>
      </c>
      <c r="W71" s="18">
        <f t="shared" si="113"/>
        <v>184719</v>
      </c>
      <c r="X71" s="18">
        <f t="shared" si="113"/>
        <v>12989062</v>
      </c>
      <c r="Y71" s="18">
        <f t="shared" si="113"/>
        <v>4787133</v>
      </c>
      <c r="Z71" s="18">
        <f t="shared" si="113"/>
        <v>184196</v>
      </c>
      <c r="AA71" s="18">
        <f t="shared" si="113"/>
        <v>0</v>
      </c>
      <c r="AB71" s="18">
        <f t="shared" si="113"/>
        <v>0</v>
      </c>
      <c r="AC71" s="18">
        <f t="shared" si="113"/>
        <v>1978920</v>
      </c>
      <c r="AD71" s="18">
        <f t="shared" si="113"/>
        <v>4266277</v>
      </c>
      <c r="AE71" s="18">
        <f t="shared" si="113"/>
        <v>0</v>
      </c>
      <c r="AF71" s="18">
        <f t="shared" si="113"/>
        <v>0</v>
      </c>
      <c r="AG71" s="18">
        <f t="shared" si="113"/>
        <v>6936</v>
      </c>
      <c r="AH71" s="18">
        <f t="shared" si="113"/>
        <v>500000</v>
      </c>
      <c r="AI71" s="18">
        <f t="shared" si="113"/>
        <v>0</v>
      </c>
      <c r="AJ71" s="18">
        <f t="shared" si="113"/>
        <v>0</v>
      </c>
      <c r="AK71" s="18">
        <f t="shared" si="113"/>
        <v>0</v>
      </c>
      <c r="AL71" s="18">
        <f t="shared" si="113"/>
        <v>0</v>
      </c>
      <c r="AM71" s="18">
        <f t="shared" si="113"/>
        <v>13540</v>
      </c>
      <c r="AN71" s="18">
        <f t="shared" si="113"/>
        <v>13386</v>
      </c>
      <c r="AO71" s="18">
        <f t="shared" si="113"/>
        <v>0</v>
      </c>
      <c r="AP71" s="18">
        <f t="shared" si="113"/>
        <v>0</v>
      </c>
      <c r="AQ71" s="18">
        <f t="shared" si="113"/>
        <v>195882</v>
      </c>
      <c r="AR71" s="18">
        <f t="shared" si="113"/>
        <v>160000</v>
      </c>
      <c r="AS71" s="18"/>
      <c r="AT71" s="18"/>
      <c r="AU71" s="18">
        <f t="shared" si="113"/>
        <v>0</v>
      </c>
      <c r="AV71" s="18">
        <f t="shared" si="113"/>
        <v>3274142</v>
      </c>
      <c r="AW71" s="18">
        <f t="shared" si="113"/>
        <v>40000</v>
      </c>
      <c r="AX71" s="18"/>
      <c r="AY71" s="18">
        <f t="shared" si="113"/>
        <v>62391</v>
      </c>
      <c r="AZ71" s="18"/>
      <c r="BA71" s="18"/>
      <c r="BB71" s="18"/>
      <c r="BC71" s="18">
        <f t="shared" si="113"/>
        <v>148410</v>
      </c>
      <c r="BD71" s="18">
        <f t="shared" si="113"/>
        <v>0</v>
      </c>
      <c r="BE71" s="18">
        <f t="shared" si="113"/>
        <v>0</v>
      </c>
      <c r="BF71" s="18">
        <f t="shared" si="113"/>
        <v>0</v>
      </c>
      <c r="BG71" s="18">
        <f t="shared" si="113"/>
        <v>0</v>
      </c>
      <c r="BH71" s="18">
        <f t="shared" si="113"/>
        <v>0</v>
      </c>
      <c r="BI71" s="18">
        <f t="shared" si="113"/>
        <v>0</v>
      </c>
      <c r="BJ71" s="18">
        <f t="shared" ref="BJ71" si="114">SUM(BJ72:BJ73)</f>
        <v>0</v>
      </c>
      <c r="BK71" s="18">
        <f t="shared" si="113"/>
        <v>0</v>
      </c>
      <c r="BL71" s="18">
        <f t="shared" si="113"/>
        <v>0</v>
      </c>
      <c r="BM71" s="18">
        <f t="shared" ref="BM71" si="115">SUM(BM72:BM73)</f>
        <v>0</v>
      </c>
      <c r="BN71" s="18">
        <f t="shared" si="113"/>
        <v>148410</v>
      </c>
      <c r="BO71" s="18">
        <f t="shared" si="113"/>
        <v>148410</v>
      </c>
      <c r="BP71" s="18">
        <f t="shared" ref="BP71" si="116">SUM(BP72:BP73)</f>
        <v>0</v>
      </c>
      <c r="BQ71" s="18">
        <f t="shared" si="113"/>
        <v>0</v>
      </c>
      <c r="BR71" s="18">
        <f t="shared" si="113"/>
        <v>0</v>
      </c>
      <c r="BS71" s="18">
        <f t="shared" si="113"/>
        <v>0</v>
      </c>
      <c r="BT71" s="18">
        <f t="shared" si="113"/>
        <v>0</v>
      </c>
      <c r="BU71" s="18">
        <f t="shared" si="113"/>
        <v>0</v>
      </c>
      <c r="BV71" s="18">
        <f t="shared" si="113"/>
        <v>0</v>
      </c>
      <c r="BW71" s="18">
        <f t="shared" si="113"/>
        <v>0</v>
      </c>
      <c r="BX71" s="18">
        <f t="shared" ref="BX71:DC71" si="117">SUM(BX72:BX73)</f>
        <v>0</v>
      </c>
      <c r="BY71" s="18">
        <f t="shared" si="117"/>
        <v>0</v>
      </c>
      <c r="BZ71" s="18">
        <f t="shared" si="117"/>
        <v>0</v>
      </c>
      <c r="CA71" s="18">
        <f t="shared" si="117"/>
        <v>0</v>
      </c>
      <c r="CB71" s="18">
        <f t="shared" si="117"/>
        <v>0</v>
      </c>
      <c r="CC71" s="18">
        <f t="shared" si="117"/>
        <v>311270</v>
      </c>
      <c r="CD71" s="18">
        <f t="shared" si="117"/>
        <v>311270</v>
      </c>
      <c r="CE71" s="18">
        <f t="shared" si="117"/>
        <v>311270</v>
      </c>
      <c r="CF71" s="18">
        <f t="shared" si="117"/>
        <v>0</v>
      </c>
      <c r="CG71" s="18">
        <f t="shared" si="117"/>
        <v>311270</v>
      </c>
      <c r="CH71" s="18">
        <f t="shared" si="117"/>
        <v>0</v>
      </c>
      <c r="CI71" s="18">
        <f t="shared" si="117"/>
        <v>0</v>
      </c>
      <c r="CJ71" s="18">
        <f t="shared" ref="CJ71:CK71" si="118">SUM(CJ72:CJ73)</f>
        <v>0</v>
      </c>
      <c r="CK71" s="18">
        <f t="shared" si="118"/>
        <v>0</v>
      </c>
      <c r="CL71" s="18">
        <f t="shared" si="117"/>
        <v>0</v>
      </c>
      <c r="CM71" s="18">
        <f t="shared" ref="CM71" si="119">SUM(CM72:CM73)</f>
        <v>0</v>
      </c>
      <c r="CN71" s="18">
        <f t="shared" si="117"/>
        <v>0</v>
      </c>
      <c r="CO71" s="18">
        <f t="shared" ref="CO71" si="120">SUM(CO72:CO73)</f>
        <v>0</v>
      </c>
      <c r="CP71" s="18">
        <f t="shared" si="117"/>
        <v>0</v>
      </c>
      <c r="CQ71" s="18"/>
      <c r="CR71" s="18"/>
      <c r="CS71" s="18"/>
      <c r="CT71" s="18"/>
      <c r="CU71" s="18">
        <f t="shared" si="117"/>
        <v>0</v>
      </c>
      <c r="CV71" s="73"/>
      <c r="CW71" s="73"/>
      <c r="CX71" s="73"/>
      <c r="CY71" s="73"/>
      <c r="CZ71" s="18">
        <f t="shared" si="117"/>
        <v>0</v>
      </c>
      <c r="DA71" s="18">
        <f t="shared" si="117"/>
        <v>0</v>
      </c>
      <c r="DB71" s="18">
        <f t="shared" si="117"/>
        <v>0</v>
      </c>
      <c r="DC71" s="46">
        <f t="shared" si="117"/>
        <v>0</v>
      </c>
      <c r="DD71" s="57"/>
    </row>
    <row r="72" spans="1:108" s="78" customFormat="1" ht="15.6" x14ac:dyDescent="0.3">
      <c r="A72" s="96" t="s">
        <v>1</v>
      </c>
      <c r="B72" s="71" t="s">
        <v>127</v>
      </c>
      <c r="C72" s="72" t="s">
        <v>128</v>
      </c>
      <c r="D72" s="74">
        <f>SUM(E72+CC72+CZ72)</f>
        <v>7862541</v>
      </c>
      <c r="E72" s="74">
        <f>SUM(F72+BC72)</f>
        <v>7862541</v>
      </c>
      <c r="F72" s="74">
        <f t="shared" ref="F72:F73" si="121">SUM(G72+H72+I72+P72+S72+T72+U72+AD72)</f>
        <v>7862541</v>
      </c>
      <c r="G72" s="74">
        <v>6331904</v>
      </c>
      <c r="H72" s="74">
        <v>164483</v>
      </c>
      <c r="I72" s="74">
        <f t="shared" si="9"/>
        <v>291545</v>
      </c>
      <c r="J72" s="75">
        <v>0</v>
      </c>
      <c r="K72" s="75">
        <v>0</v>
      </c>
      <c r="L72" s="75">
        <v>0</v>
      </c>
      <c r="M72" s="75">
        <v>0</v>
      </c>
      <c r="N72" s="75">
        <v>291545</v>
      </c>
      <c r="O72" s="75">
        <v>0</v>
      </c>
      <c r="P72" s="74">
        <f t="shared" si="10"/>
        <v>0</v>
      </c>
      <c r="Q72" s="75">
        <v>0</v>
      </c>
      <c r="R72" s="75">
        <v>0</v>
      </c>
      <c r="S72" s="75">
        <v>0</v>
      </c>
      <c r="T72" s="75">
        <v>235469</v>
      </c>
      <c r="U72" s="74">
        <f t="shared" ref="U72:U73" si="122">SUM(V72:AC72)</f>
        <v>379582</v>
      </c>
      <c r="V72" s="75">
        <v>0</v>
      </c>
      <c r="W72" s="75">
        <f>117664+54917</f>
        <v>172581</v>
      </c>
      <c r="X72" s="75">
        <f>108669+67720</f>
        <v>176389</v>
      </c>
      <c r="Y72" s="75">
        <f>12383+8668</f>
        <v>21051</v>
      </c>
      <c r="Z72" s="75">
        <v>2894</v>
      </c>
      <c r="AA72" s="75">
        <v>0</v>
      </c>
      <c r="AB72" s="75">
        <v>0</v>
      </c>
      <c r="AC72" s="75">
        <f>5042+1625</f>
        <v>6667</v>
      </c>
      <c r="AD72" s="74">
        <f>SUM(AE72:AY72)</f>
        <v>459558</v>
      </c>
      <c r="AE72" s="74">
        <v>0</v>
      </c>
      <c r="AF72" s="74">
        <v>0</v>
      </c>
      <c r="AG72" s="75">
        <v>0</v>
      </c>
      <c r="AH72" s="75">
        <v>0</v>
      </c>
      <c r="AI72" s="75">
        <v>0</v>
      </c>
      <c r="AJ72" s="75">
        <v>0</v>
      </c>
      <c r="AK72" s="75">
        <v>0</v>
      </c>
      <c r="AL72" s="75">
        <v>0</v>
      </c>
      <c r="AM72" s="75">
        <v>0</v>
      </c>
      <c r="AN72" s="75">
        <v>0</v>
      </c>
      <c r="AO72" s="75">
        <v>0</v>
      </c>
      <c r="AP72" s="75">
        <v>0</v>
      </c>
      <c r="AQ72" s="75">
        <v>0</v>
      </c>
      <c r="AR72" s="75">
        <v>0</v>
      </c>
      <c r="AS72" s="75">
        <v>0</v>
      </c>
      <c r="AT72" s="75">
        <v>0</v>
      </c>
      <c r="AU72" s="75">
        <v>0</v>
      </c>
      <c r="AV72" s="75">
        <v>459558</v>
      </c>
      <c r="AW72" s="75">
        <v>0</v>
      </c>
      <c r="AX72" s="75">
        <v>0</v>
      </c>
      <c r="AY72" s="75">
        <v>0</v>
      </c>
      <c r="AZ72" s="75"/>
      <c r="BA72" s="75"/>
      <c r="BB72" s="75"/>
      <c r="BC72" s="74">
        <f>SUM(BD72+BH72+BL72+BN72+BQ72)</f>
        <v>0</v>
      </c>
      <c r="BD72" s="74">
        <f>SUM(BE72:BG72)</f>
        <v>0</v>
      </c>
      <c r="BE72" s="74">
        <v>0</v>
      </c>
      <c r="BF72" s="74">
        <v>0</v>
      </c>
      <c r="BG72" s="74">
        <v>0</v>
      </c>
      <c r="BH72" s="74">
        <f>SUM(BI72:BK72)</f>
        <v>0</v>
      </c>
      <c r="BI72" s="74">
        <v>0</v>
      </c>
      <c r="BJ72" s="74">
        <v>0</v>
      </c>
      <c r="BK72" s="74">
        <v>0</v>
      </c>
      <c r="BL72" s="74">
        <v>0</v>
      </c>
      <c r="BM72" s="74">
        <v>0</v>
      </c>
      <c r="BN72" s="74">
        <f t="shared" si="11"/>
        <v>0</v>
      </c>
      <c r="BO72" s="74">
        <v>0</v>
      </c>
      <c r="BP72" s="74">
        <v>0</v>
      </c>
      <c r="BQ72" s="74">
        <f>SUM(BR72:CB72)</f>
        <v>0</v>
      </c>
      <c r="BR72" s="74">
        <v>0</v>
      </c>
      <c r="BS72" s="74">
        <v>0</v>
      </c>
      <c r="BT72" s="74">
        <v>0</v>
      </c>
      <c r="BU72" s="74">
        <v>0</v>
      </c>
      <c r="BV72" s="74">
        <v>0</v>
      </c>
      <c r="BW72" s="74">
        <v>0</v>
      </c>
      <c r="BX72" s="74">
        <v>0</v>
      </c>
      <c r="BY72" s="74">
        <v>0</v>
      </c>
      <c r="BZ72" s="74">
        <v>0</v>
      </c>
      <c r="CA72" s="74">
        <v>0</v>
      </c>
      <c r="CB72" s="74">
        <v>0</v>
      </c>
      <c r="CC72" s="74">
        <f>SUM(CD72+CU72)</f>
        <v>0</v>
      </c>
      <c r="CD72" s="74">
        <f>SUM(CE72+CH72+CN72)</f>
        <v>0</v>
      </c>
      <c r="CE72" s="74">
        <f t="shared" si="12"/>
        <v>0</v>
      </c>
      <c r="CF72" s="74">
        <v>0</v>
      </c>
      <c r="CG72" s="75"/>
      <c r="CH72" s="74">
        <f>SUM(CI72:CM72)</f>
        <v>0</v>
      </c>
      <c r="CI72" s="74">
        <v>0</v>
      </c>
      <c r="CJ72" s="74">
        <v>0</v>
      </c>
      <c r="CK72" s="74"/>
      <c r="CL72" s="74">
        <v>0</v>
      </c>
      <c r="CM72" s="74">
        <v>0</v>
      </c>
      <c r="CN72" s="74">
        <f>SUM(CO72:CQ72)</f>
        <v>0</v>
      </c>
      <c r="CO72" s="74">
        <v>0</v>
      </c>
      <c r="CP72" s="74">
        <v>0</v>
      </c>
      <c r="CQ72" s="74"/>
      <c r="CR72" s="74"/>
      <c r="CS72" s="74"/>
      <c r="CT72" s="74"/>
      <c r="CU72" s="74">
        <v>0</v>
      </c>
      <c r="CV72" s="74"/>
      <c r="CW72" s="74"/>
      <c r="CX72" s="74"/>
      <c r="CY72" s="74"/>
      <c r="CZ72" s="74">
        <f t="shared" si="13"/>
        <v>0</v>
      </c>
      <c r="DA72" s="74">
        <f t="shared" si="14"/>
        <v>0</v>
      </c>
      <c r="DB72" s="74">
        <v>0</v>
      </c>
      <c r="DC72" s="77">
        <v>0</v>
      </c>
    </row>
    <row r="73" spans="1:108" s="78" customFormat="1" ht="15.6" x14ac:dyDescent="0.3">
      <c r="A73" s="96" t="s">
        <v>1</v>
      </c>
      <c r="B73" s="71" t="s">
        <v>129</v>
      </c>
      <c r="C73" s="72" t="s">
        <v>130</v>
      </c>
      <c r="D73" s="74">
        <f>SUM(E73+CC73+CZ73)</f>
        <v>111574073</v>
      </c>
      <c r="E73" s="74">
        <f>SUM(F73+BC73)</f>
        <v>111262803</v>
      </c>
      <c r="F73" s="74">
        <f t="shared" si="121"/>
        <v>111114393</v>
      </c>
      <c r="G73" s="74">
        <v>62966820</v>
      </c>
      <c r="H73" s="74">
        <v>2567753</v>
      </c>
      <c r="I73" s="74">
        <f t="shared" si="9"/>
        <v>21057417</v>
      </c>
      <c r="J73" s="75">
        <v>416844</v>
      </c>
      <c r="K73" s="75">
        <v>4060000</v>
      </c>
      <c r="L73" s="75">
        <f>17307782-3094339</f>
        <v>14213443</v>
      </c>
      <c r="M73" s="75">
        <v>0</v>
      </c>
      <c r="N73" s="75">
        <v>1377984</v>
      </c>
      <c r="O73" s="75">
        <v>989146</v>
      </c>
      <c r="P73" s="74">
        <f t="shared" si="10"/>
        <v>0</v>
      </c>
      <c r="Q73" s="75"/>
      <c r="R73" s="75"/>
      <c r="S73" s="75"/>
      <c r="T73" s="75">
        <v>199066</v>
      </c>
      <c r="U73" s="74">
        <f t="shared" si="122"/>
        <v>20516618</v>
      </c>
      <c r="V73" s="75">
        <v>772170</v>
      </c>
      <c r="W73" s="75">
        <f>9692+2446</f>
        <v>12138</v>
      </c>
      <c r="X73" s="75">
        <f>9540859+3271814</f>
        <v>12812673</v>
      </c>
      <c r="Y73" s="75">
        <f>3858727+907355</f>
        <v>4766082</v>
      </c>
      <c r="Z73" s="75">
        <v>181302</v>
      </c>
      <c r="AA73" s="75">
        <v>0</v>
      </c>
      <c r="AB73" s="75">
        <v>0</v>
      </c>
      <c r="AC73" s="75">
        <f>1832217+140036</f>
        <v>1972253</v>
      </c>
      <c r="AD73" s="74">
        <f>SUM(AE73:AY73)</f>
        <v>3806719</v>
      </c>
      <c r="AE73" s="74">
        <v>0</v>
      </c>
      <c r="AF73" s="74">
        <v>0</v>
      </c>
      <c r="AG73" s="75">
        <v>6936</v>
      </c>
      <c r="AH73" s="75">
        <v>500000</v>
      </c>
      <c r="AI73" s="75">
        <v>0</v>
      </c>
      <c r="AJ73" s="75">
        <v>0</v>
      </c>
      <c r="AK73" s="75">
        <v>0</v>
      </c>
      <c r="AL73" s="75">
        <v>0</v>
      </c>
      <c r="AM73" s="75">
        <v>13540</v>
      </c>
      <c r="AN73" s="75">
        <v>13386</v>
      </c>
      <c r="AO73" s="75">
        <v>0</v>
      </c>
      <c r="AP73" s="75">
        <v>0</v>
      </c>
      <c r="AQ73" s="75">
        <v>195882</v>
      </c>
      <c r="AR73" s="75">
        <v>160000</v>
      </c>
      <c r="AS73" s="75">
        <v>0</v>
      </c>
      <c r="AT73" s="75">
        <v>0</v>
      </c>
      <c r="AU73" s="75">
        <v>0</v>
      </c>
      <c r="AV73" s="75">
        <v>2814584</v>
      </c>
      <c r="AW73" s="75">
        <v>40000</v>
      </c>
      <c r="AX73" s="75">
        <v>0</v>
      </c>
      <c r="AY73" s="75">
        <v>62391</v>
      </c>
      <c r="AZ73" s="75"/>
      <c r="BA73" s="75"/>
      <c r="BB73" s="75"/>
      <c r="BC73" s="74">
        <f>SUM(BD73+BH73+BL73+BN73+BQ73)</f>
        <v>148410</v>
      </c>
      <c r="BD73" s="74">
        <f>SUM(BE73:BG73)</f>
        <v>0</v>
      </c>
      <c r="BE73" s="74">
        <v>0</v>
      </c>
      <c r="BF73" s="74">
        <v>0</v>
      </c>
      <c r="BG73" s="74">
        <v>0</v>
      </c>
      <c r="BH73" s="74">
        <f>SUM(BI73:BK73)</f>
        <v>0</v>
      </c>
      <c r="BI73" s="74">
        <v>0</v>
      </c>
      <c r="BJ73" s="74">
        <v>0</v>
      </c>
      <c r="BK73" s="74">
        <v>0</v>
      </c>
      <c r="BL73" s="74">
        <v>0</v>
      </c>
      <c r="BM73" s="74"/>
      <c r="BN73" s="74">
        <f t="shared" si="11"/>
        <v>148410</v>
      </c>
      <c r="BO73" s="74">
        <v>148410</v>
      </c>
      <c r="BP73" s="74"/>
      <c r="BQ73" s="74">
        <f>SUM(BR73:CB73)</f>
        <v>0</v>
      </c>
      <c r="BR73" s="74">
        <v>0</v>
      </c>
      <c r="BS73" s="74">
        <v>0</v>
      </c>
      <c r="BT73" s="74">
        <v>0</v>
      </c>
      <c r="BU73" s="74">
        <v>0</v>
      </c>
      <c r="BV73" s="74">
        <v>0</v>
      </c>
      <c r="BW73" s="74">
        <v>0</v>
      </c>
      <c r="BX73" s="74">
        <v>0</v>
      </c>
      <c r="BY73" s="74">
        <v>0</v>
      </c>
      <c r="BZ73" s="74">
        <v>0</v>
      </c>
      <c r="CA73" s="74">
        <v>0</v>
      </c>
      <c r="CB73" s="74">
        <v>0</v>
      </c>
      <c r="CC73" s="74">
        <f>SUM(CD73+CU73)</f>
        <v>311270</v>
      </c>
      <c r="CD73" s="74">
        <f>SUM(CE73+CH73+CN73)</f>
        <v>311270</v>
      </c>
      <c r="CE73" s="74">
        <f t="shared" si="12"/>
        <v>311270</v>
      </c>
      <c r="CF73" s="74">
        <v>0</v>
      </c>
      <c r="CG73" s="75">
        <v>311270</v>
      </c>
      <c r="CH73" s="74">
        <f>SUM(CI73:CM73)</f>
        <v>0</v>
      </c>
      <c r="CI73" s="74">
        <v>0</v>
      </c>
      <c r="CJ73" s="74">
        <v>0</v>
      </c>
      <c r="CK73" s="74"/>
      <c r="CL73" s="74">
        <v>0</v>
      </c>
      <c r="CM73" s="74">
        <v>0</v>
      </c>
      <c r="CN73" s="74">
        <f>SUM(CO73:CQ73)</f>
        <v>0</v>
      </c>
      <c r="CO73" s="74">
        <v>0</v>
      </c>
      <c r="CP73" s="74"/>
      <c r="CQ73" s="74"/>
      <c r="CR73" s="74"/>
      <c r="CS73" s="74"/>
      <c r="CT73" s="74"/>
      <c r="CU73" s="74">
        <v>0</v>
      </c>
      <c r="CV73" s="74"/>
      <c r="CW73" s="74"/>
      <c r="CX73" s="74"/>
      <c r="CY73" s="74"/>
      <c r="CZ73" s="74">
        <f t="shared" si="13"/>
        <v>0</v>
      </c>
      <c r="DA73" s="74">
        <f t="shared" si="14"/>
        <v>0</v>
      </c>
      <c r="DB73" s="74">
        <v>0</v>
      </c>
      <c r="DC73" s="77">
        <v>0</v>
      </c>
    </row>
    <row r="74" spans="1:108" s="58" customFormat="1" ht="15.6" x14ac:dyDescent="0.3">
      <c r="A74" s="93" t="s">
        <v>131</v>
      </c>
      <c r="B74" s="16" t="s">
        <v>1</v>
      </c>
      <c r="C74" s="17" t="s">
        <v>132</v>
      </c>
      <c r="D74" s="18">
        <f t="shared" ref="D74:AJ74" si="123">SUM(D75)</f>
        <v>127910475</v>
      </c>
      <c r="E74" s="18">
        <f t="shared" si="123"/>
        <v>127860038</v>
      </c>
      <c r="F74" s="18">
        <f t="shared" si="123"/>
        <v>127172107</v>
      </c>
      <c r="G74" s="18">
        <f t="shared" si="123"/>
        <v>98658546</v>
      </c>
      <c r="H74" s="18">
        <f t="shared" si="123"/>
        <v>1089595</v>
      </c>
      <c r="I74" s="18">
        <f t="shared" si="123"/>
        <v>7603671</v>
      </c>
      <c r="J74" s="18">
        <f t="shared" si="123"/>
        <v>216741</v>
      </c>
      <c r="K74" s="18">
        <f t="shared" si="123"/>
        <v>2092771</v>
      </c>
      <c r="L74" s="18">
        <f t="shared" si="123"/>
        <v>712213</v>
      </c>
      <c r="M74" s="18">
        <f t="shared" si="123"/>
        <v>245405</v>
      </c>
      <c r="N74" s="18">
        <f t="shared" si="123"/>
        <v>4120464</v>
      </c>
      <c r="O74" s="18">
        <f t="shared" si="123"/>
        <v>216077</v>
      </c>
      <c r="P74" s="18">
        <f t="shared" si="123"/>
        <v>6465745</v>
      </c>
      <c r="Q74" s="18">
        <f t="shared" si="123"/>
        <v>25745</v>
      </c>
      <c r="R74" s="18">
        <f t="shared" si="123"/>
        <v>6440000</v>
      </c>
      <c r="S74" s="18">
        <f t="shared" si="123"/>
        <v>0</v>
      </c>
      <c r="T74" s="18">
        <f t="shared" si="123"/>
        <v>622061</v>
      </c>
      <c r="U74" s="18">
        <f t="shared" si="123"/>
        <v>5651392</v>
      </c>
      <c r="V74" s="18">
        <f t="shared" si="123"/>
        <v>87985</v>
      </c>
      <c r="W74" s="18">
        <f t="shared" si="123"/>
        <v>1355631</v>
      </c>
      <c r="X74" s="18">
        <f t="shared" si="123"/>
        <v>3778639</v>
      </c>
      <c r="Y74" s="18">
        <f t="shared" si="123"/>
        <v>235896</v>
      </c>
      <c r="Z74" s="18">
        <f t="shared" si="123"/>
        <v>41357</v>
      </c>
      <c r="AA74" s="18">
        <f t="shared" si="123"/>
        <v>0</v>
      </c>
      <c r="AB74" s="18">
        <f t="shared" si="123"/>
        <v>0</v>
      </c>
      <c r="AC74" s="18">
        <f t="shared" si="123"/>
        <v>151884</v>
      </c>
      <c r="AD74" s="18">
        <f t="shared" si="123"/>
        <v>7081097</v>
      </c>
      <c r="AE74" s="18">
        <f t="shared" si="123"/>
        <v>0</v>
      </c>
      <c r="AF74" s="18">
        <f t="shared" si="123"/>
        <v>0</v>
      </c>
      <c r="AG74" s="18">
        <f t="shared" si="123"/>
        <v>74372</v>
      </c>
      <c r="AH74" s="18">
        <f t="shared" si="123"/>
        <v>21079</v>
      </c>
      <c r="AI74" s="18">
        <f t="shared" si="123"/>
        <v>0</v>
      </c>
      <c r="AJ74" s="18">
        <f t="shared" si="123"/>
        <v>5729</v>
      </c>
      <c r="AK74" s="18">
        <f t="shared" ref="AK74:DC74" si="124">SUM(AK75)</f>
        <v>22459</v>
      </c>
      <c r="AL74" s="18">
        <f t="shared" si="124"/>
        <v>7412</v>
      </c>
      <c r="AM74" s="18">
        <f t="shared" si="124"/>
        <v>60614</v>
      </c>
      <c r="AN74" s="18">
        <f t="shared" si="124"/>
        <v>18042</v>
      </c>
      <c r="AO74" s="18">
        <f t="shared" si="124"/>
        <v>1050</v>
      </c>
      <c r="AP74" s="18">
        <f t="shared" si="124"/>
        <v>99160</v>
      </c>
      <c r="AQ74" s="18">
        <f t="shared" si="124"/>
        <v>0</v>
      </c>
      <c r="AR74" s="18">
        <f t="shared" si="124"/>
        <v>0</v>
      </c>
      <c r="AS74" s="18"/>
      <c r="AT74" s="18"/>
      <c r="AU74" s="18">
        <f t="shared" si="124"/>
        <v>0</v>
      </c>
      <c r="AV74" s="18">
        <f t="shared" si="124"/>
        <v>6300000</v>
      </c>
      <c r="AW74" s="18">
        <f t="shared" si="124"/>
        <v>0</v>
      </c>
      <c r="AX74" s="18"/>
      <c r="AY74" s="18">
        <f t="shared" si="124"/>
        <v>471180</v>
      </c>
      <c r="AZ74" s="18"/>
      <c r="BA74" s="18"/>
      <c r="BB74" s="18"/>
      <c r="BC74" s="18">
        <f t="shared" si="124"/>
        <v>687931</v>
      </c>
      <c r="BD74" s="18">
        <f t="shared" si="124"/>
        <v>0</v>
      </c>
      <c r="BE74" s="18">
        <f t="shared" si="124"/>
        <v>0</v>
      </c>
      <c r="BF74" s="18">
        <f t="shared" si="124"/>
        <v>0</v>
      </c>
      <c r="BG74" s="18">
        <f t="shared" si="124"/>
        <v>0</v>
      </c>
      <c r="BH74" s="18">
        <f t="shared" si="124"/>
        <v>0</v>
      </c>
      <c r="BI74" s="18">
        <f t="shared" si="124"/>
        <v>0</v>
      </c>
      <c r="BJ74" s="18">
        <f t="shared" si="124"/>
        <v>0</v>
      </c>
      <c r="BK74" s="18">
        <f t="shared" si="124"/>
        <v>0</v>
      </c>
      <c r="BL74" s="18">
        <f t="shared" si="124"/>
        <v>0</v>
      </c>
      <c r="BM74" s="18">
        <f t="shared" si="124"/>
        <v>0</v>
      </c>
      <c r="BN74" s="18">
        <f t="shared" si="124"/>
        <v>133400</v>
      </c>
      <c r="BO74" s="18">
        <f t="shared" si="124"/>
        <v>133400</v>
      </c>
      <c r="BP74" s="18">
        <f t="shared" si="124"/>
        <v>0</v>
      </c>
      <c r="BQ74" s="18">
        <f t="shared" si="124"/>
        <v>554531</v>
      </c>
      <c r="BR74" s="18">
        <f t="shared" si="124"/>
        <v>0</v>
      </c>
      <c r="BS74" s="18">
        <f t="shared" si="124"/>
        <v>0</v>
      </c>
      <c r="BT74" s="18">
        <f t="shared" si="124"/>
        <v>0</v>
      </c>
      <c r="BU74" s="18">
        <f t="shared" si="124"/>
        <v>0</v>
      </c>
      <c r="BV74" s="18">
        <f t="shared" si="124"/>
        <v>0</v>
      </c>
      <c r="BW74" s="18">
        <f t="shared" si="124"/>
        <v>0</v>
      </c>
      <c r="BX74" s="18">
        <f t="shared" si="124"/>
        <v>0</v>
      </c>
      <c r="BY74" s="18">
        <f t="shared" si="124"/>
        <v>0</v>
      </c>
      <c r="BZ74" s="18">
        <f t="shared" si="124"/>
        <v>0</v>
      </c>
      <c r="CA74" s="18">
        <f t="shared" si="124"/>
        <v>100000</v>
      </c>
      <c r="CB74" s="18">
        <f t="shared" si="124"/>
        <v>454531</v>
      </c>
      <c r="CC74" s="18">
        <f t="shared" si="124"/>
        <v>50437</v>
      </c>
      <c r="CD74" s="18">
        <f t="shared" si="124"/>
        <v>50437</v>
      </c>
      <c r="CE74" s="18">
        <f t="shared" si="124"/>
        <v>50437</v>
      </c>
      <c r="CF74" s="18">
        <f t="shared" si="124"/>
        <v>0</v>
      </c>
      <c r="CG74" s="18">
        <f t="shared" si="124"/>
        <v>50437</v>
      </c>
      <c r="CH74" s="18">
        <f t="shared" si="124"/>
        <v>0</v>
      </c>
      <c r="CI74" s="18">
        <f t="shared" si="124"/>
        <v>0</v>
      </c>
      <c r="CJ74" s="18">
        <f t="shared" si="124"/>
        <v>0</v>
      </c>
      <c r="CK74" s="18">
        <f t="shared" si="124"/>
        <v>0</v>
      </c>
      <c r="CL74" s="18">
        <f t="shared" si="124"/>
        <v>0</v>
      </c>
      <c r="CM74" s="18">
        <f t="shared" si="124"/>
        <v>0</v>
      </c>
      <c r="CN74" s="18">
        <f t="shared" si="124"/>
        <v>0</v>
      </c>
      <c r="CO74" s="18">
        <f t="shared" si="124"/>
        <v>0</v>
      </c>
      <c r="CP74" s="18">
        <f t="shared" si="124"/>
        <v>0</v>
      </c>
      <c r="CQ74" s="18"/>
      <c r="CR74" s="18"/>
      <c r="CS74" s="18"/>
      <c r="CT74" s="18"/>
      <c r="CU74" s="18">
        <f t="shared" si="124"/>
        <v>0</v>
      </c>
      <c r="CV74" s="73"/>
      <c r="CW74" s="73"/>
      <c r="CX74" s="73"/>
      <c r="CY74" s="73"/>
      <c r="CZ74" s="18">
        <f t="shared" si="124"/>
        <v>0</v>
      </c>
      <c r="DA74" s="18">
        <f t="shared" si="124"/>
        <v>0</v>
      </c>
      <c r="DB74" s="18">
        <f t="shared" si="124"/>
        <v>0</v>
      </c>
      <c r="DC74" s="46">
        <f t="shared" si="124"/>
        <v>0</v>
      </c>
      <c r="DD74" s="57"/>
    </row>
    <row r="75" spans="1:108" s="78" customFormat="1" ht="31.2" x14ac:dyDescent="0.3">
      <c r="A75" s="96" t="s">
        <v>1</v>
      </c>
      <c r="B75" s="71" t="s">
        <v>133</v>
      </c>
      <c r="C75" s="72" t="s">
        <v>134</v>
      </c>
      <c r="D75" s="74">
        <f>SUM(E75+CC75+CZ75)</f>
        <v>127910475</v>
      </c>
      <c r="E75" s="74">
        <f>SUM(F75+BC75)</f>
        <v>127860038</v>
      </c>
      <c r="F75" s="74">
        <f>SUM(G75+H75+I75+P75+S75+T75+U75+AD75)</f>
        <v>127172107</v>
      </c>
      <c r="G75" s="74">
        <v>98658546</v>
      </c>
      <c r="H75" s="74">
        <v>1089595</v>
      </c>
      <c r="I75" s="74">
        <f t="shared" si="9"/>
        <v>7603671</v>
      </c>
      <c r="J75" s="75">
        <v>216741</v>
      </c>
      <c r="K75" s="75">
        <v>2092771</v>
      </c>
      <c r="L75" s="75">
        <f>867265-155052</f>
        <v>712213</v>
      </c>
      <c r="M75" s="75">
        <v>245405</v>
      </c>
      <c r="N75" s="75">
        <v>4120464</v>
      </c>
      <c r="O75" s="75">
        <v>216077</v>
      </c>
      <c r="P75" s="74">
        <f t="shared" si="10"/>
        <v>6465745</v>
      </c>
      <c r="Q75" s="75">
        <v>25745</v>
      </c>
      <c r="R75" s="75">
        <v>6440000</v>
      </c>
      <c r="S75" s="75">
        <v>0</v>
      </c>
      <c r="T75" s="75">
        <v>622061</v>
      </c>
      <c r="U75" s="74">
        <f>SUM(V75:AC75)</f>
        <v>5651392</v>
      </c>
      <c r="V75" s="75">
        <v>87985</v>
      </c>
      <c r="W75" s="75">
        <f>1007018+348613</f>
        <v>1355631</v>
      </c>
      <c r="X75" s="75">
        <f>2572115+1206524</f>
        <v>3778639</v>
      </c>
      <c r="Y75" s="75">
        <f>176611+59285</f>
        <v>235896</v>
      </c>
      <c r="Z75" s="75">
        <v>41357</v>
      </c>
      <c r="AA75" s="75">
        <v>0</v>
      </c>
      <c r="AB75" s="75">
        <v>0</v>
      </c>
      <c r="AC75" s="75">
        <f>111526+40358</f>
        <v>151884</v>
      </c>
      <c r="AD75" s="74">
        <f>SUM(AE75:AY75)</f>
        <v>7081097</v>
      </c>
      <c r="AE75" s="74">
        <v>0</v>
      </c>
      <c r="AF75" s="74">
        <v>0</v>
      </c>
      <c r="AG75" s="75">
        <v>74372</v>
      </c>
      <c r="AH75" s="75">
        <v>21079</v>
      </c>
      <c r="AI75" s="75">
        <v>0</v>
      </c>
      <c r="AJ75" s="75">
        <v>5729</v>
      </c>
      <c r="AK75" s="75">
        <v>22459</v>
      </c>
      <c r="AL75" s="75">
        <v>7412</v>
      </c>
      <c r="AM75" s="75">
        <v>60614</v>
      </c>
      <c r="AN75" s="75">
        <v>18042</v>
      </c>
      <c r="AO75" s="75">
        <v>1050</v>
      </c>
      <c r="AP75" s="75">
        <v>99160</v>
      </c>
      <c r="AQ75" s="75">
        <v>0</v>
      </c>
      <c r="AR75" s="75">
        <v>0</v>
      </c>
      <c r="AS75" s="75">
        <v>0</v>
      </c>
      <c r="AT75" s="75">
        <v>0</v>
      </c>
      <c r="AU75" s="75">
        <v>0</v>
      </c>
      <c r="AV75" s="75">
        <v>6300000</v>
      </c>
      <c r="AW75" s="75">
        <v>0</v>
      </c>
      <c r="AX75" s="75">
        <v>0</v>
      </c>
      <c r="AY75" s="75">
        <v>471180</v>
      </c>
      <c r="AZ75" s="75"/>
      <c r="BA75" s="75"/>
      <c r="BB75" s="75"/>
      <c r="BC75" s="74">
        <f>SUM(BD75+BH75+BL75+BN75+BQ75)</f>
        <v>687931</v>
      </c>
      <c r="BD75" s="74">
        <f>SUM(BE75:BG75)</f>
        <v>0</v>
      </c>
      <c r="BE75" s="74">
        <v>0</v>
      </c>
      <c r="BF75" s="74">
        <v>0</v>
      </c>
      <c r="BG75" s="74">
        <v>0</v>
      </c>
      <c r="BH75" s="74">
        <f>SUM(BI75:BK75)</f>
        <v>0</v>
      </c>
      <c r="BI75" s="74">
        <v>0</v>
      </c>
      <c r="BJ75" s="74">
        <v>0</v>
      </c>
      <c r="BK75" s="74">
        <v>0</v>
      </c>
      <c r="BL75" s="74">
        <v>0</v>
      </c>
      <c r="BM75" s="74"/>
      <c r="BN75" s="74">
        <f t="shared" si="11"/>
        <v>133400</v>
      </c>
      <c r="BO75" s="74">
        <v>133400</v>
      </c>
      <c r="BP75" s="74"/>
      <c r="BQ75" s="74">
        <f>SUM(BR75:CB75)</f>
        <v>554531</v>
      </c>
      <c r="BR75" s="74">
        <v>0</v>
      </c>
      <c r="BS75" s="74">
        <v>0</v>
      </c>
      <c r="BT75" s="74">
        <v>0</v>
      </c>
      <c r="BU75" s="74">
        <v>0</v>
      </c>
      <c r="BV75" s="74">
        <v>0</v>
      </c>
      <c r="BW75" s="74">
        <v>0</v>
      </c>
      <c r="BX75" s="74">
        <v>0</v>
      </c>
      <c r="BY75" s="74">
        <v>0</v>
      </c>
      <c r="BZ75" s="74">
        <v>0</v>
      </c>
      <c r="CA75" s="74">
        <v>100000</v>
      </c>
      <c r="CB75" s="75">
        <v>454531</v>
      </c>
      <c r="CC75" s="74">
        <f>SUM(CD75+CU75)</f>
        <v>50437</v>
      </c>
      <c r="CD75" s="74">
        <f>SUM(CE75+CH75+CN75)</f>
        <v>50437</v>
      </c>
      <c r="CE75" s="74">
        <f t="shared" si="12"/>
        <v>50437</v>
      </c>
      <c r="CF75" s="74">
        <v>0</v>
      </c>
      <c r="CG75" s="75">
        <v>50437</v>
      </c>
      <c r="CH75" s="74">
        <f>SUM(CI75:CM75)</f>
        <v>0</v>
      </c>
      <c r="CI75" s="74">
        <v>0</v>
      </c>
      <c r="CJ75" s="74">
        <v>0</v>
      </c>
      <c r="CK75" s="75"/>
      <c r="CL75" s="75"/>
      <c r="CM75" s="75"/>
      <c r="CN75" s="74">
        <f>SUM(CO75:CQ75)</f>
        <v>0</v>
      </c>
      <c r="CO75" s="74"/>
      <c r="CP75" s="75"/>
      <c r="CQ75" s="74"/>
      <c r="CR75" s="74"/>
      <c r="CS75" s="74"/>
      <c r="CT75" s="74"/>
      <c r="CU75" s="74">
        <v>0</v>
      </c>
      <c r="CV75" s="74"/>
      <c r="CW75" s="74"/>
      <c r="CX75" s="74"/>
      <c r="CY75" s="74"/>
      <c r="CZ75" s="74">
        <f t="shared" si="13"/>
        <v>0</v>
      </c>
      <c r="DA75" s="74">
        <f t="shared" si="14"/>
        <v>0</v>
      </c>
      <c r="DB75" s="74">
        <v>0</v>
      </c>
      <c r="DC75" s="77">
        <v>0</v>
      </c>
    </row>
    <row r="76" spans="1:108" s="58" customFormat="1" ht="15.6" x14ac:dyDescent="0.3">
      <c r="A76" s="93" t="s">
        <v>135</v>
      </c>
      <c r="B76" s="16" t="s">
        <v>1</v>
      </c>
      <c r="C76" s="17" t="s">
        <v>136</v>
      </c>
      <c r="D76" s="18">
        <f t="shared" ref="D76:AJ76" si="125">SUM(D77)</f>
        <v>23288569</v>
      </c>
      <c r="E76" s="18">
        <f t="shared" si="125"/>
        <v>23278569</v>
      </c>
      <c r="F76" s="18">
        <f t="shared" si="125"/>
        <v>23278569</v>
      </c>
      <c r="G76" s="18">
        <f t="shared" si="125"/>
        <v>19676499</v>
      </c>
      <c r="H76" s="18">
        <f t="shared" si="125"/>
        <v>652395</v>
      </c>
      <c r="I76" s="18">
        <f t="shared" si="125"/>
        <v>1170164</v>
      </c>
      <c r="J76" s="18">
        <f t="shared" si="125"/>
        <v>3363</v>
      </c>
      <c r="K76" s="18">
        <f t="shared" si="125"/>
        <v>0</v>
      </c>
      <c r="L76" s="18">
        <f t="shared" si="125"/>
        <v>0</v>
      </c>
      <c r="M76" s="18">
        <f t="shared" si="125"/>
        <v>0</v>
      </c>
      <c r="N76" s="18">
        <f t="shared" si="125"/>
        <v>820887</v>
      </c>
      <c r="O76" s="18">
        <f t="shared" si="125"/>
        <v>345914</v>
      </c>
      <c r="P76" s="18">
        <f t="shared" si="125"/>
        <v>0</v>
      </c>
      <c r="Q76" s="18">
        <f t="shared" si="125"/>
        <v>0</v>
      </c>
      <c r="R76" s="18">
        <f t="shared" si="125"/>
        <v>0</v>
      </c>
      <c r="S76" s="18">
        <f t="shared" si="125"/>
        <v>0</v>
      </c>
      <c r="T76" s="18">
        <f t="shared" si="125"/>
        <v>122540</v>
      </c>
      <c r="U76" s="18">
        <f t="shared" si="125"/>
        <v>1188390</v>
      </c>
      <c r="V76" s="18">
        <f t="shared" si="125"/>
        <v>60000</v>
      </c>
      <c r="W76" s="18">
        <f t="shared" si="125"/>
        <v>600153</v>
      </c>
      <c r="X76" s="18">
        <f t="shared" si="125"/>
        <v>471418</v>
      </c>
      <c r="Y76" s="18">
        <f t="shared" si="125"/>
        <v>45872</v>
      </c>
      <c r="Z76" s="18">
        <f t="shared" si="125"/>
        <v>10947</v>
      </c>
      <c r="AA76" s="18">
        <f t="shared" si="125"/>
        <v>0</v>
      </c>
      <c r="AB76" s="18">
        <f t="shared" si="125"/>
        <v>0</v>
      </c>
      <c r="AC76" s="18">
        <f t="shared" si="125"/>
        <v>0</v>
      </c>
      <c r="AD76" s="18">
        <f t="shared" si="125"/>
        <v>468581</v>
      </c>
      <c r="AE76" s="18">
        <f t="shared" si="125"/>
        <v>0</v>
      </c>
      <c r="AF76" s="18">
        <f t="shared" si="125"/>
        <v>0</v>
      </c>
      <c r="AG76" s="18">
        <f t="shared" si="125"/>
        <v>6086</v>
      </c>
      <c r="AH76" s="18">
        <f t="shared" si="125"/>
        <v>0</v>
      </c>
      <c r="AI76" s="18">
        <f t="shared" si="125"/>
        <v>0</v>
      </c>
      <c r="AJ76" s="18">
        <f t="shared" si="125"/>
        <v>0</v>
      </c>
      <c r="AK76" s="18">
        <f t="shared" ref="AK76:DC76" si="126">SUM(AK77)</f>
        <v>0</v>
      </c>
      <c r="AL76" s="18">
        <f t="shared" si="126"/>
        <v>0</v>
      </c>
      <c r="AM76" s="18">
        <f t="shared" si="126"/>
        <v>40000</v>
      </c>
      <c r="AN76" s="18">
        <f t="shared" si="126"/>
        <v>14550</v>
      </c>
      <c r="AO76" s="18">
        <f t="shared" si="126"/>
        <v>730</v>
      </c>
      <c r="AP76" s="18">
        <f t="shared" si="126"/>
        <v>0</v>
      </c>
      <c r="AQ76" s="18">
        <f t="shared" si="126"/>
        <v>263646</v>
      </c>
      <c r="AR76" s="18">
        <f t="shared" si="126"/>
        <v>33600</v>
      </c>
      <c r="AS76" s="18"/>
      <c r="AT76" s="18"/>
      <c r="AU76" s="18">
        <f t="shared" si="126"/>
        <v>0</v>
      </c>
      <c r="AV76" s="18">
        <f t="shared" si="126"/>
        <v>39089</v>
      </c>
      <c r="AW76" s="18">
        <f t="shared" si="126"/>
        <v>65880</v>
      </c>
      <c r="AX76" s="18"/>
      <c r="AY76" s="18">
        <f t="shared" si="126"/>
        <v>5000</v>
      </c>
      <c r="AZ76" s="18"/>
      <c r="BA76" s="18"/>
      <c r="BB76" s="18"/>
      <c r="BC76" s="18">
        <f t="shared" si="126"/>
        <v>0</v>
      </c>
      <c r="BD76" s="18">
        <f t="shared" si="126"/>
        <v>0</v>
      </c>
      <c r="BE76" s="18">
        <f t="shared" si="126"/>
        <v>0</v>
      </c>
      <c r="BF76" s="18">
        <f t="shared" si="126"/>
        <v>0</v>
      </c>
      <c r="BG76" s="18">
        <f t="shared" si="126"/>
        <v>0</v>
      </c>
      <c r="BH76" s="18">
        <f t="shared" si="126"/>
        <v>0</v>
      </c>
      <c r="BI76" s="18">
        <f t="shared" si="126"/>
        <v>0</v>
      </c>
      <c r="BJ76" s="18">
        <f t="shared" si="126"/>
        <v>0</v>
      </c>
      <c r="BK76" s="18">
        <f t="shared" si="126"/>
        <v>0</v>
      </c>
      <c r="BL76" s="18">
        <f t="shared" si="126"/>
        <v>0</v>
      </c>
      <c r="BM76" s="18">
        <f t="shared" si="126"/>
        <v>0</v>
      </c>
      <c r="BN76" s="18">
        <f t="shared" si="126"/>
        <v>0</v>
      </c>
      <c r="BO76" s="18">
        <f t="shared" si="126"/>
        <v>0</v>
      </c>
      <c r="BP76" s="18">
        <f t="shared" si="126"/>
        <v>0</v>
      </c>
      <c r="BQ76" s="18">
        <f t="shared" si="126"/>
        <v>0</v>
      </c>
      <c r="BR76" s="18">
        <f t="shared" si="126"/>
        <v>0</v>
      </c>
      <c r="BS76" s="18">
        <f t="shared" si="126"/>
        <v>0</v>
      </c>
      <c r="BT76" s="18">
        <f t="shared" si="126"/>
        <v>0</v>
      </c>
      <c r="BU76" s="18">
        <f t="shared" si="126"/>
        <v>0</v>
      </c>
      <c r="BV76" s="18">
        <f t="shared" si="126"/>
        <v>0</v>
      </c>
      <c r="BW76" s="18">
        <f t="shared" si="126"/>
        <v>0</v>
      </c>
      <c r="BX76" s="18">
        <f t="shared" si="126"/>
        <v>0</v>
      </c>
      <c r="BY76" s="18">
        <f t="shared" si="126"/>
        <v>0</v>
      </c>
      <c r="BZ76" s="18">
        <f t="shared" si="126"/>
        <v>0</v>
      </c>
      <c r="CA76" s="18">
        <f t="shared" si="126"/>
        <v>0</v>
      </c>
      <c r="CB76" s="18">
        <f t="shared" si="126"/>
        <v>0</v>
      </c>
      <c r="CC76" s="18">
        <f t="shared" si="126"/>
        <v>10000</v>
      </c>
      <c r="CD76" s="18">
        <f t="shared" si="126"/>
        <v>10000</v>
      </c>
      <c r="CE76" s="18">
        <f t="shared" si="126"/>
        <v>10000</v>
      </c>
      <c r="CF76" s="18">
        <f t="shared" si="126"/>
        <v>0</v>
      </c>
      <c r="CG76" s="18">
        <f t="shared" si="126"/>
        <v>10000</v>
      </c>
      <c r="CH76" s="18">
        <f t="shared" si="126"/>
        <v>0</v>
      </c>
      <c r="CI76" s="18">
        <f t="shared" si="126"/>
        <v>0</v>
      </c>
      <c r="CJ76" s="18">
        <f t="shared" si="126"/>
        <v>0</v>
      </c>
      <c r="CK76" s="18">
        <f t="shared" si="126"/>
        <v>0</v>
      </c>
      <c r="CL76" s="18">
        <f t="shared" si="126"/>
        <v>0</v>
      </c>
      <c r="CM76" s="18">
        <f t="shared" si="126"/>
        <v>0</v>
      </c>
      <c r="CN76" s="18">
        <f t="shared" si="126"/>
        <v>0</v>
      </c>
      <c r="CO76" s="18">
        <f t="shared" si="126"/>
        <v>0</v>
      </c>
      <c r="CP76" s="18">
        <f t="shared" si="126"/>
        <v>0</v>
      </c>
      <c r="CQ76" s="18"/>
      <c r="CR76" s="18"/>
      <c r="CS76" s="18"/>
      <c r="CT76" s="18"/>
      <c r="CU76" s="18">
        <f t="shared" si="126"/>
        <v>0</v>
      </c>
      <c r="CV76" s="73"/>
      <c r="CW76" s="73"/>
      <c r="CX76" s="73"/>
      <c r="CY76" s="73"/>
      <c r="CZ76" s="18">
        <f t="shared" si="126"/>
        <v>0</v>
      </c>
      <c r="DA76" s="18">
        <f t="shared" si="126"/>
        <v>0</v>
      </c>
      <c r="DB76" s="18">
        <f t="shared" si="126"/>
        <v>0</v>
      </c>
      <c r="DC76" s="46">
        <f t="shared" si="126"/>
        <v>0</v>
      </c>
      <c r="DD76" s="57"/>
    </row>
    <row r="77" spans="1:108" s="78" customFormat="1" ht="15.6" x14ac:dyDescent="0.3">
      <c r="A77" s="96" t="s">
        <v>1</v>
      </c>
      <c r="B77" s="71" t="s">
        <v>137</v>
      </c>
      <c r="C77" s="72" t="s">
        <v>138</v>
      </c>
      <c r="D77" s="74">
        <f>SUM(E77+CC77+CZ77)</f>
        <v>23288569</v>
      </c>
      <c r="E77" s="74">
        <f>SUM(F77+BC77)</f>
        <v>23278569</v>
      </c>
      <c r="F77" s="74">
        <f>SUM(G77+H77+I77+P77+S77+T77+U77+AD77)</f>
        <v>23278569</v>
      </c>
      <c r="G77" s="74">
        <v>19676499</v>
      </c>
      <c r="H77" s="74">
        <v>652395</v>
      </c>
      <c r="I77" s="74">
        <f t="shared" ref="I77:I150" si="127">SUM(J77:O77)</f>
        <v>1170164</v>
      </c>
      <c r="J77" s="75">
        <v>3363</v>
      </c>
      <c r="K77" s="75">
        <v>0</v>
      </c>
      <c r="L77" s="75">
        <v>0</v>
      </c>
      <c r="M77" s="75">
        <v>0</v>
      </c>
      <c r="N77" s="75">
        <v>820887</v>
      </c>
      <c r="O77" s="75">
        <v>345914</v>
      </c>
      <c r="P77" s="74">
        <f t="shared" ref="P77:P150" si="128">SUM(Q77:R77)</f>
        <v>0</v>
      </c>
      <c r="Q77" s="76"/>
      <c r="R77" s="76"/>
      <c r="S77" s="76"/>
      <c r="T77" s="75">
        <v>122540</v>
      </c>
      <c r="U77" s="74">
        <f>SUM(V77:AC77)</f>
        <v>1188390</v>
      </c>
      <c r="V77" s="75">
        <v>60000</v>
      </c>
      <c r="W77" s="75">
        <f>474606+125547</f>
        <v>600153</v>
      </c>
      <c r="X77" s="75">
        <f>313441+157977</f>
        <v>471418</v>
      </c>
      <c r="Y77" s="75">
        <f>32865+13007</f>
        <v>45872</v>
      </c>
      <c r="Z77" s="75">
        <v>10947</v>
      </c>
      <c r="AA77" s="75">
        <v>0</v>
      </c>
      <c r="AB77" s="75">
        <v>0</v>
      </c>
      <c r="AC77" s="75">
        <v>0</v>
      </c>
      <c r="AD77" s="74">
        <f>SUM(AE77:AY77)</f>
        <v>468581</v>
      </c>
      <c r="AE77" s="74">
        <v>0</v>
      </c>
      <c r="AF77" s="74">
        <v>0</v>
      </c>
      <c r="AG77" s="75">
        <v>6086</v>
      </c>
      <c r="AH77" s="75">
        <v>0</v>
      </c>
      <c r="AI77" s="75">
        <v>0</v>
      </c>
      <c r="AJ77" s="75">
        <v>0</v>
      </c>
      <c r="AK77" s="75">
        <v>0</v>
      </c>
      <c r="AL77" s="75">
        <v>0</v>
      </c>
      <c r="AM77" s="75">
        <v>40000</v>
      </c>
      <c r="AN77" s="75">
        <v>14550</v>
      </c>
      <c r="AO77" s="75">
        <v>730</v>
      </c>
      <c r="AP77" s="75">
        <v>0</v>
      </c>
      <c r="AQ77" s="75">
        <v>263646</v>
      </c>
      <c r="AR77" s="75">
        <v>33600</v>
      </c>
      <c r="AS77" s="75">
        <v>0</v>
      </c>
      <c r="AT77" s="75">
        <v>0</v>
      </c>
      <c r="AU77" s="75">
        <v>0</v>
      </c>
      <c r="AV77" s="75">
        <v>39089</v>
      </c>
      <c r="AW77" s="75">
        <v>65880</v>
      </c>
      <c r="AX77" s="75">
        <v>0</v>
      </c>
      <c r="AY77" s="75">
        <v>5000</v>
      </c>
      <c r="AZ77" s="75"/>
      <c r="BA77" s="75"/>
      <c r="BB77" s="75"/>
      <c r="BC77" s="74">
        <f>SUM(BD77+BH77+BL77+BN77+BQ77)</f>
        <v>0</v>
      </c>
      <c r="BD77" s="74">
        <f>SUM(BE77:BG77)</f>
        <v>0</v>
      </c>
      <c r="BE77" s="74">
        <v>0</v>
      </c>
      <c r="BF77" s="74">
        <v>0</v>
      </c>
      <c r="BG77" s="74">
        <v>0</v>
      </c>
      <c r="BH77" s="74">
        <f>SUM(BI77:BK77)</f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f t="shared" ref="BN77:BN150" si="129">SUM(BO77)</f>
        <v>0</v>
      </c>
      <c r="BO77" s="74">
        <v>0</v>
      </c>
      <c r="BP77" s="74">
        <v>0</v>
      </c>
      <c r="BQ77" s="74">
        <f>SUM(BR77:CB77)</f>
        <v>0</v>
      </c>
      <c r="BR77" s="74">
        <v>0</v>
      </c>
      <c r="BS77" s="74">
        <v>0</v>
      </c>
      <c r="BT77" s="74">
        <v>0</v>
      </c>
      <c r="BU77" s="74">
        <v>0</v>
      </c>
      <c r="BV77" s="74">
        <v>0</v>
      </c>
      <c r="BW77" s="74">
        <v>0</v>
      </c>
      <c r="BX77" s="74">
        <v>0</v>
      </c>
      <c r="BY77" s="74">
        <v>0</v>
      </c>
      <c r="BZ77" s="74">
        <v>0</v>
      </c>
      <c r="CA77" s="74"/>
      <c r="CB77" s="74">
        <v>0</v>
      </c>
      <c r="CC77" s="74">
        <f>SUM(CD77+CU77)</f>
        <v>10000</v>
      </c>
      <c r="CD77" s="74">
        <f>SUM(CE77+CH77+CN77)</f>
        <v>10000</v>
      </c>
      <c r="CE77" s="74">
        <f t="shared" ref="CE77:CE150" si="130">SUM(CF77:CG77)</f>
        <v>10000</v>
      </c>
      <c r="CF77" s="74">
        <v>0</v>
      </c>
      <c r="CG77" s="75">
        <v>10000</v>
      </c>
      <c r="CH77" s="74">
        <f>SUM(CI77:CM77)</f>
        <v>0</v>
      </c>
      <c r="CI77" s="74">
        <v>0</v>
      </c>
      <c r="CJ77" s="74">
        <v>0</v>
      </c>
      <c r="CK77" s="74"/>
      <c r="CL77" s="74">
        <v>0</v>
      </c>
      <c r="CM77" s="74">
        <v>0</v>
      </c>
      <c r="CN77" s="74">
        <f>SUM(CO77:CQ77)</f>
        <v>0</v>
      </c>
      <c r="CO77" s="76"/>
      <c r="CP77" s="74"/>
      <c r="CQ77" s="74"/>
      <c r="CR77" s="74"/>
      <c r="CS77" s="74"/>
      <c r="CT77" s="74"/>
      <c r="CU77" s="74">
        <v>0</v>
      </c>
      <c r="CV77" s="74"/>
      <c r="CW77" s="74"/>
      <c r="CX77" s="74"/>
      <c r="CY77" s="74"/>
      <c r="CZ77" s="74">
        <f t="shared" ref="CZ77:CZ150" si="131">SUM(DA77)</f>
        <v>0</v>
      </c>
      <c r="DA77" s="74">
        <f t="shared" ref="DA77:DA150" si="132">SUM(DB77:DC77)</f>
        <v>0</v>
      </c>
      <c r="DB77" s="74">
        <v>0</v>
      </c>
      <c r="DC77" s="77">
        <v>0</v>
      </c>
    </row>
    <row r="78" spans="1:108" s="58" customFormat="1" ht="31.2" x14ac:dyDescent="0.3">
      <c r="A78" s="93" t="s">
        <v>451</v>
      </c>
      <c r="B78" s="16" t="s">
        <v>1</v>
      </c>
      <c r="C78" s="17" t="s">
        <v>139</v>
      </c>
      <c r="D78" s="18">
        <f t="shared" ref="D78:AJ78" si="133">SUM(D79)</f>
        <v>26465058</v>
      </c>
      <c r="E78" s="18">
        <f t="shared" si="133"/>
        <v>26347857</v>
      </c>
      <c r="F78" s="18">
        <f t="shared" si="133"/>
        <v>26342978</v>
      </c>
      <c r="G78" s="18">
        <f t="shared" si="133"/>
        <v>22614648</v>
      </c>
      <c r="H78" s="18">
        <f t="shared" si="133"/>
        <v>1242172</v>
      </c>
      <c r="I78" s="18">
        <f t="shared" si="133"/>
        <v>984896</v>
      </c>
      <c r="J78" s="18">
        <f t="shared" si="133"/>
        <v>0</v>
      </c>
      <c r="K78" s="18">
        <f t="shared" si="133"/>
        <v>32934</v>
      </c>
      <c r="L78" s="18">
        <f t="shared" si="133"/>
        <v>0</v>
      </c>
      <c r="M78" s="18">
        <f t="shared" si="133"/>
        <v>0</v>
      </c>
      <c r="N78" s="18">
        <f t="shared" si="133"/>
        <v>682641</v>
      </c>
      <c r="O78" s="18">
        <f t="shared" si="133"/>
        <v>269321</v>
      </c>
      <c r="P78" s="18">
        <f t="shared" si="133"/>
        <v>7776</v>
      </c>
      <c r="Q78" s="18">
        <f t="shared" si="133"/>
        <v>7776</v>
      </c>
      <c r="R78" s="18">
        <f t="shared" si="133"/>
        <v>0</v>
      </c>
      <c r="S78" s="18">
        <f t="shared" si="133"/>
        <v>0</v>
      </c>
      <c r="T78" s="18">
        <f t="shared" si="133"/>
        <v>103628</v>
      </c>
      <c r="U78" s="18">
        <f t="shared" si="133"/>
        <v>821958</v>
      </c>
      <c r="V78" s="18">
        <f t="shared" si="133"/>
        <v>118459</v>
      </c>
      <c r="W78" s="18">
        <f t="shared" si="133"/>
        <v>142778</v>
      </c>
      <c r="X78" s="18">
        <f t="shared" si="133"/>
        <v>395570</v>
      </c>
      <c r="Y78" s="18">
        <f t="shared" si="133"/>
        <v>43089</v>
      </c>
      <c r="Z78" s="18">
        <f t="shared" si="133"/>
        <v>10629</v>
      </c>
      <c r="AA78" s="18">
        <f t="shared" si="133"/>
        <v>34</v>
      </c>
      <c r="AB78" s="18">
        <f t="shared" si="133"/>
        <v>0</v>
      </c>
      <c r="AC78" s="18">
        <f t="shared" si="133"/>
        <v>111399</v>
      </c>
      <c r="AD78" s="18">
        <f t="shared" si="133"/>
        <v>567900</v>
      </c>
      <c r="AE78" s="18">
        <f t="shared" si="133"/>
        <v>0</v>
      </c>
      <c r="AF78" s="18">
        <f t="shared" si="133"/>
        <v>0</v>
      </c>
      <c r="AG78" s="18">
        <f t="shared" si="133"/>
        <v>1960</v>
      </c>
      <c r="AH78" s="18">
        <f t="shared" si="133"/>
        <v>206895</v>
      </c>
      <c r="AI78" s="18">
        <f t="shared" si="133"/>
        <v>0</v>
      </c>
      <c r="AJ78" s="18">
        <f t="shared" si="133"/>
        <v>0</v>
      </c>
      <c r="AK78" s="18">
        <f t="shared" ref="AK78:DC78" si="134">SUM(AK79)</f>
        <v>0</v>
      </c>
      <c r="AL78" s="18">
        <f t="shared" si="134"/>
        <v>0</v>
      </c>
      <c r="AM78" s="18">
        <f t="shared" si="134"/>
        <v>32826</v>
      </c>
      <c r="AN78" s="18">
        <f t="shared" si="134"/>
        <v>18042</v>
      </c>
      <c r="AO78" s="18">
        <f t="shared" si="134"/>
        <v>0</v>
      </c>
      <c r="AP78" s="18">
        <f t="shared" si="134"/>
        <v>0</v>
      </c>
      <c r="AQ78" s="18">
        <f t="shared" si="134"/>
        <v>247248</v>
      </c>
      <c r="AR78" s="18">
        <f t="shared" si="134"/>
        <v>0</v>
      </c>
      <c r="AS78" s="18"/>
      <c r="AT78" s="18"/>
      <c r="AU78" s="18">
        <f t="shared" si="134"/>
        <v>0</v>
      </c>
      <c r="AV78" s="18">
        <f t="shared" si="134"/>
        <v>0</v>
      </c>
      <c r="AW78" s="18">
        <f t="shared" si="134"/>
        <v>0</v>
      </c>
      <c r="AX78" s="18"/>
      <c r="AY78" s="18">
        <f t="shared" si="134"/>
        <v>60929</v>
      </c>
      <c r="AZ78" s="18"/>
      <c r="BA78" s="18"/>
      <c r="BB78" s="18"/>
      <c r="BC78" s="18">
        <f t="shared" si="134"/>
        <v>4879</v>
      </c>
      <c r="BD78" s="18">
        <f t="shared" si="134"/>
        <v>0</v>
      </c>
      <c r="BE78" s="18">
        <f t="shared" si="134"/>
        <v>0</v>
      </c>
      <c r="BF78" s="18">
        <f t="shared" si="134"/>
        <v>0</v>
      </c>
      <c r="BG78" s="18">
        <f t="shared" si="134"/>
        <v>0</v>
      </c>
      <c r="BH78" s="18">
        <f t="shared" si="134"/>
        <v>0</v>
      </c>
      <c r="BI78" s="18">
        <f t="shared" si="134"/>
        <v>0</v>
      </c>
      <c r="BJ78" s="18">
        <f t="shared" si="134"/>
        <v>0</v>
      </c>
      <c r="BK78" s="18">
        <f t="shared" si="134"/>
        <v>0</v>
      </c>
      <c r="BL78" s="18">
        <f t="shared" si="134"/>
        <v>0</v>
      </c>
      <c r="BM78" s="18">
        <f t="shared" si="134"/>
        <v>0</v>
      </c>
      <c r="BN78" s="18">
        <f t="shared" si="134"/>
        <v>0</v>
      </c>
      <c r="BO78" s="18">
        <f t="shared" si="134"/>
        <v>0</v>
      </c>
      <c r="BP78" s="18">
        <f t="shared" si="134"/>
        <v>0</v>
      </c>
      <c r="BQ78" s="18">
        <f t="shared" si="134"/>
        <v>4879</v>
      </c>
      <c r="BR78" s="18">
        <f t="shared" si="134"/>
        <v>0</v>
      </c>
      <c r="BS78" s="18">
        <f t="shared" si="134"/>
        <v>0</v>
      </c>
      <c r="BT78" s="18">
        <f t="shared" si="134"/>
        <v>0</v>
      </c>
      <c r="BU78" s="18">
        <f t="shared" si="134"/>
        <v>0</v>
      </c>
      <c r="BV78" s="18">
        <f t="shared" si="134"/>
        <v>0</v>
      </c>
      <c r="BW78" s="18">
        <f t="shared" si="134"/>
        <v>0</v>
      </c>
      <c r="BX78" s="18">
        <f t="shared" si="134"/>
        <v>0</v>
      </c>
      <c r="BY78" s="18">
        <f t="shared" si="134"/>
        <v>0</v>
      </c>
      <c r="BZ78" s="18">
        <f t="shared" si="134"/>
        <v>0</v>
      </c>
      <c r="CA78" s="18">
        <f t="shared" si="134"/>
        <v>4879</v>
      </c>
      <c r="CB78" s="18">
        <f t="shared" si="134"/>
        <v>0</v>
      </c>
      <c r="CC78" s="18">
        <f t="shared" si="134"/>
        <v>117201</v>
      </c>
      <c r="CD78" s="18">
        <f t="shared" si="134"/>
        <v>117201</v>
      </c>
      <c r="CE78" s="18">
        <f t="shared" si="134"/>
        <v>117201</v>
      </c>
      <c r="CF78" s="18">
        <f t="shared" si="134"/>
        <v>0</v>
      </c>
      <c r="CG78" s="18">
        <f t="shared" si="134"/>
        <v>117201</v>
      </c>
      <c r="CH78" s="18">
        <f t="shared" si="134"/>
        <v>0</v>
      </c>
      <c r="CI78" s="18">
        <f t="shared" si="134"/>
        <v>0</v>
      </c>
      <c r="CJ78" s="18">
        <f t="shared" si="134"/>
        <v>0</v>
      </c>
      <c r="CK78" s="18">
        <f t="shared" si="134"/>
        <v>0</v>
      </c>
      <c r="CL78" s="18">
        <f t="shared" si="134"/>
        <v>0</v>
      </c>
      <c r="CM78" s="18">
        <f t="shared" si="134"/>
        <v>0</v>
      </c>
      <c r="CN78" s="18">
        <f t="shared" si="134"/>
        <v>0</v>
      </c>
      <c r="CO78" s="18">
        <f t="shared" si="134"/>
        <v>0</v>
      </c>
      <c r="CP78" s="18">
        <f t="shared" si="134"/>
        <v>0</v>
      </c>
      <c r="CQ78" s="18"/>
      <c r="CR78" s="18"/>
      <c r="CS78" s="18"/>
      <c r="CT78" s="18"/>
      <c r="CU78" s="18">
        <f t="shared" si="134"/>
        <v>0</v>
      </c>
      <c r="CV78" s="73"/>
      <c r="CW78" s="73"/>
      <c r="CX78" s="73"/>
      <c r="CY78" s="73"/>
      <c r="CZ78" s="18">
        <f t="shared" si="134"/>
        <v>0</v>
      </c>
      <c r="DA78" s="18">
        <f t="shared" si="134"/>
        <v>0</v>
      </c>
      <c r="DB78" s="18">
        <f t="shared" si="134"/>
        <v>0</v>
      </c>
      <c r="DC78" s="46">
        <f t="shared" si="134"/>
        <v>0</v>
      </c>
      <c r="DD78" s="57"/>
    </row>
    <row r="79" spans="1:108" s="78" customFormat="1" ht="15.6" x14ac:dyDescent="0.3">
      <c r="A79" s="96" t="s">
        <v>1</v>
      </c>
      <c r="B79" s="71" t="s">
        <v>140</v>
      </c>
      <c r="C79" s="72" t="s">
        <v>141</v>
      </c>
      <c r="D79" s="74">
        <f>SUM(E79+CC79+CZ79)</f>
        <v>26465058</v>
      </c>
      <c r="E79" s="74">
        <f>SUM(F79+BC79)</f>
        <v>26347857</v>
      </c>
      <c r="F79" s="74">
        <f>SUM(G79+H79+I79+P79+S79+T79+U79+AD79)</f>
        <v>26342978</v>
      </c>
      <c r="G79" s="74">
        <v>22614648</v>
      </c>
      <c r="H79" s="74">
        <v>1242172</v>
      </c>
      <c r="I79" s="74">
        <f t="shared" si="127"/>
        <v>984896</v>
      </c>
      <c r="J79" s="75">
        <v>0</v>
      </c>
      <c r="K79" s="75">
        <v>32934</v>
      </c>
      <c r="L79" s="75">
        <v>0</v>
      </c>
      <c r="M79" s="75">
        <v>0</v>
      </c>
      <c r="N79" s="75">
        <v>682641</v>
      </c>
      <c r="O79" s="75">
        <v>269321</v>
      </c>
      <c r="P79" s="74">
        <f t="shared" si="128"/>
        <v>7776</v>
      </c>
      <c r="Q79" s="75">
        <v>7776</v>
      </c>
      <c r="R79" s="75">
        <v>0</v>
      </c>
      <c r="S79" s="75">
        <v>0</v>
      </c>
      <c r="T79" s="75">
        <v>103628</v>
      </c>
      <c r="U79" s="74">
        <f>SUM(V79:AC79)</f>
        <v>821958</v>
      </c>
      <c r="V79" s="75">
        <v>118459</v>
      </c>
      <c r="W79" s="75">
        <f>106023+36755</f>
        <v>142778</v>
      </c>
      <c r="X79" s="75">
        <f>232205+163365</f>
        <v>395570</v>
      </c>
      <c r="Y79" s="75">
        <f>31371+11718</f>
        <v>43089</v>
      </c>
      <c r="Z79" s="75">
        <v>10629</v>
      </c>
      <c r="AA79" s="75">
        <v>34</v>
      </c>
      <c r="AB79" s="75">
        <v>0</v>
      </c>
      <c r="AC79" s="75">
        <f>88231+23168</f>
        <v>111399</v>
      </c>
      <c r="AD79" s="74">
        <f>SUM(AE79:AY79)</f>
        <v>567900</v>
      </c>
      <c r="AE79" s="74">
        <v>0</v>
      </c>
      <c r="AF79" s="74">
        <v>0</v>
      </c>
      <c r="AG79" s="75">
        <v>1960</v>
      </c>
      <c r="AH79" s="75">
        <v>206895</v>
      </c>
      <c r="AI79" s="75">
        <v>0</v>
      </c>
      <c r="AJ79" s="75">
        <v>0</v>
      </c>
      <c r="AK79" s="75">
        <v>0</v>
      </c>
      <c r="AL79" s="75">
        <v>0</v>
      </c>
      <c r="AM79" s="75">
        <v>32826</v>
      </c>
      <c r="AN79" s="75">
        <v>18042</v>
      </c>
      <c r="AO79" s="75">
        <v>0</v>
      </c>
      <c r="AP79" s="75">
        <v>0</v>
      </c>
      <c r="AQ79" s="75">
        <v>247248</v>
      </c>
      <c r="AR79" s="75">
        <v>0</v>
      </c>
      <c r="AS79" s="75">
        <v>0</v>
      </c>
      <c r="AT79" s="75">
        <v>0</v>
      </c>
      <c r="AU79" s="75">
        <v>0</v>
      </c>
      <c r="AV79" s="75">
        <v>0</v>
      </c>
      <c r="AW79" s="75">
        <v>0</v>
      </c>
      <c r="AX79" s="75">
        <v>0</v>
      </c>
      <c r="AY79" s="75">
        <v>60929</v>
      </c>
      <c r="AZ79" s="75"/>
      <c r="BA79" s="75"/>
      <c r="BB79" s="75"/>
      <c r="BC79" s="74">
        <f>SUM(BD79+BH79+BL79+BN79+BQ79)</f>
        <v>4879</v>
      </c>
      <c r="BD79" s="74">
        <f>SUM(BE79:BG79)</f>
        <v>0</v>
      </c>
      <c r="BE79" s="74">
        <v>0</v>
      </c>
      <c r="BF79" s="74">
        <v>0</v>
      </c>
      <c r="BG79" s="74">
        <v>0</v>
      </c>
      <c r="BH79" s="74">
        <f>SUM(BI79:BK79)</f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f t="shared" si="129"/>
        <v>0</v>
      </c>
      <c r="BO79" s="74">
        <v>0</v>
      </c>
      <c r="BP79" s="74">
        <v>0</v>
      </c>
      <c r="BQ79" s="74">
        <f>SUM(BR79:CB79)</f>
        <v>4879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4879</v>
      </c>
      <c r="CB79" s="74">
        <v>0</v>
      </c>
      <c r="CC79" s="74">
        <f>SUM(CD79+CU79)</f>
        <v>117201</v>
      </c>
      <c r="CD79" s="74">
        <f>SUM(CE79+CH79+CN79)</f>
        <v>117201</v>
      </c>
      <c r="CE79" s="74">
        <f t="shared" si="130"/>
        <v>117201</v>
      </c>
      <c r="CF79" s="74">
        <v>0</v>
      </c>
      <c r="CG79" s="75">
        <v>117201</v>
      </c>
      <c r="CH79" s="74">
        <f>SUM(CI79:CM79)</f>
        <v>0</v>
      </c>
      <c r="CI79" s="74">
        <v>0</v>
      </c>
      <c r="CJ79" s="74">
        <v>0</v>
      </c>
      <c r="CK79" s="75"/>
      <c r="CL79" s="75"/>
      <c r="CM79" s="75"/>
      <c r="CN79" s="74">
        <f>SUM(CO79:CQ79)</f>
        <v>0</v>
      </c>
      <c r="CO79" s="74"/>
      <c r="CP79" s="75"/>
      <c r="CQ79" s="74"/>
      <c r="CR79" s="74"/>
      <c r="CS79" s="74"/>
      <c r="CT79" s="74"/>
      <c r="CU79" s="74">
        <v>0</v>
      </c>
      <c r="CV79" s="74"/>
      <c r="CW79" s="74"/>
      <c r="CX79" s="74"/>
      <c r="CY79" s="74"/>
      <c r="CZ79" s="74">
        <f t="shared" si="131"/>
        <v>0</v>
      </c>
      <c r="DA79" s="74">
        <f t="shared" si="132"/>
        <v>0</v>
      </c>
      <c r="DB79" s="74">
        <v>0</v>
      </c>
      <c r="DC79" s="77">
        <v>0</v>
      </c>
    </row>
    <row r="80" spans="1:108" s="58" customFormat="1" ht="15.6" x14ac:dyDescent="0.3">
      <c r="A80" s="93" t="s">
        <v>142</v>
      </c>
      <c r="B80" s="16" t="s">
        <v>1</v>
      </c>
      <c r="C80" s="17" t="s">
        <v>143</v>
      </c>
      <c r="D80" s="18">
        <f t="shared" ref="D80:AJ82" si="135">SUM(D81)</f>
        <v>9323686</v>
      </c>
      <c r="E80" s="18">
        <f t="shared" si="135"/>
        <v>9289106</v>
      </c>
      <c r="F80" s="18">
        <f t="shared" si="135"/>
        <v>9289106</v>
      </c>
      <c r="G80" s="18">
        <f t="shared" si="135"/>
        <v>6927367</v>
      </c>
      <c r="H80" s="18">
        <f t="shared" si="135"/>
        <v>1570272</v>
      </c>
      <c r="I80" s="18">
        <f t="shared" si="135"/>
        <v>259112</v>
      </c>
      <c r="J80" s="18">
        <f t="shared" si="135"/>
        <v>0</v>
      </c>
      <c r="K80" s="18">
        <f t="shared" si="135"/>
        <v>0</v>
      </c>
      <c r="L80" s="18">
        <f t="shared" si="135"/>
        <v>0</v>
      </c>
      <c r="M80" s="18">
        <f t="shared" si="135"/>
        <v>0</v>
      </c>
      <c r="N80" s="18">
        <f>N81</f>
        <v>234699</v>
      </c>
      <c r="O80" s="18">
        <f>O81</f>
        <v>24413</v>
      </c>
      <c r="P80" s="18">
        <f t="shared" si="135"/>
        <v>0</v>
      </c>
      <c r="Q80" s="18">
        <f t="shared" si="135"/>
        <v>0</v>
      </c>
      <c r="R80" s="18">
        <f t="shared" si="135"/>
        <v>0</v>
      </c>
      <c r="S80" s="18">
        <f t="shared" si="135"/>
        <v>0</v>
      </c>
      <c r="T80" s="18">
        <f t="shared" si="135"/>
        <v>89458</v>
      </c>
      <c r="U80" s="18">
        <f t="shared" si="135"/>
        <v>381098</v>
      </c>
      <c r="V80" s="18">
        <f t="shared" si="135"/>
        <v>0</v>
      </c>
      <c r="W80" s="18">
        <f t="shared" si="135"/>
        <v>226036</v>
      </c>
      <c r="X80" s="18">
        <f t="shared" si="135"/>
        <v>137131</v>
      </c>
      <c r="Y80" s="18">
        <f t="shared" si="135"/>
        <v>13492</v>
      </c>
      <c r="Z80" s="18">
        <f t="shared" si="135"/>
        <v>4439</v>
      </c>
      <c r="AA80" s="18">
        <f t="shared" si="135"/>
        <v>0</v>
      </c>
      <c r="AB80" s="18">
        <f t="shared" si="135"/>
        <v>0</v>
      </c>
      <c r="AC80" s="18">
        <f t="shared" si="135"/>
        <v>0</v>
      </c>
      <c r="AD80" s="18">
        <f t="shared" si="135"/>
        <v>61799</v>
      </c>
      <c r="AE80" s="18">
        <f t="shared" si="135"/>
        <v>0</v>
      </c>
      <c r="AF80" s="18">
        <f t="shared" si="135"/>
        <v>0</v>
      </c>
      <c r="AG80" s="18">
        <f t="shared" si="135"/>
        <v>8998</v>
      </c>
      <c r="AH80" s="18">
        <f t="shared" si="135"/>
        <v>24200</v>
      </c>
      <c r="AI80" s="18">
        <f t="shared" si="135"/>
        <v>0</v>
      </c>
      <c r="AJ80" s="18">
        <f t="shared" si="135"/>
        <v>0</v>
      </c>
      <c r="AK80" s="18">
        <f t="shared" ref="AK80:DB82" si="136">SUM(AK81)</f>
        <v>0</v>
      </c>
      <c r="AL80" s="18">
        <f t="shared" si="136"/>
        <v>0</v>
      </c>
      <c r="AM80" s="18">
        <f t="shared" si="136"/>
        <v>0</v>
      </c>
      <c r="AN80" s="18">
        <f t="shared" si="136"/>
        <v>12000</v>
      </c>
      <c r="AO80" s="18">
        <f t="shared" si="136"/>
        <v>0</v>
      </c>
      <c r="AP80" s="18">
        <f t="shared" si="136"/>
        <v>0</v>
      </c>
      <c r="AQ80" s="18">
        <f t="shared" si="136"/>
        <v>16601</v>
      </c>
      <c r="AR80" s="18">
        <f t="shared" si="136"/>
        <v>0</v>
      </c>
      <c r="AS80" s="18"/>
      <c r="AT80" s="18"/>
      <c r="AU80" s="18">
        <f t="shared" si="136"/>
        <v>0</v>
      </c>
      <c r="AV80" s="18">
        <f t="shared" si="136"/>
        <v>0</v>
      </c>
      <c r="AW80" s="18">
        <f t="shared" si="136"/>
        <v>0</v>
      </c>
      <c r="AX80" s="18"/>
      <c r="AY80" s="18">
        <f t="shared" si="136"/>
        <v>0</v>
      </c>
      <c r="AZ80" s="18"/>
      <c r="BA80" s="18"/>
      <c r="BB80" s="18"/>
      <c r="BC80" s="18">
        <f t="shared" si="136"/>
        <v>0</v>
      </c>
      <c r="BD80" s="18">
        <f t="shared" si="136"/>
        <v>0</v>
      </c>
      <c r="BE80" s="18">
        <f t="shared" si="136"/>
        <v>0</v>
      </c>
      <c r="BF80" s="18">
        <f t="shared" si="136"/>
        <v>0</v>
      </c>
      <c r="BG80" s="18">
        <f t="shared" si="136"/>
        <v>0</v>
      </c>
      <c r="BH80" s="18">
        <f t="shared" si="136"/>
        <v>0</v>
      </c>
      <c r="BI80" s="18">
        <f t="shared" si="136"/>
        <v>0</v>
      </c>
      <c r="BJ80" s="18">
        <f t="shared" si="136"/>
        <v>0</v>
      </c>
      <c r="BK80" s="18">
        <f t="shared" si="136"/>
        <v>0</v>
      </c>
      <c r="BL80" s="18">
        <f t="shared" si="136"/>
        <v>0</v>
      </c>
      <c r="BM80" s="18">
        <f t="shared" si="136"/>
        <v>0</v>
      </c>
      <c r="BN80" s="18">
        <f t="shared" si="136"/>
        <v>0</v>
      </c>
      <c r="BO80" s="18">
        <f t="shared" si="136"/>
        <v>0</v>
      </c>
      <c r="BP80" s="18">
        <f t="shared" si="136"/>
        <v>0</v>
      </c>
      <c r="BQ80" s="18">
        <f t="shared" si="136"/>
        <v>0</v>
      </c>
      <c r="BR80" s="18">
        <f t="shared" si="136"/>
        <v>0</v>
      </c>
      <c r="BS80" s="18">
        <f t="shared" si="136"/>
        <v>0</v>
      </c>
      <c r="BT80" s="18">
        <f t="shared" si="136"/>
        <v>0</v>
      </c>
      <c r="BU80" s="18">
        <f t="shared" si="136"/>
        <v>0</v>
      </c>
      <c r="BV80" s="18">
        <f t="shared" si="136"/>
        <v>0</v>
      </c>
      <c r="BW80" s="18">
        <f t="shared" si="136"/>
        <v>0</v>
      </c>
      <c r="BX80" s="18">
        <f t="shared" si="136"/>
        <v>0</v>
      </c>
      <c r="BY80" s="18">
        <f t="shared" si="136"/>
        <v>0</v>
      </c>
      <c r="BZ80" s="18">
        <f t="shared" si="136"/>
        <v>0</v>
      </c>
      <c r="CA80" s="18">
        <f t="shared" si="136"/>
        <v>0</v>
      </c>
      <c r="CB80" s="18">
        <f t="shared" si="136"/>
        <v>0</v>
      </c>
      <c r="CC80" s="18">
        <f t="shared" si="136"/>
        <v>34580</v>
      </c>
      <c r="CD80" s="18">
        <f t="shared" si="136"/>
        <v>34580</v>
      </c>
      <c r="CE80" s="18">
        <f t="shared" si="136"/>
        <v>34580</v>
      </c>
      <c r="CF80" s="18">
        <f t="shared" si="136"/>
        <v>0</v>
      </c>
      <c r="CG80" s="18">
        <f t="shared" si="136"/>
        <v>34580</v>
      </c>
      <c r="CH80" s="18">
        <f t="shared" si="136"/>
        <v>0</v>
      </c>
      <c r="CI80" s="18">
        <f t="shared" si="136"/>
        <v>0</v>
      </c>
      <c r="CJ80" s="18">
        <f t="shared" si="136"/>
        <v>0</v>
      </c>
      <c r="CK80" s="18">
        <f t="shared" si="136"/>
        <v>0</v>
      </c>
      <c r="CL80" s="18">
        <f t="shared" si="136"/>
        <v>0</v>
      </c>
      <c r="CM80" s="18">
        <f t="shared" si="136"/>
        <v>0</v>
      </c>
      <c r="CN80" s="18">
        <f t="shared" si="136"/>
        <v>0</v>
      </c>
      <c r="CO80" s="18">
        <f t="shared" si="136"/>
        <v>0</v>
      </c>
      <c r="CP80" s="18">
        <f t="shared" si="136"/>
        <v>0</v>
      </c>
      <c r="CQ80" s="18"/>
      <c r="CR80" s="18"/>
      <c r="CS80" s="18"/>
      <c r="CT80" s="18"/>
      <c r="CU80" s="18">
        <f t="shared" si="136"/>
        <v>0</v>
      </c>
      <c r="CV80" s="73"/>
      <c r="CW80" s="73"/>
      <c r="CX80" s="73"/>
      <c r="CY80" s="73"/>
      <c r="CZ80" s="18">
        <f t="shared" si="136"/>
        <v>0</v>
      </c>
      <c r="DA80" s="18">
        <f t="shared" si="136"/>
        <v>0</v>
      </c>
      <c r="DB80" s="18">
        <f t="shared" si="136"/>
        <v>0</v>
      </c>
      <c r="DC80" s="46">
        <f t="shared" ref="DC80:DC82" si="137">SUM(DC81)</f>
        <v>0</v>
      </c>
      <c r="DD80" s="57"/>
    </row>
    <row r="81" spans="1:108" s="78" customFormat="1" ht="15.6" x14ac:dyDescent="0.3">
      <c r="A81" s="96" t="s">
        <v>1</v>
      </c>
      <c r="B81" s="71" t="s">
        <v>144</v>
      </c>
      <c r="C81" s="72" t="s">
        <v>145</v>
      </c>
      <c r="D81" s="74">
        <f>SUM(E81+CC81+CZ81)</f>
        <v>9323686</v>
      </c>
      <c r="E81" s="74">
        <f>SUM(F81+BC81)</f>
        <v>9289106</v>
      </c>
      <c r="F81" s="74">
        <f>SUM(G81+H81+I81+P81+S81+T81+U81+AD81)</f>
        <v>9289106</v>
      </c>
      <c r="G81" s="74">
        <v>6927367</v>
      </c>
      <c r="H81" s="74">
        <v>1570272</v>
      </c>
      <c r="I81" s="74">
        <f t="shared" si="127"/>
        <v>259112</v>
      </c>
      <c r="J81" s="74">
        <v>0</v>
      </c>
      <c r="K81" s="74">
        <v>0</v>
      </c>
      <c r="L81" s="74">
        <v>0</v>
      </c>
      <c r="M81" s="74">
        <v>0</v>
      </c>
      <c r="N81" s="75">
        <v>234699</v>
      </c>
      <c r="O81" s="75">
        <v>24413</v>
      </c>
      <c r="P81" s="74">
        <f t="shared" si="128"/>
        <v>0</v>
      </c>
      <c r="Q81" s="74">
        <v>0</v>
      </c>
      <c r="R81" s="74">
        <v>0</v>
      </c>
      <c r="S81" s="74">
        <v>0</v>
      </c>
      <c r="T81" s="75">
        <v>89458</v>
      </c>
      <c r="U81" s="74">
        <f>SUM(V81:AC81)</f>
        <v>381098</v>
      </c>
      <c r="V81" s="75">
        <v>0</v>
      </c>
      <c r="W81" s="75">
        <f>180786+45250</f>
        <v>226036</v>
      </c>
      <c r="X81" s="75">
        <f>96454+40677</f>
        <v>137131</v>
      </c>
      <c r="Y81" s="75">
        <f>10094+3398</f>
        <v>13492</v>
      </c>
      <c r="Z81" s="75">
        <v>4439</v>
      </c>
      <c r="AA81" s="75">
        <v>0</v>
      </c>
      <c r="AB81" s="75">
        <v>0</v>
      </c>
      <c r="AC81" s="75">
        <v>0</v>
      </c>
      <c r="AD81" s="74">
        <f>SUM(AE81:AY81)</f>
        <v>61799</v>
      </c>
      <c r="AE81" s="74">
        <v>0</v>
      </c>
      <c r="AF81" s="74">
        <v>0</v>
      </c>
      <c r="AG81" s="75">
        <v>8998</v>
      </c>
      <c r="AH81" s="75">
        <v>24200</v>
      </c>
      <c r="AI81" s="75">
        <v>0</v>
      </c>
      <c r="AJ81" s="75">
        <v>0</v>
      </c>
      <c r="AK81" s="75">
        <v>0</v>
      </c>
      <c r="AL81" s="75">
        <v>0</v>
      </c>
      <c r="AM81" s="75">
        <v>0</v>
      </c>
      <c r="AN81" s="75">
        <v>12000</v>
      </c>
      <c r="AO81" s="75">
        <v>0</v>
      </c>
      <c r="AP81" s="75">
        <v>0</v>
      </c>
      <c r="AQ81" s="75">
        <v>16601</v>
      </c>
      <c r="AR81" s="75">
        <v>0</v>
      </c>
      <c r="AS81" s="75">
        <v>0</v>
      </c>
      <c r="AT81" s="75">
        <v>0</v>
      </c>
      <c r="AU81" s="75">
        <v>0</v>
      </c>
      <c r="AV81" s="75">
        <v>0</v>
      </c>
      <c r="AW81" s="75">
        <v>0</v>
      </c>
      <c r="AX81" s="75">
        <v>0</v>
      </c>
      <c r="AY81" s="75">
        <v>0</v>
      </c>
      <c r="AZ81" s="75"/>
      <c r="BA81" s="75"/>
      <c r="BB81" s="75"/>
      <c r="BC81" s="74">
        <f>SUM(BD81+BH81+BL81+BN81+BQ81)</f>
        <v>0</v>
      </c>
      <c r="BD81" s="74">
        <f>SUM(BE81:BG81)</f>
        <v>0</v>
      </c>
      <c r="BE81" s="74">
        <v>0</v>
      </c>
      <c r="BF81" s="74">
        <v>0</v>
      </c>
      <c r="BG81" s="74">
        <v>0</v>
      </c>
      <c r="BH81" s="74">
        <f>SUM(BI81:BK81)</f>
        <v>0</v>
      </c>
      <c r="BI81" s="74">
        <v>0</v>
      </c>
      <c r="BJ81" s="74">
        <v>0</v>
      </c>
      <c r="BK81" s="74">
        <v>0</v>
      </c>
      <c r="BL81" s="74">
        <v>0</v>
      </c>
      <c r="BM81" s="74">
        <v>0</v>
      </c>
      <c r="BN81" s="74">
        <f t="shared" si="129"/>
        <v>0</v>
      </c>
      <c r="BO81" s="74">
        <v>0</v>
      </c>
      <c r="BP81" s="74">
        <v>0</v>
      </c>
      <c r="BQ81" s="74">
        <f>SUM(BR81:CB81)</f>
        <v>0</v>
      </c>
      <c r="BR81" s="74">
        <v>0</v>
      </c>
      <c r="BS81" s="74">
        <v>0</v>
      </c>
      <c r="BT81" s="74">
        <v>0</v>
      </c>
      <c r="BU81" s="74">
        <v>0</v>
      </c>
      <c r="BV81" s="74">
        <v>0</v>
      </c>
      <c r="BW81" s="74">
        <v>0</v>
      </c>
      <c r="BX81" s="74">
        <v>0</v>
      </c>
      <c r="BY81" s="74">
        <v>0</v>
      </c>
      <c r="BZ81" s="74">
        <v>0</v>
      </c>
      <c r="CA81" s="74">
        <f>6518-6518</f>
        <v>0</v>
      </c>
      <c r="CB81" s="74">
        <v>0</v>
      </c>
      <c r="CC81" s="74">
        <f>SUM(CD81+CU81)</f>
        <v>34580</v>
      </c>
      <c r="CD81" s="74">
        <f>SUM(CE81+CH81+CN81)</f>
        <v>34580</v>
      </c>
      <c r="CE81" s="74">
        <f t="shared" si="130"/>
        <v>34580</v>
      </c>
      <c r="CF81" s="74">
        <v>0</v>
      </c>
      <c r="CG81" s="75">
        <v>34580</v>
      </c>
      <c r="CH81" s="74">
        <f>SUM(CI81:CM81)</f>
        <v>0</v>
      </c>
      <c r="CI81" s="74">
        <v>0</v>
      </c>
      <c r="CJ81" s="74">
        <v>0</v>
      </c>
      <c r="CK81" s="74">
        <v>0</v>
      </c>
      <c r="CL81" s="74">
        <v>0</v>
      </c>
      <c r="CM81" s="74">
        <v>0</v>
      </c>
      <c r="CN81" s="74">
        <f>SUM(CO81:CQ81)</f>
        <v>0</v>
      </c>
      <c r="CO81" s="74">
        <v>0</v>
      </c>
      <c r="CP81" s="74">
        <v>0</v>
      </c>
      <c r="CQ81" s="74"/>
      <c r="CR81" s="74"/>
      <c r="CS81" s="74"/>
      <c r="CT81" s="74"/>
      <c r="CU81" s="74">
        <v>0</v>
      </c>
      <c r="CV81" s="74"/>
      <c r="CW81" s="74"/>
      <c r="CX81" s="74"/>
      <c r="CY81" s="74"/>
      <c r="CZ81" s="74">
        <f t="shared" si="131"/>
        <v>0</v>
      </c>
      <c r="DA81" s="74">
        <f t="shared" si="132"/>
        <v>0</v>
      </c>
      <c r="DB81" s="74">
        <v>0</v>
      </c>
      <c r="DC81" s="77">
        <v>0</v>
      </c>
    </row>
    <row r="82" spans="1:108" s="58" customFormat="1" ht="15.6" x14ac:dyDescent="0.3">
      <c r="A82" s="93" t="s">
        <v>146</v>
      </c>
      <c r="B82" s="16" t="s">
        <v>1</v>
      </c>
      <c r="C82" s="30" t="s">
        <v>321</v>
      </c>
      <c r="D82" s="18">
        <f t="shared" si="135"/>
        <v>65553242</v>
      </c>
      <c r="E82" s="18">
        <f t="shared" si="135"/>
        <v>65276395</v>
      </c>
      <c r="F82" s="18">
        <f t="shared" si="135"/>
        <v>64104579</v>
      </c>
      <c r="G82" s="18">
        <f t="shared" si="135"/>
        <v>35749463</v>
      </c>
      <c r="H82" s="18">
        <f t="shared" si="135"/>
        <v>339850</v>
      </c>
      <c r="I82" s="18">
        <f t="shared" si="135"/>
        <v>3455449</v>
      </c>
      <c r="J82" s="18">
        <f t="shared" si="135"/>
        <v>59537</v>
      </c>
      <c r="K82" s="18">
        <f t="shared" si="135"/>
        <v>227280</v>
      </c>
      <c r="L82" s="18">
        <f t="shared" si="135"/>
        <v>0</v>
      </c>
      <c r="M82" s="18">
        <f t="shared" si="135"/>
        <v>25000</v>
      </c>
      <c r="N82" s="18">
        <f t="shared" si="135"/>
        <v>2650145</v>
      </c>
      <c r="O82" s="18">
        <f t="shared" si="135"/>
        <v>493487</v>
      </c>
      <c r="P82" s="18">
        <f t="shared" si="135"/>
        <v>0</v>
      </c>
      <c r="Q82" s="18">
        <f t="shared" si="135"/>
        <v>0</v>
      </c>
      <c r="R82" s="18">
        <f t="shared" si="135"/>
        <v>0</v>
      </c>
      <c r="S82" s="18">
        <f t="shared" si="135"/>
        <v>305</v>
      </c>
      <c r="T82" s="18">
        <f t="shared" si="135"/>
        <v>390796</v>
      </c>
      <c r="U82" s="18">
        <f t="shared" si="135"/>
        <v>3125894</v>
      </c>
      <c r="V82" s="18">
        <f t="shared" si="135"/>
        <v>159903</v>
      </c>
      <c r="W82" s="18">
        <f t="shared" si="135"/>
        <v>6811</v>
      </c>
      <c r="X82" s="18">
        <f t="shared" si="135"/>
        <v>2502436</v>
      </c>
      <c r="Y82" s="18">
        <f t="shared" si="135"/>
        <v>88462</v>
      </c>
      <c r="Z82" s="18">
        <f t="shared" si="135"/>
        <v>88900</v>
      </c>
      <c r="AA82" s="18">
        <f t="shared" si="135"/>
        <v>15840</v>
      </c>
      <c r="AB82" s="18">
        <f t="shared" si="135"/>
        <v>0</v>
      </c>
      <c r="AC82" s="18">
        <f t="shared" si="135"/>
        <v>263542</v>
      </c>
      <c r="AD82" s="18">
        <f t="shared" si="135"/>
        <v>21042822</v>
      </c>
      <c r="AE82" s="18">
        <f t="shared" si="135"/>
        <v>0</v>
      </c>
      <c r="AF82" s="18">
        <f t="shared" si="135"/>
        <v>0</v>
      </c>
      <c r="AG82" s="18">
        <f t="shared" si="135"/>
        <v>31898</v>
      </c>
      <c r="AH82" s="18">
        <f t="shared" si="135"/>
        <v>98781</v>
      </c>
      <c r="AI82" s="18">
        <f t="shared" si="135"/>
        <v>0</v>
      </c>
      <c r="AJ82" s="18">
        <f t="shared" si="135"/>
        <v>897</v>
      </c>
      <c r="AK82" s="18">
        <f t="shared" si="136"/>
        <v>0</v>
      </c>
      <c r="AL82" s="18">
        <f t="shared" si="136"/>
        <v>3119</v>
      </c>
      <c r="AM82" s="18">
        <f t="shared" si="136"/>
        <v>8187</v>
      </c>
      <c r="AN82" s="18">
        <f t="shared" si="136"/>
        <v>13386</v>
      </c>
      <c r="AO82" s="18">
        <f t="shared" si="136"/>
        <v>0</v>
      </c>
      <c r="AP82" s="18">
        <f t="shared" si="136"/>
        <v>0</v>
      </c>
      <c r="AQ82" s="18">
        <f t="shared" si="136"/>
        <v>0</v>
      </c>
      <c r="AR82" s="18">
        <f t="shared" si="136"/>
        <v>50000</v>
      </c>
      <c r="AS82" s="18"/>
      <c r="AT82" s="18"/>
      <c r="AU82" s="18">
        <f t="shared" si="136"/>
        <v>0</v>
      </c>
      <c r="AV82" s="18">
        <f t="shared" si="136"/>
        <v>19287313</v>
      </c>
      <c r="AW82" s="18">
        <f t="shared" si="136"/>
        <v>289120</v>
      </c>
      <c r="AX82" s="18">
        <f t="shared" si="136"/>
        <v>984912</v>
      </c>
      <c r="AY82" s="18">
        <f t="shared" si="136"/>
        <v>275209</v>
      </c>
      <c r="AZ82" s="18"/>
      <c r="BA82" s="18"/>
      <c r="BB82" s="18"/>
      <c r="BC82" s="18">
        <f t="shared" si="136"/>
        <v>1171816</v>
      </c>
      <c r="BD82" s="18">
        <f t="shared" si="136"/>
        <v>0</v>
      </c>
      <c r="BE82" s="18">
        <f t="shared" si="136"/>
        <v>0</v>
      </c>
      <c r="BF82" s="18">
        <f t="shared" si="136"/>
        <v>0</v>
      </c>
      <c r="BG82" s="18">
        <f t="shared" si="136"/>
        <v>0</v>
      </c>
      <c r="BH82" s="18">
        <f t="shared" si="136"/>
        <v>0</v>
      </c>
      <c r="BI82" s="18">
        <f t="shared" si="136"/>
        <v>0</v>
      </c>
      <c r="BJ82" s="18">
        <f t="shared" si="136"/>
        <v>0</v>
      </c>
      <c r="BK82" s="18">
        <f t="shared" si="136"/>
        <v>0</v>
      </c>
      <c r="BL82" s="18">
        <f t="shared" si="136"/>
        <v>0</v>
      </c>
      <c r="BM82" s="18">
        <f t="shared" si="136"/>
        <v>0</v>
      </c>
      <c r="BN82" s="18">
        <f t="shared" si="136"/>
        <v>172816</v>
      </c>
      <c r="BO82" s="18">
        <f t="shared" si="136"/>
        <v>172816</v>
      </c>
      <c r="BP82" s="18">
        <f t="shared" si="136"/>
        <v>0</v>
      </c>
      <c r="BQ82" s="18">
        <f t="shared" si="136"/>
        <v>999000</v>
      </c>
      <c r="BR82" s="18">
        <f t="shared" si="136"/>
        <v>0</v>
      </c>
      <c r="BS82" s="18">
        <f t="shared" si="136"/>
        <v>0</v>
      </c>
      <c r="BT82" s="18">
        <f t="shared" si="136"/>
        <v>0</v>
      </c>
      <c r="BU82" s="18">
        <f t="shared" si="136"/>
        <v>0</v>
      </c>
      <c r="BV82" s="18">
        <f t="shared" si="136"/>
        <v>0</v>
      </c>
      <c r="BW82" s="18">
        <f t="shared" si="136"/>
        <v>0</v>
      </c>
      <c r="BX82" s="18">
        <f t="shared" si="136"/>
        <v>0</v>
      </c>
      <c r="BY82" s="18">
        <f t="shared" si="136"/>
        <v>0</v>
      </c>
      <c r="BZ82" s="18">
        <f t="shared" si="136"/>
        <v>0</v>
      </c>
      <c r="CA82" s="18">
        <f t="shared" si="136"/>
        <v>999000</v>
      </c>
      <c r="CB82" s="18">
        <f t="shared" si="136"/>
        <v>0</v>
      </c>
      <c r="CC82" s="18">
        <f t="shared" si="136"/>
        <v>276847</v>
      </c>
      <c r="CD82" s="18">
        <f t="shared" si="136"/>
        <v>276847</v>
      </c>
      <c r="CE82" s="18">
        <f t="shared" si="136"/>
        <v>276847</v>
      </c>
      <c r="CF82" s="18">
        <f t="shared" si="136"/>
        <v>0</v>
      </c>
      <c r="CG82" s="18">
        <f t="shared" si="136"/>
        <v>276847</v>
      </c>
      <c r="CH82" s="18">
        <f t="shared" si="136"/>
        <v>0</v>
      </c>
      <c r="CI82" s="18">
        <f t="shared" si="136"/>
        <v>0</v>
      </c>
      <c r="CJ82" s="18">
        <f t="shared" si="136"/>
        <v>0</v>
      </c>
      <c r="CK82" s="18">
        <f t="shared" si="136"/>
        <v>0</v>
      </c>
      <c r="CL82" s="18">
        <f t="shared" si="136"/>
        <v>0</v>
      </c>
      <c r="CM82" s="18">
        <f t="shared" si="136"/>
        <v>0</v>
      </c>
      <c r="CN82" s="18">
        <f t="shared" si="136"/>
        <v>0</v>
      </c>
      <c r="CO82" s="18">
        <f t="shared" si="136"/>
        <v>0</v>
      </c>
      <c r="CP82" s="18">
        <f t="shared" si="136"/>
        <v>0</v>
      </c>
      <c r="CQ82" s="18"/>
      <c r="CR82" s="18"/>
      <c r="CS82" s="18"/>
      <c r="CT82" s="18"/>
      <c r="CU82" s="18">
        <f t="shared" si="136"/>
        <v>0</v>
      </c>
      <c r="CV82" s="73"/>
      <c r="CW82" s="73"/>
      <c r="CX82" s="73"/>
      <c r="CY82" s="73"/>
      <c r="CZ82" s="18">
        <f t="shared" si="136"/>
        <v>0</v>
      </c>
      <c r="DA82" s="18">
        <f t="shared" si="136"/>
        <v>0</v>
      </c>
      <c r="DB82" s="18">
        <f t="shared" si="136"/>
        <v>0</v>
      </c>
      <c r="DC82" s="46">
        <f t="shared" si="137"/>
        <v>0</v>
      </c>
      <c r="DD82" s="57"/>
    </row>
    <row r="83" spans="1:108" s="78" customFormat="1" ht="31.2" x14ac:dyDescent="0.3">
      <c r="A83" s="96" t="s">
        <v>1</v>
      </c>
      <c r="B83" s="71" t="s">
        <v>147</v>
      </c>
      <c r="C83" s="100" t="s">
        <v>148</v>
      </c>
      <c r="D83" s="74">
        <f>SUM(E83+CC83+CZ83)</f>
        <v>65553242</v>
      </c>
      <c r="E83" s="74">
        <f>SUM(F83+BC83)</f>
        <v>65276395</v>
      </c>
      <c r="F83" s="74">
        <f>SUM(G83+H83+I83+P83+S83+T83+U83+AD83)</f>
        <v>64104579</v>
      </c>
      <c r="G83" s="74">
        <v>35749463</v>
      </c>
      <c r="H83" s="74">
        <v>339850</v>
      </c>
      <c r="I83" s="74">
        <f t="shared" ref="I83" si="138">SUM(J83:O83)</f>
        <v>3455449</v>
      </c>
      <c r="J83" s="75">
        <v>59537</v>
      </c>
      <c r="K83" s="75">
        <v>227280</v>
      </c>
      <c r="L83" s="75">
        <v>0</v>
      </c>
      <c r="M83" s="75">
        <v>25000</v>
      </c>
      <c r="N83" s="75">
        <v>2650145</v>
      </c>
      <c r="O83" s="75">
        <v>493487</v>
      </c>
      <c r="P83" s="74">
        <f t="shared" ref="P83" si="139">SUM(Q83:R83)</f>
        <v>0</v>
      </c>
      <c r="Q83" s="75">
        <f>43390-43390</f>
        <v>0</v>
      </c>
      <c r="R83" s="75">
        <v>0</v>
      </c>
      <c r="S83" s="75">
        <v>305</v>
      </c>
      <c r="T83" s="75">
        <v>390796</v>
      </c>
      <c r="U83" s="74">
        <f>SUM(V83:AC83)</f>
        <v>3125894</v>
      </c>
      <c r="V83" s="75">
        <v>159903</v>
      </c>
      <c r="W83" s="75">
        <f>4963+1848</f>
        <v>6811</v>
      </c>
      <c r="X83" s="75">
        <f>1737768+764668</f>
        <v>2502436</v>
      </c>
      <c r="Y83" s="75">
        <f>66042+22420</f>
        <v>88462</v>
      </c>
      <c r="Z83" s="75">
        <v>88900</v>
      </c>
      <c r="AA83" s="75">
        <v>15840</v>
      </c>
      <c r="AB83" s="75">
        <v>0</v>
      </c>
      <c r="AC83" s="75">
        <f>194778+68764</f>
        <v>263542</v>
      </c>
      <c r="AD83" s="74">
        <f>SUM(AE83:AY83)</f>
        <v>21042822</v>
      </c>
      <c r="AE83" s="74">
        <v>0</v>
      </c>
      <c r="AF83" s="74">
        <v>0</v>
      </c>
      <c r="AG83" s="75">
        <v>31898</v>
      </c>
      <c r="AH83" s="75">
        <v>98781</v>
      </c>
      <c r="AI83" s="75">
        <v>0</v>
      </c>
      <c r="AJ83" s="75">
        <v>897</v>
      </c>
      <c r="AK83" s="75">
        <v>0</v>
      </c>
      <c r="AL83" s="75">
        <v>3119</v>
      </c>
      <c r="AM83" s="75">
        <v>8187</v>
      </c>
      <c r="AN83" s="75">
        <v>13386</v>
      </c>
      <c r="AO83" s="75">
        <v>0</v>
      </c>
      <c r="AP83" s="75">
        <v>0</v>
      </c>
      <c r="AQ83" s="75">
        <v>0</v>
      </c>
      <c r="AR83" s="75">
        <v>50000</v>
      </c>
      <c r="AS83" s="75">
        <v>0</v>
      </c>
      <c r="AT83" s="75">
        <v>0</v>
      </c>
      <c r="AU83" s="75">
        <v>0</v>
      </c>
      <c r="AV83" s="75">
        <v>19287313</v>
      </c>
      <c r="AW83" s="75">
        <v>289120</v>
      </c>
      <c r="AX83" s="75">
        <v>984912</v>
      </c>
      <c r="AY83" s="75">
        <v>275209</v>
      </c>
      <c r="AZ83" s="75"/>
      <c r="BA83" s="75"/>
      <c r="BB83" s="75"/>
      <c r="BC83" s="74">
        <f>SUM(BD83+BH83+BL83+BN83+BQ83)</f>
        <v>1171816</v>
      </c>
      <c r="BD83" s="74">
        <f>SUM(BE83:BG83)</f>
        <v>0</v>
      </c>
      <c r="BE83" s="74">
        <v>0</v>
      </c>
      <c r="BF83" s="74">
        <v>0</v>
      </c>
      <c r="BG83" s="74">
        <v>0</v>
      </c>
      <c r="BH83" s="74">
        <f>SUM(BI83:BK83)</f>
        <v>0</v>
      </c>
      <c r="BI83" s="74">
        <v>0</v>
      </c>
      <c r="BJ83" s="74">
        <v>0</v>
      </c>
      <c r="BK83" s="74">
        <v>0</v>
      </c>
      <c r="BL83" s="74">
        <v>0</v>
      </c>
      <c r="BM83" s="75"/>
      <c r="BN83" s="74">
        <f t="shared" ref="BN83" si="140">SUM(BO83)</f>
        <v>172816</v>
      </c>
      <c r="BO83" s="75">
        <v>172816</v>
      </c>
      <c r="BP83" s="74">
        <v>0</v>
      </c>
      <c r="BQ83" s="74">
        <f>SUM(BR83:CB83)</f>
        <v>999000</v>
      </c>
      <c r="BR83" s="74">
        <v>0</v>
      </c>
      <c r="BS83" s="74">
        <v>0</v>
      </c>
      <c r="BT83" s="74">
        <v>0</v>
      </c>
      <c r="BU83" s="74">
        <v>0</v>
      </c>
      <c r="BV83" s="74">
        <v>0</v>
      </c>
      <c r="BW83" s="74">
        <v>0</v>
      </c>
      <c r="BX83" s="74">
        <v>0</v>
      </c>
      <c r="BY83" s="74">
        <v>0</v>
      </c>
      <c r="BZ83" s="74">
        <v>0</v>
      </c>
      <c r="CA83" s="75">
        <v>999000</v>
      </c>
      <c r="CB83" s="74">
        <v>0</v>
      </c>
      <c r="CC83" s="74">
        <f>SUM(CD83+CU83)</f>
        <v>276847</v>
      </c>
      <c r="CD83" s="74">
        <f>SUM(CE83+CH83+CN83)</f>
        <v>276847</v>
      </c>
      <c r="CE83" s="74">
        <f t="shared" ref="CE83" si="141">SUM(CF83:CG83)</f>
        <v>276847</v>
      </c>
      <c r="CF83" s="74">
        <v>0</v>
      </c>
      <c r="CG83" s="75">
        <v>276847</v>
      </c>
      <c r="CH83" s="74">
        <f>SUM(CI83:CM83)</f>
        <v>0</v>
      </c>
      <c r="CI83" s="74">
        <v>0</v>
      </c>
      <c r="CJ83" s="74">
        <v>0</v>
      </c>
      <c r="CK83" s="75"/>
      <c r="CL83" s="75"/>
      <c r="CM83" s="75"/>
      <c r="CN83" s="74">
        <f>SUM(CO83:CQ83)</f>
        <v>0</v>
      </c>
      <c r="CO83" s="76"/>
      <c r="CP83" s="75"/>
      <c r="CQ83" s="74"/>
      <c r="CR83" s="74"/>
      <c r="CS83" s="74"/>
      <c r="CT83" s="74"/>
      <c r="CU83" s="74">
        <v>0</v>
      </c>
      <c r="CV83" s="74"/>
      <c r="CW83" s="74"/>
      <c r="CX83" s="74"/>
      <c r="CY83" s="74"/>
      <c r="CZ83" s="74">
        <f t="shared" ref="CZ83" si="142">SUM(DA83)</f>
        <v>0</v>
      </c>
      <c r="DA83" s="74">
        <f t="shared" ref="DA83" si="143">SUM(DB83:DC83)</f>
        <v>0</v>
      </c>
      <c r="DB83" s="74">
        <v>0</v>
      </c>
      <c r="DC83" s="77">
        <v>0</v>
      </c>
    </row>
    <row r="84" spans="1:108" s="58" customFormat="1" ht="15.6" x14ac:dyDescent="0.3">
      <c r="A84" s="93" t="s">
        <v>149</v>
      </c>
      <c r="B84" s="16" t="s">
        <v>1</v>
      </c>
      <c r="C84" s="17" t="s">
        <v>474</v>
      </c>
      <c r="D84" s="18">
        <f t="shared" ref="D84:AJ84" si="144">SUM(D85)</f>
        <v>40697256</v>
      </c>
      <c r="E84" s="18">
        <f t="shared" si="144"/>
        <v>39973454</v>
      </c>
      <c r="F84" s="18">
        <f t="shared" si="144"/>
        <v>39967126</v>
      </c>
      <c r="G84" s="18">
        <f t="shared" si="144"/>
        <v>34164376</v>
      </c>
      <c r="H84" s="18">
        <f t="shared" si="144"/>
        <v>684000</v>
      </c>
      <c r="I84" s="18">
        <f t="shared" si="144"/>
        <v>2942952</v>
      </c>
      <c r="J84" s="18">
        <f>J85</f>
        <v>34761</v>
      </c>
      <c r="K84" s="18">
        <f t="shared" ref="K84:O84" si="145">K85</f>
        <v>0</v>
      </c>
      <c r="L84" s="18">
        <f t="shared" si="145"/>
        <v>50957</v>
      </c>
      <c r="M84" s="18">
        <f t="shared" si="145"/>
        <v>46500</v>
      </c>
      <c r="N84" s="18">
        <f t="shared" si="145"/>
        <v>2547944</v>
      </c>
      <c r="O84" s="18">
        <f t="shared" si="145"/>
        <v>262790</v>
      </c>
      <c r="P84" s="18">
        <f t="shared" si="144"/>
        <v>128404</v>
      </c>
      <c r="Q84" s="18">
        <f t="shared" si="144"/>
        <v>3314</v>
      </c>
      <c r="R84" s="18">
        <f t="shared" si="144"/>
        <v>125090</v>
      </c>
      <c r="S84" s="18">
        <f t="shared" si="144"/>
        <v>0</v>
      </c>
      <c r="T84" s="18">
        <f t="shared" si="144"/>
        <v>60000</v>
      </c>
      <c r="U84" s="18">
        <f t="shared" si="144"/>
        <v>623760</v>
      </c>
      <c r="V84" s="18">
        <f t="shared" si="144"/>
        <v>45885</v>
      </c>
      <c r="W84" s="18">
        <f t="shared" si="144"/>
        <v>0</v>
      </c>
      <c r="X84" s="18">
        <f t="shared" si="144"/>
        <v>423994</v>
      </c>
      <c r="Y84" s="18">
        <f t="shared" si="144"/>
        <v>49929</v>
      </c>
      <c r="Z84" s="18">
        <f t="shared" si="144"/>
        <v>9493</v>
      </c>
      <c r="AA84" s="18">
        <f t="shared" si="144"/>
        <v>0</v>
      </c>
      <c r="AB84" s="18">
        <f t="shared" si="144"/>
        <v>0</v>
      </c>
      <c r="AC84" s="18">
        <f t="shared" si="144"/>
        <v>94459</v>
      </c>
      <c r="AD84" s="18">
        <f t="shared" si="144"/>
        <v>1363634</v>
      </c>
      <c r="AE84" s="18">
        <f t="shared" si="144"/>
        <v>0</v>
      </c>
      <c r="AF84" s="18">
        <f t="shared" si="144"/>
        <v>0</v>
      </c>
      <c r="AG84" s="18">
        <f t="shared" si="144"/>
        <v>0</v>
      </c>
      <c r="AH84" s="18">
        <f t="shared" si="144"/>
        <v>0</v>
      </c>
      <c r="AI84" s="18">
        <f t="shared" si="144"/>
        <v>0</v>
      </c>
      <c r="AJ84" s="18">
        <f t="shared" si="144"/>
        <v>0</v>
      </c>
      <c r="AK84" s="18">
        <f t="shared" ref="AK84:DC84" si="146">SUM(AK85)</f>
        <v>0</v>
      </c>
      <c r="AL84" s="18">
        <f t="shared" si="146"/>
        <v>0</v>
      </c>
      <c r="AM84" s="18">
        <f t="shared" si="146"/>
        <v>8076</v>
      </c>
      <c r="AN84" s="18">
        <f t="shared" si="146"/>
        <v>19913</v>
      </c>
      <c r="AO84" s="18">
        <f t="shared" si="146"/>
        <v>0</v>
      </c>
      <c r="AP84" s="18">
        <f t="shared" si="146"/>
        <v>11250</v>
      </c>
      <c r="AQ84" s="18">
        <f t="shared" si="146"/>
        <v>2466</v>
      </c>
      <c r="AR84" s="18">
        <f t="shared" si="146"/>
        <v>19200</v>
      </c>
      <c r="AS84" s="18"/>
      <c r="AT84" s="18"/>
      <c r="AU84" s="18">
        <f t="shared" si="146"/>
        <v>0</v>
      </c>
      <c r="AV84" s="18">
        <f t="shared" si="146"/>
        <v>1052116</v>
      </c>
      <c r="AW84" s="18">
        <f t="shared" si="146"/>
        <v>45000</v>
      </c>
      <c r="AX84" s="18"/>
      <c r="AY84" s="18">
        <f t="shared" si="146"/>
        <v>205613</v>
      </c>
      <c r="AZ84" s="18"/>
      <c r="BA84" s="18"/>
      <c r="BB84" s="18"/>
      <c r="BC84" s="18">
        <f t="shared" si="146"/>
        <v>6328</v>
      </c>
      <c r="BD84" s="18">
        <f t="shared" si="146"/>
        <v>0</v>
      </c>
      <c r="BE84" s="18">
        <f t="shared" si="146"/>
        <v>0</v>
      </c>
      <c r="BF84" s="18">
        <f t="shared" si="146"/>
        <v>0</v>
      </c>
      <c r="BG84" s="18">
        <f t="shared" si="146"/>
        <v>0</v>
      </c>
      <c r="BH84" s="18">
        <f t="shared" si="146"/>
        <v>0</v>
      </c>
      <c r="BI84" s="18">
        <f t="shared" si="146"/>
        <v>0</v>
      </c>
      <c r="BJ84" s="18">
        <f t="shared" si="146"/>
        <v>0</v>
      </c>
      <c r="BK84" s="18">
        <f t="shared" si="146"/>
        <v>0</v>
      </c>
      <c r="BL84" s="18">
        <f t="shared" si="146"/>
        <v>0</v>
      </c>
      <c r="BM84" s="18">
        <f t="shared" si="146"/>
        <v>0</v>
      </c>
      <c r="BN84" s="18">
        <f t="shared" si="146"/>
        <v>6328</v>
      </c>
      <c r="BO84" s="18">
        <f t="shared" si="146"/>
        <v>6328</v>
      </c>
      <c r="BP84" s="18">
        <f t="shared" si="146"/>
        <v>0</v>
      </c>
      <c r="BQ84" s="18">
        <f t="shared" si="146"/>
        <v>0</v>
      </c>
      <c r="BR84" s="18">
        <f t="shared" si="146"/>
        <v>0</v>
      </c>
      <c r="BS84" s="18">
        <f t="shared" si="146"/>
        <v>0</v>
      </c>
      <c r="BT84" s="18">
        <f t="shared" si="146"/>
        <v>0</v>
      </c>
      <c r="BU84" s="18">
        <f t="shared" si="146"/>
        <v>0</v>
      </c>
      <c r="BV84" s="18">
        <f t="shared" si="146"/>
        <v>0</v>
      </c>
      <c r="BW84" s="18">
        <f t="shared" si="146"/>
        <v>0</v>
      </c>
      <c r="BX84" s="18">
        <f t="shared" si="146"/>
        <v>0</v>
      </c>
      <c r="BY84" s="18">
        <f t="shared" si="146"/>
        <v>0</v>
      </c>
      <c r="BZ84" s="18">
        <f t="shared" si="146"/>
        <v>0</v>
      </c>
      <c r="CA84" s="18">
        <f t="shared" si="146"/>
        <v>0</v>
      </c>
      <c r="CB84" s="18">
        <f t="shared" si="146"/>
        <v>0</v>
      </c>
      <c r="CC84" s="18">
        <f t="shared" si="146"/>
        <v>723802</v>
      </c>
      <c r="CD84" s="18">
        <f t="shared" si="146"/>
        <v>723802</v>
      </c>
      <c r="CE84" s="18">
        <f t="shared" si="146"/>
        <v>723802</v>
      </c>
      <c r="CF84" s="18">
        <f t="shared" si="146"/>
        <v>0</v>
      </c>
      <c r="CG84" s="18">
        <f t="shared" si="146"/>
        <v>723802</v>
      </c>
      <c r="CH84" s="18">
        <f t="shared" si="146"/>
        <v>0</v>
      </c>
      <c r="CI84" s="18">
        <f t="shared" si="146"/>
        <v>0</v>
      </c>
      <c r="CJ84" s="18">
        <f t="shared" si="146"/>
        <v>0</v>
      </c>
      <c r="CK84" s="18">
        <f t="shared" si="146"/>
        <v>0</v>
      </c>
      <c r="CL84" s="18">
        <f t="shared" si="146"/>
        <v>0</v>
      </c>
      <c r="CM84" s="18">
        <f t="shared" si="146"/>
        <v>0</v>
      </c>
      <c r="CN84" s="18">
        <f t="shared" si="146"/>
        <v>0</v>
      </c>
      <c r="CO84" s="18">
        <f t="shared" si="146"/>
        <v>0</v>
      </c>
      <c r="CP84" s="18">
        <f t="shared" si="146"/>
        <v>0</v>
      </c>
      <c r="CQ84" s="18"/>
      <c r="CR84" s="18"/>
      <c r="CS84" s="18"/>
      <c r="CT84" s="18"/>
      <c r="CU84" s="18">
        <f t="shared" si="146"/>
        <v>0</v>
      </c>
      <c r="CV84" s="73"/>
      <c r="CW84" s="73"/>
      <c r="CX84" s="73"/>
      <c r="CY84" s="73"/>
      <c r="CZ84" s="18">
        <f t="shared" si="146"/>
        <v>0</v>
      </c>
      <c r="DA84" s="18">
        <f t="shared" si="146"/>
        <v>0</v>
      </c>
      <c r="DB84" s="18">
        <f t="shared" si="146"/>
        <v>0</v>
      </c>
      <c r="DC84" s="46">
        <f t="shared" si="146"/>
        <v>0</v>
      </c>
      <c r="DD84" s="57"/>
    </row>
    <row r="85" spans="1:108" s="78" customFormat="1" ht="15.6" x14ac:dyDescent="0.3">
      <c r="A85" s="96" t="s">
        <v>1</v>
      </c>
      <c r="B85" s="71" t="s">
        <v>150</v>
      </c>
      <c r="C85" s="72" t="s">
        <v>517</v>
      </c>
      <c r="D85" s="74">
        <f>SUM(E85+CC85+CZ85)</f>
        <v>40697256</v>
      </c>
      <c r="E85" s="74">
        <f>SUM(F85+BC85)</f>
        <v>39973454</v>
      </c>
      <c r="F85" s="74">
        <f>SUM(G85+H85+I85+P85+S85+T85+U85+AD85)</f>
        <v>39967126</v>
      </c>
      <c r="G85" s="74">
        <v>34164376</v>
      </c>
      <c r="H85" s="74">
        <v>684000</v>
      </c>
      <c r="I85" s="74">
        <f t="shared" si="127"/>
        <v>2942952</v>
      </c>
      <c r="J85" s="75">
        <v>34761</v>
      </c>
      <c r="K85" s="75">
        <v>0</v>
      </c>
      <c r="L85" s="75">
        <f>62050-11093</f>
        <v>50957</v>
      </c>
      <c r="M85" s="75">
        <v>46500</v>
      </c>
      <c r="N85" s="75">
        <v>2547944</v>
      </c>
      <c r="O85" s="75">
        <f>262760+30</f>
        <v>262790</v>
      </c>
      <c r="P85" s="74">
        <f t="shared" si="128"/>
        <v>128404</v>
      </c>
      <c r="Q85" s="75">
        <v>3314</v>
      </c>
      <c r="R85" s="75">
        <v>125090</v>
      </c>
      <c r="S85" s="75">
        <v>0</v>
      </c>
      <c r="T85" s="75">
        <v>60000</v>
      </c>
      <c r="U85" s="74">
        <f>SUM(V85:AC85)</f>
        <v>623760</v>
      </c>
      <c r="V85" s="75">
        <v>45885</v>
      </c>
      <c r="W85" s="75">
        <v>0</v>
      </c>
      <c r="X85" s="75">
        <f>297480+126514</f>
        <v>423994</v>
      </c>
      <c r="Y85" s="75">
        <f>29835+20094</f>
        <v>49929</v>
      </c>
      <c r="Z85" s="75">
        <v>9493</v>
      </c>
      <c r="AA85" s="75">
        <v>0</v>
      </c>
      <c r="AB85" s="75">
        <v>0</v>
      </c>
      <c r="AC85" s="75">
        <f>74414+20045</f>
        <v>94459</v>
      </c>
      <c r="AD85" s="74">
        <f>SUM(AE85:AY85)</f>
        <v>1363634</v>
      </c>
      <c r="AE85" s="74">
        <v>0</v>
      </c>
      <c r="AF85" s="74">
        <v>0</v>
      </c>
      <c r="AG85" s="74">
        <v>0</v>
      </c>
      <c r="AH85" s="74">
        <v>0</v>
      </c>
      <c r="AI85" s="75">
        <v>0</v>
      </c>
      <c r="AJ85" s="75">
        <v>0</v>
      </c>
      <c r="AK85" s="75">
        <v>0</v>
      </c>
      <c r="AL85" s="75">
        <v>0</v>
      </c>
      <c r="AM85" s="75">
        <v>8076</v>
      </c>
      <c r="AN85" s="75">
        <v>19913</v>
      </c>
      <c r="AO85" s="75">
        <v>0</v>
      </c>
      <c r="AP85" s="75">
        <v>11250</v>
      </c>
      <c r="AQ85" s="75">
        <v>2466</v>
      </c>
      <c r="AR85" s="75">
        <v>19200</v>
      </c>
      <c r="AS85" s="75">
        <v>0</v>
      </c>
      <c r="AT85" s="75">
        <v>0</v>
      </c>
      <c r="AU85" s="75">
        <v>0</v>
      </c>
      <c r="AV85" s="75">
        <v>1052116</v>
      </c>
      <c r="AW85" s="75">
        <v>45000</v>
      </c>
      <c r="AX85" s="75">
        <v>0</v>
      </c>
      <c r="AY85" s="75">
        <v>205613</v>
      </c>
      <c r="AZ85" s="75"/>
      <c r="BA85" s="75"/>
      <c r="BB85" s="75"/>
      <c r="BC85" s="74">
        <f>SUM(BD85+BH85+BL85+BN85+BQ85)</f>
        <v>6328</v>
      </c>
      <c r="BD85" s="74">
        <f>SUM(BE85:BG85)</f>
        <v>0</v>
      </c>
      <c r="BE85" s="74">
        <v>0</v>
      </c>
      <c r="BF85" s="74">
        <v>0</v>
      </c>
      <c r="BG85" s="74">
        <v>0</v>
      </c>
      <c r="BH85" s="74">
        <f>SUM(BI85:BK85)</f>
        <v>0</v>
      </c>
      <c r="BI85" s="74">
        <v>0</v>
      </c>
      <c r="BJ85" s="74">
        <v>0</v>
      </c>
      <c r="BK85" s="74">
        <v>0</v>
      </c>
      <c r="BL85" s="74">
        <v>0</v>
      </c>
      <c r="BM85" s="74"/>
      <c r="BN85" s="74">
        <f t="shared" si="129"/>
        <v>6328</v>
      </c>
      <c r="BO85" s="74">
        <v>6328</v>
      </c>
      <c r="BP85" s="74"/>
      <c r="BQ85" s="74">
        <f>SUM(BR85:CB85)</f>
        <v>0</v>
      </c>
      <c r="BR85" s="74">
        <v>0</v>
      </c>
      <c r="BS85" s="74">
        <v>0</v>
      </c>
      <c r="BT85" s="74">
        <v>0</v>
      </c>
      <c r="BU85" s="74">
        <v>0</v>
      </c>
      <c r="BV85" s="74">
        <v>0</v>
      </c>
      <c r="BW85" s="74">
        <v>0</v>
      </c>
      <c r="BX85" s="74">
        <v>0</v>
      </c>
      <c r="BY85" s="74">
        <v>0</v>
      </c>
      <c r="BZ85" s="74">
        <v>0</v>
      </c>
      <c r="CA85" s="74">
        <v>0</v>
      </c>
      <c r="CB85" s="74"/>
      <c r="CC85" s="74">
        <f>SUM(CD85+CU85)</f>
        <v>723802</v>
      </c>
      <c r="CD85" s="74">
        <f>SUM(CE85+CH85+CN85)</f>
        <v>723802</v>
      </c>
      <c r="CE85" s="74">
        <f t="shared" si="130"/>
        <v>723802</v>
      </c>
      <c r="CF85" s="74">
        <v>0</v>
      </c>
      <c r="CG85" s="75">
        <v>723802</v>
      </c>
      <c r="CH85" s="74">
        <f>SUM(CI85:CM85)</f>
        <v>0</v>
      </c>
      <c r="CI85" s="74">
        <v>0</v>
      </c>
      <c r="CJ85" s="74">
        <v>0</v>
      </c>
      <c r="CK85" s="74"/>
      <c r="CL85" s="74">
        <v>0</v>
      </c>
      <c r="CM85" s="74">
        <v>0</v>
      </c>
      <c r="CN85" s="74">
        <f>SUM(CO85:CQ85)</f>
        <v>0</v>
      </c>
      <c r="CO85" s="74"/>
      <c r="CP85" s="74"/>
      <c r="CQ85" s="74"/>
      <c r="CR85" s="74"/>
      <c r="CS85" s="74"/>
      <c r="CT85" s="74"/>
      <c r="CU85" s="74">
        <v>0</v>
      </c>
      <c r="CV85" s="74"/>
      <c r="CW85" s="74"/>
      <c r="CX85" s="74"/>
      <c r="CY85" s="74"/>
      <c r="CZ85" s="74">
        <f t="shared" si="131"/>
        <v>0</v>
      </c>
      <c r="DA85" s="74">
        <f t="shared" si="132"/>
        <v>0</v>
      </c>
      <c r="DB85" s="74">
        <v>0</v>
      </c>
      <c r="DC85" s="77">
        <v>0</v>
      </c>
    </row>
    <row r="86" spans="1:108" s="58" customFormat="1" ht="31.2" x14ac:dyDescent="0.3">
      <c r="A86" s="95" t="s">
        <v>152</v>
      </c>
      <c r="B86" s="25" t="s">
        <v>1</v>
      </c>
      <c r="C86" s="26" t="s">
        <v>153</v>
      </c>
      <c r="D86" s="27">
        <f>SUM(D87+D90)</f>
        <v>11085714</v>
      </c>
      <c r="E86" s="27">
        <f t="shared" ref="E86:BW86" si="147">SUM(E87+E90)</f>
        <v>11085714</v>
      </c>
      <c r="F86" s="27">
        <f t="shared" si="147"/>
        <v>11085714</v>
      </c>
      <c r="G86" s="27">
        <f t="shared" si="147"/>
        <v>2038065</v>
      </c>
      <c r="H86" s="27">
        <f t="shared" si="147"/>
        <v>465743</v>
      </c>
      <c r="I86" s="27">
        <f t="shared" si="147"/>
        <v>48718</v>
      </c>
      <c r="J86" s="27">
        <f t="shared" si="147"/>
        <v>0</v>
      </c>
      <c r="K86" s="27">
        <f t="shared" si="147"/>
        <v>0</v>
      </c>
      <c r="L86" s="27">
        <f t="shared" si="147"/>
        <v>0</v>
      </c>
      <c r="M86" s="27">
        <f t="shared" si="147"/>
        <v>0</v>
      </c>
      <c r="N86" s="27">
        <f t="shared" si="147"/>
        <v>48718</v>
      </c>
      <c r="O86" s="27">
        <f t="shared" si="147"/>
        <v>0</v>
      </c>
      <c r="P86" s="27">
        <f t="shared" si="147"/>
        <v>0</v>
      </c>
      <c r="Q86" s="27">
        <f t="shared" si="147"/>
        <v>0</v>
      </c>
      <c r="R86" s="27">
        <f t="shared" si="147"/>
        <v>0</v>
      </c>
      <c r="S86" s="27">
        <f t="shared" si="147"/>
        <v>0</v>
      </c>
      <c r="T86" s="27">
        <f t="shared" si="147"/>
        <v>20492</v>
      </c>
      <c r="U86" s="27">
        <f t="shared" si="147"/>
        <v>120405</v>
      </c>
      <c r="V86" s="27">
        <f t="shared" si="147"/>
        <v>0</v>
      </c>
      <c r="W86" s="27">
        <f t="shared" si="147"/>
        <v>53938</v>
      </c>
      <c r="X86" s="27">
        <f t="shared" si="147"/>
        <v>14211</v>
      </c>
      <c r="Y86" s="27">
        <f t="shared" si="147"/>
        <v>52256</v>
      </c>
      <c r="Z86" s="27">
        <f t="shared" si="147"/>
        <v>0</v>
      </c>
      <c r="AA86" s="27">
        <f t="shared" si="147"/>
        <v>0</v>
      </c>
      <c r="AB86" s="27">
        <f t="shared" si="147"/>
        <v>0</v>
      </c>
      <c r="AC86" s="27">
        <f t="shared" si="147"/>
        <v>0</v>
      </c>
      <c r="AD86" s="27">
        <f t="shared" si="147"/>
        <v>8392291</v>
      </c>
      <c r="AE86" s="27">
        <f t="shared" si="147"/>
        <v>0</v>
      </c>
      <c r="AF86" s="27">
        <f t="shared" si="147"/>
        <v>8330224</v>
      </c>
      <c r="AG86" s="27">
        <f t="shared" si="147"/>
        <v>0</v>
      </c>
      <c r="AH86" s="27">
        <f t="shared" si="147"/>
        <v>0</v>
      </c>
      <c r="AI86" s="27">
        <f t="shared" si="147"/>
        <v>0</v>
      </c>
      <c r="AJ86" s="27">
        <f t="shared" si="147"/>
        <v>1535</v>
      </c>
      <c r="AK86" s="27">
        <f t="shared" si="147"/>
        <v>0</v>
      </c>
      <c r="AL86" s="27">
        <f t="shared" si="147"/>
        <v>0</v>
      </c>
      <c r="AM86" s="27">
        <f t="shared" si="147"/>
        <v>0</v>
      </c>
      <c r="AN86" s="27">
        <f t="shared" si="147"/>
        <v>0</v>
      </c>
      <c r="AO86" s="27">
        <f t="shared" si="147"/>
        <v>0</v>
      </c>
      <c r="AP86" s="27">
        <f t="shared" si="147"/>
        <v>0</v>
      </c>
      <c r="AQ86" s="27">
        <f t="shared" si="147"/>
        <v>0</v>
      </c>
      <c r="AR86" s="27">
        <f t="shared" si="147"/>
        <v>0</v>
      </c>
      <c r="AS86" s="27"/>
      <c r="AT86" s="27"/>
      <c r="AU86" s="27">
        <f t="shared" si="147"/>
        <v>0</v>
      </c>
      <c r="AV86" s="27">
        <f t="shared" si="147"/>
        <v>0</v>
      </c>
      <c r="AW86" s="27">
        <f t="shared" si="147"/>
        <v>54900</v>
      </c>
      <c r="AX86" s="27"/>
      <c r="AY86" s="27">
        <f t="shared" si="147"/>
        <v>5632</v>
      </c>
      <c r="AZ86" s="27"/>
      <c r="BA86" s="27"/>
      <c r="BB86" s="27"/>
      <c r="BC86" s="27">
        <f t="shared" si="147"/>
        <v>0</v>
      </c>
      <c r="BD86" s="27">
        <f t="shared" si="147"/>
        <v>0</v>
      </c>
      <c r="BE86" s="27">
        <f t="shared" si="147"/>
        <v>0</v>
      </c>
      <c r="BF86" s="27">
        <f t="shared" si="147"/>
        <v>0</v>
      </c>
      <c r="BG86" s="27">
        <f t="shared" si="147"/>
        <v>0</v>
      </c>
      <c r="BH86" s="27">
        <f t="shared" si="147"/>
        <v>0</v>
      </c>
      <c r="BI86" s="27">
        <f t="shared" si="147"/>
        <v>0</v>
      </c>
      <c r="BJ86" s="27">
        <f t="shared" ref="BJ86" si="148">SUM(BJ87+BJ90)</f>
        <v>0</v>
      </c>
      <c r="BK86" s="27">
        <f t="shared" si="147"/>
        <v>0</v>
      </c>
      <c r="BL86" s="27">
        <f t="shared" si="147"/>
        <v>0</v>
      </c>
      <c r="BM86" s="27">
        <f t="shared" ref="BM86" si="149">SUM(BM87+BM90)</f>
        <v>0</v>
      </c>
      <c r="BN86" s="27">
        <f t="shared" si="147"/>
        <v>0</v>
      </c>
      <c r="BO86" s="27">
        <f t="shared" si="147"/>
        <v>0</v>
      </c>
      <c r="BP86" s="27">
        <f t="shared" ref="BP86" si="150">SUM(BP87+BP90)</f>
        <v>0</v>
      </c>
      <c r="BQ86" s="27">
        <f t="shared" si="147"/>
        <v>0</v>
      </c>
      <c r="BR86" s="27">
        <f t="shared" si="147"/>
        <v>0</v>
      </c>
      <c r="BS86" s="27">
        <f t="shared" si="147"/>
        <v>0</v>
      </c>
      <c r="BT86" s="27">
        <f t="shared" si="147"/>
        <v>0</v>
      </c>
      <c r="BU86" s="27">
        <f t="shared" si="147"/>
        <v>0</v>
      </c>
      <c r="BV86" s="27">
        <f t="shared" si="147"/>
        <v>0</v>
      </c>
      <c r="BW86" s="27">
        <f t="shared" si="147"/>
        <v>0</v>
      </c>
      <c r="BX86" s="27">
        <f t="shared" ref="BX86:DC86" si="151">SUM(BX87+BX90)</f>
        <v>0</v>
      </c>
      <c r="BY86" s="27">
        <f t="shared" si="151"/>
        <v>0</v>
      </c>
      <c r="BZ86" s="27">
        <f t="shared" si="151"/>
        <v>0</v>
      </c>
      <c r="CA86" s="27">
        <f t="shared" si="151"/>
        <v>0</v>
      </c>
      <c r="CB86" s="27">
        <f t="shared" si="151"/>
        <v>0</v>
      </c>
      <c r="CC86" s="27">
        <f t="shared" si="151"/>
        <v>0</v>
      </c>
      <c r="CD86" s="27">
        <f t="shared" si="151"/>
        <v>0</v>
      </c>
      <c r="CE86" s="27">
        <f t="shared" si="151"/>
        <v>0</v>
      </c>
      <c r="CF86" s="27">
        <f t="shared" si="151"/>
        <v>0</v>
      </c>
      <c r="CG86" s="27">
        <f t="shared" si="151"/>
        <v>0</v>
      </c>
      <c r="CH86" s="27">
        <f t="shared" si="151"/>
        <v>0</v>
      </c>
      <c r="CI86" s="27">
        <f t="shared" si="151"/>
        <v>0</v>
      </c>
      <c r="CJ86" s="27">
        <f t="shared" ref="CJ86:CK86" si="152">SUM(CJ87+CJ90)</f>
        <v>0</v>
      </c>
      <c r="CK86" s="27">
        <f t="shared" si="152"/>
        <v>0</v>
      </c>
      <c r="CL86" s="27">
        <f t="shared" si="151"/>
        <v>0</v>
      </c>
      <c r="CM86" s="27">
        <f t="shared" ref="CM86" si="153">SUM(CM87+CM90)</f>
        <v>0</v>
      </c>
      <c r="CN86" s="27">
        <f t="shared" si="151"/>
        <v>0</v>
      </c>
      <c r="CO86" s="27">
        <f t="shared" ref="CO86" si="154">SUM(CO87+CO90)</f>
        <v>0</v>
      </c>
      <c r="CP86" s="27">
        <f t="shared" si="151"/>
        <v>0</v>
      </c>
      <c r="CQ86" s="27"/>
      <c r="CR86" s="27"/>
      <c r="CS86" s="27"/>
      <c r="CT86" s="27"/>
      <c r="CU86" s="27">
        <f t="shared" si="151"/>
        <v>0</v>
      </c>
      <c r="CV86" s="27">
        <f t="shared" si="151"/>
        <v>0</v>
      </c>
      <c r="CW86" s="27">
        <f t="shared" si="151"/>
        <v>0</v>
      </c>
      <c r="CX86" s="27">
        <f t="shared" si="151"/>
        <v>0</v>
      </c>
      <c r="CY86" s="27">
        <f t="shared" ref="CY86" si="155">SUM(CY87+CY90)</f>
        <v>0</v>
      </c>
      <c r="CZ86" s="27">
        <f t="shared" si="151"/>
        <v>0</v>
      </c>
      <c r="DA86" s="27">
        <f t="shared" si="151"/>
        <v>0</v>
      </c>
      <c r="DB86" s="27">
        <f t="shared" si="151"/>
        <v>0</v>
      </c>
      <c r="DC86" s="60">
        <f t="shared" si="151"/>
        <v>0</v>
      </c>
      <c r="DD86" s="57"/>
    </row>
    <row r="87" spans="1:108" s="58" customFormat="1" ht="15.6" x14ac:dyDescent="0.3">
      <c r="A87" s="93" t="s">
        <v>154</v>
      </c>
      <c r="B87" s="16" t="s">
        <v>1</v>
      </c>
      <c r="C87" s="17" t="s">
        <v>155</v>
      </c>
      <c r="D87" s="18">
        <f t="shared" ref="D87:AJ87" si="156">SUM(D88:D89)</f>
        <v>2390448</v>
      </c>
      <c r="E87" s="18">
        <f t="shared" si="156"/>
        <v>2390448</v>
      </c>
      <c r="F87" s="18">
        <f t="shared" si="156"/>
        <v>2390448</v>
      </c>
      <c r="G87" s="18">
        <f t="shared" si="156"/>
        <v>1741644</v>
      </c>
      <c r="H87" s="18">
        <f t="shared" si="156"/>
        <v>397122</v>
      </c>
      <c r="I87" s="18">
        <f t="shared" si="156"/>
        <v>48718</v>
      </c>
      <c r="J87" s="18">
        <f t="shared" si="156"/>
        <v>0</v>
      </c>
      <c r="K87" s="18">
        <f t="shared" si="156"/>
        <v>0</v>
      </c>
      <c r="L87" s="18">
        <f t="shared" si="156"/>
        <v>0</v>
      </c>
      <c r="M87" s="18">
        <f t="shared" si="156"/>
        <v>0</v>
      </c>
      <c r="N87" s="18">
        <f t="shared" si="156"/>
        <v>48718</v>
      </c>
      <c r="O87" s="18">
        <f t="shared" si="156"/>
        <v>0</v>
      </c>
      <c r="P87" s="18">
        <f t="shared" si="156"/>
        <v>0</v>
      </c>
      <c r="Q87" s="18">
        <f t="shared" si="156"/>
        <v>0</v>
      </c>
      <c r="R87" s="18">
        <f t="shared" si="156"/>
        <v>0</v>
      </c>
      <c r="S87" s="18">
        <f t="shared" si="156"/>
        <v>0</v>
      </c>
      <c r="T87" s="18">
        <f t="shared" si="156"/>
        <v>20492</v>
      </c>
      <c r="U87" s="18">
        <f t="shared" si="156"/>
        <v>120405</v>
      </c>
      <c r="V87" s="18">
        <f t="shared" si="156"/>
        <v>0</v>
      </c>
      <c r="W87" s="18">
        <f t="shared" si="156"/>
        <v>53938</v>
      </c>
      <c r="X87" s="18">
        <f t="shared" si="156"/>
        <v>14211</v>
      </c>
      <c r="Y87" s="18">
        <f t="shared" si="156"/>
        <v>52256</v>
      </c>
      <c r="Z87" s="18">
        <f t="shared" si="156"/>
        <v>0</v>
      </c>
      <c r="AA87" s="18">
        <f t="shared" si="156"/>
        <v>0</v>
      </c>
      <c r="AB87" s="18">
        <f t="shared" si="156"/>
        <v>0</v>
      </c>
      <c r="AC87" s="18">
        <f t="shared" ref="AC87" si="157">SUM(AC88:AC89)</f>
        <v>0</v>
      </c>
      <c r="AD87" s="18">
        <f t="shared" si="156"/>
        <v>62067</v>
      </c>
      <c r="AE87" s="18">
        <f t="shared" si="156"/>
        <v>0</v>
      </c>
      <c r="AF87" s="18">
        <f t="shared" ref="AF87" si="158">SUM(AF88:AF89)</f>
        <v>0</v>
      </c>
      <c r="AG87" s="18">
        <f t="shared" si="156"/>
        <v>0</v>
      </c>
      <c r="AH87" s="18">
        <f t="shared" si="156"/>
        <v>0</v>
      </c>
      <c r="AI87" s="18">
        <f t="shared" si="156"/>
        <v>0</v>
      </c>
      <c r="AJ87" s="18">
        <f t="shared" si="156"/>
        <v>1535</v>
      </c>
      <c r="AK87" s="18">
        <f t="shared" ref="AK87:DC87" si="159">SUM(AK88:AK89)</f>
        <v>0</v>
      </c>
      <c r="AL87" s="18">
        <f t="shared" si="159"/>
        <v>0</v>
      </c>
      <c r="AM87" s="18">
        <f t="shared" si="159"/>
        <v>0</v>
      </c>
      <c r="AN87" s="18">
        <f t="shared" si="159"/>
        <v>0</v>
      </c>
      <c r="AO87" s="18">
        <f t="shared" si="159"/>
        <v>0</v>
      </c>
      <c r="AP87" s="18">
        <f t="shared" si="159"/>
        <v>0</v>
      </c>
      <c r="AQ87" s="18">
        <f t="shared" si="159"/>
        <v>0</v>
      </c>
      <c r="AR87" s="18">
        <f t="shared" si="159"/>
        <v>0</v>
      </c>
      <c r="AS87" s="18"/>
      <c r="AT87" s="18"/>
      <c r="AU87" s="18">
        <f t="shared" si="159"/>
        <v>0</v>
      </c>
      <c r="AV87" s="18">
        <f t="shared" si="159"/>
        <v>0</v>
      </c>
      <c r="AW87" s="18">
        <f t="shared" si="159"/>
        <v>54900</v>
      </c>
      <c r="AX87" s="18"/>
      <c r="AY87" s="18">
        <f t="shared" si="159"/>
        <v>5632</v>
      </c>
      <c r="AZ87" s="18"/>
      <c r="BA87" s="18"/>
      <c r="BB87" s="18"/>
      <c r="BC87" s="18">
        <f t="shared" si="159"/>
        <v>0</v>
      </c>
      <c r="BD87" s="18">
        <f t="shared" si="159"/>
        <v>0</v>
      </c>
      <c r="BE87" s="18">
        <f t="shared" si="159"/>
        <v>0</v>
      </c>
      <c r="BF87" s="18">
        <f t="shared" si="159"/>
        <v>0</v>
      </c>
      <c r="BG87" s="18">
        <f t="shared" si="159"/>
        <v>0</v>
      </c>
      <c r="BH87" s="18">
        <f t="shared" si="159"/>
        <v>0</v>
      </c>
      <c r="BI87" s="18">
        <f t="shared" si="159"/>
        <v>0</v>
      </c>
      <c r="BJ87" s="18">
        <f t="shared" ref="BJ87" si="160">SUM(BJ88:BJ89)</f>
        <v>0</v>
      </c>
      <c r="BK87" s="18">
        <f t="shared" si="159"/>
        <v>0</v>
      </c>
      <c r="BL87" s="18">
        <f t="shared" si="159"/>
        <v>0</v>
      </c>
      <c r="BM87" s="18">
        <f t="shared" ref="BM87" si="161">SUM(BM88:BM89)</f>
        <v>0</v>
      </c>
      <c r="BN87" s="18">
        <f t="shared" si="159"/>
        <v>0</v>
      </c>
      <c r="BO87" s="18">
        <f t="shared" si="159"/>
        <v>0</v>
      </c>
      <c r="BP87" s="18">
        <f t="shared" ref="BP87" si="162">SUM(BP88:BP89)</f>
        <v>0</v>
      </c>
      <c r="BQ87" s="18">
        <f t="shared" si="159"/>
        <v>0</v>
      </c>
      <c r="BR87" s="18">
        <f t="shared" si="159"/>
        <v>0</v>
      </c>
      <c r="BS87" s="18">
        <f t="shared" si="159"/>
        <v>0</v>
      </c>
      <c r="BT87" s="18">
        <f t="shared" si="159"/>
        <v>0</v>
      </c>
      <c r="BU87" s="18">
        <f t="shared" si="159"/>
        <v>0</v>
      </c>
      <c r="BV87" s="18">
        <f t="shared" si="159"/>
        <v>0</v>
      </c>
      <c r="BW87" s="18">
        <f t="shared" si="159"/>
        <v>0</v>
      </c>
      <c r="BX87" s="18">
        <f t="shared" si="159"/>
        <v>0</v>
      </c>
      <c r="BY87" s="18">
        <f t="shared" si="159"/>
        <v>0</v>
      </c>
      <c r="BZ87" s="18">
        <f t="shared" si="159"/>
        <v>0</v>
      </c>
      <c r="CA87" s="18">
        <f t="shared" si="159"/>
        <v>0</v>
      </c>
      <c r="CB87" s="18">
        <f t="shared" si="159"/>
        <v>0</v>
      </c>
      <c r="CC87" s="18">
        <f t="shared" si="159"/>
        <v>0</v>
      </c>
      <c r="CD87" s="18">
        <f t="shared" si="159"/>
        <v>0</v>
      </c>
      <c r="CE87" s="18">
        <f t="shared" si="159"/>
        <v>0</v>
      </c>
      <c r="CF87" s="18">
        <f t="shared" si="159"/>
        <v>0</v>
      </c>
      <c r="CG87" s="18">
        <f t="shared" si="159"/>
        <v>0</v>
      </c>
      <c r="CH87" s="18">
        <f t="shared" si="159"/>
        <v>0</v>
      </c>
      <c r="CI87" s="18">
        <f t="shared" si="159"/>
        <v>0</v>
      </c>
      <c r="CJ87" s="18">
        <f t="shared" ref="CJ87:CK87" si="163">SUM(CJ88:CJ89)</f>
        <v>0</v>
      </c>
      <c r="CK87" s="18">
        <f t="shared" si="163"/>
        <v>0</v>
      </c>
      <c r="CL87" s="18">
        <f t="shared" si="159"/>
        <v>0</v>
      </c>
      <c r="CM87" s="18">
        <f t="shared" ref="CM87" si="164">SUM(CM88:CM89)</f>
        <v>0</v>
      </c>
      <c r="CN87" s="18">
        <f t="shared" si="159"/>
        <v>0</v>
      </c>
      <c r="CO87" s="18">
        <f t="shared" ref="CO87" si="165">SUM(CO88:CO89)</f>
        <v>0</v>
      </c>
      <c r="CP87" s="18">
        <f t="shared" si="159"/>
        <v>0</v>
      </c>
      <c r="CQ87" s="18"/>
      <c r="CR87" s="18"/>
      <c r="CS87" s="18"/>
      <c r="CT87" s="18"/>
      <c r="CU87" s="18">
        <f t="shared" si="159"/>
        <v>0</v>
      </c>
      <c r="CV87" s="73"/>
      <c r="CW87" s="73"/>
      <c r="CX87" s="73"/>
      <c r="CY87" s="73"/>
      <c r="CZ87" s="18">
        <f t="shared" si="159"/>
        <v>0</v>
      </c>
      <c r="DA87" s="18">
        <f t="shared" si="159"/>
        <v>0</v>
      </c>
      <c r="DB87" s="18">
        <f t="shared" si="159"/>
        <v>0</v>
      </c>
      <c r="DC87" s="46">
        <f t="shared" si="159"/>
        <v>0</v>
      </c>
      <c r="DD87" s="57"/>
    </row>
    <row r="88" spans="1:108" s="78" customFormat="1" ht="31.2" x14ac:dyDescent="0.3">
      <c r="A88" s="96" t="s">
        <v>1</v>
      </c>
      <c r="B88" s="71" t="s">
        <v>64</v>
      </c>
      <c r="C88" s="72" t="s">
        <v>156</v>
      </c>
      <c r="D88" s="74">
        <f>SUM(E88+CC88+CZ88)</f>
        <v>1541233</v>
      </c>
      <c r="E88" s="74">
        <f>SUM(F88+BC88)</f>
        <v>1541233</v>
      </c>
      <c r="F88" s="19">
        <f t="shared" ref="F88:F89" si="166">SUM(G88+H88+I88+P88+S88+T88+U88+AD88)</f>
        <v>1541233</v>
      </c>
      <c r="G88" s="74">
        <v>1149414</v>
      </c>
      <c r="H88" s="74">
        <v>261232</v>
      </c>
      <c r="I88" s="74">
        <f t="shared" si="127"/>
        <v>0</v>
      </c>
      <c r="J88" s="75">
        <v>0</v>
      </c>
      <c r="K88" s="75">
        <v>0</v>
      </c>
      <c r="L88" s="75">
        <v>0</v>
      </c>
      <c r="M88" s="75">
        <v>0</v>
      </c>
      <c r="N88" s="75">
        <v>0</v>
      </c>
      <c r="O88" s="75">
        <v>0</v>
      </c>
      <c r="P88" s="74">
        <f t="shared" si="128"/>
        <v>0</v>
      </c>
      <c r="Q88" s="74">
        <v>0</v>
      </c>
      <c r="R88" s="74">
        <v>0</v>
      </c>
      <c r="S88" s="74">
        <v>0</v>
      </c>
      <c r="T88" s="75">
        <v>8815</v>
      </c>
      <c r="U88" s="74">
        <f t="shared" ref="U88:U89" si="167">SUM(V88:AC88)</f>
        <v>116140</v>
      </c>
      <c r="V88" s="76"/>
      <c r="W88" s="75">
        <f>38945+14993</f>
        <v>53938</v>
      </c>
      <c r="X88" s="75">
        <f>6943+3003</f>
        <v>9946</v>
      </c>
      <c r="Y88" s="75">
        <f>39783+12473</f>
        <v>52256</v>
      </c>
      <c r="Z88" s="75">
        <v>0</v>
      </c>
      <c r="AA88" s="76"/>
      <c r="AB88" s="76"/>
      <c r="AC88" s="76"/>
      <c r="AD88" s="74">
        <f t="shared" ref="AD88:AD89" si="168">SUM(AE88:AY88)</f>
        <v>5632</v>
      </c>
      <c r="AE88" s="74">
        <v>0</v>
      </c>
      <c r="AF88" s="74">
        <v>0</v>
      </c>
      <c r="AG88" s="74">
        <v>0</v>
      </c>
      <c r="AH88" s="74">
        <v>0</v>
      </c>
      <c r="AI88" s="74">
        <v>0</v>
      </c>
      <c r="AJ88" s="74">
        <v>0</v>
      </c>
      <c r="AK88" s="74">
        <v>0</v>
      </c>
      <c r="AL88" s="74">
        <v>0</v>
      </c>
      <c r="AM88" s="74">
        <v>0</v>
      </c>
      <c r="AN88" s="74">
        <v>0</v>
      </c>
      <c r="AO88" s="74">
        <v>0</v>
      </c>
      <c r="AP88" s="74">
        <v>0</v>
      </c>
      <c r="AQ88" s="74">
        <v>0</v>
      </c>
      <c r="AR88" s="74">
        <v>0</v>
      </c>
      <c r="AS88" s="74">
        <v>0</v>
      </c>
      <c r="AT88" s="74">
        <v>0</v>
      </c>
      <c r="AU88" s="74">
        <v>0</v>
      </c>
      <c r="AV88" s="74">
        <v>0</v>
      </c>
      <c r="AW88" s="75">
        <v>0</v>
      </c>
      <c r="AX88" s="75"/>
      <c r="AY88" s="75">
        <v>5632</v>
      </c>
      <c r="AZ88" s="75"/>
      <c r="BA88" s="75"/>
      <c r="BB88" s="75"/>
      <c r="BC88" s="74">
        <f>SUM(BD88+BH88+BL88+BN88+BQ88)</f>
        <v>0</v>
      </c>
      <c r="BD88" s="74">
        <f>SUM(BE88:BG88)</f>
        <v>0</v>
      </c>
      <c r="BE88" s="74">
        <v>0</v>
      </c>
      <c r="BF88" s="74">
        <v>0</v>
      </c>
      <c r="BG88" s="74">
        <v>0</v>
      </c>
      <c r="BH88" s="74">
        <f t="shared" ref="BH88:BH89" si="169">SUM(BI88:BK88)</f>
        <v>0</v>
      </c>
      <c r="BI88" s="74">
        <v>0</v>
      </c>
      <c r="BJ88" s="74">
        <v>0</v>
      </c>
      <c r="BK88" s="74">
        <v>0</v>
      </c>
      <c r="BL88" s="74">
        <v>0</v>
      </c>
      <c r="BM88" s="74">
        <v>0</v>
      </c>
      <c r="BN88" s="74">
        <f t="shared" si="129"/>
        <v>0</v>
      </c>
      <c r="BO88" s="74">
        <v>0</v>
      </c>
      <c r="BP88" s="74">
        <v>0</v>
      </c>
      <c r="BQ88" s="74">
        <f>SUM(BR88:CB88)</f>
        <v>0</v>
      </c>
      <c r="BR88" s="74">
        <v>0</v>
      </c>
      <c r="BS88" s="74">
        <v>0</v>
      </c>
      <c r="BT88" s="75"/>
      <c r="BU88" s="74">
        <v>0</v>
      </c>
      <c r="BV88" s="74">
        <v>0</v>
      </c>
      <c r="BW88" s="74">
        <v>0</v>
      </c>
      <c r="BX88" s="74">
        <v>0</v>
      </c>
      <c r="BY88" s="74">
        <v>0</v>
      </c>
      <c r="BZ88" s="74">
        <v>0</v>
      </c>
      <c r="CA88" s="74">
        <v>0</v>
      </c>
      <c r="CB88" s="74">
        <v>0</v>
      </c>
      <c r="CC88" s="74">
        <f>SUM(CD88+CU88)</f>
        <v>0</v>
      </c>
      <c r="CD88" s="74">
        <f>SUM(CE88+CH88+CN88)</f>
        <v>0</v>
      </c>
      <c r="CE88" s="74">
        <f t="shared" si="130"/>
        <v>0</v>
      </c>
      <c r="CF88" s="74">
        <v>0</v>
      </c>
      <c r="CG88" s="74">
        <v>0</v>
      </c>
      <c r="CH88" s="74">
        <f>SUM(CI88:CM88)</f>
        <v>0</v>
      </c>
      <c r="CI88" s="74">
        <v>0</v>
      </c>
      <c r="CJ88" s="74">
        <v>0</v>
      </c>
      <c r="CK88" s="74">
        <v>0</v>
      </c>
      <c r="CL88" s="74">
        <v>0</v>
      </c>
      <c r="CM88" s="74">
        <v>0</v>
      </c>
      <c r="CN88" s="74">
        <f>SUM(CO88:CQ88)</f>
        <v>0</v>
      </c>
      <c r="CO88" s="74">
        <v>0</v>
      </c>
      <c r="CP88" s="74">
        <v>0</v>
      </c>
      <c r="CQ88" s="74"/>
      <c r="CR88" s="74"/>
      <c r="CS88" s="74"/>
      <c r="CT88" s="74"/>
      <c r="CU88" s="74">
        <v>0</v>
      </c>
      <c r="CV88" s="74"/>
      <c r="CW88" s="74"/>
      <c r="CX88" s="74"/>
      <c r="CY88" s="74"/>
      <c r="CZ88" s="74">
        <f t="shared" si="131"/>
        <v>0</v>
      </c>
      <c r="DA88" s="74">
        <f t="shared" si="132"/>
        <v>0</v>
      </c>
      <c r="DB88" s="74">
        <v>0</v>
      </c>
      <c r="DC88" s="77">
        <v>0</v>
      </c>
    </row>
    <row r="89" spans="1:108" s="78" customFormat="1" ht="31.2" x14ac:dyDescent="0.3">
      <c r="A89" s="96" t="s">
        <v>1</v>
      </c>
      <c r="B89" s="71" t="s">
        <v>72</v>
      </c>
      <c r="C89" s="72" t="s">
        <v>157</v>
      </c>
      <c r="D89" s="74">
        <f>SUM(E89+CC89+CZ89)</f>
        <v>849215</v>
      </c>
      <c r="E89" s="74">
        <f>SUM(F89+BC89)</f>
        <v>849215</v>
      </c>
      <c r="F89" s="19">
        <f t="shared" si="166"/>
        <v>849215</v>
      </c>
      <c r="G89" s="74">
        <v>592230</v>
      </c>
      <c r="H89" s="74">
        <v>135890</v>
      </c>
      <c r="I89" s="74">
        <f t="shared" si="127"/>
        <v>48718</v>
      </c>
      <c r="J89" s="75">
        <v>0</v>
      </c>
      <c r="K89" s="75">
        <v>0</v>
      </c>
      <c r="L89" s="75">
        <v>0</v>
      </c>
      <c r="M89" s="75">
        <v>0</v>
      </c>
      <c r="N89" s="75">
        <v>48718</v>
      </c>
      <c r="O89" s="75"/>
      <c r="P89" s="74">
        <f t="shared" si="128"/>
        <v>0</v>
      </c>
      <c r="Q89" s="74">
        <v>0</v>
      </c>
      <c r="R89" s="74">
        <v>0</v>
      </c>
      <c r="S89" s="74">
        <v>0</v>
      </c>
      <c r="T89" s="75">
        <v>11677</v>
      </c>
      <c r="U89" s="74">
        <f t="shared" si="167"/>
        <v>4265</v>
      </c>
      <c r="V89" s="76"/>
      <c r="W89" s="75">
        <v>0</v>
      </c>
      <c r="X89" s="75">
        <f>2708+1557</f>
        <v>4265</v>
      </c>
      <c r="Y89" s="75">
        <v>0</v>
      </c>
      <c r="Z89" s="75">
        <v>0</v>
      </c>
      <c r="AA89" s="76"/>
      <c r="AB89" s="76"/>
      <c r="AC89" s="76"/>
      <c r="AD89" s="74">
        <f t="shared" si="168"/>
        <v>56435</v>
      </c>
      <c r="AE89" s="74">
        <v>0</v>
      </c>
      <c r="AF89" s="74">
        <v>0</v>
      </c>
      <c r="AG89" s="74">
        <v>0</v>
      </c>
      <c r="AH89" s="74">
        <v>0</v>
      </c>
      <c r="AI89" s="74"/>
      <c r="AJ89" s="74">
        <v>1535</v>
      </c>
      <c r="AK89" s="74">
        <v>0</v>
      </c>
      <c r="AL89" s="74">
        <v>0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74">
        <v>0</v>
      </c>
      <c r="AT89" s="74">
        <v>0</v>
      </c>
      <c r="AU89" s="74">
        <v>0</v>
      </c>
      <c r="AV89" s="74"/>
      <c r="AW89" s="75">
        <v>54900</v>
      </c>
      <c r="AX89" s="75">
        <v>0</v>
      </c>
      <c r="AY89" s="75">
        <v>0</v>
      </c>
      <c r="AZ89" s="75"/>
      <c r="BA89" s="75"/>
      <c r="BB89" s="75"/>
      <c r="BC89" s="74">
        <f>SUM(BD89+BH89+BL89+BN89+BQ89)</f>
        <v>0</v>
      </c>
      <c r="BD89" s="74">
        <f>SUM(BE89:BG89)</f>
        <v>0</v>
      </c>
      <c r="BE89" s="74">
        <v>0</v>
      </c>
      <c r="BF89" s="74">
        <v>0</v>
      </c>
      <c r="BG89" s="74">
        <v>0</v>
      </c>
      <c r="BH89" s="74">
        <f t="shared" si="169"/>
        <v>0</v>
      </c>
      <c r="BI89" s="74">
        <v>0</v>
      </c>
      <c r="BJ89" s="74">
        <v>0</v>
      </c>
      <c r="BK89" s="74">
        <v>0</v>
      </c>
      <c r="BL89" s="74">
        <v>0</v>
      </c>
      <c r="BM89" s="74">
        <v>0</v>
      </c>
      <c r="BN89" s="74">
        <f t="shared" si="129"/>
        <v>0</v>
      </c>
      <c r="BO89" s="74">
        <v>0</v>
      </c>
      <c r="BP89" s="74">
        <v>0</v>
      </c>
      <c r="BQ89" s="74">
        <f>SUM(BR89:CB89)</f>
        <v>0</v>
      </c>
      <c r="BR89" s="74">
        <v>0</v>
      </c>
      <c r="BS89" s="74">
        <v>0</v>
      </c>
      <c r="BT89" s="74">
        <v>0</v>
      </c>
      <c r="BU89" s="74">
        <v>0</v>
      </c>
      <c r="BV89" s="74">
        <v>0</v>
      </c>
      <c r="BW89" s="74">
        <v>0</v>
      </c>
      <c r="BX89" s="74">
        <v>0</v>
      </c>
      <c r="BY89" s="74">
        <v>0</v>
      </c>
      <c r="BZ89" s="74">
        <v>0</v>
      </c>
      <c r="CA89" s="74">
        <v>0</v>
      </c>
      <c r="CB89" s="74">
        <v>0</v>
      </c>
      <c r="CC89" s="74">
        <f>SUM(CD89+CU89)</f>
        <v>0</v>
      </c>
      <c r="CD89" s="74">
        <f>SUM(CE89+CH89+CN89)</f>
        <v>0</v>
      </c>
      <c r="CE89" s="74">
        <f t="shared" si="130"/>
        <v>0</v>
      </c>
      <c r="CF89" s="74">
        <v>0</v>
      </c>
      <c r="CG89" s="75"/>
      <c r="CH89" s="74">
        <f>SUM(CI89:CM89)</f>
        <v>0</v>
      </c>
      <c r="CI89" s="74">
        <v>0</v>
      </c>
      <c r="CJ89" s="74">
        <v>0</v>
      </c>
      <c r="CK89" s="74">
        <v>0</v>
      </c>
      <c r="CL89" s="74">
        <v>0</v>
      </c>
      <c r="CM89" s="74">
        <v>0</v>
      </c>
      <c r="CN89" s="74">
        <f>SUM(CO89:CQ89)</f>
        <v>0</v>
      </c>
      <c r="CO89" s="74">
        <v>0</v>
      </c>
      <c r="CP89" s="74">
        <v>0</v>
      </c>
      <c r="CQ89" s="74"/>
      <c r="CR89" s="74"/>
      <c r="CS89" s="74"/>
      <c r="CT89" s="74"/>
      <c r="CU89" s="74">
        <v>0</v>
      </c>
      <c r="CV89" s="74"/>
      <c r="CW89" s="74"/>
      <c r="CX89" s="74"/>
      <c r="CY89" s="74"/>
      <c r="CZ89" s="74">
        <f t="shared" si="131"/>
        <v>0</v>
      </c>
      <c r="DA89" s="74">
        <f t="shared" si="132"/>
        <v>0</v>
      </c>
      <c r="DB89" s="74">
        <v>0</v>
      </c>
      <c r="DC89" s="77">
        <v>0</v>
      </c>
    </row>
    <row r="90" spans="1:108" s="58" customFormat="1" ht="31.2" x14ac:dyDescent="0.3">
      <c r="A90" s="93" t="s">
        <v>158</v>
      </c>
      <c r="B90" s="16" t="s">
        <v>1</v>
      </c>
      <c r="C90" s="17" t="s">
        <v>475</v>
      </c>
      <c r="D90" s="18">
        <f t="shared" ref="D90:AY90" si="170">SUM(D91:D95)</f>
        <v>8695266</v>
      </c>
      <c r="E90" s="18">
        <f t="shared" si="170"/>
        <v>8695266</v>
      </c>
      <c r="F90" s="18">
        <f t="shared" si="170"/>
        <v>8695266</v>
      </c>
      <c r="G90" s="18">
        <f t="shared" si="170"/>
        <v>296421</v>
      </c>
      <c r="H90" s="18">
        <f t="shared" si="170"/>
        <v>68621</v>
      </c>
      <c r="I90" s="18">
        <f t="shared" si="170"/>
        <v>0</v>
      </c>
      <c r="J90" s="18">
        <f t="shared" si="170"/>
        <v>0</v>
      </c>
      <c r="K90" s="18">
        <f t="shared" si="170"/>
        <v>0</v>
      </c>
      <c r="L90" s="18">
        <f t="shared" si="170"/>
        <v>0</v>
      </c>
      <c r="M90" s="18">
        <f t="shared" si="170"/>
        <v>0</v>
      </c>
      <c r="N90" s="18">
        <f t="shared" si="170"/>
        <v>0</v>
      </c>
      <c r="O90" s="18">
        <f t="shared" si="170"/>
        <v>0</v>
      </c>
      <c r="P90" s="18">
        <f t="shared" si="170"/>
        <v>0</v>
      </c>
      <c r="Q90" s="18">
        <f t="shared" si="170"/>
        <v>0</v>
      </c>
      <c r="R90" s="18">
        <f t="shared" si="170"/>
        <v>0</v>
      </c>
      <c r="S90" s="18">
        <f t="shared" si="170"/>
        <v>0</v>
      </c>
      <c r="T90" s="18">
        <f t="shared" si="170"/>
        <v>0</v>
      </c>
      <c r="U90" s="18">
        <f t="shared" si="170"/>
        <v>0</v>
      </c>
      <c r="V90" s="18">
        <f t="shared" si="170"/>
        <v>0</v>
      </c>
      <c r="W90" s="18">
        <f t="shared" si="170"/>
        <v>0</v>
      </c>
      <c r="X90" s="18">
        <f t="shared" si="170"/>
        <v>0</v>
      </c>
      <c r="Y90" s="18">
        <f t="shared" si="170"/>
        <v>0</v>
      </c>
      <c r="Z90" s="18">
        <f t="shared" si="170"/>
        <v>0</v>
      </c>
      <c r="AA90" s="18">
        <f t="shared" si="170"/>
        <v>0</v>
      </c>
      <c r="AB90" s="18">
        <f t="shared" si="170"/>
        <v>0</v>
      </c>
      <c r="AC90" s="18">
        <f t="shared" si="170"/>
        <v>0</v>
      </c>
      <c r="AD90" s="18">
        <f t="shared" si="170"/>
        <v>8330224</v>
      </c>
      <c r="AE90" s="18">
        <f t="shared" si="170"/>
        <v>0</v>
      </c>
      <c r="AF90" s="18">
        <f t="shared" si="170"/>
        <v>8330224</v>
      </c>
      <c r="AG90" s="18">
        <f t="shared" si="170"/>
        <v>0</v>
      </c>
      <c r="AH90" s="18">
        <f t="shared" si="170"/>
        <v>0</v>
      </c>
      <c r="AI90" s="18">
        <f t="shared" si="170"/>
        <v>0</v>
      </c>
      <c r="AJ90" s="18">
        <f t="shared" si="170"/>
        <v>0</v>
      </c>
      <c r="AK90" s="18">
        <f t="shared" si="170"/>
        <v>0</v>
      </c>
      <c r="AL90" s="18">
        <f t="shared" si="170"/>
        <v>0</v>
      </c>
      <c r="AM90" s="18">
        <f t="shared" si="170"/>
        <v>0</v>
      </c>
      <c r="AN90" s="18">
        <f t="shared" si="170"/>
        <v>0</v>
      </c>
      <c r="AO90" s="18">
        <f t="shared" si="170"/>
        <v>0</v>
      </c>
      <c r="AP90" s="18">
        <f t="shared" si="170"/>
        <v>0</v>
      </c>
      <c r="AQ90" s="18">
        <f t="shared" si="170"/>
        <v>0</v>
      </c>
      <c r="AR90" s="18">
        <f t="shared" si="170"/>
        <v>0</v>
      </c>
      <c r="AS90" s="18">
        <f t="shared" si="170"/>
        <v>0</v>
      </c>
      <c r="AT90" s="18">
        <f t="shared" si="170"/>
        <v>0</v>
      </c>
      <c r="AU90" s="18">
        <f t="shared" si="170"/>
        <v>0</v>
      </c>
      <c r="AV90" s="18">
        <f t="shared" si="170"/>
        <v>0</v>
      </c>
      <c r="AW90" s="18">
        <f t="shared" si="170"/>
        <v>0</v>
      </c>
      <c r="AX90" s="18">
        <f t="shared" si="170"/>
        <v>0</v>
      </c>
      <c r="AY90" s="18">
        <f t="shared" si="170"/>
        <v>0</v>
      </c>
      <c r="AZ90" s="18"/>
      <c r="BA90" s="18"/>
      <c r="BB90" s="18"/>
      <c r="BC90" s="18">
        <f t="shared" ref="BC90:CQ90" si="171">SUM(BC91:BC95)</f>
        <v>0</v>
      </c>
      <c r="BD90" s="18">
        <f t="shared" si="171"/>
        <v>0</v>
      </c>
      <c r="BE90" s="18">
        <f t="shared" si="171"/>
        <v>0</v>
      </c>
      <c r="BF90" s="18">
        <f t="shared" si="171"/>
        <v>0</v>
      </c>
      <c r="BG90" s="18">
        <f t="shared" si="171"/>
        <v>0</v>
      </c>
      <c r="BH90" s="18">
        <f t="shared" si="171"/>
        <v>0</v>
      </c>
      <c r="BI90" s="18">
        <f t="shared" si="171"/>
        <v>0</v>
      </c>
      <c r="BJ90" s="18">
        <f t="shared" si="171"/>
        <v>0</v>
      </c>
      <c r="BK90" s="18">
        <f t="shared" si="171"/>
        <v>0</v>
      </c>
      <c r="BL90" s="18">
        <f t="shared" si="171"/>
        <v>0</v>
      </c>
      <c r="BM90" s="18">
        <f t="shared" si="171"/>
        <v>0</v>
      </c>
      <c r="BN90" s="18">
        <f t="shared" si="171"/>
        <v>0</v>
      </c>
      <c r="BO90" s="18">
        <f t="shared" si="171"/>
        <v>0</v>
      </c>
      <c r="BP90" s="18">
        <f t="shared" si="171"/>
        <v>0</v>
      </c>
      <c r="BQ90" s="18">
        <f t="shared" si="171"/>
        <v>0</v>
      </c>
      <c r="BR90" s="18">
        <f t="shared" si="171"/>
        <v>0</v>
      </c>
      <c r="BS90" s="18">
        <f t="shared" si="171"/>
        <v>0</v>
      </c>
      <c r="BT90" s="18">
        <f t="shared" si="171"/>
        <v>0</v>
      </c>
      <c r="BU90" s="18">
        <f t="shared" si="171"/>
        <v>0</v>
      </c>
      <c r="BV90" s="18">
        <f t="shared" si="171"/>
        <v>0</v>
      </c>
      <c r="BW90" s="18">
        <f t="shared" si="171"/>
        <v>0</v>
      </c>
      <c r="BX90" s="18">
        <f t="shared" si="171"/>
        <v>0</v>
      </c>
      <c r="BY90" s="18">
        <f t="shared" si="171"/>
        <v>0</v>
      </c>
      <c r="BZ90" s="18">
        <f t="shared" si="171"/>
        <v>0</v>
      </c>
      <c r="CA90" s="18">
        <f t="shared" si="171"/>
        <v>0</v>
      </c>
      <c r="CB90" s="18">
        <f t="shared" si="171"/>
        <v>0</v>
      </c>
      <c r="CC90" s="18">
        <f t="shared" si="171"/>
        <v>0</v>
      </c>
      <c r="CD90" s="18">
        <f t="shared" si="171"/>
        <v>0</v>
      </c>
      <c r="CE90" s="18">
        <f t="shared" si="171"/>
        <v>0</v>
      </c>
      <c r="CF90" s="18">
        <f t="shared" si="171"/>
        <v>0</v>
      </c>
      <c r="CG90" s="18">
        <f t="shared" si="171"/>
        <v>0</v>
      </c>
      <c r="CH90" s="18">
        <f t="shared" si="171"/>
        <v>0</v>
      </c>
      <c r="CI90" s="18">
        <f t="shared" si="171"/>
        <v>0</v>
      </c>
      <c r="CJ90" s="18">
        <f t="shared" si="171"/>
        <v>0</v>
      </c>
      <c r="CK90" s="18">
        <f t="shared" si="171"/>
        <v>0</v>
      </c>
      <c r="CL90" s="18">
        <f t="shared" si="171"/>
        <v>0</v>
      </c>
      <c r="CM90" s="18">
        <f t="shared" si="171"/>
        <v>0</v>
      </c>
      <c r="CN90" s="18">
        <f t="shared" si="171"/>
        <v>0</v>
      </c>
      <c r="CO90" s="18">
        <f t="shared" si="171"/>
        <v>0</v>
      </c>
      <c r="CP90" s="18">
        <f t="shared" si="171"/>
        <v>0</v>
      </c>
      <c r="CQ90" s="18">
        <f t="shared" si="171"/>
        <v>0</v>
      </c>
      <c r="CR90" s="18"/>
      <c r="CS90" s="18"/>
      <c r="CT90" s="18"/>
      <c r="CU90" s="18">
        <f>SUM(CU91:CU95)</f>
        <v>0</v>
      </c>
      <c r="CV90" s="73"/>
      <c r="CW90" s="73"/>
      <c r="CX90" s="73"/>
      <c r="CY90" s="73"/>
      <c r="CZ90" s="18">
        <f>SUM(CZ91:CZ95)</f>
        <v>0</v>
      </c>
      <c r="DA90" s="18">
        <f>SUM(DA91:DA95)</f>
        <v>0</v>
      </c>
      <c r="DB90" s="18">
        <f>SUM(DB91:DB95)</f>
        <v>0</v>
      </c>
      <c r="DC90" s="46">
        <f>SUM(DC91:DC95)</f>
        <v>0</v>
      </c>
      <c r="DD90" s="57"/>
    </row>
    <row r="91" spans="1:108" ht="15.6" x14ac:dyDescent="0.3">
      <c r="A91" s="94" t="s">
        <v>1</v>
      </c>
      <c r="B91" s="21" t="s">
        <v>56</v>
      </c>
      <c r="C91" s="22" t="s">
        <v>322</v>
      </c>
      <c r="D91" s="19">
        <f t="shared" ref="D91:D95" si="172">SUM(E91+CC91+CZ91)</f>
        <v>242573</v>
      </c>
      <c r="E91" s="19">
        <f t="shared" ref="E91:E95" si="173">SUM(F91+BC91)</f>
        <v>242573</v>
      </c>
      <c r="F91" s="19">
        <f t="shared" ref="F91:F95" si="174">SUM(G91+H91+I91+P91+S91+T91+U91+AD91)</f>
        <v>242573</v>
      </c>
      <c r="G91" s="19">
        <v>0</v>
      </c>
      <c r="H91" s="19">
        <v>0</v>
      </c>
      <c r="I91" s="19">
        <f>SUM(J91:O91)</f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f>SUM(Q91:R91)</f>
        <v>0</v>
      </c>
      <c r="Q91" s="19">
        <v>0</v>
      </c>
      <c r="R91" s="19">
        <v>0</v>
      </c>
      <c r="S91" s="19">
        <v>0</v>
      </c>
      <c r="T91" s="19">
        <v>0</v>
      </c>
      <c r="U91" s="19">
        <f t="shared" ref="U91:U95" si="175">SUM(V91:AC91)</f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f t="shared" ref="AD91:AD95" si="176">SUM(AE91:AY91)</f>
        <v>242573</v>
      </c>
      <c r="AE91" s="24">
        <v>0</v>
      </c>
      <c r="AF91" s="23">
        <f>331716-89143</f>
        <v>242573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/>
      <c r="BA91" s="19"/>
      <c r="BB91" s="19"/>
      <c r="BC91" s="19">
        <f t="shared" ref="BC91:BC95" si="177">SUM(BD91+BH91+BL91+BN91+BQ91)</f>
        <v>0</v>
      </c>
      <c r="BD91" s="19">
        <f t="shared" ref="BD91:BD95" si="178">SUM(BE91:BG91)</f>
        <v>0</v>
      </c>
      <c r="BE91" s="19">
        <v>0</v>
      </c>
      <c r="BF91" s="19">
        <v>0</v>
      </c>
      <c r="BG91" s="19">
        <v>0</v>
      </c>
      <c r="BH91" s="19">
        <f t="shared" ref="BH91:BH95" si="179">SUM(BI91:BK91)</f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f>SUM(BO91)</f>
        <v>0</v>
      </c>
      <c r="BO91" s="19">
        <v>0</v>
      </c>
      <c r="BP91" s="19">
        <v>0</v>
      </c>
      <c r="BQ91" s="19">
        <f t="shared" ref="BQ91:BQ95" si="180">SUM(BR91:CB91)</f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f t="shared" ref="CC91:CC95" si="181">SUM(CD91+CU91)</f>
        <v>0</v>
      </c>
      <c r="CD91" s="19">
        <f t="shared" ref="CD91:CD95" si="182">SUM(CE91+CH91+CN91)</f>
        <v>0</v>
      </c>
      <c r="CE91" s="19">
        <f>SUM(CF91:CG91)</f>
        <v>0</v>
      </c>
      <c r="CF91" s="19">
        <v>0</v>
      </c>
      <c r="CG91" s="19">
        <v>0</v>
      </c>
      <c r="CH91" s="19">
        <f t="shared" ref="CH91:CH95" si="183">SUM(CI91:CM91)</f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f t="shared" ref="CN91:CN95" si="184">SUM(CO91:CQ91)</f>
        <v>0</v>
      </c>
      <c r="CO91" s="19">
        <v>0</v>
      </c>
      <c r="CP91" s="19">
        <v>0</v>
      </c>
      <c r="CQ91" s="19"/>
      <c r="CR91" s="19"/>
      <c r="CS91" s="19"/>
      <c r="CT91" s="19"/>
      <c r="CU91" s="19">
        <v>0</v>
      </c>
      <c r="CV91" s="74"/>
      <c r="CW91" s="74"/>
      <c r="CX91" s="74"/>
      <c r="CY91" s="74"/>
      <c r="CZ91" s="19">
        <f>SUM(DA91)</f>
        <v>0</v>
      </c>
      <c r="DA91" s="19">
        <f>SUM(DB91:DC91)</f>
        <v>0</v>
      </c>
      <c r="DB91" s="19">
        <v>0</v>
      </c>
      <c r="DC91" s="20">
        <v>0</v>
      </c>
      <c r="DD91" s="52"/>
    </row>
    <row r="92" spans="1:108" ht="15.6" x14ac:dyDescent="0.3">
      <c r="A92" s="94" t="s">
        <v>1</v>
      </c>
      <c r="B92" s="21" t="s">
        <v>58</v>
      </c>
      <c r="C92" s="22" t="s">
        <v>159</v>
      </c>
      <c r="D92" s="19">
        <f t="shared" si="172"/>
        <v>890232</v>
      </c>
      <c r="E92" s="19">
        <f t="shared" si="173"/>
        <v>890232</v>
      </c>
      <c r="F92" s="19">
        <f t="shared" si="174"/>
        <v>890232</v>
      </c>
      <c r="G92" s="19">
        <v>0</v>
      </c>
      <c r="H92" s="19">
        <v>0</v>
      </c>
      <c r="I92" s="19">
        <f>SUM(J92:O92)</f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f>SUM(Q92:R92)</f>
        <v>0</v>
      </c>
      <c r="Q92" s="19">
        <v>0</v>
      </c>
      <c r="R92" s="19">
        <v>0</v>
      </c>
      <c r="S92" s="19">
        <v>0</v>
      </c>
      <c r="T92" s="19">
        <v>0</v>
      </c>
      <c r="U92" s="19">
        <f t="shared" si="175"/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f t="shared" si="176"/>
        <v>890232</v>
      </c>
      <c r="AE92" s="24">
        <v>0</v>
      </c>
      <c r="AF92" s="23">
        <f>1357906-467674</f>
        <v>890232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/>
      <c r="BA92" s="19"/>
      <c r="BB92" s="19"/>
      <c r="BC92" s="19">
        <f t="shared" si="177"/>
        <v>0</v>
      </c>
      <c r="BD92" s="19">
        <f t="shared" si="178"/>
        <v>0</v>
      </c>
      <c r="BE92" s="19">
        <v>0</v>
      </c>
      <c r="BF92" s="19">
        <v>0</v>
      </c>
      <c r="BG92" s="19">
        <v>0</v>
      </c>
      <c r="BH92" s="19">
        <f t="shared" si="179"/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f>SUM(BO92)</f>
        <v>0</v>
      </c>
      <c r="BO92" s="19">
        <v>0</v>
      </c>
      <c r="BP92" s="19">
        <v>0</v>
      </c>
      <c r="BQ92" s="19">
        <f t="shared" si="180"/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f t="shared" si="181"/>
        <v>0</v>
      </c>
      <c r="CD92" s="19">
        <f t="shared" si="182"/>
        <v>0</v>
      </c>
      <c r="CE92" s="19">
        <f>SUM(CF92:CG92)</f>
        <v>0</v>
      </c>
      <c r="CF92" s="19">
        <v>0</v>
      </c>
      <c r="CG92" s="19">
        <v>0</v>
      </c>
      <c r="CH92" s="19">
        <f t="shared" si="183"/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f t="shared" si="184"/>
        <v>0</v>
      </c>
      <c r="CO92" s="19">
        <v>0</v>
      </c>
      <c r="CP92" s="19">
        <v>0</v>
      </c>
      <c r="CQ92" s="19"/>
      <c r="CR92" s="19"/>
      <c r="CS92" s="19"/>
      <c r="CT92" s="19"/>
      <c r="CU92" s="19">
        <v>0</v>
      </c>
      <c r="CV92" s="74"/>
      <c r="CW92" s="74"/>
      <c r="CX92" s="74"/>
      <c r="CY92" s="74"/>
      <c r="CZ92" s="19">
        <f>SUM(DA92)</f>
        <v>0</v>
      </c>
      <c r="DA92" s="19">
        <f>SUM(DB92:DC92)</f>
        <v>0</v>
      </c>
      <c r="DB92" s="19">
        <v>0</v>
      </c>
      <c r="DC92" s="20">
        <v>0</v>
      </c>
      <c r="DD92" s="52"/>
    </row>
    <row r="93" spans="1:108" ht="31.2" x14ac:dyDescent="0.3">
      <c r="A93" s="97"/>
      <c r="B93" s="42" t="s">
        <v>62</v>
      </c>
      <c r="C93" s="43" t="s">
        <v>516</v>
      </c>
      <c r="D93" s="19">
        <f t="shared" ref="D93" si="185">SUM(E93+CC93+CZ93)</f>
        <v>1333817</v>
      </c>
      <c r="E93" s="19">
        <f t="shared" ref="E93" si="186">SUM(F93+BC93)</f>
        <v>1333817</v>
      </c>
      <c r="F93" s="19">
        <f t="shared" ref="F93" si="187">SUM(G93+H93+I93+P93+S93+T93+U93+AD93)</f>
        <v>1333817</v>
      </c>
      <c r="G93" s="19">
        <v>0</v>
      </c>
      <c r="H93" s="19">
        <v>0</v>
      </c>
      <c r="I93" s="19">
        <f t="shared" ref="I93" si="188">SUM(J93:O93)</f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f t="shared" ref="P93" si="189">SUM(Q93:R93)</f>
        <v>0</v>
      </c>
      <c r="Q93" s="19">
        <v>0</v>
      </c>
      <c r="R93" s="19">
        <v>0</v>
      </c>
      <c r="S93" s="19">
        <v>0</v>
      </c>
      <c r="T93" s="19">
        <v>0</v>
      </c>
      <c r="U93" s="19">
        <f t="shared" ref="U93" si="190">SUM(V93:AC93)</f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f t="shared" ref="AD93" si="191">SUM(AE93:AY93)</f>
        <v>1333817</v>
      </c>
      <c r="AE93" s="24">
        <v>0</v>
      </c>
      <c r="AF93" s="23">
        <f>1645600-311783</f>
        <v>1333817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/>
      <c r="BA93" s="19"/>
      <c r="BB93" s="19"/>
      <c r="BC93" s="19">
        <f t="shared" ref="BC93" si="192">SUM(BD93+BH93+BL93+BN93+BQ93)</f>
        <v>0</v>
      </c>
      <c r="BD93" s="19">
        <f t="shared" ref="BD93" si="193">SUM(BE93:BG93)</f>
        <v>0</v>
      </c>
      <c r="BE93" s="19">
        <v>0</v>
      </c>
      <c r="BF93" s="19">
        <v>0</v>
      </c>
      <c r="BG93" s="19">
        <v>0</v>
      </c>
      <c r="BH93" s="19">
        <f t="shared" ref="BH93" si="194">SUM(BI93:BK93)</f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  <c r="BN93" s="19">
        <f t="shared" ref="BN93" si="195">SUM(BO93)</f>
        <v>0</v>
      </c>
      <c r="BO93" s="19">
        <v>0</v>
      </c>
      <c r="BP93" s="19">
        <v>0</v>
      </c>
      <c r="BQ93" s="19">
        <f t="shared" ref="BQ93" si="196">SUM(BR93:CB93)</f>
        <v>0</v>
      </c>
      <c r="BR93" s="19">
        <v>0</v>
      </c>
      <c r="BS93" s="19">
        <v>0</v>
      </c>
      <c r="BT93" s="19">
        <v>0</v>
      </c>
      <c r="BU93" s="19">
        <v>0</v>
      </c>
      <c r="BV93" s="19">
        <v>0</v>
      </c>
      <c r="BW93" s="19">
        <v>0</v>
      </c>
      <c r="BX93" s="19">
        <v>0</v>
      </c>
      <c r="BY93" s="19">
        <v>0</v>
      </c>
      <c r="BZ93" s="19">
        <v>0</v>
      </c>
      <c r="CA93" s="19">
        <v>0</v>
      </c>
      <c r="CB93" s="19">
        <v>0</v>
      </c>
      <c r="CC93" s="19">
        <f t="shared" ref="CC93" si="197">SUM(CD93+CU93)</f>
        <v>0</v>
      </c>
      <c r="CD93" s="19">
        <f t="shared" ref="CD93" si="198">SUM(CE93+CH93+CN93)</f>
        <v>0</v>
      </c>
      <c r="CE93" s="19">
        <f t="shared" ref="CE93" si="199">SUM(CF93:CG93)</f>
        <v>0</v>
      </c>
      <c r="CF93" s="19">
        <v>0</v>
      </c>
      <c r="CG93" s="19">
        <v>0</v>
      </c>
      <c r="CH93" s="19">
        <f t="shared" ref="CH93" si="200">SUM(CI93:CM93)</f>
        <v>0</v>
      </c>
      <c r="CI93" s="19">
        <v>0</v>
      </c>
      <c r="CJ93" s="19">
        <v>0</v>
      </c>
      <c r="CK93" s="19">
        <v>0</v>
      </c>
      <c r="CL93" s="19">
        <v>0</v>
      </c>
      <c r="CM93" s="19">
        <v>0</v>
      </c>
      <c r="CN93" s="19">
        <f t="shared" ref="CN93" si="201">SUM(CO93:CQ93)</f>
        <v>0</v>
      </c>
      <c r="CO93" s="19">
        <v>0</v>
      </c>
      <c r="CP93" s="19">
        <v>0</v>
      </c>
      <c r="CQ93" s="19"/>
      <c r="CR93" s="19"/>
      <c r="CS93" s="19"/>
      <c r="CT93" s="19"/>
      <c r="CU93" s="19">
        <v>0</v>
      </c>
      <c r="CV93" s="74"/>
      <c r="CW93" s="74"/>
      <c r="CX93" s="74"/>
      <c r="CY93" s="74"/>
      <c r="CZ93" s="39">
        <f t="shared" ref="CZ93" si="202">SUM(DA93)</f>
        <v>0</v>
      </c>
      <c r="DA93" s="39">
        <f t="shared" ref="DA93" si="203">SUM(DB93:DC93)</f>
        <v>0</v>
      </c>
      <c r="DB93" s="39">
        <v>0</v>
      </c>
      <c r="DC93" s="41">
        <v>0</v>
      </c>
      <c r="DD93" s="52"/>
    </row>
    <row r="94" spans="1:108" ht="31.2" x14ac:dyDescent="0.3">
      <c r="A94" s="97" t="s">
        <v>1</v>
      </c>
      <c r="B94" s="42" t="s">
        <v>64</v>
      </c>
      <c r="C94" s="43" t="s">
        <v>435</v>
      </c>
      <c r="D94" s="39">
        <f t="shared" ref="D94" si="204">SUM(E94+CC94+CZ94)</f>
        <v>5863602</v>
      </c>
      <c r="E94" s="39">
        <f t="shared" ref="E94" si="205">SUM(F94+BC94)</f>
        <v>5863602</v>
      </c>
      <c r="F94" s="19">
        <f t="shared" ref="F94" si="206">SUM(G94+H94+I94+P94+S94+T94+U94+AD94)</f>
        <v>5863602</v>
      </c>
      <c r="G94" s="39">
        <v>0</v>
      </c>
      <c r="H94" s="39">
        <v>0</v>
      </c>
      <c r="I94" s="39">
        <f t="shared" ref="I94" si="207">SUM(J94:O94)</f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9">
        <f t="shared" ref="P94" si="208">SUM(Q94:R94)</f>
        <v>0</v>
      </c>
      <c r="Q94" s="39">
        <v>0</v>
      </c>
      <c r="R94" s="39">
        <v>0</v>
      </c>
      <c r="S94" s="39">
        <v>0</v>
      </c>
      <c r="T94" s="39">
        <v>0</v>
      </c>
      <c r="U94" s="39">
        <f t="shared" ref="U94" si="209">SUM(V94:AC94)</f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f t="shared" ref="AD94" si="210">SUM(AE94:AY94)</f>
        <v>5863602</v>
      </c>
      <c r="AE94" s="40">
        <v>0</v>
      </c>
      <c r="AF94" s="35">
        <f>7234550-1370948</f>
        <v>5863602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/>
      <c r="BA94" s="39"/>
      <c r="BB94" s="39"/>
      <c r="BC94" s="39">
        <f t="shared" ref="BC94" si="211">SUM(BD94+BH94+BL94+BN94+BQ94)</f>
        <v>0</v>
      </c>
      <c r="BD94" s="39">
        <f t="shared" ref="BD94" si="212">SUM(BE94:BG94)</f>
        <v>0</v>
      </c>
      <c r="BE94" s="39">
        <v>0</v>
      </c>
      <c r="BF94" s="39">
        <v>0</v>
      </c>
      <c r="BG94" s="39">
        <v>0</v>
      </c>
      <c r="BH94" s="39">
        <f t="shared" ref="BH94" si="213">SUM(BI94:BK94)</f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f t="shared" ref="BN94" si="214">SUM(BO94)</f>
        <v>0</v>
      </c>
      <c r="BO94" s="39">
        <v>0</v>
      </c>
      <c r="BP94" s="39">
        <v>0</v>
      </c>
      <c r="BQ94" s="39">
        <f t="shared" ref="BQ94" si="215">SUM(BR94:CB94)</f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f t="shared" ref="CC94" si="216">SUM(CD94+CU94)</f>
        <v>0</v>
      </c>
      <c r="CD94" s="39">
        <f t="shared" ref="CD94" si="217">SUM(CE94+CH94+CN94)</f>
        <v>0</v>
      </c>
      <c r="CE94" s="39">
        <f t="shared" ref="CE94" si="218">SUM(CF94:CG94)</f>
        <v>0</v>
      </c>
      <c r="CF94" s="39">
        <v>0</v>
      </c>
      <c r="CG94" s="39">
        <v>0</v>
      </c>
      <c r="CH94" s="19">
        <f t="shared" ref="CH94" si="219">SUM(CI94:CM94)</f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f t="shared" ref="CN94" si="220">SUM(CO94:CQ94)</f>
        <v>0</v>
      </c>
      <c r="CO94" s="39">
        <v>0</v>
      </c>
      <c r="CP94" s="39">
        <v>0</v>
      </c>
      <c r="CQ94" s="39"/>
      <c r="CR94" s="39"/>
      <c r="CS94" s="39"/>
      <c r="CT94" s="39"/>
      <c r="CU94" s="39">
        <v>0</v>
      </c>
      <c r="CV94" s="74"/>
      <c r="CW94" s="74"/>
      <c r="CX94" s="74"/>
      <c r="CY94" s="74"/>
      <c r="CZ94" s="39">
        <f t="shared" si="131"/>
        <v>0</v>
      </c>
      <c r="DA94" s="39">
        <f t="shared" si="132"/>
        <v>0</v>
      </c>
      <c r="DB94" s="39">
        <v>0</v>
      </c>
      <c r="DC94" s="41">
        <v>0</v>
      </c>
      <c r="DD94" s="52"/>
    </row>
    <row r="95" spans="1:108" ht="31.2" x14ac:dyDescent="0.3">
      <c r="A95" s="97" t="s">
        <v>1</v>
      </c>
      <c r="B95" s="36" t="s">
        <v>160</v>
      </c>
      <c r="C95" s="37" t="s">
        <v>323</v>
      </c>
      <c r="D95" s="39">
        <f t="shared" si="172"/>
        <v>365042</v>
      </c>
      <c r="E95" s="39">
        <f t="shared" si="173"/>
        <v>365042</v>
      </c>
      <c r="F95" s="19">
        <f t="shared" si="174"/>
        <v>365042</v>
      </c>
      <c r="G95" s="39">
        <v>296421</v>
      </c>
      <c r="H95" s="39">
        <v>68621</v>
      </c>
      <c r="I95" s="39">
        <f t="shared" si="127"/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/>
      <c r="P95" s="39">
        <f t="shared" si="128"/>
        <v>0</v>
      </c>
      <c r="Q95" s="39">
        <v>0</v>
      </c>
      <c r="R95" s="39"/>
      <c r="S95" s="39">
        <v>0</v>
      </c>
      <c r="T95" s="39">
        <v>0</v>
      </c>
      <c r="U95" s="39">
        <f t="shared" si="175"/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f t="shared" si="176"/>
        <v>0</v>
      </c>
      <c r="AE95" s="40">
        <v>0</v>
      </c>
      <c r="AF95" s="35"/>
      <c r="AG95" s="39">
        <v>0</v>
      </c>
      <c r="AH95" s="39">
        <v>0</v>
      </c>
      <c r="AI95" s="39">
        <v>0</v>
      </c>
      <c r="AJ95" s="39">
        <v>0</v>
      </c>
      <c r="AK95" s="39">
        <v>0</v>
      </c>
      <c r="AL95" s="39">
        <v>0</v>
      </c>
      <c r="AM95" s="39">
        <v>0</v>
      </c>
      <c r="AN95" s="39">
        <v>0</v>
      </c>
      <c r="AO95" s="39">
        <v>0</v>
      </c>
      <c r="AP95" s="39">
        <v>0</v>
      </c>
      <c r="AQ95" s="39">
        <v>0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/>
      <c r="BA95" s="39"/>
      <c r="BB95" s="39"/>
      <c r="BC95" s="39">
        <f t="shared" si="177"/>
        <v>0</v>
      </c>
      <c r="BD95" s="39">
        <f t="shared" si="178"/>
        <v>0</v>
      </c>
      <c r="BE95" s="39">
        <v>0</v>
      </c>
      <c r="BF95" s="39">
        <v>0</v>
      </c>
      <c r="BG95" s="39">
        <v>0</v>
      </c>
      <c r="BH95" s="39">
        <f t="shared" si="179"/>
        <v>0</v>
      </c>
      <c r="BI95" s="39">
        <v>0</v>
      </c>
      <c r="BJ95" s="39">
        <v>0</v>
      </c>
      <c r="BK95" s="39">
        <v>0</v>
      </c>
      <c r="BL95" s="39">
        <v>0</v>
      </c>
      <c r="BM95" s="39">
        <v>0</v>
      </c>
      <c r="BN95" s="39">
        <f t="shared" si="129"/>
        <v>0</v>
      </c>
      <c r="BO95" s="39">
        <v>0</v>
      </c>
      <c r="BP95" s="39">
        <v>0</v>
      </c>
      <c r="BQ95" s="39">
        <f t="shared" si="180"/>
        <v>0</v>
      </c>
      <c r="BR95" s="39">
        <v>0</v>
      </c>
      <c r="BS95" s="39">
        <v>0</v>
      </c>
      <c r="BT95" s="39">
        <v>0</v>
      </c>
      <c r="BU95" s="39">
        <v>0</v>
      </c>
      <c r="BV95" s="39">
        <v>0</v>
      </c>
      <c r="BW95" s="39">
        <v>0</v>
      </c>
      <c r="BX95" s="39">
        <v>0</v>
      </c>
      <c r="BY95" s="39">
        <v>0</v>
      </c>
      <c r="BZ95" s="39">
        <v>0</v>
      </c>
      <c r="CA95" s="39">
        <v>0</v>
      </c>
      <c r="CB95" s="39">
        <v>0</v>
      </c>
      <c r="CC95" s="39">
        <f t="shared" si="181"/>
        <v>0</v>
      </c>
      <c r="CD95" s="39">
        <f t="shared" si="182"/>
        <v>0</v>
      </c>
      <c r="CE95" s="39">
        <f t="shared" si="130"/>
        <v>0</v>
      </c>
      <c r="CF95" s="39">
        <v>0</v>
      </c>
      <c r="CG95" s="39"/>
      <c r="CH95" s="19">
        <f t="shared" si="183"/>
        <v>0</v>
      </c>
      <c r="CI95" s="39">
        <v>0</v>
      </c>
      <c r="CJ95" s="39">
        <v>0</v>
      </c>
      <c r="CK95" s="39">
        <v>0</v>
      </c>
      <c r="CL95" s="39">
        <v>0</v>
      </c>
      <c r="CM95" s="39">
        <v>0</v>
      </c>
      <c r="CN95" s="39">
        <f t="shared" si="184"/>
        <v>0</v>
      </c>
      <c r="CO95" s="39">
        <v>0</v>
      </c>
      <c r="CP95" s="39">
        <v>0</v>
      </c>
      <c r="CQ95" s="39"/>
      <c r="CR95" s="39"/>
      <c r="CS95" s="39"/>
      <c r="CT95" s="39"/>
      <c r="CU95" s="39">
        <v>0</v>
      </c>
      <c r="CV95" s="74"/>
      <c r="CW95" s="74"/>
      <c r="CX95" s="74"/>
      <c r="CY95" s="74"/>
      <c r="CZ95" s="39">
        <f t="shared" si="131"/>
        <v>0</v>
      </c>
      <c r="DA95" s="39">
        <f t="shared" si="132"/>
        <v>0</v>
      </c>
      <c r="DB95" s="39">
        <v>0</v>
      </c>
      <c r="DC95" s="41">
        <v>0</v>
      </c>
      <c r="DD95" s="52"/>
    </row>
    <row r="96" spans="1:108" s="57" customFormat="1" ht="31.2" x14ac:dyDescent="0.3">
      <c r="A96" s="95" t="s">
        <v>161</v>
      </c>
      <c r="B96" s="25" t="s">
        <v>1</v>
      </c>
      <c r="C96" s="26" t="s">
        <v>162</v>
      </c>
      <c r="D96" s="27">
        <f>SUM(D97+D99)</f>
        <v>118408536</v>
      </c>
      <c r="E96" s="27">
        <f t="shared" ref="E96:BS96" si="221">SUM(E97+E99)</f>
        <v>118408536</v>
      </c>
      <c r="F96" s="27">
        <f t="shared" si="221"/>
        <v>0</v>
      </c>
      <c r="G96" s="27">
        <f t="shared" si="221"/>
        <v>0</v>
      </c>
      <c r="H96" s="27">
        <f t="shared" si="221"/>
        <v>0</v>
      </c>
      <c r="I96" s="27">
        <f t="shared" si="221"/>
        <v>0</v>
      </c>
      <c r="J96" s="27">
        <f t="shared" si="221"/>
        <v>0</v>
      </c>
      <c r="K96" s="27">
        <f t="shared" si="221"/>
        <v>0</v>
      </c>
      <c r="L96" s="27">
        <f t="shared" si="221"/>
        <v>0</v>
      </c>
      <c r="M96" s="27">
        <f t="shared" si="221"/>
        <v>0</v>
      </c>
      <c r="N96" s="27">
        <f t="shared" si="221"/>
        <v>0</v>
      </c>
      <c r="O96" s="27">
        <f t="shared" si="221"/>
        <v>0</v>
      </c>
      <c r="P96" s="27">
        <f t="shared" si="221"/>
        <v>0</v>
      </c>
      <c r="Q96" s="27">
        <f t="shared" si="221"/>
        <v>0</v>
      </c>
      <c r="R96" s="27">
        <f t="shared" si="221"/>
        <v>0</v>
      </c>
      <c r="S96" s="27">
        <f t="shared" si="221"/>
        <v>0</v>
      </c>
      <c r="T96" s="27">
        <f t="shared" si="221"/>
        <v>0</v>
      </c>
      <c r="U96" s="27">
        <f t="shared" si="221"/>
        <v>0</v>
      </c>
      <c r="V96" s="27">
        <f t="shared" si="221"/>
        <v>0</v>
      </c>
      <c r="W96" s="27">
        <f t="shared" si="221"/>
        <v>0</v>
      </c>
      <c r="X96" s="27">
        <f t="shared" si="221"/>
        <v>0</v>
      </c>
      <c r="Y96" s="27">
        <f t="shared" si="221"/>
        <v>0</v>
      </c>
      <c r="Z96" s="27">
        <f t="shared" si="221"/>
        <v>0</v>
      </c>
      <c r="AA96" s="27">
        <f t="shared" si="221"/>
        <v>0</v>
      </c>
      <c r="AB96" s="27">
        <f t="shared" si="221"/>
        <v>0</v>
      </c>
      <c r="AC96" s="27">
        <f t="shared" si="221"/>
        <v>0</v>
      </c>
      <c r="AD96" s="27">
        <f t="shared" si="221"/>
        <v>0</v>
      </c>
      <c r="AE96" s="27">
        <f t="shared" si="221"/>
        <v>0</v>
      </c>
      <c r="AF96" s="27">
        <f t="shared" si="221"/>
        <v>0</v>
      </c>
      <c r="AG96" s="27">
        <f t="shared" si="221"/>
        <v>0</v>
      </c>
      <c r="AH96" s="27">
        <f t="shared" si="221"/>
        <v>0</v>
      </c>
      <c r="AI96" s="27">
        <f t="shared" si="221"/>
        <v>0</v>
      </c>
      <c r="AJ96" s="27">
        <f t="shared" si="221"/>
        <v>0</v>
      </c>
      <c r="AK96" s="27">
        <f t="shared" si="221"/>
        <v>0</v>
      </c>
      <c r="AL96" s="27">
        <f t="shared" si="221"/>
        <v>0</v>
      </c>
      <c r="AM96" s="27">
        <f t="shared" si="221"/>
        <v>0</v>
      </c>
      <c r="AN96" s="27">
        <f t="shared" si="221"/>
        <v>0</v>
      </c>
      <c r="AO96" s="27">
        <f t="shared" si="221"/>
        <v>0</v>
      </c>
      <c r="AP96" s="27">
        <f t="shared" si="221"/>
        <v>0</v>
      </c>
      <c r="AQ96" s="27">
        <f t="shared" si="221"/>
        <v>0</v>
      </c>
      <c r="AR96" s="27">
        <f t="shared" si="221"/>
        <v>0</v>
      </c>
      <c r="AS96" s="27">
        <f t="shared" si="221"/>
        <v>0</v>
      </c>
      <c r="AT96" s="27">
        <f t="shared" si="221"/>
        <v>0</v>
      </c>
      <c r="AU96" s="27">
        <f t="shared" si="221"/>
        <v>0</v>
      </c>
      <c r="AV96" s="27">
        <f t="shared" si="221"/>
        <v>0</v>
      </c>
      <c r="AW96" s="27">
        <f t="shared" si="221"/>
        <v>0</v>
      </c>
      <c r="AX96" s="27">
        <f t="shared" si="221"/>
        <v>0</v>
      </c>
      <c r="AY96" s="27">
        <f t="shared" si="221"/>
        <v>0</v>
      </c>
      <c r="AZ96" s="27"/>
      <c r="BA96" s="27"/>
      <c r="BB96" s="27"/>
      <c r="BC96" s="27">
        <f t="shared" si="221"/>
        <v>118408536</v>
      </c>
      <c r="BD96" s="27">
        <f t="shared" si="221"/>
        <v>114883610</v>
      </c>
      <c r="BE96" s="27">
        <f t="shared" si="221"/>
        <v>114883610</v>
      </c>
      <c r="BF96" s="27">
        <f t="shared" si="221"/>
        <v>0</v>
      </c>
      <c r="BG96" s="27">
        <f t="shared" si="221"/>
        <v>0</v>
      </c>
      <c r="BH96" s="27">
        <f t="shared" si="221"/>
        <v>3524926</v>
      </c>
      <c r="BI96" s="27">
        <f t="shared" si="221"/>
        <v>0</v>
      </c>
      <c r="BJ96" s="27">
        <f t="shared" si="221"/>
        <v>3524926</v>
      </c>
      <c r="BK96" s="27">
        <f t="shared" si="221"/>
        <v>0</v>
      </c>
      <c r="BL96" s="27">
        <f t="shared" si="221"/>
        <v>0</v>
      </c>
      <c r="BM96" s="27">
        <f t="shared" si="221"/>
        <v>0</v>
      </c>
      <c r="BN96" s="27">
        <f t="shared" si="221"/>
        <v>0</v>
      </c>
      <c r="BO96" s="27">
        <f t="shared" si="221"/>
        <v>0</v>
      </c>
      <c r="BP96" s="27">
        <f t="shared" si="221"/>
        <v>0</v>
      </c>
      <c r="BQ96" s="27">
        <f t="shared" si="221"/>
        <v>0</v>
      </c>
      <c r="BR96" s="27">
        <f t="shared" si="221"/>
        <v>0</v>
      </c>
      <c r="BS96" s="27">
        <f t="shared" si="221"/>
        <v>0</v>
      </c>
      <c r="BT96" s="27">
        <f t="shared" ref="BT96:CX96" si="222">SUM(BT97+BT99)</f>
        <v>0</v>
      </c>
      <c r="BU96" s="27">
        <f t="shared" si="222"/>
        <v>0</v>
      </c>
      <c r="BV96" s="27">
        <f t="shared" si="222"/>
        <v>0</v>
      </c>
      <c r="BW96" s="27">
        <f t="shared" si="222"/>
        <v>0</v>
      </c>
      <c r="BX96" s="27">
        <f t="shared" si="222"/>
        <v>0</v>
      </c>
      <c r="BY96" s="27">
        <f t="shared" si="222"/>
        <v>0</v>
      </c>
      <c r="BZ96" s="27">
        <f t="shared" si="222"/>
        <v>0</v>
      </c>
      <c r="CA96" s="27">
        <f t="shared" si="222"/>
        <v>0</v>
      </c>
      <c r="CB96" s="27">
        <f t="shared" si="222"/>
        <v>0</v>
      </c>
      <c r="CC96" s="27">
        <f t="shared" si="222"/>
        <v>0</v>
      </c>
      <c r="CD96" s="27">
        <f t="shared" si="222"/>
        <v>0</v>
      </c>
      <c r="CE96" s="27">
        <f t="shared" si="222"/>
        <v>0</v>
      </c>
      <c r="CF96" s="27">
        <f t="shared" si="222"/>
        <v>0</v>
      </c>
      <c r="CG96" s="27">
        <f t="shared" si="222"/>
        <v>0</v>
      </c>
      <c r="CH96" s="27">
        <f t="shared" si="222"/>
        <v>0</v>
      </c>
      <c r="CI96" s="27">
        <f t="shared" si="222"/>
        <v>0</v>
      </c>
      <c r="CJ96" s="27">
        <f t="shared" si="222"/>
        <v>0</v>
      </c>
      <c r="CK96" s="27">
        <f t="shared" si="222"/>
        <v>0</v>
      </c>
      <c r="CL96" s="27">
        <f t="shared" si="222"/>
        <v>0</v>
      </c>
      <c r="CM96" s="27">
        <f t="shared" si="222"/>
        <v>0</v>
      </c>
      <c r="CN96" s="27">
        <f t="shared" si="222"/>
        <v>0</v>
      </c>
      <c r="CO96" s="27">
        <f t="shared" si="222"/>
        <v>0</v>
      </c>
      <c r="CP96" s="27">
        <f t="shared" si="222"/>
        <v>0</v>
      </c>
      <c r="CQ96" s="27">
        <f t="shared" si="222"/>
        <v>0</v>
      </c>
      <c r="CR96" s="27"/>
      <c r="CS96" s="27"/>
      <c r="CT96" s="27"/>
      <c r="CU96" s="27">
        <f t="shared" si="222"/>
        <v>0</v>
      </c>
      <c r="CV96" s="27">
        <f t="shared" si="222"/>
        <v>0</v>
      </c>
      <c r="CW96" s="27">
        <f t="shared" si="222"/>
        <v>0</v>
      </c>
      <c r="CX96" s="27">
        <f t="shared" si="222"/>
        <v>0</v>
      </c>
      <c r="CY96" s="27">
        <f t="shared" ref="CY96" si="223">SUM(CY97+CY99)</f>
        <v>0</v>
      </c>
      <c r="CZ96" s="27">
        <f>SUM(CZ99)</f>
        <v>0</v>
      </c>
      <c r="DA96" s="27">
        <f>SUM(DA99)</f>
        <v>0</v>
      </c>
      <c r="DB96" s="27">
        <f>SUM(DB99)</f>
        <v>0</v>
      </c>
      <c r="DC96" s="60">
        <f>SUM(DC99)</f>
        <v>0</v>
      </c>
    </row>
    <row r="97" spans="1:108" s="88" customFormat="1" ht="15.6" x14ac:dyDescent="0.3">
      <c r="A97" s="98" t="s">
        <v>563</v>
      </c>
      <c r="B97" s="84" t="s">
        <v>1</v>
      </c>
      <c r="C97" s="85" t="s">
        <v>564</v>
      </c>
      <c r="D97" s="73">
        <f>SUM(D98)</f>
        <v>3524926</v>
      </c>
      <c r="E97" s="73">
        <f t="shared" ref="E97:BW99" si="224">SUM(E98)</f>
        <v>3524926</v>
      </c>
      <c r="F97" s="73">
        <f t="shared" si="224"/>
        <v>0</v>
      </c>
      <c r="G97" s="73">
        <f t="shared" si="224"/>
        <v>0</v>
      </c>
      <c r="H97" s="73">
        <f t="shared" si="224"/>
        <v>0</v>
      </c>
      <c r="I97" s="73">
        <f t="shared" si="224"/>
        <v>0</v>
      </c>
      <c r="J97" s="73">
        <f t="shared" si="224"/>
        <v>0</v>
      </c>
      <c r="K97" s="73">
        <f t="shared" si="224"/>
        <v>0</v>
      </c>
      <c r="L97" s="73">
        <f t="shared" si="224"/>
        <v>0</v>
      </c>
      <c r="M97" s="73">
        <f t="shared" si="224"/>
        <v>0</v>
      </c>
      <c r="N97" s="73">
        <f t="shared" si="224"/>
        <v>0</v>
      </c>
      <c r="O97" s="73">
        <f t="shared" si="224"/>
        <v>0</v>
      </c>
      <c r="P97" s="73">
        <f t="shared" si="224"/>
        <v>0</v>
      </c>
      <c r="Q97" s="73">
        <f t="shared" si="224"/>
        <v>0</v>
      </c>
      <c r="R97" s="73">
        <f t="shared" si="224"/>
        <v>0</v>
      </c>
      <c r="S97" s="73">
        <f t="shared" si="224"/>
        <v>0</v>
      </c>
      <c r="T97" s="73">
        <f t="shared" si="224"/>
        <v>0</v>
      </c>
      <c r="U97" s="73">
        <f t="shared" si="224"/>
        <v>0</v>
      </c>
      <c r="V97" s="73">
        <f t="shared" si="224"/>
        <v>0</v>
      </c>
      <c r="W97" s="73">
        <f t="shared" si="224"/>
        <v>0</v>
      </c>
      <c r="X97" s="73">
        <f t="shared" si="224"/>
        <v>0</v>
      </c>
      <c r="Y97" s="73">
        <f t="shared" si="224"/>
        <v>0</v>
      </c>
      <c r="Z97" s="73">
        <f t="shared" si="224"/>
        <v>0</v>
      </c>
      <c r="AA97" s="73">
        <f t="shared" si="224"/>
        <v>0</v>
      </c>
      <c r="AB97" s="73">
        <f t="shared" si="224"/>
        <v>0</v>
      </c>
      <c r="AC97" s="73">
        <f t="shared" si="224"/>
        <v>0</v>
      </c>
      <c r="AD97" s="73">
        <f t="shared" si="224"/>
        <v>0</v>
      </c>
      <c r="AE97" s="73">
        <f t="shared" si="224"/>
        <v>0</v>
      </c>
      <c r="AF97" s="73">
        <f t="shared" si="224"/>
        <v>0</v>
      </c>
      <c r="AG97" s="73">
        <f t="shared" si="224"/>
        <v>0</v>
      </c>
      <c r="AH97" s="73">
        <f t="shared" si="224"/>
        <v>0</v>
      </c>
      <c r="AI97" s="73">
        <f t="shared" si="224"/>
        <v>0</v>
      </c>
      <c r="AJ97" s="73">
        <f t="shared" si="224"/>
        <v>0</v>
      </c>
      <c r="AK97" s="73">
        <f t="shared" si="224"/>
        <v>0</v>
      </c>
      <c r="AL97" s="73">
        <f t="shared" si="224"/>
        <v>0</v>
      </c>
      <c r="AM97" s="73">
        <f t="shared" si="224"/>
        <v>0</v>
      </c>
      <c r="AN97" s="73">
        <f t="shared" si="224"/>
        <v>0</v>
      </c>
      <c r="AO97" s="73">
        <f t="shared" si="224"/>
        <v>0</v>
      </c>
      <c r="AP97" s="73">
        <f t="shared" si="224"/>
        <v>0</v>
      </c>
      <c r="AQ97" s="73">
        <f t="shared" si="224"/>
        <v>0</v>
      </c>
      <c r="AR97" s="73">
        <f t="shared" si="224"/>
        <v>0</v>
      </c>
      <c r="AS97" s="73"/>
      <c r="AT97" s="73"/>
      <c r="AU97" s="73">
        <f t="shared" si="224"/>
        <v>0</v>
      </c>
      <c r="AV97" s="73">
        <f t="shared" si="224"/>
        <v>0</v>
      </c>
      <c r="AW97" s="73">
        <f t="shared" si="224"/>
        <v>0</v>
      </c>
      <c r="AX97" s="73"/>
      <c r="AY97" s="73">
        <f t="shared" si="224"/>
        <v>0</v>
      </c>
      <c r="AZ97" s="73"/>
      <c r="BA97" s="73"/>
      <c r="BB97" s="73"/>
      <c r="BC97" s="73">
        <f t="shared" si="224"/>
        <v>3524926</v>
      </c>
      <c r="BD97" s="73">
        <f t="shared" si="224"/>
        <v>0</v>
      </c>
      <c r="BE97" s="73">
        <f t="shared" si="224"/>
        <v>0</v>
      </c>
      <c r="BF97" s="73">
        <f t="shared" si="224"/>
        <v>0</v>
      </c>
      <c r="BG97" s="73">
        <f t="shared" si="224"/>
        <v>0</v>
      </c>
      <c r="BH97" s="73">
        <f t="shared" si="224"/>
        <v>3524926</v>
      </c>
      <c r="BI97" s="73">
        <f t="shared" si="224"/>
        <v>0</v>
      </c>
      <c r="BJ97" s="73">
        <f t="shared" si="224"/>
        <v>3524926</v>
      </c>
      <c r="BK97" s="73">
        <f t="shared" si="224"/>
        <v>0</v>
      </c>
      <c r="BL97" s="73">
        <f t="shared" si="224"/>
        <v>0</v>
      </c>
      <c r="BM97" s="73">
        <f t="shared" si="224"/>
        <v>0</v>
      </c>
      <c r="BN97" s="73">
        <f t="shared" si="224"/>
        <v>0</v>
      </c>
      <c r="BO97" s="73">
        <f t="shared" si="224"/>
        <v>0</v>
      </c>
      <c r="BP97" s="73">
        <f t="shared" si="224"/>
        <v>0</v>
      </c>
      <c r="BQ97" s="73">
        <f t="shared" si="224"/>
        <v>0</v>
      </c>
      <c r="BR97" s="73">
        <f t="shared" si="224"/>
        <v>0</v>
      </c>
      <c r="BS97" s="73">
        <f t="shared" si="224"/>
        <v>0</v>
      </c>
      <c r="BT97" s="73">
        <f t="shared" si="224"/>
        <v>0</v>
      </c>
      <c r="BU97" s="73">
        <f t="shared" si="224"/>
        <v>0</v>
      </c>
      <c r="BV97" s="73">
        <f t="shared" si="224"/>
        <v>0</v>
      </c>
      <c r="BW97" s="73">
        <f t="shared" si="224"/>
        <v>0</v>
      </c>
      <c r="BX97" s="73">
        <f t="shared" ref="BX97:DC99" si="225">SUM(BX98)</f>
        <v>0</v>
      </c>
      <c r="BY97" s="73">
        <f t="shared" si="225"/>
        <v>0</v>
      </c>
      <c r="BZ97" s="73">
        <f t="shared" si="225"/>
        <v>0</v>
      </c>
      <c r="CA97" s="73">
        <f t="shared" si="225"/>
        <v>0</v>
      </c>
      <c r="CB97" s="73">
        <f t="shared" si="225"/>
        <v>0</v>
      </c>
      <c r="CC97" s="73">
        <f t="shared" si="225"/>
        <v>0</v>
      </c>
      <c r="CD97" s="73">
        <f t="shared" si="225"/>
        <v>0</v>
      </c>
      <c r="CE97" s="73">
        <f t="shared" si="225"/>
        <v>0</v>
      </c>
      <c r="CF97" s="73">
        <f t="shared" si="225"/>
        <v>0</v>
      </c>
      <c r="CG97" s="73">
        <f t="shared" si="225"/>
        <v>0</v>
      </c>
      <c r="CH97" s="73">
        <f t="shared" si="225"/>
        <v>0</v>
      </c>
      <c r="CI97" s="73">
        <f t="shared" si="225"/>
        <v>0</v>
      </c>
      <c r="CJ97" s="73">
        <f t="shared" si="225"/>
        <v>0</v>
      </c>
      <c r="CK97" s="73">
        <f t="shared" si="225"/>
        <v>0</v>
      </c>
      <c r="CL97" s="73">
        <f t="shared" si="225"/>
        <v>0</v>
      </c>
      <c r="CM97" s="73">
        <f t="shared" si="225"/>
        <v>0</v>
      </c>
      <c r="CN97" s="73">
        <f t="shared" si="225"/>
        <v>0</v>
      </c>
      <c r="CO97" s="73">
        <f t="shared" si="225"/>
        <v>0</v>
      </c>
      <c r="CP97" s="73">
        <f t="shared" si="225"/>
        <v>0</v>
      </c>
      <c r="CQ97" s="73"/>
      <c r="CR97" s="73"/>
      <c r="CS97" s="73"/>
      <c r="CT97" s="73"/>
      <c r="CU97" s="73">
        <f t="shared" si="225"/>
        <v>0</v>
      </c>
      <c r="CV97" s="73"/>
      <c r="CW97" s="73"/>
      <c r="CX97" s="73"/>
      <c r="CY97" s="73"/>
      <c r="CZ97" s="73">
        <f t="shared" si="225"/>
        <v>0</v>
      </c>
      <c r="DA97" s="73">
        <f t="shared" si="225"/>
        <v>0</v>
      </c>
      <c r="DB97" s="73">
        <f t="shared" si="225"/>
        <v>0</v>
      </c>
      <c r="DC97" s="87">
        <f t="shared" si="225"/>
        <v>0</v>
      </c>
    </row>
    <row r="98" spans="1:108" s="78" customFormat="1" ht="31.2" x14ac:dyDescent="0.3">
      <c r="A98" s="96" t="s">
        <v>1</v>
      </c>
      <c r="B98" s="71" t="s">
        <v>52</v>
      </c>
      <c r="C98" s="72" t="s">
        <v>567</v>
      </c>
      <c r="D98" s="74">
        <f>SUM(E98+CC98+CZ98)</f>
        <v>3524926</v>
      </c>
      <c r="E98" s="74">
        <f>SUM(F98+BC98)</f>
        <v>3524926</v>
      </c>
      <c r="F98" s="19">
        <f>SUM(G98+H98+I98+P98+S98+T98+U98+AD98)</f>
        <v>0</v>
      </c>
      <c r="G98" s="74">
        <v>0</v>
      </c>
      <c r="H98" s="74">
        <v>0</v>
      </c>
      <c r="I98" s="74">
        <f t="shared" ref="I98" si="226">SUM(J98:O98)</f>
        <v>0</v>
      </c>
      <c r="J98" s="74">
        <v>0</v>
      </c>
      <c r="K98" s="74">
        <v>0</v>
      </c>
      <c r="L98" s="74">
        <v>0</v>
      </c>
      <c r="M98" s="74">
        <v>0</v>
      </c>
      <c r="N98" s="74">
        <v>0</v>
      </c>
      <c r="O98" s="74">
        <v>0</v>
      </c>
      <c r="P98" s="74">
        <f t="shared" ref="P98" si="227">SUM(Q98:R98)</f>
        <v>0</v>
      </c>
      <c r="Q98" s="74">
        <v>0</v>
      </c>
      <c r="R98" s="74">
        <v>0</v>
      </c>
      <c r="S98" s="74">
        <v>0</v>
      </c>
      <c r="T98" s="74">
        <v>0</v>
      </c>
      <c r="U98" s="74">
        <f>SUM(V98:AC98)</f>
        <v>0</v>
      </c>
      <c r="V98" s="74">
        <v>0</v>
      </c>
      <c r="W98" s="74">
        <v>0</v>
      </c>
      <c r="X98" s="74">
        <v>0</v>
      </c>
      <c r="Y98" s="74">
        <v>0</v>
      </c>
      <c r="Z98" s="74">
        <v>0</v>
      </c>
      <c r="AA98" s="74">
        <v>0</v>
      </c>
      <c r="AB98" s="74">
        <v>0</v>
      </c>
      <c r="AC98" s="74">
        <v>0</v>
      </c>
      <c r="AD98" s="74">
        <f>SUM(AE98:AY98)</f>
        <v>0</v>
      </c>
      <c r="AE98" s="74">
        <v>0</v>
      </c>
      <c r="AF98" s="74">
        <v>0</v>
      </c>
      <c r="AG98" s="74">
        <v>0</v>
      </c>
      <c r="AH98" s="74">
        <v>0</v>
      </c>
      <c r="AI98" s="74">
        <v>0</v>
      </c>
      <c r="AJ98" s="74">
        <v>0</v>
      </c>
      <c r="AK98" s="74">
        <v>0</v>
      </c>
      <c r="AL98" s="74">
        <v>0</v>
      </c>
      <c r="AM98" s="74">
        <v>0</v>
      </c>
      <c r="AN98" s="74">
        <v>0</v>
      </c>
      <c r="AO98" s="74">
        <v>0</v>
      </c>
      <c r="AP98" s="74">
        <v>0</v>
      </c>
      <c r="AQ98" s="74">
        <v>0</v>
      </c>
      <c r="AR98" s="74">
        <v>0</v>
      </c>
      <c r="AS98" s="74"/>
      <c r="AT98" s="74"/>
      <c r="AU98" s="74">
        <v>0</v>
      </c>
      <c r="AV98" s="74">
        <v>0</v>
      </c>
      <c r="AW98" s="74">
        <v>0</v>
      </c>
      <c r="AX98" s="74"/>
      <c r="AY98" s="74">
        <v>0</v>
      </c>
      <c r="AZ98" s="74"/>
      <c r="BA98" s="74"/>
      <c r="BB98" s="74"/>
      <c r="BC98" s="74">
        <f>SUM(BD98+BH98+BL98+BN98+BQ98)</f>
        <v>3524926</v>
      </c>
      <c r="BD98" s="74">
        <f>SUM(BE98:BG98)</f>
        <v>0</v>
      </c>
      <c r="BE98" s="74"/>
      <c r="BF98" s="74">
        <v>0</v>
      </c>
      <c r="BG98" s="74">
        <v>0</v>
      </c>
      <c r="BH98" s="74">
        <f>SUM(BI98:BK98)</f>
        <v>3524926</v>
      </c>
      <c r="BI98" s="74">
        <v>0</v>
      </c>
      <c r="BJ98" s="74">
        <v>3524926</v>
      </c>
      <c r="BK98" s="74">
        <v>0</v>
      </c>
      <c r="BL98" s="74">
        <v>0</v>
      </c>
      <c r="BM98" s="74"/>
      <c r="BN98" s="74">
        <f t="shared" ref="BN98" si="228">SUM(BO98)</f>
        <v>0</v>
      </c>
      <c r="BO98" s="74">
        <v>0</v>
      </c>
      <c r="BP98" s="74">
        <v>0</v>
      </c>
      <c r="BQ98" s="74">
        <f>SUM(BR98:CB98)</f>
        <v>0</v>
      </c>
      <c r="BR98" s="74">
        <v>0</v>
      </c>
      <c r="BS98" s="74">
        <v>0</v>
      </c>
      <c r="BT98" s="74">
        <v>0</v>
      </c>
      <c r="BU98" s="74">
        <v>0</v>
      </c>
      <c r="BV98" s="74">
        <v>0</v>
      </c>
      <c r="BW98" s="74">
        <v>0</v>
      </c>
      <c r="BX98" s="74">
        <v>0</v>
      </c>
      <c r="BY98" s="74">
        <v>0</v>
      </c>
      <c r="BZ98" s="74">
        <v>0</v>
      </c>
      <c r="CA98" s="74">
        <v>0</v>
      </c>
      <c r="CB98" s="74">
        <v>0</v>
      </c>
      <c r="CC98" s="74">
        <f>SUM(CD98+CU98)</f>
        <v>0</v>
      </c>
      <c r="CD98" s="74">
        <f>SUM(CE98+CH98+CN98)</f>
        <v>0</v>
      </c>
      <c r="CE98" s="74">
        <f t="shared" ref="CE98" si="229">SUM(CF98:CG98)</f>
        <v>0</v>
      </c>
      <c r="CF98" s="74">
        <v>0</v>
      </c>
      <c r="CG98" s="74">
        <v>0</v>
      </c>
      <c r="CH98" s="74">
        <f>SUM(CI98:CM98)</f>
        <v>0</v>
      </c>
      <c r="CI98" s="74">
        <v>0</v>
      </c>
      <c r="CJ98" s="74">
        <v>0</v>
      </c>
      <c r="CK98" s="74">
        <v>0</v>
      </c>
      <c r="CL98" s="74">
        <v>0</v>
      </c>
      <c r="CM98" s="74">
        <v>0</v>
      </c>
      <c r="CN98" s="74">
        <f>SUM(CO98:CQ98)</f>
        <v>0</v>
      </c>
      <c r="CO98" s="74">
        <v>0</v>
      </c>
      <c r="CP98" s="74">
        <v>0</v>
      </c>
      <c r="CQ98" s="74"/>
      <c r="CR98" s="74"/>
      <c r="CS98" s="74"/>
      <c r="CT98" s="74"/>
      <c r="CU98" s="74">
        <v>0</v>
      </c>
      <c r="CV98" s="74"/>
      <c r="CW98" s="74"/>
      <c r="CX98" s="74"/>
      <c r="CY98" s="74"/>
      <c r="CZ98" s="74">
        <f t="shared" ref="CZ98" si="230">SUM(DA98)</f>
        <v>0</v>
      </c>
      <c r="DA98" s="74">
        <f t="shared" ref="DA98" si="231">SUM(DB98:DC98)</f>
        <v>0</v>
      </c>
      <c r="DB98" s="74">
        <v>0</v>
      </c>
      <c r="DC98" s="77">
        <v>0</v>
      </c>
    </row>
    <row r="99" spans="1:108" s="57" customFormat="1" ht="31.2" customHeight="1" x14ac:dyDescent="0.3">
      <c r="A99" s="93" t="s">
        <v>163</v>
      </c>
      <c r="B99" s="16" t="s">
        <v>1</v>
      </c>
      <c r="C99" s="17" t="s">
        <v>476</v>
      </c>
      <c r="D99" s="18">
        <f>SUM(D100)</f>
        <v>114883610</v>
      </c>
      <c r="E99" s="18">
        <f t="shared" si="224"/>
        <v>114883610</v>
      </c>
      <c r="F99" s="18">
        <f t="shared" si="224"/>
        <v>0</v>
      </c>
      <c r="G99" s="18">
        <f t="shared" si="224"/>
        <v>0</v>
      </c>
      <c r="H99" s="18">
        <f t="shared" si="224"/>
        <v>0</v>
      </c>
      <c r="I99" s="18">
        <f t="shared" si="224"/>
        <v>0</v>
      </c>
      <c r="J99" s="18">
        <f t="shared" si="224"/>
        <v>0</v>
      </c>
      <c r="K99" s="18">
        <f t="shared" si="224"/>
        <v>0</v>
      </c>
      <c r="L99" s="18">
        <f t="shared" si="224"/>
        <v>0</v>
      </c>
      <c r="M99" s="18">
        <f t="shared" si="224"/>
        <v>0</v>
      </c>
      <c r="N99" s="18">
        <f t="shared" si="224"/>
        <v>0</v>
      </c>
      <c r="O99" s="18">
        <f t="shared" si="224"/>
        <v>0</v>
      </c>
      <c r="P99" s="18">
        <f t="shared" si="224"/>
        <v>0</v>
      </c>
      <c r="Q99" s="18">
        <f t="shared" si="224"/>
        <v>0</v>
      </c>
      <c r="R99" s="18">
        <f t="shared" si="224"/>
        <v>0</v>
      </c>
      <c r="S99" s="18">
        <f t="shared" si="224"/>
        <v>0</v>
      </c>
      <c r="T99" s="18">
        <f t="shared" si="224"/>
        <v>0</v>
      </c>
      <c r="U99" s="18">
        <f t="shared" si="224"/>
        <v>0</v>
      </c>
      <c r="V99" s="18">
        <f t="shared" si="224"/>
        <v>0</v>
      </c>
      <c r="W99" s="18">
        <f t="shared" si="224"/>
        <v>0</v>
      </c>
      <c r="X99" s="18">
        <f t="shared" si="224"/>
        <v>0</v>
      </c>
      <c r="Y99" s="18">
        <f t="shared" si="224"/>
        <v>0</v>
      </c>
      <c r="Z99" s="18">
        <f t="shared" si="224"/>
        <v>0</v>
      </c>
      <c r="AA99" s="18">
        <f t="shared" si="224"/>
        <v>0</v>
      </c>
      <c r="AB99" s="18">
        <f t="shared" si="224"/>
        <v>0</v>
      </c>
      <c r="AC99" s="18">
        <f t="shared" si="224"/>
        <v>0</v>
      </c>
      <c r="AD99" s="18">
        <f t="shared" si="224"/>
        <v>0</v>
      </c>
      <c r="AE99" s="18">
        <f t="shared" si="224"/>
        <v>0</v>
      </c>
      <c r="AF99" s="18">
        <f t="shared" si="224"/>
        <v>0</v>
      </c>
      <c r="AG99" s="18">
        <f t="shared" si="224"/>
        <v>0</v>
      </c>
      <c r="AH99" s="18">
        <f t="shared" si="224"/>
        <v>0</v>
      </c>
      <c r="AI99" s="18">
        <f t="shared" si="224"/>
        <v>0</v>
      </c>
      <c r="AJ99" s="18">
        <f t="shared" si="224"/>
        <v>0</v>
      </c>
      <c r="AK99" s="18">
        <f t="shared" si="224"/>
        <v>0</v>
      </c>
      <c r="AL99" s="18">
        <f t="shared" si="224"/>
        <v>0</v>
      </c>
      <c r="AM99" s="18">
        <f t="shared" si="224"/>
        <v>0</v>
      </c>
      <c r="AN99" s="18">
        <f t="shared" si="224"/>
        <v>0</v>
      </c>
      <c r="AO99" s="18">
        <f t="shared" si="224"/>
        <v>0</v>
      </c>
      <c r="AP99" s="18">
        <f t="shared" si="224"/>
        <v>0</v>
      </c>
      <c r="AQ99" s="18">
        <f t="shared" si="224"/>
        <v>0</v>
      </c>
      <c r="AR99" s="18">
        <f t="shared" si="224"/>
        <v>0</v>
      </c>
      <c r="AS99" s="18"/>
      <c r="AT99" s="18"/>
      <c r="AU99" s="18">
        <f t="shared" si="224"/>
        <v>0</v>
      </c>
      <c r="AV99" s="18">
        <f t="shared" si="224"/>
        <v>0</v>
      </c>
      <c r="AW99" s="18">
        <f t="shared" si="224"/>
        <v>0</v>
      </c>
      <c r="AX99" s="18"/>
      <c r="AY99" s="18">
        <f t="shared" si="224"/>
        <v>0</v>
      </c>
      <c r="AZ99" s="18"/>
      <c r="BA99" s="18"/>
      <c r="BB99" s="18"/>
      <c r="BC99" s="18">
        <f t="shared" si="224"/>
        <v>114883610</v>
      </c>
      <c r="BD99" s="18">
        <f t="shared" si="224"/>
        <v>114883610</v>
      </c>
      <c r="BE99" s="18">
        <f t="shared" si="224"/>
        <v>114883610</v>
      </c>
      <c r="BF99" s="18">
        <f t="shared" si="224"/>
        <v>0</v>
      </c>
      <c r="BG99" s="18">
        <f t="shared" si="224"/>
        <v>0</v>
      </c>
      <c r="BH99" s="18">
        <f t="shared" si="224"/>
        <v>0</v>
      </c>
      <c r="BI99" s="18">
        <f t="shared" si="224"/>
        <v>0</v>
      </c>
      <c r="BJ99" s="18">
        <f t="shared" si="224"/>
        <v>0</v>
      </c>
      <c r="BK99" s="18">
        <f t="shared" si="224"/>
        <v>0</v>
      </c>
      <c r="BL99" s="18">
        <f t="shared" si="224"/>
        <v>0</v>
      </c>
      <c r="BM99" s="18">
        <f t="shared" si="224"/>
        <v>0</v>
      </c>
      <c r="BN99" s="18">
        <f t="shared" si="224"/>
        <v>0</v>
      </c>
      <c r="BO99" s="18">
        <f t="shared" si="224"/>
        <v>0</v>
      </c>
      <c r="BP99" s="18">
        <f t="shared" si="224"/>
        <v>0</v>
      </c>
      <c r="BQ99" s="18">
        <f t="shared" si="224"/>
        <v>0</v>
      </c>
      <c r="BR99" s="18">
        <f t="shared" si="224"/>
        <v>0</v>
      </c>
      <c r="BS99" s="18">
        <f t="shared" si="224"/>
        <v>0</v>
      </c>
      <c r="BT99" s="18">
        <f t="shared" si="224"/>
        <v>0</v>
      </c>
      <c r="BU99" s="18">
        <f t="shared" si="224"/>
        <v>0</v>
      </c>
      <c r="BV99" s="18">
        <f t="shared" si="224"/>
        <v>0</v>
      </c>
      <c r="BW99" s="18">
        <f t="shared" si="224"/>
        <v>0</v>
      </c>
      <c r="BX99" s="18">
        <f t="shared" si="225"/>
        <v>0</v>
      </c>
      <c r="BY99" s="18">
        <f t="shared" si="225"/>
        <v>0</v>
      </c>
      <c r="BZ99" s="18">
        <f t="shared" si="225"/>
        <v>0</v>
      </c>
      <c r="CA99" s="18">
        <f t="shared" si="225"/>
        <v>0</v>
      </c>
      <c r="CB99" s="18">
        <f t="shared" si="225"/>
        <v>0</v>
      </c>
      <c r="CC99" s="18">
        <f t="shared" si="225"/>
        <v>0</v>
      </c>
      <c r="CD99" s="18">
        <f t="shared" si="225"/>
        <v>0</v>
      </c>
      <c r="CE99" s="18">
        <f t="shared" si="225"/>
        <v>0</v>
      </c>
      <c r="CF99" s="18">
        <f t="shared" si="225"/>
        <v>0</v>
      </c>
      <c r="CG99" s="18">
        <f t="shared" si="225"/>
        <v>0</v>
      </c>
      <c r="CH99" s="18">
        <f t="shared" si="225"/>
        <v>0</v>
      </c>
      <c r="CI99" s="18">
        <f t="shared" si="225"/>
        <v>0</v>
      </c>
      <c r="CJ99" s="18">
        <f t="shared" si="225"/>
        <v>0</v>
      </c>
      <c r="CK99" s="18">
        <f t="shared" si="225"/>
        <v>0</v>
      </c>
      <c r="CL99" s="18">
        <f t="shared" si="225"/>
        <v>0</v>
      </c>
      <c r="CM99" s="18">
        <f t="shared" si="225"/>
        <v>0</v>
      </c>
      <c r="CN99" s="18">
        <f t="shared" si="225"/>
        <v>0</v>
      </c>
      <c r="CO99" s="18">
        <f t="shared" si="225"/>
        <v>0</v>
      </c>
      <c r="CP99" s="18">
        <f t="shared" si="225"/>
        <v>0</v>
      </c>
      <c r="CQ99" s="18"/>
      <c r="CR99" s="18"/>
      <c r="CS99" s="18"/>
      <c r="CT99" s="18"/>
      <c r="CU99" s="18">
        <f t="shared" si="225"/>
        <v>0</v>
      </c>
      <c r="CV99" s="73"/>
      <c r="CW99" s="73"/>
      <c r="CX99" s="73"/>
      <c r="CY99" s="73"/>
      <c r="CZ99" s="18">
        <f t="shared" si="225"/>
        <v>0</v>
      </c>
      <c r="DA99" s="18">
        <f t="shared" si="225"/>
        <v>0</v>
      </c>
      <c r="DB99" s="18">
        <f t="shared" si="225"/>
        <v>0</v>
      </c>
      <c r="DC99" s="46">
        <f t="shared" si="225"/>
        <v>0</v>
      </c>
    </row>
    <row r="100" spans="1:108" s="78" customFormat="1" ht="15.6" x14ac:dyDescent="0.3">
      <c r="A100" s="96" t="s">
        <v>1</v>
      </c>
      <c r="B100" s="71" t="s">
        <v>52</v>
      </c>
      <c r="C100" s="72" t="s">
        <v>164</v>
      </c>
      <c r="D100" s="74">
        <f>SUM(E100+CC100+CZ100)</f>
        <v>114883610</v>
      </c>
      <c r="E100" s="74">
        <f>SUM(F100+BC100)</f>
        <v>114883610</v>
      </c>
      <c r="F100" s="19">
        <f>SUM(G100+H100+I100+P100+S100+T100+U100+AD100)</f>
        <v>0</v>
      </c>
      <c r="G100" s="74">
        <v>0</v>
      </c>
      <c r="H100" s="74">
        <v>0</v>
      </c>
      <c r="I100" s="74">
        <f t="shared" si="127"/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f t="shared" si="128"/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f>SUM(V100:AC100)</f>
        <v>0</v>
      </c>
      <c r="V100" s="74">
        <v>0</v>
      </c>
      <c r="W100" s="74">
        <v>0</v>
      </c>
      <c r="X100" s="74">
        <v>0</v>
      </c>
      <c r="Y100" s="74">
        <v>0</v>
      </c>
      <c r="Z100" s="74">
        <v>0</v>
      </c>
      <c r="AA100" s="74">
        <v>0</v>
      </c>
      <c r="AB100" s="74">
        <v>0</v>
      </c>
      <c r="AC100" s="74">
        <v>0</v>
      </c>
      <c r="AD100" s="74">
        <f>SUM(AE100:AY100)</f>
        <v>0</v>
      </c>
      <c r="AE100" s="74">
        <v>0</v>
      </c>
      <c r="AF100" s="74">
        <v>0</v>
      </c>
      <c r="AG100" s="74">
        <v>0</v>
      </c>
      <c r="AH100" s="74">
        <v>0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74"/>
      <c r="AT100" s="74"/>
      <c r="AU100" s="74">
        <v>0</v>
      </c>
      <c r="AV100" s="74">
        <v>0</v>
      </c>
      <c r="AW100" s="74">
        <v>0</v>
      </c>
      <c r="AX100" s="74"/>
      <c r="AY100" s="74">
        <v>0</v>
      </c>
      <c r="AZ100" s="74"/>
      <c r="BA100" s="74"/>
      <c r="BB100" s="74"/>
      <c r="BC100" s="74">
        <f>SUM(BD100+BH100+BL100+BN100+BQ100)</f>
        <v>114883610</v>
      </c>
      <c r="BD100" s="74">
        <f>SUM(BE100:BG100)</f>
        <v>114883610</v>
      </c>
      <c r="BE100" s="74">
        <f>18117267+72273922+24492421</f>
        <v>114883610</v>
      </c>
      <c r="BF100" s="74">
        <v>0</v>
      </c>
      <c r="BG100" s="74">
        <v>0</v>
      </c>
      <c r="BH100" s="74">
        <f>SUM(BI100:BK100)</f>
        <v>0</v>
      </c>
      <c r="BI100" s="74">
        <v>0</v>
      </c>
      <c r="BJ100" s="74">
        <v>0</v>
      </c>
      <c r="BK100" s="74">
        <v>0</v>
      </c>
      <c r="BL100" s="74">
        <v>0</v>
      </c>
      <c r="BM100" s="74"/>
      <c r="BN100" s="74">
        <f t="shared" si="129"/>
        <v>0</v>
      </c>
      <c r="BO100" s="74">
        <v>0</v>
      </c>
      <c r="BP100" s="74">
        <v>0</v>
      </c>
      <c r="BQ100" s="74">
        <f>SUM(BR100:CB100)</f>
        <v>0</v>
      </c>
      <c r="BR100" s="74">
        <v>0</v>
      </c>
      <c r="BS100" s="74">
        <v>0</v>
      </c>
      <c r="BT100" s="74">
        <v>0</v>
      </c>
      <c r="BU100" s="74">
        <v>0</v>
      </c>
      <c r="BV100" s="74">
        <v>0</v>
      </c>
      <c r="BW100" s="74">
        <v>0</v>
      </c>
      <c r="BX100" s="74">
        <v>0</v>
      </c>
      <c r="BY100" s="74">
        <v>0</v>
      </c>
      <c r="BZ100" s="74">
        <v>0</v>
      </c>
      <c r="CA100" s="74">
        <v>0</v>
      </c>
      <c r="CB100" s="74">
        <v>0</v>
      </c>
      <c r="CC100" s="74">
        <f>SUM(CD100+CU100)</f>
        <v>0</v>
      </c>
      <c r="CD100" s="74">
        <f>SUM(CE100+CH100+CN100)</f>
        <v>0</v>
      </c>
      <c r="CE100" s="74">
        <f t="shared" si="130"/>
        <v>0</v>
      </c>
      <c r="CF100" s="74">
        <v>0</v>
      </c>
      <c r="CG100" s="74">
        <v>0</v>
      </c>
      <c r="CH100" s="74">
        <f>SUM(CI100:CM100)</f>
        <v>0</v>
      </c>
      <c r="CI100" s="74">
        <v>0</v>
      </c>
      <c r="CJ100" s="74">
        <v>0</v>
      </c>
      <c r="CK100" s="74">
        <v>0</v>
      </c>
      <c r="CL100" s="74">
        <v>0</v>
      </c>
      <c r="CM100" s="74">
        <v>0</v>
      </c>
      <c r="CN100" s="74">
        <f>SUM(CO100:CQ100)</f>
        <v>0</v>
      </c>
      <c r="CO100" s="74">
        <v>0</v>
      </c>
      <c r="CP100" s="74">
        <v>0</v>
      </c>
      <c r="CQ100" s="74"/>
      <c r="CR100" s="74"/>
      <c r="CS100" s="74"/>
      <c r="CT100" s="74"/>
      <c r="CU100" s="74">
        <v>0</v>
      </c>
      <c r="CV100" s="74"/>
      <c r="CW100" s="74"/>
      <c r="CX100" s="74"/>
      <c r="CY100" s="74"/>
      <c r="CZ100" s="74">
        <f t="shared" si="131"/>
        <v>0</v>
      </c>
      <c r="DA100" s="74">
        <f t="shared" si="132"/>
        <v>0</v>
      </c>
      <c r="DB100" s="74">
        <v>0</v>
      </c>
      <c r="DC100" s="77">
        <v>0</v>
      </c>
    </row>
    <row r="101" spans="1:108" ht="15.6" x14ac:dyDescent="0.3">
      <c r="A101" s="95" t="s">
        <v>165</v>
      </c>
      <c r="B101" s="25" t="s">
        <v>1</v>
      </c>
      <c r="C101" s="26" t="s">
        <v>166</v>
      </c>
      <c r="D101" s="27">
        <f t="shared" ref="D101:AJ101" si="232">SUM(D102)</f>
        <v>4540727</v>
      </c>
      <c r="E101" s="27">
        <f t="shared" si="232"/>
        <v>4540727</v>
      </c>
      <c r="F101" s="27">
        <f t="shared" si="232"/>
        <v>4540727</v>
      </c>
      <c r="G101" s="27">
        <f t="shared" si="232"/>
        <v>3691305</v>
      </c>
      <c r="H101" s="27">
        <f t="shared" si="232"/>
        <v>849422</v>
      </c>
      <c r="I101" s="27">
        <f t="shared" si="232"/>
        <v>0</v>
      </c>
      <c r="J101" s="27">
        <f t="shared" si="232"/>
        <v>0</v>
      </c>
      <c r="K101" s="27">
        <f t="shared" si="232"/>
        <v>0</v>
      </c>
      <c r="L101" s="27">
        <f t="shared" si="232"/>
        <v>0</v>
      </c>
      <c r="M101" s="27">
        <f t="shared" si="232"/>
        <v>0</v>
      </c>
      <c r="N101" s="27">
        <f t="shared" si="232"/>
        <v>0</v>
      </c>
      <c r="O101" s="27">
        <f t="shared" si="232"/>
        <v>0</v>
      </c>
      <c r="P101" s="27">
        <f t="shared" si="232"/>
        <v>0</v>
      </c>
      <c r="Q101" s="27">
        <f t="shared" si="232"/>
        <v>0</v>
      </c>
      <c r="R101" s="27">
        <f t="shared" si="232"/>
        <v>0</v>
      </c>
      <c r="S101" s="27">
        <f t="shared" si="232"/>
        <v>0</v>
      </c>
      <c r="T101" s="27">
        <f t="shared" si="232"/>
        <v>0</v>
      </c>
      <c r="U101" s="27">
        <f t="shared" si="232"/>
        <v>0</v>
      </c>
      <c r="V101" s="27">
        <f t="shared" si="232"/>
        <v>0</v>
      </c>
      <c r="W101" s="27">
        <f t="shared" si="232"/>
        <v>0</v>
      </c>
      <c r="X101" s="27">
        <f t="shared" si="232"/>
        <v>0</v>
      </c>
      <c r="Y101" s="27">
        <f t="shared" si="232"/>
        <v>0</v>
      </c>
      <c r="Z101" s="27">
        <f t="shared" si="232"/>
        <v>0</v>
      </c>
      <c r="AA101" s="27">
        <f t="shared" si="232"/>
        <v>0</v>
      </c>
      <c r="AB101" s="27">
        <f t="shared" si="232"/>
        <v>0</v>
      </c>
      <c r="AC101" s="27">
        <f t="shared" si="232"/>
        <v>0</v>
      </c>
      <c r="AD101" s="27">
        <f t="shared" si="232"/>
        <v>0</v>
      </c>
      <c r="AE101" s="27">
        <f t="shared" si="232"/>
        <v>0</v>
      </c>
      <c r="AF101" s="27">
        <f t="shared" si="232"/>
        <v>0</v>
      </c>
      <c r="AG101" s="27">
        <f t="shared" si="232"/>
        <v>0</v>
      </c>
      <c r="AH101" s="27">
        <f t="shared" si="232"/>
        <v>0</v>
      </c>
      <c r="AI101" s="27">
        <f t="shared" si="232"/>
        <v>0</v>
      </c>
      <c r="AJ101" s="27">
        <f t="shared" si="232"/>
        <v>0</v>
      </c>
      <c r="AK101" s="27">
        <f t="shared" ref="AK101:DC101" si="233">SUM(AK102)</f>
        <v>0</v>
      </c>
      <c r="AL101" s="27">
        <f t="shared" si="233"/>
        <v>0</v>
      </c>
      <c r="AM101" s="27">
        <f t="shared" si="233"/>
        <v>0</v>
      </c>
      <c r="AN101" s="27">
        <f t="shared" si="233"/>
        <v>0</v>
      </c>
      <c r="AO101" s="27">
        <f t="shared" si="233"/>
        <v>0</v>
      </c>
      <c r="AP101" s="27">
        <f t="shared" si="233"/>
        <v>0</v>
      </c>
      <c r="AQ101" s="27">
        <f t="shared" si="233"/>
        <v>0</v>
      </c>
      <c r="AR101" s="27">
        <f t="shared" si="233"/>
        <v>0</v>
      </c>
      <c r="AS101" s="27"/>
      <c r="AT101" s="27"/>
      <c r="AU101" s="27">
        <f t="shared" si="233"/>
        <v>0</v>
      </c>
      <c r="AV101" s="27">
        <f t="shared" si="233"/>
        <v>0</v>
      </c>
      <c r="AW101" s="27">
        <f t="shared" si="233"/>
        <v>0</v>
      </c>
      <c r="AX101" s="27"/>
      <c r="AY101" s="27">
        <f t="shared" si="233"/>
        <v>0</v>
      </c>
      <c r="AZ101" s="27"/>
      <c r="BA101" s="27"/>
      <c r="BB101" s="27"/>
      <c r="BC101" s="27">
        <f t="shared" si="233"/>
        <v>0</v>
      </c>
      <c r="BD101" s="27">
        <f t="shared" si="233"/>
        <v>0</v>
      </c>
      <c r="BE101" s="27">
        <f t="shared" si="233"/>
        <v>0</v>
      </c>
      <c r="BF101" s="27">
        <f t="shared" si="233"/>
        <v>0</v>
      </c>
      <c r="BG101" s="27">
        <f t="shared" si="233"/>
        <v>0</v>
      </c>
      <c r="BH101" s="27">
        <f t="shared" si="233"/>
        <v>0</v>
      </c>
      <c r="BI101" s="27">
        <f t="shared" si="233"/>
        <v>0</v>
      </c>
      <c r="BJ101" s="27">
        <f t="shared" si="233"/>
        <v>0</v>
      </c>
      <c r="BK101" s="27">
        <f t="shared" si="233"/>
        <v>0</v>
      </c>
      <c r="BL101" s="27">
        <f t="shared" si="233"/>
        <v>0</v>
      </c>
      <c r="BM101" s="27">
        <f t="shared" si="233"/>
        <v>0</v>
      </c>
      <c r="BN101" s="27">
        <f t="shared" si="233"/>
        <v>0</v>
      </c>
      <c r="BO101" s="27">
        <f t="shared" si="233"/>
        <v>0</v>
      </c>
      <c r="BP101" s="27">
        <f t="shared" si="233"/>
        <v>0</v>
      </c>
      <c r="BQ101" s="27">
        <f t="shared" si="233"/>
        <v>0</v>
      </c>
      <c r="BR101" s="27">
        <f t="shared" si="233"/>
        <v>0</v>
      </c>
      <c r="BS101" s="27">
        <f t="shared" si="233"/>
        <v>0</v>
      </c>
      <c r="BT101" s="27">
        <f t="shared" si="233"/>
        <v>0</v>
      </c>
      <c r="BU101" s="27">
        <f t="shared" si="233"/>
        <v>0</v>
      </c>
      <c r="BV101" s="27">
        <f t="shared" si="233"/>
        <v>0</v>
      </c>
      <c r="BW101" s="27">
        <f t="shared" si="233"/>
        <v>0</v>
      </c>
      <c r="BX101" s="27">
        <f t="shared" si="233"/>
        <v>0</v>
      </c>
      <c r="BY101" s="27">
        <f t="shared" si="233"/>
        <v>0</v>
      </c>
      <c r="BZ101" s="27">
        <f t="shared" si="233"/>
        <v>0</v>
      </c>
      <c r="CA101" s="27">
        <f t="shared" si="233"/>
        <v>0</v>
      </c>
      <c r="CB101" s="27">
        <f t="shared" si="233"/>
        <v>0</v>
      </c>
      <c r="CC101" s="27">
        <f t="shared" si="233"/>
        <v>0</v>
      </c>
      <c r="CD101" s="27">
        <f t="shared" si="233"/>
        <v>0</v>
      </c>
      <c r="CE101" s="27">
        <f t="shared" si="233"/>
        <v>0</v>
      </c>
      <c r="CF101" s="27">
        <f t="shared" si="233"/>
        <v>0</v>
      </c>
      <c r="CG101" s="27">
        <f t="shared" si="233"/>
        <v>0</v>
      </c>
      <c r="CH101" s="27">
        <f t="shared" si="233"/>
        <v>0</v>
      </c>
      <c r="CI101" s="27">
        <f t="shared" si="233"/>
        <v>0</v>
      </c>
      <c r="CJ101" s="27">
        <f t="shared" si="233"/>
        <v>0</v>
      </c>
      <c r="CK101" s="27">
        <f t="shared" si="233"/>
        <v>0</v>
      </c>
      <c r="CL101" s="27">
        <f t="shared" si="233"/>
        <v>0</v>
      </c>
      <c r="CM101" s="27">
        <f t="shared" si="233"/>
        <v>0</v>
      </c>
      <c r="CN101" s="27">
        <f t="shared" si="233"/>
        <v>0</v>
      </c>
      <c r="CO101" s="27">
        <f t="shared" si="233"/>
        <v>0</v>
      </c>
      <c r="CP101" s="27">
        <f t="shared" si="233"/>
        <v>0</v>
      </c>
      <c r="CQ101" s="27"/>
      <c r="CR101" s="27"/>
      <c r="CS101" s="27"/>
      <c r="CT101" s="27"/>
      <c r="CU101" s="27">
        <f t="shared" si="233"/>
        <v>0</v>
      </c>
      <c r="CV101" s="27">
        <f t="shared" si="233"/>
        <v>0</v>
      </c>
      <c r="CW101" s="27">
        <f t="shared" si="233"/>
        <v>0</v>
      </c>
      <c r="CX101" s="27">
        <f t="shared" si="233"/>
        <v>0</v>
      </c>
      <c r="CY101" s="27">
        <f t="shared" si="233"/>
        <v>0</v>
      </c>
      <c r="CZ101" s="27">
        <f t="shared" si="233"/>
        <v>0</v>
      </c>
      <c r="DA101" s="27">
        <f t="shared" si="233"/>
        <v>0</v>
      </c>
      <c r="DB101" s="27">
        <f t="shared" si="233"/>
        <v>0</v>
      </c>
      <c r="DC101" s="60">
        <f t="shared" si="233"/>
        <v>0</v>
      </c>
      <c r="DD101" s="57"/>
    </row>
    <row r="102" spans="1:108" s="58" customFormat="1" ht="31.2" x14ac:dyDescent="0.3">
      <c r="A102" s="93" t="s">
        <v>167</v>
      </c>
      <c r="B102" s="16" t="s">
        <v>1</v>
      </c>
      <c r="C102" s="17" t="s">
        <v>477</v>
      </c>
      <c r="D102" s="18">
        <f t="shared" ref="D102:AR102" si="234">SUM(D103:D103)</f>
        <v>4540727</v>
      </c>
      <c r="E102" s="19">
        <f t="shared" si="234"/>
        <v>4540727</v>
      </c>
      <c r="F102" s="19">
        <f t="shared" si="234"/>
        <v>4540727</v>
      </c>
      <c r="G102" s="19">
        <f t="shared" si="234"/>
        <v>3691305</v>
      </c>
      <c r="H102" s="19">
        <f t="shared" si="234"/>
        <v>849422</v>
      </c>
      <c r="I102" s="19">
        <f t="shared" si="234"/>
        <v>0</v>
      </c>
      <c r="J102" s="19">
        <f t="shared" si="234"/>
        <v>0</v>
      </c>
      <c r="K102" s="19">
        <f t="shared" si="234"/>
        <v>0</v>
      </c>
      <c r="L102" s="19">
        <f t="shared" si="234"/>
        <v>0</v>
      </c>
      <c r="M102" s="19">
        <f t="shared" si="234"/>
        <v>0</v>
      </c>
      <c r="N102" s="19">
        <f t="shared" si="234"/>
        <v>0</v>
      </c>
      <c r="O102" s="19">
        <f t="shared" si="234"/>
        <v>0</v>
      </c>
      <c r="P102" s="19">
        <f t="shared" si="234"/>
        <v>0</v>
      </c>
      <c r="Q102" s="19">
        <f t="shared" si="234"/>
        <v>0</v>
      </c>
      <c r="R102" s="19">
        <f t="shared" si="234"/>
        <v>0</v>
      </c>
      <c r="S102" s="19">
        <f t="shared" si="234"/>
        <v>0</v>
      </c>
      <c r="T102" s="19">
        <f t="shared" si="234"/>
        <v>0</v>
      </c>
      <c r="U102" s="19">
        <f t="shared" si="234"/>
        <v>0</v>
      </c>
      <c r="V102" s="19">
        <f t="shared" si="234"/>
        <v>0</v>
      </c>
      <c r="W102" s="19">
        <f t="shared" si="234"/>
        <v>0</v>
      </c>
      <c r="X102" s="19">
        <f t="shared" si="234"/>
        <v>0</v>
      </c>
      <c r="Y102" s="19">
        <f t="shared" si="234"/>
        <v>0</v>
      </c>
      <c r="Z102" s="19">
        <f t="shared" si="234"/>
        <v>0</v>
      </c>
      <c r="AA102" s="19">
        <f t="shared" si="234"/>
        <v>0</v>
      </c>
      <c r="AB102" s="19">
        <f t="shared" si="234"/>
        <v>0</v>
      </c>
      <c r="AC102" s="19">
        <f t="shared" si="234"/>
        <v>0</v>
      </c>
      <c r="AD102" s="19">
        <f t="shared" si="234"/>
        <v>0</v>
      </c>
      <c r="AE102" s="19">
        <f t="shared" si="234"/>
        <v>0</v>
      </c>
      <c r="AF102" s="19">
        <f t="shared" si="234"/>
        <v>0</v>
      </c>
      <c r="AG102" s="19">
        <f t="shared" si="234"/>
        <v>0</v>
      </c>
      <c r="AH102" s="19">
        <f t="shared" si="234"/>
        <v>0</v>
      </c>
      <c r="AI102" s="19">
        <f t="shared" si="234"/>
        <v>0</v>
      </c>
      <c r="AJ102" s="19">
        <f t="shared" si="234"/>
        <v>0</v>
      </c>
      <c r="AK102" s="19">
        <f t="shared" si="234"/>
        <v>0</v>
      </c>
      <c r="AL102" s="19">
        <f t="shared" si="234"/>
        <v>0</v>
      </c>
      <c r="AM102" s="19">
        <f t="shared" si="234"/>
        <v>0</v>
      </c>
      <c r="AN102" s="19">
        <f t="shared" si="234"/>
        <v>0</v>
      </c>
      <c r="AO102" s="19">
        <f t="shared" si="234"/>
        <v>0</v>
      </c>
      <c r="AP102" s="19">
        <f t="shared" si="234"/>
        <v>0</v>
      </c>
      <c r="AQ102" s="19">
        <f t="shared" si="234"/>
        <v>0</v>
      </c>
      <c r="AR102" s="19">
        <f t="shared" si="234"/>
        <v>0</v>
      </c>
      <c r="AS102" s="19"/>
      <c r="AT102" s="19"/>
      <c r="AU102" s="19">
        <f>SUM(AU103:AU103)</f>
        <v>0</v>
      </c>
      <c r="AV102" s="19">
        <f>SUM(AV103:AV103)</f>
        <v>0</v>
      </c>
      <c r="AW102" s="19">
        <f>SUM(AW103:AW103)</f>
        <v>0</v>
      </c>
      <c r="AX102" s="19"/>
      <c r="AY102" s="19">
        <f t="shared" ref="AY102:CP102" si="235">SUM(AY103:AY103)</f>
        <v>0</v>
      </c>
      <c r="AZ102" s="19"/>
      <c r="BA102" s="19"/>
      <c r="BB102" s="19"/>
      <c r="BC102" s="19">
        <f t="shared" si="235"/>
        <v>0</v>
      </c>
      <c r="BD102" s="19">
        <f t="shared" si="235"/>
        <v>0</v>
      </c>
      <c r="BE102" s="19">
        <f t="shared" si="235"/>
        <v>0</v>
      </c>
      <c r="BF102" s="19">
        <f t="shared" si="235"/>
        <v>0</v>
      </c>
      <c r="BG102" s="19">
        <f t="shared" si="235"/>
        <v>0</v>
      </c>
      <c r="BH102" s="19">
        <f t="shared" si="235"/>
        <v>0</v>
      </c>
      <c r="BI102" s="19">
        <f t="shared" si="235"/>
        <v>0</v>
      </c>
      <c r="BJ102" s="19">
        <f t="shared" si="235"/>
        <v>0</v>
      </c>
      <c r="BK102" s="19">
        <f t="shared" si="235"/>
        <v>0</v>
      </c>
      <c r="BL102" s="19">
        <f t="shared" si="235"/>
        <v>0</v>
      </c>
      <c r="BM102" s="19">
        <f t="shared" si="235"/>
        <v>0</v>
      </c>
      <c r="BN102" s="19">
        <f t="shared" si="235"/>
        <v>0</v>
      </c>
      <c r="BO102" s="19">
        <f t="shared" si="235"/>
        <v>0</v>
      </c>
      <c r="BP102" s="19">
        <f t="shared" si="235"/>
        <v>0</v>
      </c>
      <c r="BQ102" s="19">
        <f t="shared" si="235"/>
        <v>0</v>
      </c>
      <c r="BR102" s="19">
        <f t="shared" si="235"/>
        <v>0</v>
      </c>
      <c r="BS102" s="19">
        <f t="shared" si="235"/>
        <v>0</v>
      </c>
      <c r="BT102" s="19">
        <f t="shared" si="235"/>
        <v>0</v>
      </c>
      <c r="BU102" s="19">
        <f t="shared" si="235"/>
        <v>0</v>
      </c>
      <c r="BV102" s="19">
        <f t="shared" si="235"/>
        <v>0</v>
      </c>
      <c r="BW102" s="19">
        <f t="shared" si="235"/>
        <v>0</v>
      </c>
      <c r="BX102" s="19">
        <f t="shared" si="235"/>
        <v>0</v>
      </c>
      <c r="BY102" s="19">
        <f t="shared" si="235"/>
        <v>0</v>
      </c>
      <c r="BZ102" s="19">
        <f t="shared" si="235"/>
        <v>0</v>
      </c>
      <c r="CA102" s="19">
        <f t="shared" si="235"/>
        <v>0</v>
      </c>
      <c r="CB102" s="19">
        <f t="shared" si="235"/>
        <v>0</v>
      </c>
      <c r="CC102" s="19">
        <f t="shared" si="235"/>
        <v>0</v>
      </c>
      <c r="CD102" s="19">
        <f t="shared" si="235"/>
        <v>0</v>
      </c>
      <c r="CE102" s="19">
        <f t="shared" si="235"/>
        <v>0</v>
      </c>
      <c r="CF102" s="19">
        <f t="shared" si="235"/>
        <v>0</v>
      </c>
      <c r="CG102" s="19">
        <f t="shared" si="235"/>
        <v>0</v>
      </c>
      <c r="CH102" s="19">
        <f t="shared" si="235"/>
        <v>0</v>
      </c>
      <c r="CI102" s="19">
        <f t="shared" si="235"/>
        <v>0</v>
      </c>
      <c r="CJ102" s="19">
        <f t="shared" si="235"/>
        <v>0</v>
      </c>
      <c r="CK102" s="19">
        <f t="shared" si="235"/>
        <v>0</v>
      </c>
      <c r="CL102" s="19">
        <f t="shared" si="235"/>
        <v>0</v>
      </c>
      <c r="CM102" s="19">
        <f t="shared" si="235"/>
        <v>0</v>
      </c>
      <c r="CN102" s="19">
        <f t="shared" si="235"/>
        <v>0</v>
      </c>
      <c r="CO102" s="19">
        <f t="shared" si="235"/>
        <v>0</v>
      </c>
      <c r="CP102" s="19">
        <f t="shared" si="235"/>
        <v>0</v>
      </c>
      <c r="CQ102" s="19"/>
      <c r="CR102" s="19"/>
      <c r="CS102" s="19"/>
      <c r="CT102" s="19"/>
      <c r="CU102" s="19">
        <f t="shared" ref="CU102:DC102" si="236">SUM(CU103:CU103)</f>
        <v>0</v>
      </c>
      <c r="CV102" s="74"/>
      <c r="CW102" s="74"/>
      <c r="CX102" s="74"/>
      <c r="CY102" s="74"/>
      <c r="CZ102" s="19">
        <f t="shared" si="236"/>
        <v>0</v>
      </c>
      <c r="DA102" s="19">
        <f t="shared" si="236"/>
        <v>0</v>
      </c>
      <c r="DB102" s="19">
        <f t="shared" si="236"/>
        <v>0</v>
      </c>
      <c r="DC102" s="20">
        <f t="shared" si="236"/>
        <v>0</v>
      </c>
      <c r="DD102" s="52"/>
    </row>
    <row r="103" spans="1:108" ht="15.6" x14ac:dyDescent="0.3">
      <c r="A103" s="94" t="s">
        <v>1</v>
      </c>
      <c r="B103" s="21" t="s">
        <v>64</v>
      </c>
      <c r="C103" s="22" t="s">
        <v>478</v>
      </c>
      <c r="D103" s="19">
        <f>SUM(E103+CC103+CZ103)</f>
        <v>4540727</v>
      </c>
      <c r="E103" s="19">
        <f>SUM(F103+BC103)</f>
        <v>4540727</v>
      </c>
      <c r="F103" s="19">
        <f>SUM(G103+H103+I103+P103+S103+T103+U103+AD103)</f>
        <v>4540727</v>
      </c>
      <c r="G103" s="19">
        <v>3691305</v>
      </c>
      <c r="H103" s="19">
        <v>849422</v>
      </c>
      <c r="I103" s="19">
        <f t="shared" si="127"/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f t="shared" si="128"/>
        <v>0</v>
      </c>
      <c r="Q103" s="19">
        <v>0</v>
      </c>
      <c r="R103" s="19">
        <v>0</v>
      </c>
      <c r="S103" s="19">
        <v>0</v>
      </c>
      <c r="T103" s="19"/>
      <c r="U103" s="19">
        <f t="shared" ref="U103" si="237">SUM(V103:AC103)</f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f>SUM(AE103:AY103)</f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/>
      <c r="AT103" s="19"/>
      <c r="AU103" s="19">
        <v>0</v>
      </c>
      <c r="AV103" s="19">
        <v>0</v>
      </c>
      <c r="AW103" s="19">
        <v>0</v>
      </c>
      <c r="AX103" s="19"/>
      <c r="AY103" s="19">
        <v>0</v>
      </c>
      <c r="AZ103" s="19"/>
      <c r="BA103" s="19"/>
      <c r="BB103" s="19"/>
      <c r="BC103" s="19">
        <f>SUM(BD103+BH103+BL103+BN103+BQ103)</f>
        <v>0</v>
      </c>
      <c r="BD103" s="19">
        <f>SUM(BE103:BG103)</f>
        <v>0</v>
      </c>
      <c r="BE103" s="19">
        <v>0</v>
      </c>
      <c r="BF103" s="19">
        <v>0</v>
      </c>
      <c r="BG103" s="19">
        <v>0</v>
      </c>
      <c r="BH103" s="19">
        <f>SUM(BI103:BK103)</f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f t="shared" si="129"/>
        <v>0</v>
      </c>
      <c r="BO103" s="19">
        <v>0</v>
      </c>
      <c r="BP103" s="19">
        <v>0</v>
      </c>
      <c r="BQ103" s="19">
        <f>SUM(BR103:CB103)</f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f>SUM(CD103+CU103)</f>
        <v>0</v>
      </c>
      <c r="CD103" s="19">
        <f>SUM(CE103+CH103+CN103)</f>
        <v>0</v>
      </c>
      <c r="CE103" s="19">
        <f t="shared" si="130"/>
        <v>0</v>
      </c>
      <c r="CF103" s="19">
        <v>0</v>
      </c>
      <c r="CG103" s="19">
        <v>0</v>
      </c>
      <c r="CH103" s="19">
        <f>SUM(CI103:CM103)</f>
        <v>0</v>
      </c>
      <c r="CI103" s="19">
        <v>0</v>
      </c>
      <c r="CJ103" s="19">
        <v>0</v>
      </c>
      <c r="CK103" s="19">
        <v>0</v>
      </c>
      <c r="CL103" s="19">
        <v>0</v>
      </c>
      <c r="CM103" s="19">
        <v>0</v>
      </c>
      <c r="CN103" s="19">
        <f>SUM(CO103:CQ103)</f>
        <v>0</v>
      </c>
      <c r="CO103" s="19">
        <v>0</v>
      </c>
      <c r="CP103" s="19">
        <v>0</v>
      </c>
      <c r="CQ103" s="19"/>
      <c r="CR103" s="19"/>
      <c r="CS103" s="19"/>
      <c r="CT103" s="19"/>
      <c r="CU103" s="19">
        <v>0</v>
      </c>
      <c r="CV103" s="74"/>
      <c r="CW103" s="74"/>
      <c r="CX103" s="74"/>
      <c r="CY103" s="74"/>
      <c r="CZ103" s="19">
        <f t="shared" si="131"/>
        <v>0</v>
      </c>
      <c r="DA103" s="19">
        <f t="shared" si="132"/>
        <v>0</v>
      </c>
      <c r="DB103" s="19">
        <v>0</v>
      </c>
      <c r="DC103" s="20">
        <v>0</v>
      </c>
      <c r="DD103" s="52"/>
    </row>
    <row r="104" spans="1:108" ht="46.8" x14ac:dyDescent="0.3">
      <c r="A104" s="95" t="s">
        <v>168</v>
      </c>
      <c r="B104" s="25" t="s">
        <v>1</v>
      </c>
      <c r="C104" s="26" t="s">
        <v>169</v>
      </c>
      <c r="D104" s="27">
        <f>SUM(D105+D107+D109)</f>
        <v>15234074</v>
      </c>
      <c r="E104" s="27">
        <f t="shared" ref="E104:BT104" si="238">SUM(E105+E107+E109)</f>
        <v>15234074</v>
      </c>
      <c r="F104" s="27">
        <f t="shared" si="238"/>
        <v>15234074</v>
      </c>
      <c r="G104" s="27">
        <f t="shared" si="238"/>
        <v>3891282</v>
      </c>
      <c r="H104" s="27">
        <f t="shared" si="238"/>
        <v>967704</v>
      </c>
      <c r="I104" s="27">
        <f t="shared" si="238"/>
        <v>8409</v>
      </c>
      <c r="J104" s="27">
        <f t="shared" si="238"/>
        <v>0</v>
      </c>
      <c r="K104" s="27">
        <f t="shared" si="238"/>
        <v>0</v>
      </c>
      <c r="L104" s="27">
        <f t="shared" si="238"/>
        <v>0</v>
      </c>
      <c r="M104" s="27">
        <f t="shared" si="238"/>
        <v>0</v>
      </c>
      <c r="N104" s="27">
        <f t="shared" si="238"/>
        <v>8409</v>
      </c>
      <c r="O104" s="27">
        <f t="shared" si="238"/>
        <v>0</v>
      </c>
      <c r="P104" s="27">
        <f t="shared" si="238"/>
        <v>0</v>
      </c>
      <c r="Q104" s="27">
        <f t="shared" si="238"/>
        <v>0</v>
      </c>
      <c r="R104" s="27">
        <f t="shared" si="238"/>
        <v>0</v>
      </c>
      <c r="S104" s="27">
        <f t="shared" si="238"/>
        <v>0</v>
      </c>
      <c r="T104" s="27">
        <f t="shared" si="238"/>
        <v>22403</v>
      </c>
      <c r="U104" s="27">
        <f t="shared" si="238"/>
        <v>110415</v>
      </c>
      <c r="V104" s="27">
        <f t="shared" si="238"/>
        <v>0</v>
      </c>
      <c r="W104" s="27">
        <f t="shared" si="238"/>
        <v>22003</v>
      </c>
      <c r="X104" s="27">
        <f t="shared" si="238"/>
        <v>88412</v>
      </c>
      <c r="Y104" s="27">
        <f t="shared" si="238"/>
        <v>0</v>
      </c>
      <c r="Z104" s="27">
        <f t="shared" si="238"/>
        <v>0</v>
      </c>
      <c r="AA104" s="27">
        <f t="shared" si="238"/>
        <v>0</v>
      </c>
      <c r="AB104" s="27">
        <f t="shared" si="238"/>
        <v>0</v>
      </c>
      <c r="AC104" s="27">
        <f t="shared" si="238"/>
        <v>0</v>
      </c>
      <c r="AD104" s="27">
        <f t="shared" si="238"/>
        <v>10233861</v>
      </c>
      <c r="AE104" s="27">
        <f t="shared" si="238"/>
        <v>0</v>
      </c>
      <c r="AF104" s="27">
        <f t="shared" si="238"/>
        <v>0</v>
      </c>
      <c r="AG104" s="27">
        <f t="shared" si="238"/>
        <v>0</v>
      </c>
      <c r="AH104" s="27">
        <f t="shared" si="238"/>
        <v>0</v>
      </c>
      <c r="AI104" s="27">
        <f t="shared" si="238"/>
        <v>0</v>
      </c>
      <c r="AJ104" s="27">
        <f t="shared" si="238"/>
        <v>0</v>
      </c>
      <c r="AK104" s="27">
        <f t="shared" si="238"/>
        <v>0</v>
      </c>
      <c r="AL104" s="27">
        <f t="shared" si="238"/>
        <v>0</v>
      </c>
      <c r="AM104" s="27">
        <f t="shared" si="238"/>
        <v>0</v>
      </c>
      <c r="AN104" s="27">
        <f t="shared" si="238"/>
        <v>0</v>
      </c>
      <c r="AO104" s="27">
        <f t="shared" si="238"/>
        <v>0</v>
      </c>
      <c r="AP104" s="27">
        <f t="shared" si="238"/>
        <v>0</v>
      </c>
      <c r="AQ104" s="27">
        <f t="shared" si="238"/>
        <v>0</v>
      </c>
      <c r="AR104" s="27">
        <f t="shared" si="238"/>
        <v>0</v>
      </c>
      <c r="AS104" s="27">
        <f t="shared" si="238"/>
        <v>0</v>
      </c>
      <c r="AT104" s="27">
        <f t="shared" si="238"/>
        <v>0</v>
      </c>
      <c r="AU104" s="27">
        <f t="shared" si="238"/>
        <v>0</v>
      </c>
      <c r="AV104" s="27">
        <f t="shared" si="238"/>
        <v>0</v>
      </c>
      <c r="AW104" s="27">
        <f t="shared" si="238"/>
        <v>0</v>
      </c>
      <c r="AX104" s="27">
        <f t="shared" si="238"/>
        <v>0</v>
      </c>
      <c r="AY104" s="27">
        <f t="shared" si="238"/>
        <v>10233861</v>
      </c>
      <c r="AZ104" s="27"/>
      <c r="BA104" s="27"/>
      <c r="BB104" s="27"/>
      <c r="BC104" s="27">
        <f t="shared" si="238"/>
        <v>0</v>
      </c>
      <c r="BD104" s="27">
        <f t="shared" si="238"/>
        <v>0</v>
      </c>
      <c r="BE104" s="27">
        <f t="shared" si="238"/>
        <v>0</v>
      </c>
      <c r="BF104" s="27">
        <f t="shared" si="238"/>
        <v>0</v>
      </c>
      <c r="BG104" s="27">
        <f t="shared" si="238"/>
        <v>0</v>
      </c>
      <c r="BH104" s="27">
        <f t="shared" si="238"/>
        <v>0</v>
      </c>
      <c r="BI104" s="27">
        <f t="shared" si="238"/>
        <v>0</v>
      </c>
      <c r="BJ104" s="27">
        <f t="shared" ref="BJ104" si="239">SUM(BJ105+BJ107+BJ109)</f>
        <v>0</v>
      </c>
      <c r="BK104" s="27">
        <f t="shared" si="238"/>
        <v>0</v>
      </c>
      <c r="BL104" s="27">
        <f t="shared" si="238"/>
        <v>0</v>
      </c>
      <c r="BM104" s="27">
        <f t="shared" ref="BM104" si="240">SUM(BM105+BM107+BM109)</f>
        <v>0</v>
      </c>
      <c r="BN104" s="27">
        <f t="shared" si="238"/>
        <v>0</v>
      </c>
      <c r="BO104" s="27">
        <f t="shared" si="238"/>
        <v>0</v>
      </c>
      <c r="BP104" s="27">
        <f t="shared" si="238"/>
        <v>0</v>
      </c>
      <c r="BQ104" s="27">
        <f t="shared" si="238"/>
        <v>0</v>
      </c>
      <c r="BR104" s="27">
        <f t="shared" si="238"/>
        <v>0</v>
      </c>
      <c r="BS104" s="27">
        <f t="shared" si="238"/>
        <v>0</v>
      </c>
      <c r="BT104" s="27">
        <f t="shared" si="238"/>
        <v>0</v>
      </c>
      <c r="BU104" s="27">
        <f t="shared" ref="BU104:DC104" si="241">SUM(BU105+BU107+BU109)</f>
        <v>0</v>
      </c>
      <c r="BV104" s="27">
        <f t="shared" si="241"/>
        <v>0</v>
      </c>
      <c r="BW104" s="27">
        <f t="shared" si="241"/>
        <v>0</v>
      </c>
      <c r="BX104" s="27">
        <f t="shared" si="241"/>
        <v>0</v>
      </c>
      <c r="BY104" s="27">
        <f t="shared" si="241"/>
        <v>0</v>
      </c>
      <c r="BZ104" s="27">
        <f t="shared" si="241"/>
        <v>0</v>
      </c>
      <c r="CA104" s="27">
        <f t="shared" si="241"/>
        <v>0</v>
      </c>
      <c r="CB104" s="27">
        <f t="shared" si="241"/>
        <v>0</v>
      </c>
      <c r="CC104" s="27">
        <f t="shared" si="241"/>
        <v>0</v>
      </c>
      <c r="CD104" s="27">
        <f t="shared" si="241"/>
        <v>0</v>
      </c>
      <c r="CE104" s="27">
        <f t="shared" si="241"/>
        <v>0</v>
      </c>
      <c r="CF104" s="27">
        <f t="shared" si="241"/>
        <v>0</v>
      </c>
      <c r="CG104" s="27">
        <f t="shared" si="241"/>
        <v>0</v>
      </c>
      <c r="CH104" s="27">
        <f t="shared" si="241"/>
        <v>0</v>
      </c>
      <c r="CI104" s="27">
        <f t="shared" si="241"/>
        <v>0</v>
      </c>
      <c r="CJ104" s="27">
        <f t="shared" si="241"/>
        <v>0</v>
      </c>
      <c r="CK104" s="27">
        <f t="shared" si="241"/>
        <v>0</v>
      </c>
      <c r="CL104" s="27">
        <f t="shared" si="241"/>
        <v>0</v>
      </c>
      <c r="CM104" s="27">
        <f t="shared" si="241"/>
        <v>0</v>
      </c>
      <c r="CN104" s="27">
        <f t="shared" si="241"/>
        <v>0</v>
      </c>
      <c r="CO104" s="27">
        <f t="shared" si="241"/>
        <v>0</v>
      </c>
      <c r="CP104" s="27">
        <f t="shared" si="241"/>
        <v>0</v>
      </c>
      <c r="CQ104" s="27">
        <f t="shared" si="241"/>
        <v>0</v>
      </c>
      <c r="CR104" s="27"/>
      <c r="CS104" s="27"/>
      <c r="CT104" s="27"/>
      <c r="CU104" s="27">
        <f t="shared" si="241"/>
        <v>0</v>
      </c>
      <c r="CV104" s="27">
        <f t="shared" si="241"/>
        <v>0</v>
      </c>
      <c r="CW104" s="27">
        <f t="shared" si="241"/>
        <v>0</v>
      </c>
      <c r="CX104" s="27">
        <f t="shared" si="241"/>
        <v>0</v>
      </c>
      <c r="CY104" s="27">
        <f t="shared" ref="CY104" si="242">SUM(CY105+CY107+CY109)</f>
        <v>0</v>
      </c>
      <c r="CZ104" s="27">
        <f t="shared" si="241"/>
        <v>0</v>
      </c>
      <c r="DA104" s="27">
        <f t="shared" si="241"/>
        <v>0</v>
      </c>
      <c r="DB104" s="27">
        <f t="shared" si="241"/>
        <v>0</v>
      </c>
      <c r="DC104" s="60">
        <f t="shared" si="241"/>
        <v>0</v>
      </c>
      <c r="DD104" s="57"/>
    </row>
    <row r="105" spans="1:108" ht="15.6" x14ac:dyDescent="0.3">
      <c r="A105" s="93" t="s">
        <v>170</v>
      </c>
      <c r="B105" s="16" t="s">
        <v>1</v>
      </c>
      <c r="C105" s="17" t="s">
        <v>171</v>
      </c>
      <c r="D105" s="18">
        <f t="shared" ref="D105:AH105" si="243">SUM(D106:D106)</f>
        <v>8765811</v>
      </c>
      <c r="E105" s="19">
        <f t="shared" si="243"/>
        <v>8765811</v>
      </c>
      <c r="F105" s="19">
        <f t="shared" si="243"/>
        <v>8765811</v>
      </c>
      <c r="G105" s="19">
        <f t="shared" si="243"/>
        <v>0</v>
      </c>
      <c r="H105" s="19">
        <f t="shared" si="243"/>
        <v>0</v>
      </c>
      <c r="I105" s="19">
        <f t="shared" si="243"/>
        <v>0</v>
      </c>
      <c r="J105" s="19">
        <f t="shared" si="243"/>
        <v>0</v>
      </c>
      <c r="K105" s="19">
        <f t="shared" si="243"/>
        <v>0</v>
      </c>
      <c r="L105" s="19">
        <f t="shared" si="243"/>
        <v>0</v>
      </c>
      <c r="M105" s="19">
        <f t="shared" si="243"/>
        <v>0</v>
      </c>
      <c r="N105" s="19">
        <f t="shared" si="243"/>
        <v>0</v>
      </c>
      <c r="O105" s="19">
        <f t="shared" si="243"/>
        <v>0</v>
      </c>
      <c r="P105" s="19">
        <f t="shared" si="243"/>
        <v>0</v>
      </c>
      <c r="Q105" s="19">
        <f t="shared" si="243"/>
        <v>0</v>
      </c>
      <c r="R105" s="19">
        <f t="shared" si="243"/>
        <v>0</v>
      </c>
      <c r="S105" s="19">
        <f t="shared" si="243"/>
        <v>0</v>
      </c>
      <c r="T105" s="19">
        <f t="shared" si="243"/>
        <v>0</v>
      </c>
      <c r="U105" s="19">
        <f t="shared" si="243"/>
        <v>0</v>
      </c>
      <c r="V105" s="19">
        <f t="shared" si="243"/>
        <v>0</v>
      </c>
      <c r="W105" s="19">
        <f t="shared" si="243"/>
        <v>0</v>
      </c>
      <c r="X105" s="19">
        <f t="shared" si="243"/>
        <v>0</v>
      </c>
      <c r="Y105" s="19">
        <f t="shared" si="243"/>
        <v>0</v>
      </c>
      <c r="Z105" s="19">
        <f t="shared" si="243"/>
        <v>0</v>
      </c>
      <c r="AA105" s="19">
        <f t="shared" si="243"/>
        <v>0</v>
      </c>
      <c r="AB105" s="19">
        <f t="shared" si="243"/>
        <v>0</v>
      </c>
      <c r="AC105" s="19">
        <f t="shared" si="243"/>
        <v>0</v>
      </c>
      <c r="AD105" s="19">
        <f t="shared" si="243"/>
        <v>8765811</v>
      </c>
      <c r="AE105" s="19">
        <f t="shared" si="243"/>
        <v>0</v>
      </c>
      <c r="AF105" s="19">
        <f t="shared" si="243"/>
        <v>0</v>
      </c>
      <c r="AG105" s="19">
        <f t="shared" si="243"/>
        <v>0</v>
      </c>
      <c r="AH105" s="19">
        <f t="shared" si="243"/>
        <v>0</v>
      </c>
      <c r="AI105" s="19">
        <f t="shared" ref="AI105:BS105" si="244">SUM(AI106:AI106)</f>
        <v>0</v>
      </c>
      <c r="AJ105" s="19">
        <f t="shared" si="244"/>
        <v>0</v>
      </c>
      <c r="AK105" s="19">
        <f t="shared" si="244"/>
        <v>0</v>
      </c>
      <c r="AL105" s="19">
        <f t="shared" si="244"/>
        <v>0</v>
      </c>
      <c r="AM105" s="19">
        <f t="shared" si="244"/>
        <v>0</v>
      </c>
      <c r="AN105" s="19">
        <f t="shared" si="244"/>
        <v>0</v>
      </c>
      <c r="AO105" s="19">
        <f t="shared" si="244"/>
        <v>0</v>
      </c>
      <c r="AP105" s="19">
        <f t="shared" si="244"/>
        <v>0</v>
      </c>
      <c r="AQ105" s="19">
        <f t="shared" si="244"/>
        <v>0</v>
      </c>
      <c r="AR105" s="19">
        <f t="shared" si="244"/>
        <v>0</v>
      </c>
      <c r="AS105" s="19">
        <f t="shared" si="244"/>
        <v>0</v>
      </c>
      <c r="AT105" s="19">
        <f t="shared" si="244"/>
        <v>0</v>
      </c>
      <c r="AU105" s="19">
        <f t="shared" si="244"/>
        <v>0</v>
      </c>
      <c r="AV105" s="19">
        <f t="shared" si="244"/>
        <v>0</v>
      </c>
      <c r="AW105" s="19">
        <f t="shared" si="244"/>
        <v>0</v>
      </c>
      <c r="AX105" s="19">
        <f t="shared" si="244"/>
        <v>0</v>
      </c>
      <c r="AY105" s="19">
        <f t="shared" si="244"/>
        <v>8765811</v>
      </c>
      <c r="AZ105" s="19"/>
      <c r="BA105" s="19"/>
      <c r="BB105" s="19"/>
      <c r="BC105" s="19">
        <f t="shared" si="244"/>
        <v>0</v>
      </c>
      <c r="BD105" s="19">
        <f t="shared" si="244"/>
        <v>0</v>
      </c>
      <c r="BE105" s="19">
        <f t="shared" si="244"/>
        <v>0</v>
      </c>
      <c r="BF105" s="19">
        <f t="shared" si="244"/>
        <v>0</v>
      </c>
      <c r="BG105" s="19">
        <f t="shared" si="244"/>
        <v>0</v>
      </c>
      <c r="BH105" s="19">
        <f t="shared" si="244"/>
        <v>0</v>
      </c>
      <c r="BI105" s="19">
        <f t="shared" si="244"/>
        <v>0</v>
      </c>
      <c r="BJ105" s="19">
        <f t="shared" si="244"/>
        <v>0</v>
      </c>
      <c r="BK105" s="19">
        <f t="shared" si="244"/>
        <v>0</v>
      </c>
      <c r="BL105" s="19">
        <f t="shared" si="244"/>
        <v>0</v>
      </c>
      <c r="BM105" s="19">
        <f t="shared" si="244"/>
        <v>0</v>
      </c>
      <c r="BN105" s="19">
        <f t="shared" si="244"/>
        <v>0</v>
      </c>
      <c r="BO105" s="19">
        <f t="shared" si="244"/>
        <v>0</v>
      </c>
      <c r="BP105" s="19">
        <f t="shared" si="244"/>
        <v>0</v>
      </c>
      <c r="BQ105" s="19">
        <f t="shared" si="244"/>
        <v>0</v>
      </c>
      <c r="BR105" s="19">
        <f t="shared" si="244"/>
        <v>0</v>
      </c>
      <c r="BS105" s="19">
        <f t="shared" si="244"/>
        <v>0</v>
      </c>
      <c r="BT105" s="19">
        <f t="shared" ref="BT105:DC105" si="245">SUM(BT106:BT106)</f>
        <v>0</v>
      </c>
      <c r="BU105" s="19">
        <f t="shared" si="245"/>
        <v>0</v>
      </c>
      <c r="BV105" s="19">
        <f t="shared" si="245"/>
        <v>0</v>
      </c>
      <c r="BW105" s="19">
        <f t="shared" si="245"/>
        <v>0</v>
      </c>
      <c r="BX105" s="19">
        <f t="shared" si="245"/>
        <v>0</v>
      </c>
      <c r="BY105" s="19">
        <f t="shared" si="245"/>
        <v>0</v>
      </c>
      <c r="BZ105" s="19">
        <f t="shared" si="245"/>
        <v>0</v>
      </c>
      <c r="CA105" s="19">
        <f t="shared" si="245"/>
        <v>0</v>
      </c>
      <c r="CB105" s="19">
        <f t="shared" si="245"/>
        <v>0</v>
      </c>
      <c r="CC105" s="19">
        <f t="shared" si="245"/>
        <v>0</v>
      </c>
      <c r="CD105" s="19">
        <f t="shared" si="245"/>
        <v>0</v>
      </c>
      <c r="CE105" s="19">
        <f t="shared" si="245"/>
        <v>0</v>
      </c>
      <c r="CF105" s="19">
        <f t="shared" si="245"/>
        <v>0</v>
      </c>
      <c r="CG105" s="19">
        <f t="shared" si="245"/>
        <v>0</v>
      </c>
      <c r="CH105" s="19">
        <f t="shared" si="245"/>
        <v>0</v>
      </c>
      <c r="CI105" s="19">
        <f t="shared" si="245"/>
        <v>0</v>
      </c>
      <c r="CJ105" s="19">
        <f t="shared" si="245"/>
        <v>0</v>
      </c>
      <c r="CK105" s="19">
        <f t="shared" si="245"/>
        <v>0</v>
      </c>
      <c r="CL105" s="19">
        <f t="shared" si="245"/>
        <v>0</v>
      </c>
      <c r="CM105" s="19">
        <f t="shared" si="245"/>
        <v>0</v>
      </c>
      <c r="CN105" s="19">
        <f t="shared" si="245"/>
        <v>0</v>
      </c>
      <c r="CO105" s="19">
        <f t="shared" si="245"/>
        <v>0</v>
      </c>
      <c r="CP105" s="19">
        <f t="shared" si="245"/>
        <v>0</v>
      </c>
      <c r="CQ105" s="19">
        <f t="shared" si="245"/>
        <v>0</v>
      </c>
      <c r="CR105" s="19"/>
      <c r="CS105" s="19"/>
      <c r="CT105" s="19"/>
      <c r="CU105" s="19">
        <f t="shared" si="245"/>
        <v>0</v>
      </c>
      <c r="CV105" s="74"/>
      <c r="CW105" s="74"/>
      <c r="CX105" s="74"/>
      <c r="CY105" s="74"/>
      <c r="CZ105" s="19">
        <f t="shared" si="245"/>
        <v>0</v>
      </c>
      <c r="DA105" s="19">
        <f t="shared" si="245"/>
        <v>0</v>
      </c>
      <c r="DB105" s="19">
        <f t="shared" si="245"/>
        <v>0</v>
      </c>
      <c r="DC105" s="20">
        <f t="shared" si="245"/>
        <v>0</v>
      </c>
      <c r="DD105" s="52"/>
    </row>
    <row r="106" spans="1:108" ht="31.2" x14ac:dyDescent="0.3">
      <c r="A106" s="94" t="s">
        <v>1</v>
      </c>
      <c r="B106" s="21" t="s">
        <v>72</v>
      </c>
      <c r="C106" s="22" t="s">
        <v>452</v>
      </c>
      <c r="D106" s="19">
        <f>SUM(E106+CC106+CZ106)</f>
        <v>8765811</v>
      </c>
      <c r="E106" s="19">
        <f>SUM(F106+BC106)</f>
        <v>8765811</v>
      </c>
      <c r="F106" s="19">
        <f>SUM(G106+H106+I106+P106+S106+T106+U106+AD106)</f>
        <v>8765811</v>
      </c>
      <c r="G106" s="19">
        <v>0</v>
      </c>
      <c r="H106" s="19">
        <v>0</v>
      </c>
      <c r="I106" s="19">
        <f t="shared" ref="I106" si="246">SUM(J106:O106)</f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f t="shared" ref="P106" si="247">SUM(Q106:R106)</f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f>SUM(V106:AC106)</f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f>SUM(AE106:AY106)</f>
        <v>8765811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23">
        <v>8765811</v>
      </c>
      <c r="AZ106" s="23"/>
      <c r="BA106" s="23"/>
      <c r="BB106" s="23"/>
      <c r="BC106" s="19">
        <f>SUM(BD106+BH106+BL106+BN106+BQ106)</f>
        <v>0</v>
      </c>
      <c r="BD106" s="19">
        <f>SUM(BE106:BG106)</f>
        <v>0</v>
      </c>
      <c r="BE106" s="19">
        <v>0</v>
      </c>
      <c r="BF106" s="19">
        <v>0</v>
      </c>
      <c r="BG106" s="19">
        <v>0</v>
      </c>
      <c r="BH106" s="39">
        <f>SUM(BI106:BK106)</f>
        <v>0</v>
      </c>
      <c r="BI106" s="19"/>
      <c r="BJ106" s="19">
        <v>0</v>
      </c>
      <c r="BK106" s="19">
        <v>0</v>
      </c>
      <c r="BL106" s="19">
        <v>0</v>
      </c>
      <c r="BM106" s="19">
        <v>0</v>
      </c>
      <c r="BN106" s="19">
        <f t="shared" ref="BN106" si="248">SUM(BO106)</f>
        <v>0</v>
      </c>
      <c r="BO106" s="19">
        <v>0</v>
      </c>
      <c r="BP106" s="19">
        <v>0</v>
      </c>
      <c r="BQ106" s="19">
        <f>SUM(BR106:CB106)</f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  <c r="BW106" s="19">
        <v>0</v>
      </c>
      <c r="BX106" s="19">
        <v>0</v>
      </c>
      <c r="BY106" s="19">
        <v>0</v>
      </c>
      <c r="BZ106" s="19">
        <v>0</v>
      </c>
      <c r="CA106" s="19">
        <v>0</v>
      </c>
      <c r="CB106" s="19">
        <v>0</v>
      </c>
      <c r="CC106" s="19">
        <f>SUM(CD106+CU106)</f>
        <v>0</v>
      </c>
      <c r="CD106" s="19">
        <f>SUM(CE106+CH106+CN106)</f>
        <v>0</v>
      </c>
      <c r="CE106" s="19">
        <f t="shared" ref="CE106" si="249">SUM(CF106:CG106)</f>
        <v>0</v>
      </c>
      <c r="CF106" s="19">
        <v>0</v>
      </c>
      <c r="CG106" s="19">
        <v>0</v>
      </c>
      <c r="CH106" s="19">
        <f>SUM(CI106:CM106)</f>
        <v>0</v>
      </c>
      <c r="CI106" s="19">
        <v>0</v>
      </c>
      <c r="CJ106" s="19">
        <v>0</v>
      </c>
      <c r="CK106" s="19">
        <v>0</v>
      </c>
      <c r="CL106" s="19">
        <v>0</v>
      </c>
      <c r="CM106" s="19">
        <v>0</v>
      </c>
      <c r="CN106" s="19">
        <f>SUM(CO106:CQ106)</f>
        <v>0</v>
      </c>
      <c r="CO106" s="19">
        <v>0</v>
      </c>
      <c r="CP106" s="19">
        <v>0</v>
      </c>
      <c r="CQ106" s="19"/>
      <c r="CR106" s="19"/>
      <c r="CS106" s="19"/>
      <c r="CT106" s="19"/>
      <c r="CU106" s="19">
        <v>0</v>
      </c>
      <c r="CV106" s="74"/>
      <c r="CW106" s="74"/>
      <c r="CX106" s="74"/>
      <c r="CY106" s="74"/>
      <c r="CZ106" s="19">
        <f t="shared" ref="CZ106" si="250">SUM(DA106)</f>
        <v>0</v>
      </c>
      <c r="DA106" s="19">
        <f t="shared" ref="DA106" si="251">SUM(DB106:DC106)</f>
        <v>0</v>
      </c>
      <c r="DB106" s="19">
        <v>0</v>
      </c>
      <c r="DC106" s="20">
        <v>0</v>
      </c>
      <c r="DD106" s="52"/>
    </row>
    <row r="107" spans="1:108" s="58" customFormat="1" ht="15.6" x14ac:dyDescent="0.3">
      <c r="A107" s="93" t="s">
        <v>501</v>
      </c>
      <c r="B107" s="16" t="s">
        <v>1</v>
      </c>
      <c r="C107" s="17" t="s">
        <v>502</v>
      </c>
      <c r="D107" s="18">
        <f t="shared" ref="D107:AJ109" si="252">SUM(D108)</f>
        <v>1468050</v>
      </c>
      <c r="E107" s="19">
        <f t="shared" si="252"/>
        <v>1468050</v>
      </c>
      <c r="F107" s="19">
        <f t="shared" si="252"/>
        <v>1468050</v>
      </c>
      <c r="G107" s="19">
        <f t="shared" si="252"/>
        <v>0</v>
      </c>
      <c r="H107" s="19">
        <f t="shared" si="252"/>
        <v>0</v>
      </c>
      <c r="I107" s="19">
        <f t="shared" si="252"/>
        <v>0</v>
      </c>
      <c r="J107" s="19">
        <f t="shared" si="252"/>
        <v>0</v>
      </c>
      <c r="K107" s="19">
        <f t="shared" si="252"/>
        <v>0</v>
      </c>
      <c r="L107" s="19">
        <f t="shared" si="252"/>
        <v>0</v>
      </c>
      <c r="M107" s="19">
        <f t="shared" si="252"/>
        <v>0</v>
      </c>
      <c r="N107" s="19">
        <f t="shared" si="252"/>
        <v>0</v>
      </c>
      <c r="O107" s="19">
        <f t="shared" si="252"/>
        <v>0</v>
      </c>
      <c r="P107" s="19">
        <f t="shared" si="252"/>
        <v>0</v>
      </c>
      <c r="Q107" s="19">
        <f t="shared" si="252"/>
        <v>0</v>
      </c>
      <c r="R107" s="19">
        <f t="shared" si="252"/>
        <v>0</v>
      </c>
      <c r="S107" s="19">
        <f t="shared" si="252"/>
        <v>0</v>
      </c>
      <c r="T107" s="19">
        <f t="shared" si="252"/>
        <v>0</v>
      </c>
      <c r="U107" s="19">
        <f t="shared" si="252"/>
        <v>0</v>
      </c>
      <c r="V107" s="19">
        <f t="shared" si="252"/>
        <v>0</v>
      </c>
      <c r="W107" s="19">
        <f t="shared" si="252"/>
        <v>0</v>
      </c>
      <c r="X107" s="19">
        <f t="shared" si="252"/>
        <v>0</v>
      </c>
      <c r="Y107" s="19">
        <f t="shared" si="252"/>
        <v>0</v>
      </c>
      <c r="Z107" s="19">
        <f t="shared" si="252"/>
        <v>0</v>
      </c>
      <c r="AA107" s="19">
        <f t="shared" si="252"/>
        <v>0</v>
      </c>
      <c r="AB107" s="19">
        <f t="shared" si="252"/>
        <v>0</v>
      </c>
      <c r="AC107" s="19">
        <f t="shared" si="252"/>
        <v>0</v>
      </c>
      <c r="AD107" s="19">
        <f t="shared" si="252"/>
        <v>1468050</v>
      </c>
      <c r="AE107" s="19">
        <f t="shared" si="252"/>
        <v>0</v>
      </c>
      <c r="AF107" s="19">
        <f t="shared" si="252"/>
        <v>0</v>
      </c>
      <c r="AG107" s="19">
        <f t="shared" si="252"/>
        <v>0</v>
      </c>
      <c r="AH107" s="19">
        <f t="shared" si="252"/>
        <v>0</v>
      </c>
      <c r="AI107" s="19">
        <f t="shared" si="252"/>
        <v>0</v>
      </c>
      <c r="AJ107" s="19">
        <f t="shared" si="252"/>
        <v>0</v>
      </c>
      <c r="AK107" s="19">
        <f t="shared" ref="AK107:DC109" si="253">SUM(AK108)</f>
        <v>0</v>
      </c>
      <c r="AL107" s="19">
        <f t="shared" si="253"/>
        <v>0</v>
      </c>
      <c r="AM107" s="19">
        <f t="shared" si="253"/>
        <v>0</v>
      </c>
      <c r="AN107" s="19">
        <f t="shared" si="253"/>
        <v>0</v>
      </c>
      <c r="AO107" s="19">
        <f t="shared" si="253"/>
        <v>0</v>
      </c>
      <c r="AP107" s="19">
        <f t="shared" si="253"/>
        <v>0</v>
      </c>
      <c r="AQ107" s="19">
        <f t="shared" si="253"/>
        <v>0</v>
      </c>
      <c r="AR107" s="19">
        <f t="shared" si="253"/>
        <v>0</v>
      </c>
      <c r="AS107" s="19"/>
      <c r="AT107" s="19"/>
      <c r="AU107" s="19">
        <f t="shared" si="253"/>
        <v>0</v>
      </c>
      <c r="AV107" s="19">
        <f t="shared" si="253"/>
        <v>0</v>
      </c>
      <c r="AW107" s="19">
        <f t="shared" si="253"/>
        <v>0</v>
      </c>
      <c r="AX107" s="19"/>
      <c r="AY107" s="19">
        <f t="shared" si="253"/>
        <v>1468050</v>
      </c>
      <c r="AZ107" s="19"/>
      <c r="BA107" s="19"/>
      <c r="BB107" s="19"/>
      <c r="BC107" s="19">
        <f t="shared" si="253"/>
        <v>0</v>
      </c>
      <c r="BD107" s="19">
        <f t="shared" si="253"/>
        <v>0</v>
      </c>
      <c r="BE107" s="19">
        <f t="shared" si="253"/>
        <v>0</v>
      </c>
      <c r="BF107" s="19">
        <f t="shared" si="253"/>
        <v>0</v>
      </c>
      <c r="BG107" s="19">
        <f t="shared" si="253"/>
        <v>0</v>
      </c>
      <c r="BH107" s="19">
        <f t="shared" si="253"/>
        <v>0</v>
      </c>
      <c r="BI107" s="19">
        <f t="shared" si="253"/>
        <v>0</v>
      </c>
      <c r="BJ107" s="19">
        <f t="shared" si="253"/>
        <v>0</v>
      </c>
      <c r="BK107" s="19">
        <f t="shared" si="253"/>
        <v>0</v>
      </c>
      <c r="BL107" s="19">
        <f t="shared" si="253"/>
        <v>0</v>
      </c>
      <c r="BM107" s="19">
        <f t="shared" si="253"/>
        <v>0</v>
      </c>
      <c r="BN107" s="19">
        <f t="shared" si="253"/>
        <v>0</v>
      </c>
      <c r="BO107" s="19">
        <f t="shared" si="253"/>
        <v>0</v>
      </c>
      <c r="BP107" s="19">
        <f t="shared" si="253"/>
        <v>0</v>
      </c>
      <c r="BQ107" s="19">
        <f t="shared" si="253"/>
        <v>0</v>
      </c>
      <c r="BR107" s="19">
        <f t="shared" si="253"/>
        <v>0</v>
      </c>
      <c r="BS107" s="19">
        <f t="shared" si="253"/>
        <v>0</v>
      </c>
      <c r="BT107" s="19">
        <f t="shared" si="253"/>
        <v>0</v>
      </c>
      <c r="BU107" s="19">
        <f t="shared" si="253"/>
        <v>0</v>
      </c>
      <c r="BV107" s="19">
        <f t="shared" si="253"/>
        <v>0</v>
      </c>
      <c r="BW107" s="19">
        <f t="shared" si="253"/>
        <v>0</v>
      </c>
      <c r="BX107" s="19">
        <f t="shared" si="253"/>
        <v>0</v>
      </c>
      <c r="BY107" s="19">
        <f t="shared" si="253"/>
        <v>0</v>
      </c>
      <c r="BZ107" s="19">
        <f t="shared" si="253"/>
        <v>0</v>
      </c>
      <c r="CA107" s="19">
        <f t="shared" si="253"/>
        <v>0</v>
      </c>
      <c r="CB107" s="19">
        <f t="shared" si="253"/>
        <v>0</v>
      </c>
      <c r="CC107" s="19">
        <f t="shared" si="253"/>
        <v>0</v>
      </c>
      <c r="CD107" s="19">
        <f t="shared" si="253"/>
        <v>0</v>
      </c>
      <c r="CE107" s="19">
        <f t="shared" si="253"/>
        <v>0</v>
      </c>
      <c r="CF107" s="19">
        <f t="shared" si="253"/>
        <v>0</v>
      </c>
      <c r="CG107" s="19">
        <f t="shared" si="253"/>
        <v>0</v>
      </c>
      <c r="CH107" s="19">
        <f t="shared" si="253"/>
        <v>0</v>
      </c>
      <c r="CI107" s="19">
        <f t="shared" si="253"/>
        <v>0</v>
      </c>
      <c r="CJ107" s="19">
        <f t="shared" si="253"/>
        <v>0</v>
      </c>
      <c r="CK107" s="19">
        <f t="shared" si="253"/>
        <v>0</v>
      </c>
      <c r="CL107" s="19">
        <f t="shared" si="253"/>
        <v>0</v>
      </c>
      <c r="CM107" s="19">
        <f t="shared" si="253"/>
        <v>0</v>
      </c>
      <c r="CN107" s="19">
        <f t="shared" si="253"/>
        <v>0</v>
      </c>
      <c r="CO107" s="19">
        <f t="shared" si="253"/>
        <v>0</v>
      </c>
      <c r="CP107" s="19">
        <f t="shared" si="253"/>
        <v>0</v>
      </c>
      <c r="CQ107" s="19"/>
      <c r="CR107" s="19"/>
      <c r="CS107" s="19"/>
      <c r="CT107" s="19"/>
      <c r="CU107" s="19">
        <f t="shared" si="253"/>
        <v>0</v>
      </c>
      <c r="CV107" s="74"/>
      <c r="CW107" s="74"/>
      <c r="CX107" s="74"/>
      <c r="CY107" s="74"/>
      <c r="CZ107" s="19">
        <f t="shared" si="253"/>
        <v>0</v>
      </c>
      <c r="DA107" s="19">
        <f t="shared" si="253"/>
        <v>0</v>
      </c>
      <c r="DB107" s="19">
        <f t="shared" si="253"/>
        <v>0</v>
      </c>
      <c r="DC107" s="20">
        <f t="shared" si="253"/>
        <v>0</v>
      </c>
      <c r="DD107" s="52"/>
    </row>
    <row r="108" spans="1:108" ht="31.2" x14ac:dyDescent="0.3">
      <c r="A108" s="94" t="s">
        <v>1</v>
      </c>
      <c r="B108" s="21" t="s">
        <v>72</v>
      </c>
      <c r="C108" s="22" t="s">
        <v>503</v>
      </c>
      <c r="D108" s="19">
        <f>SUM(E108+CC108+CZ108)</f>
        <v>1468050</v>
      </c>
      <c r="E108" s="19">
        <f>SUM(F108+BC108)</f>
        <v>1468050</v>
      </c>
      <c r="F108" s="19">
        <f>SUM(G108+H108+I108+P108+S108+T108+U108+AD108)</f>
        <v>1468050</v>
      </c>
      <c r="G108" s="19"/>
      <c r="H108" s="19"/>
      <c r="I108" s="19">
        <f t="shared" ref="I108" si="254">SUM(J108:O108)</f>
        <v>0</v>
      </c>
      <c r="J108" s="19">
        <v>0</v>
      </c>
      <c r="K108" s="19">
        <v>0</v>
      </c>
      <c r="L108" s="19">
        <v>0</v>
      </c>
      <c r="M108" s="19"/>
      <c r="N108" s="23"/>
      <c r="O108" s="19">
        <v>0</v>
      </c>
      <c r="P108" s="19">
        <f t="shared" ref="P108" si="255">SUM(Q108:R108)</f>
        <v>0</v>
      </c>
      <c r="Q108" s="19">
        <v>0</v>
      </c>
      <c r="R108" s="19">
        <v>0</v>
      </c>
      <c r="S108" s="19">
        <v>0</v>
      </c>
      <c r="T108" s="23"/>
      <c r="U108" s="19">
        <f>SUM(V108:AC108)</f>
        <v>0</v>
      </c>
      <c r="V108" s="19">
        <v>0</v>
      </c>
      <c r="W108" s="23"/>
      <c r="X108" s="23"/>
      <c r="Y108" s="23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f>SUM(AE108:AY108)</f>
        <v>1468050</v>
      </c>
      <c r="AE108" s="19">
        <v>0</v>
      </c>
      <c r="AF108" s="19">
        <v>0</v>
      </c>
      <c r="AG108" s="19">
        <v>0</v>
      </c>
      <c r="AH108" s="19"/>
      <c r="AI108" s="19">
        <v>0</v>
      </c>
      <c r="AJ108" s="19">
        <v>0</v>
      </c>
      <c r="AK108" s="19">
        <v>0</v>
      </c>
      <c r="AL108" s="19"/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/>
      <c r="AT108" s="19"/>
      <c r="AU108" s="19">
        <v>0</v>
      </c>
      <c r="AV108" s="19">
        <v>0</v>
      </c>
      <c r="AW108" s="19">
        <v>0</v>
      </c>
      <c r="AX108" s="19"/>
      <c r="AY108" s="19">
        <v>1468050</v>
      </c>
      <c r="AZ108" s="19"/>
      <c r="BA108" s="19"/>
      <c r="BB108" s="19"/>
      <c r="BC108" s="19">
        <f>SUM(BD108+BH108+BL108+BN108+BQ108)</f>
        <v>0</v>
      </c>
      <c r="BD108" s="19">
        <f>SUM(BE108:BG108)</f>
        <v>0</v>
      </c>
      <c r="BE108" s="19">
        <v>0</v>
      </c>
      <c r="BF108" s="19">
        <v>0</v>
      </c>
      <c r="BG108" s="19">
        <v>0</v>
      </c>
      <c r="BH108" s="19">
        <f>SUM(BI108:BK108)</f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  <c r="BN108" s="19">
        <f t="shared" ref="BN108" si="256">SUM(BO108)</f>
        <v>0</v>
      </c>
      <c r="BO108" s="19">
        <v>0</v>
      </c>
      <c r="BP108" s="19">
        <v>0</v>
      </c>
      <c r="BQ108" s="19">
        <f>SUM(BR108:CB108)</f>
        <v>0</v>
      </c>
      <c r="BR108" s="19">
        <v>0</v>
      </c>
      <c r="BS108" s="19">
        <v>0</v>
      </c>
      <c r="BT108" s="19">
        <v>0</v>
      </c>
      <c r="BU108" s="19">
        <v>0</v>
      </c>
      <c r="BV108" s="19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f>SUM(CD108+CU108)</f>
        <v>0</v>
      </c>
      <c r="CD108" s="19">
        <f>SUM(CE108+CH108+CN108)</f>
        <v>0</v>
      </c>
      <c r="CE108" s="19">
        <f t="shared" ref="CE108" si="257">SUM(CF108:CG108)</f>
        <v>0</v>
      </c>
      <c r="CF108" s="19">
        <v>0</v>
      </c>
      <c r="CG108" s="23"/>
      <c r="CH108" s="19">
        <f>SUM(CI108:CM108)</f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f>SUM(CO108:CQ108)</f>
        <v>0</v>
      </c>
      <c r="CO108" s="19">
        <v>0</v>
      </c>
      <c r="CP108" s="19">
        <v>0</v>
      </c>
      <c r="CQ108" s="19"/>
      <c r="CR108" s="19"/>
      <c r="CS108" s="19"/>
      <c r="CT108" s="19"/>
      <c r="CU108" s="19">
        <v>0</v>
      </c>
      <c r="CV108" s="74"/>
      <c r="CW108" s="74"/>
      <c r="CX108" s="74"/>
      <c r="CY108" s="74"/>
      <c r="CZ108" s="19">
        <f t="shared" ref="CZ108" si="258">SUM(DA108)</f>
        <v>0</v>
      </c>
      <c r="DA108" s="19">
        <f t="shared" ref="DA108" si="259">SUM(DB108:DC108)</f>
        <v>0</v>
      </c>
      <c r="DB108" s="19">
        <v>0</v>
      </c>
      <c r="DC108" s="20">
        <v>0</v>
      </c>
      <c r="DD108" s="52"/>
    </row>
    <row r="109" spans="1:108" s="58" customFormat="1" ht="15.6" x14ac:dyDescent="0.3">
      <c r="A109" s="93" t="s">
        <v>172</v>
      </c>
      <c r="B109" s="16" t="s">
        <v>1</v>
      </c>
      <c r="C109" s="17" t="s">
        <v>173</v>
      </c>
      <c r="D109" s="18">
        <f t="shared" si="252"/>
        <v>5000213</v>
      </c>
      <c r="E109" s="18">
        <f t="shared" si="252"/>
        <v>5000213</v>
      </c>
      <c r="F109" s="18">
        <f t="shared" si="252"/>
        <v>5000213</v>
      </c>
      <c r="G109" s="18">
        <f t="shared" si="252"/>
        <v>3891282</v>
      </c>
      <c r="H109" s="18">
        <f t="shared" si="252"/>
        <v>967704</v>
      </c>
      <c r="I109" s="18">
        <f t="shared" si="252"/>
        <v>8409</v>
      </c>
      <c r="J109" s="18">
        <f t="shared" si="252"/>
        <v>0</v>
      </c>
      <c r="K109" s="18">
        <f t="shared" si="252"/>
        <v>0</v>
      </c>
      <c r="L109" s="18">
        <f t="shared" si="252"/>
        <v>0</v>
      </c>
      <c r="M109" s="18">
        <f t="shared" si="252"/>
        <v>0</v>
      </c>
      <c r="N109" s="18">
        <f t="shared" si="252"/>
        <v>8409</v>
      </c>
      <c r="O109" s="18">
        <f t="shared" si="252"/>
        <v>0</v>
      </c>
      <c r="P109" s="18">
        <f t="shared" si="252"/>
        <v>0</v>
      </c>
      <c r="Q109" s="18">
        <f t="shared" si="252"/>
        <v>0</v>
      </c>
      <c r="R109" s="18">
        <f t="shared" si="252"/>
        <v>0</v>
      </c>
      <c r="S109" s="18">
        <f t="shared" si="252"/>
        <v>0</v>
      </c>
      <c r="T109" s="18">
        <f t="shared" si="252"/>
        <v>22403</v>
      </c>
      <c r="U109" s="18">
        <f t="shared" si="252"/>
        <v>110415</v>
      </c>
      <c r="V109" s="18">
        <f t="shared" si="252"/>
        <v>0</v>
      </c>
      <c r="W109" s="18">
        <f t="shared" si="252"/>
        <v>22003</v>
      </c>
      <c r="X109" s="18">
        <f t="shared" si="252"/>
        <v>88412</v>
      </c>
      <c r="Y109" s="18">
        <f t="shared" si="252"/>
        <v>0</v>
      </c>
      <c r="Z109" s="18">
        <f t="shared" si="252"/>
        <v>0</v>
      </c>
      <c r="AA109" s="18">
        <f t="shared" si="252"/>
        <v>0</v>
      </c>
      <c r="AB109" s="18">
        <f t="shared" si="252"/>
        <v>0</v>
      </c>
      <c r="AC109" s="18">
        <f t="shared" si="252"/>
        <v>0</v>
      </c>
      <c r="AD109" s="18">
        <f t="shared" si="252"/>
        <v>0</v>
      </c>
      <c r="AE109" s="18">
        <f t="shared" si="252"/>
        <v>0</v>
      </c>
      <c r="AF109" s="18">
        <f t="shared" si="252"/>
        <v>0</v>
      </c>
      <c r="AG109" s="18">
        <f t="shared" si="252"/>
        <v>0</v>
      </c>
      <c r="AH109" s="18">
        <f t="shared" si="252"/>
        <v>0</v>
      </c>
      <c r="AI109" s="18">
        <f t="shared" si="252"/>
        <v>0</v>
      </c>
      <c r="AJ109" s="18">
        <f t="shared" si="252"/>
        <v>0</v>
      </c>
      <c r="AK109" s="18">
        <f t="shared" si="253"/>
        <v>0</v>
      </c>
      <c r="AL109" s="18">
        <f t="shared" si="253"/>
        <v>0</v>
      </c>
      <c r="AM109" s="18">
        <f t="shared" si="253"/>
        <v>0</v>
      </c>
      <c r="AN109" s="18">
        <f t="shared" si="253"/>
        <v>0</v>
      </c>
      <c r="AO109" s="18">
        <f t="shared" si="253"/>
        <v>0</v>
      </c>
      <c r="AP109" s="18">
        <f t="shared" si="253"/>
        <v>0</v>
      </c>
      <c r="AQ109" s="18">
        <f t="shared" si="253"/>
        <v>0</v>
      </c>
      <c r="AR109" s="18">
        <f t="shared" si="253"/>
        <v>0</v>
      </c>
      <c r="AS109" s="18"/>
      <c r="AT109" s="18"/>
      <c r="AU109" s="18">
        <f t="shared" si="253"/>
        <v>0</v>
      </c>
      <c r="AV109" s="18">
        <f t="shared" si="253"/>
        <v>0</v>
      </c>
      <c r="AW109" s="18">
        <f t="shared" si="253"/>
        <v>0</v>
      </c>
      <c r="AX109" s="18"/>
      <c r="AY109" s="18">
        <f t="shared" si="253"/>
        <v>0</v>
      </c>
      <c r="AZ109" s="18"/>
      <c r="BA109" s="18"/>
      <c r="BB109" s="18"/>
      <c r="BC109" s="18">
        <f t="shared" si="253"/>
        <v>0</v>
      </c>
      <c r="BD109" s="18">
        <f t="shared" si="253"/>
        <v>0</v>
      </c>
      <c r="BE109" s="18">
        <f t="shared" si="253"/>
        <v>0</v>
      </c>
      <c r="BF109" s="18">
        <f t="shared" si="253"/>
        <v>0</v>
      </c>
      <c r="BG109" s="18">
        <f t="shared" si="253"/>
        <v>0</v>
      </c>
      <c r="BH109" s="18">
        <f t="shared" si="253"/>
        <v>0</v>
      </c>
      <c r="BI109" s="18">
        <f t="shared" si="253"/>
        <v>0</v>
      </c>
      <c r="BJ109" s="18">
        <f t="shared" si="253"/>
        <v>0</v>
      </c>
      <c r="BK109" s="18">
        <f t="shared" si="253"/>
        <v>0</v>
      </c>
      <c r="BL109" s="18">
        <f t="shared" si="253"/>
        <v>0</v>
      </c>
      <c r="BM109" s="18">
        <f t="shared" si="253"/>
        <v>0</v>
      </c>
      <c r="BN109" s="18">
        <f t="shared" si="253"/>
        <v>0</v>
      </c>
      <c r="BO109" s="18">
        <f t="shared" si="253"/>
        <v>0</v>
      </c>
      <c r="BP109" s="18">
        <f t="shared" si="253"/>
        <v>0</v>
      </c>
      <c r="BQ109" s="18">
        <f t="shared" si="253"/>
        <v>0</v>
      </c>
      <c r="BR109" s="18">
        <f t="shared" si="253"/>
        <v>0</v>
      </c>
      <c r="BS109" s="18">
        <f t="shared" si="253"/>
        <v>0</v>
      </c>
      <c r="BT109" s="18">
        <f t="shared" si="253"/>
        <v>0</v>
      </c>
      <c r="BU109" s="18">
        <f t="shared" si="253"/>
        <v>0</v>
      </c>
      <c r="BV109" s="18">
        <f t="shared" si="253"/>
        <v>0</v>
      </c>
      <c r="BW109" s="18">
        <f t="shared" si="253"/>
        <v>0</v>
      </c>
      <c r="BX109" s="18">
        <f t="shared" si="253"/>
        <v>0</v>
      </c>
      <c r="BY109" s="18">
        <f t="shared" si="253"/>
        <v>0</v>
      </c>
      <c r="BZ109" s="18">
        <f t="shared" si="253"/>
        <v>0</v>
      </c>
      <c r="CA109" s="18">
        <f t="shared" si="253"/>
        <v>0</v>
      </c>
      <c r="CB109" s="18">
        <f t="shared" si="253"/>
        <v>0</v>
      </c>
      <c r="CC109" s="18">
        <f t="shared" si="253"/>
        <v>0</v>
      </c>
      <c r="CD109" s="18">
        <f t="shared" si="253"/>
        <v>0</v>
      </c>
      <c r="CE109" s="18">
        <f t="shared" si="253"/>
        <v>0</v>
      </c>
      <c r="CF109" s="18">
        <f t="shared" si="253"/>
        <v>0</v>
      </c>
      <c r="CG109" s="18">
        <f t="shared" si="253"/>
        <v>0</v>
      </c>
      <c r="CH109" s="18">
        <f t="shared" si="253"/>
        <v>0</v>
      </c>
      <c r="CI109" s="18">
        <f t="shared" si="253"/>
        <v>0</v>
      </c>
      <c r="CJ109" s="18">
        <f t="shared" si="253"/>
        <v>0</v>
      </c>
      <c r="CK109" s="18">
        <f t="shared" si="253"/>
        <v>0</v>
      </c>
      <c r="CL109" s="18">
        <f t="shared" si="253"/>
        <v>0</v>
      </c>
      <c r="CM109" s="18">
        <f t="shared" si="253"/>
        <v>0</v>
      </c>
      <c r="CN109" s="18">
        <f t="shared" si="253"/>
        <v>0</v>
      </c>
      <c r="CO109" s="18">
        <f t="shared" si="253"/>
        <v>0</v>
      </c>
      <c r="CP109" s="18">
        <f t="shared" si="253"/>
        <v>0</v>
      </c>
      <c r="CQ109" s="18"/>
      <c r="CR109" s="18"/>
      <c r="CS109" s="18"/>
      <c r="CT109" s="18"/>
      <c r="CU109" s="18">
        <f t="shared" si="253"/>
        <v>0</v>
      </c>
      <c r="CV109" s="73"/>
      <c r="CW109" s="73"/>
      <c r="CX109" s="73"/>
      <c r="CY109" s="73"/>
      <c r="CZ109" s="18">
        <f t="shared" si="253"/>
        <v>0</v>
      </c>
      <c r="DA109" s="18">
        <f t="shared" si="253"/>
        <v>0</v>
      </c>
      <c r="DB109" s="18">
        <f t="shared" si="253"/>
        <v>0</v>
      </c>
      <c r="DC109" s="46">
        <f t="shared" si="253"/>
        <v>0</v>
      </c>
      <c r="DD109" s="57"/>
    </row>
    <row r="110" spans="1:108" s="88" customFormat="1" ht="31.2" x14ac:dyDescent="0.3">
      <c r="A110" s="96" t="s">
        <v>1</v>
      </c>
      <c r="B110" s="71" t="s">
        <v>64</v>
      </c>
      <c r="C110" s="72" t="s">
        <v>479</v>
      </c>
      <c r="D110" s="74">
        <f>SUM(E110+CC110+CZ110)</f>
        <v>5000213</v>
      </c>
      <c r="E110" s="74">
        <f>SUM(F110+BC110)</f>
        <v>5000213</v>
      </c>
      <c r="F110" s="19">
        <f>SUM(G110+H110+I110+P110+S110+T110+U110+AD110)</f>
        <v>5000213</v>
      </c>
      <c r="G110" s="74">
        <v>3891282</v>
      </c>
      <c r="H110" s="74">
        <v>967704</v>
      </c>
      <c r="I110" s="74">
        <f t="shared" si="127"/>
        <v>8409</v>
      </c>
      <c r="J110" s="74">
        <v>0</v>
      </c>
      <c r="K110" s="74">
        <v>0</v>
      </c>
      <c r="L110" s="74">
        <v>0</v>
      </c>
      <c r="M110" s="74"/>
      <c r="N110" s="75">
        <v>8409</v>
      </c>
      <c r="O110" s="74">
        <v>0</v>
      </c>
      <c r="P110" s="74">
        <f t="shared" si="128"/>
        <v>0</v>
      </c>
      <c r="Q110" s="74">
        <v>0</v>
      </c>
      <c r="R110" s="74">
        <v>0</v>
      </c>
      <c r="S110" s="74">
        <v>0</v>
      </c>
      <c r="T110" s="75">
        <v>22403</v>
      </c>
      <c r="U110" s="74">
        <f>SUM(V110:AC110)</f>
        <v>110415</v>
      </c>
      <c r="V110" s="74">
        <v>0</v>
      </c>
      <c r="W110" s="75">
        <f>17689+4314</f>
        <v>22003</v>
      </c>
      <c r="X110" s="75">
        <f>61478+26934</f>
        <v>88412</v>
      </c>
      <c r="Y110" s="75">
        <v>0</v>
      </c>
      <c r="Z110" s="74">
        <v>0</v>
      </c>
      <c r="AA110" s="74">
        <v>0</v>
      </c>
      <c r="AB110" s="74">
        <v>0</v>
      </c>
      <c r="AC110" s="74">
        <v>0</v>
      </c>
      <c r="AD110" s="74">
        <f>SUM(AE110:AY110)</f>
        <v>0</v>
      </c>
      <c r="AE110" s="74">
        <v>0</v>
      </c>
      <c r="AF110" s="74">
        <v>0</v>
      </c>
      <c r="AG110" s="74">
        <v>0</v>
      </c>
      <c r="AH110" s="74"/>
      <c r="AI110" s="74">
        <v>0</v>
      </c>
      <c r="AJ110" s="74">
        <v>0</v>
      </c>
      <c r="AK110" s="74">
        <v>0</v>
      </c>
      <c r="AL110" s="74"/>
      <c r="AM110" s="74">
        <v>0</v>
      </c>
      <c r="AN110" s="74">
        <v>0</v>
      </c>
      <c r="AO110" s="74">
        <v>0</v>
      </c>
      <c r="AP110" s="74">
        <v>0</v>
      </c>
      <c r="AQ110" s="74">
        <v>0</v>
      </c>
      <c r="AR110" s="74">
        <v>0</v>
      </c>
      <c r="AS110" s="74"/>
      <c r="AT110" s="74"/>
      <c r="AU110" s="74">
        <v>0</v>
      </c>
      <c r="AV110" s="74">
        <v>0</v>
      </c>
      <c r="AW110" s="74">
        <v>0</v>
      </c>
      <c r="AX110" s="74"/>
      <c r="AY110" s="74">
        <v>0</v>
      </c>
      <c r="AZ110" s="74"/>
      <c r="BA110" s="74"/>
      <c r="BB110" s="74"/>
      <c r="BC110" s="74">
        <f>SUM(BD110+BH110+BL110+BN110+BQ110)</f>
        <v>0</v>
      </c>
      <c r="BD110" s="74">
        <f>SUM(BE110:BG110)</f>
        <v>0</v>
      </c>
      <c r="BE110" s="74">
        <v>0</v>
      </c>
      <c r="BF110" s="74">
        <v>0</v>
      </c>
      <c r="BG110" s="74">
        <v>0</v>
      </c>
      <c r="BH110" s="74">
        <f>SUM(BI110:BK110)</f>
        <v>0</v>
      </c>
      <c r="BI110" s="74">
        <v>0</v>
      </c>
      <c r="BJ110" s="74">
        <v>0</v>
      </c>
      <c r="BK110" s="74">
        <v>0</v>
      </c>
      <c r="BL110" s="74">
        <v>0</v>
      </c>
      <c r="BM110" s="74">
        <v>0</v>
      </c>
      <c r="BN110" s="74">
        <f t="shared" si="129"/>
        <v>0</v>
      </c>
      <c r="BO110" s="74">
        <v>0</v>
      </c>
      <c r="BP110" s="74">
        <v>0</v>
      </c>
      <c r="BQ110" s="74">
        <f>SUM(BR110:CB110)</f>
        <v>0</v>
      </c>
      <c r="BR110" s="74">
        <v>0</v>
      </c>
      <c r="BS110" s="74">
        <v>0</v>
      </c>
      <c r="BT110" s="74">
        <v>0</v>
      </c>
      <c r="BU110" s="74">
        <v>0</v>
      </c>
      <c r="BV110" s="74">
        <v>0</v>
      </c>
      <c r="BW110" s="74">
        <v>0</v>
      </c>
      <c r="BX110" s="74">
        <v>0</v>
      </c>
      <c r="BY110" s="74">
        <v>0</v>
      </c>
      <c r="BZ110" s="74">
        <v>0</v>
      </c>
      <c r="CA110" s="74">
        <v>0</v>
      </c>
      <c r="CB110" s="74">
        <v>0</v>
      </c>
      <c r="CC110" s="74">
        <f>SUM(CD110+CU110)</f>
        <v>0</v>
      </c>
      <c r="CD110" s="74">
        <f>SUM(CE110+CH110+CN110)</f>
        <v>0</v>
      </c>
      <c r="CE110" s="74">
        <f t="shared" si="130"/>
        <v>0</v>
      </c>
      <c r="CF110" s="74">
        <v>0</v>
      </c>
      <c r="CG110" s="75"/>
      <c r="CH110" s="74">
        <f>SUM(CI110:CM110)</f>
        <v>0</v>
      </c>
      <c r="CI110" s="74">
        <v>0</v>
      </c>
      <c r="CJ110" s="74">
        <v>0</v>
      </c>
      <c r="CK110" s="74">
        <v>0</v>
      </c>
      <c r="CL110" s="74">
        <v>0</v>
      </c>
      <c r="CM110" s="74">
        <v>0</v>
      </c>
      <c r="CN110" s="74">
        <f>SUM(CO110:CQ110)</f>
        <v>0</v>
      </c>
      <c r="CO110" s="74">
        <v>0</v>
      </c>
      <c r="CP110" s="74">
        <v>0</v>
      </c>
      <c r="CQ110" s="74"/>
      <c r="CR110" s="74"/>
      <c r="CS110" s="74"/>
      <c r="CT110" s="74"/>
      <c r="CU110" s="74">
        <v>0</v>
      </c>
      <c r="CV110" s="74"/>
      <c r="CW110" s="74"/>
      <c r="CX110" s="74"/>
      <c r="CY110" s="74"/>
      <c r="CZ110" s="74">
        <f t="shared" si="131"/>
        <v>0</v>
      </c>
      <c r="DA110" s="74">
        <f t="shared" si="132"/>
        <v>0</v>
      </c>
      <c r="DB110" s="74">
        <v>0</v>
      </c>
      <c r="DC110" s="77">
        <v>0</v>
      </c>
      <c r="DD110" s="78"/>
    </row>
    <row r="111" spans="1:108" ht="46.8" x14ac:dyDescent="0.3">
      <c r="A111" s="95" t="s">
        <v>174</v>
      </c>
      <c r="B111" s="25" t="s">
        <v>1</v>
      </c>
      <c r="C111" s="26" t="s">
        <v>175</v>
      </c>
      <c r="D111" s="27">
        <f t="shared" ref="D111:AR111" si="260">SUM(D112+D117+D119+D123)</f>
        <v>69422353</v>
      </c>
      <c r="E111" s="27">
        <f t="shared" si="260"/>
        <v>69422353</v>
      </c>
      <c r="F111" s="27">
        <f t="shared" si="260"/>
        <v>5987774</v>
      </c>
      <c r="G111" s="27">
        <f t="shared" si="260"/>
        <v>0</v>
      </c>
      <c r="H111" s="27">
        <f t="shared" si="260"/>
        <v>0</v>
      </c>
      <c r="I111" s="27">
        <f t="shared" si="260"/>
        <v>0</v>
      </c>
      <c r="J111" s="27">
        <f t="shared" si="260"/>
        <v>0</v>
      </c>
      <c r="K111" s="27">
        <f t="shared" si="260"/>
        <v>0</v>
      </c>
      <c r="L111" s="27">
        <f t="shared" si="260"/>
        <v>0</v>
      </c>
      <c r="M111" s="27">
        <f t="shared" si="260"/>
        <v>0</v>
      </c>
      <c r="N111" s="27">
        <f t="shared" si="260"/>
        <v>0</v>
      </c>
      <c r="O111" s="27">
        <f t="shared" si="260"/>
        <v>0</v>
      </c>
      <c r="P111" s="27">
        <f t="shared" si="260"/>
        <v>0</v>
      </c>
      <c r="Q111" s="27">
        <f t="shared" si="260"/>
        <v>0</v>
      </c>
      <c r="R111" s="27">
        <f t="shared" si="260"/>
        <v>0</v>
      </c>
      <c r="S111" s="27">
        <f t="shared" si="260"/>
        <v>0</v>
      </c>
      <c r="T111" s="27">
        <f t="shared" si="260"/>
        <v>0</v>
      </c>
      <c r="U111" s="27">
        <f t="shared" si="260"/>
        <v>0</v>
      </c>
      <c r="V111" s="27">
        <f t="shared" si="260"/>
        <v>0</v>
      </c>
      <c r="W111" s="27">
        <f t="shared" si="260"/>
        <v>0</v>
      </c>
      <c r="X111" s="27">
        <f t="shared" si="260"/>
        <v>0</v>
      </c>
      <c r="Y111" s="27">
        <f t="shared" si="260"/>
        <v>0</v>
      </c>
      <c r="Z111" s="27">
        <f t="shared" si="260"/>
        <v>0</v>
      </c>
      <c r="AA111" s="27">
        <f t="shared" si="260"/>
        <v>0</v>
      </c>
      <c r="AB111" s="27">
        <f t="shared" si="260"/>
        <v>0</v>
      </c>
      <c r="AC111" s="27">
        <f t="shared" si="260"/>
        <v>0</v>
      </c>
      <c r="AD111" s="27">
        <f t="shared" si="260"/>
        <v>5987774</v>
      </c>
      <c r="AE111" s="27">
        <f t="shared" si="260"/>
        <v>0</v>
      </c>
      <c r="AF111" s="27">
        <f t="shared" si="260"/>
        <v>0</v>
      </c>
      <c r="AG111" s="27">
        <f t="shared" si="260"/>
        <v>0</v>
      </c>
      <c r="AH111" s="27">
        <f t="shared" si="260"/>
        <v>0</v>
      </c>
      <c r="AI111" s="27">
        <f t="shared" si="260"/>
        <v>0</v>
      </c>
      <c r="AJ111" s="27">
        <f t="shared" si="260"/>
        <v>0</v>
      </c>
      <c r="AK111" s="27">
        <f t="shared" si="260"/>
        <v>0</v>
      </c>
      <c r="AL111" s="27">
        <f t="shared" si="260"/>
        <v>0</v>
      </c>
      <c r="AM111" s="27">
        <f t="shared" si="260"/>
        <v>0</v>
      </c>
      <c r="AN111" s="27">
        <f t="shared" si="260"/>
        <v>0</v>
      </c>
      <c r="AO111" s="27">
        <f t="shared" si="260"/>
        <v>0</v>
      </c>
      <c r="AP111" s="27">
        <f t="shared" si="260"/>
        <v>0</v>
      </c>
      <c r="AQ111" s="27">
        <f t="shared" si="260"/>
        <v>0</v>
      </c>
      <c r="AR111" s="27">
        <f t="shared" si="260"/>
        <v>0</v>
      </c>
      <c r="AS111" s="27"/>
      <c r="AT111" s="27"/>
      <c r="AU111" s="27">
        <f>SUM(AU112+AU117+AU119+AU123)</f>
        <v>0</v>
      </c>
      <c r="AV111" s="27">
        <f>SUM(AV112+AV117+AV119+AV123)</f>
        <v>0</v>
      </c>
      <c r="AW111" s="27">
        <f>SUM(AW112+AW117+AW119+AW123)</f>
        <v>0</v>
      </c>
      <c r="AX111" s="27"/>
      <c r="AY111" s="27">
        <f>SUM(AY112+AY117+AY119+AY123)</f>
        <v>5987774</v>
      </c>
      <c r="AZ111" s="27"/>
      <c r="BA111" s="27"/>
      <c r="BB111" s="27"/>
      <c r="BC111" s="27">
        <f t="shared" ref="BC111:CP111" si="261">SUM(BC112+BC117+BC119+BC123)</f>
        <v>63434579</v>
      </c>
      <c r="BD111" s="27">
        <f t="shared" si="261"/>
        <v>60986391</v>
      </c>
      <c r="BE111" s="27">
        <f t="shared" si="261"/>
        <v>0</v>
      </c>
      <c r="BF111" s="27">
        <f t="shared" si="261"/>
        <v>42262289</v>
      </c>
      <c r="BG111" s="27">
        <f t="shared" si="261"/>
        <v>18724102</v>
      </c>
      <c r="BH111" s="27">
        <f t="shared" si="261"/>
        <v>0</v>
      </c>
      <c r="BI111" s="27">
        <f t="shared" si="261"/>
        <v>0</v>
      </c>
      <c r="BJ111" s="27">
        <f t="shared" si="261"/>
        <v>0</v>
      </c>
      <c r="BK111" s="27">
        <f t="shared" si="261"/>
        <v>0</v>
      </c>
      <c r="BL111" s="27">
        <f t="shared" si="261"/>
        <v>0</v>
      </c>
      <c r="BM111" s="27">
        <f t="shared" si="261"/>
        <v>0</v>
      </c>
      <c r="BN111" s="27">
        <f t="shared" si="261"/>
        <v>2448188</v>
      </c>
      <c r="BO111" s="27">
        <f t="shared" si="261"/>
        <v>0</v>
      </c>
      <c r="BP111" s="27">
        <f t="shared" si="261"/>
        <v>2448188</v>
      </c>
      <c r="BQ111" s="27">
        <f t="shared" si="261"/>
        <v>0</v>
      </c>
      <c r="BR111" s="27">
        <f t="shared" si="261"/>
        <v>0</v>
      </c>
      <c r="BS111" s="27">
        <f t="shared" si="261"/>
        <v>0</v>
      </c>
      <c r="BT111" s="27">
        <f t="shared" si="261"/>
        <v>0</v>
      </c>
      <c r="BU111" s="27">
        <f t="shared" si="261"/>
        <v>0</v>
      </c>
      <c r="BV111" s="27">
        <f t="shared" si="261"/>
        <v>0</v>
      </c>
      <c r="BW111" s="27">
        <f t="shared" si="261"/>
        <v>0</v>
      </c>
      <c r="BX111" s="27">
        <f t="shared" si="261"/>
        <v>0</v>
      </c>
      <c r="BY111" s="27">
        <f t="shared" si="261"/>
        <v>0</v>
      </c>
      <c r="BZ111" s="27">
        <f t="shared" si="261"/>
        <v>0</v>
      </c>
      <c r="CA111" s="27">
        <f t="shared" si="261"/>
        <v>0</v>
      </c>
      <c r="CB111" s="27">
        <f t="shared" si="261"/>
        <v>0</v>
      </c>
      <c r="CC111" s="27">
        <f t="shared" si="261"/>
        <v>0</v>
      </c>
      <c r="CD111" s="27">
        <f t="shared" si="261"/>
        <v>0</v>
      </c>
      <c r="CE111" s="27">
        <f t="shared" si="261"/>
        <v>0</v>
      </c>
      <c r="CF111" s="27">
        <f t="shared" si="261"/>
        <v>0</v>
      </c>
      <c r="CG111" s="27">
        <f t="shared" si="261"/>
        <v>0</v>
      </c>
      <c r="CH111" s="27">
        <f t="shared" si="261"/>
        <v>0</v>
      </c>
      <c r="CI111" s="27">
        <f t="shared" si="261"/>
        <v>0</v>
      </c>
      <c r="CJ111" s="27">
        <f t="shared" si="261"/>
        <v>0</v>
      </c>
      <c r="CK111" s="27">
        <f t="shared" si="261"/>
        <v>0</v>
      </c>
      <c r="CL111" s="27">
        <f t="shared" si="261"/>
        <v>0</v>
      </c>
      <c r="CM111" s="27">
        <f t="shared" si="261"/>
        <v>0</v>
      </c>
      <c r="CN111" s="27">
        <f t="shared" si="261"/>
        <v>0</v>
      </c>
      <c r="CO111" s="27">
        <f t="shared" si="261"/>
        <v>0</v>
      </c>
      <c r="CP111" s="27">
        <f t="shared" si="261"/>
        <v>0</v>
      </c>
      <c r="CQ111" s="27"/>
      <c r="CR111" s="27"/>
      <c r="CS111" s="27"/>
      <c r="CT111" s="27"/>
      <c r="CU111" s="27">
        <f t="shared" ref="CU111:DC111" si="262">SUM(CU112+CU117+CU119+CU123)</f>
        <v>0</v>
      </c>
      <c r="CV111" s="27">
        <f t="shared" si="262"/>
        <v>0</v>
      </c>
      <c r="CW111" s="27">
        <f t="shared" si="262"/>
        <v>0</v>
      </c>
      <c r="CX111" s="27">
        <f t="shared" si="262"/>
        <v>0</v>
      </c>
      <c r="CY111" s="27">
        <f t="shared" ref="CY111" si="263">SUM(CY112+CY117+CY119+CY123)</f>
        <v>0</v>
      </c>
      <c r="CZ111" s="27">
        <f t="shared" si="262"/>
        <v>0</v>
      </c>
      <c r="DA111" s="27">
        <f t="shared" si="262"/>
        <v>0</v>
      </c>
      <c r="DB111" s="27">
        <f t="shared" si="262"/>
        <v>0</v>
      </c>
      <c r="DC111" s="60">
        <f t="shared" si="262"/>
        <v>0</v>
      </c>
      <c r="DD111" s="57"/>
    </row>
    <row r="112" spans="1:108" ht="31.2" x14ac:dyDescent="0.3">
      <c r="A112" s="93" t="s">
        <v>176</v>
      </c>
      <c r="B112" s="16" t="s">
        <v>1</v>
      </c>
      <c r="C112" s="17" t="s">
        <v>499</v>
      </c>
      <c r="D112" s="18">
        <f t="shared" ref="D112:BE112" si="264">SUM(D113:D116)</f>
        <v>44710477</v>
      </c>
      <c r="E112" s="18">
        <f t="shared" si="264"/>
        <v>44710477</v>
      </c>
      <c r="F112" s="18">
        <f t="shared" si="264"/>
        <v>0</v>
      </c>
      <c r="G112" s="18">
        <f t="shared" si="264"/>
        <v>0</v>
      </c>
      <c r="H112" s="18">
        <f t="shared" si="264"/>
        <v>0</v>
      </c>
      <c r="I112" s="18">
        <f t="shared" si="264"/>
        <v>0</v>
      </c>
      <c r="J112" s="18">
        <f t="shared" si="264"/>
        <v>0</v>
      </c>
      <c r="K112" s="18">
        <f t="shared" si="264"/>
        <v>0</v>
      </c>
      <c r="L112" s="18">
        <f t="shared" si="264"/>
        <v>0</v>
      </c>
      <c r="M112" s="18">
        <f t="shared" si="264"/>
        <v>0</v>
      </c>
      <c r="N112" s="18">
        <f t="shared" si="264"/>
        <v>0</v>
      </c>
      <c r="O112" s="18">
        <f t="shared" si="264"/>
        <v>0</v>
      </c>
      <c r="P112" s="18">
        <f t="shared" si="264"/>
        <v>0</v>
      </c>
      <c r="Q112" s="18">
        <f t="shared" si="264"/>
        <v>0</v>
      </c>
      <c r="R112" s="18">
        <f t="shared" si="264"/>
        <v>0</v>
      </c>
      <c r="S112" s="18">
        <f t="shared" si="264"/>
        <v>0</v>
      </c>
      <c r="T112" s="18">
        <f t="shared" si="264"/>
        <v>0</v>
      </c>
      <c r="U112" s="18">
        <f t="shared" si="264"/>
        <v>0</v>
      </c>
      <c r="V112" s="18">
        <f t="shared" si="264"/>
        <v>0</v>
      </c>
      <c r="W112" s="18">
        <f t="shared" si="264"/>
        <v>0</v>
      </c>
      <c r="X112" s="18">
        <f t="shared" si="264"/>
        <v>0</v>
      </c>
      <c r="Y112" s="18">
        <f t="shared" si="264"/>
        <v>0</v>
      </c>
      <c r="Z112" s="18">
        <f t="shared" si="264"/>
        <v>0</v>
      </c>
      <c r="AA112" s="18">
        <f t="shared" si="264"/>
        <v>0</v>
      </c>
      <c r="AB112" s="18">
        <f t="shared" si="264"/>
        <v>0</v>
      </c>
      <c r="AC112" s="18">
        <f t="shared" si="264"/>
        <v>0</v>
      </c>
      <c r="AD112" s="18">
        <f t="shared" si="264"/>
        <v>0</v>
      </c>
      <c r="AE112" s="18">
        <f t="shared" si="264"/>
        <v>0</v>
      </c>
      <c r="AF112" s="18">
        <f t="shared" si="264"/>
        <v>0</v>
      </c>
      <c r="AG112" s="18">
        <f t="shared" si="264"/>
        <v>0</v>
      </c>
      <c r="AH112" s="18">
        <f t="shared" si="264"/>
        <v>0</v>
      </c>
      <c r="AI112" s="18">
        <f t="shared" si="264"/>
        <v>0</v>
      </c>
      <c r="AJ112" s="18">
        <f t="shared" si="264"/>
        <v>0</v>
      </c>
      <c r="AK112" s="18">
        <f t="shared" si="264"/>
        <v>0</v>
      </c>
      <c r="AL112" s="18">
        <f t="shared" si="264"/>
        <v>0</v>
      </c>
      <c r="AM112" s="18">
        <f t="shared" si="264"/>
        <v>0</v>
      </c>
      <c r="AN112" s="18">
        <f t="shared" si="264"/>
        <v>0</v>
      </c>
      <c r="AO112" s="18">
        <f t="shared" si="264"/>
        <v>0</v>
      </c>
      <c r="AP112" s="18">
        <f t="shared" si="264"/>
        <v>0</v>
      </c>
      <c r="AQ112" s="18">
        <f t="shared" si="264"/>
        <v>0</v>
      </c>
      <c r="AR112" s="18">
        <f t="shared" si="264"/>
        <v>0</v>
      </c>
      <c r="AS112" s="18">
        <f t="shared" si="264"/>
        <v>0</v>
      </c>
      <c r="AT112" s="18">
        <f t="shared" si="264"/>
        <v>0</v>
      </c>
      <c r="AU112" s="18">
        <f t="shared" si="264"/>
        <v>0</v>
      </c>
      <c r="AV112" s="18">
        <f t="shared" si="264"/>
        <v>0</v>
      </c>
      <c r="AW112" s="18">
        <f t="shared" si="264"/>
        <v>0</v>
      </c>
      <c r="AX112" s="18">
        <f t="shared" si="264"/>
        <v>0</v>
      </c>
      <c r="AY112" s="18">
        <f t="shared" si="264"/>
        <v>0</v>
      </c>
      <c r="AZ112" s="18">
        <f t="shared" si="264"/>
        <v>0</v>
      </c>
      <c r="BA112" s="18">
        <f t="shared" si="264"/>
        <v>0</v>
      </c>
      <c r="BB112" s="18">
        <f t="shared" si="264"/>
        <v>0</v>
      </c>
      <c r="BC112" s="18">
        <f t="shared" si="264"/>
        <v>44710477</v>
      </c>
      <c r="BD112" s="18">
        <f t="shared" si="264"/>
        <v>42262289</v>
      </c>
      <c r="BE112" s="18">
        <f t="shared" si="264"/>
        <v>0</v>
      </c>
      <c r="BF112" s="18">
        <f>SUM(BF113:BF116)</f>
        <v>42262289</v>
      </c>
      <c r="BG112" s="18">
        <f t="shared" ref="BG112:CX112" si="265">SUM(BG113:BG116)</f>
        <v>0</v>
      </c>
      <c r="BH112" s="18">
        <f t="shared" si="265"/>
        <v>0</v>
      </c>
      <c r="BI112" s="18">
        <f t="shared" si="265"/>
        <v>0</v>
      </c>
      <c r="BJ112" s="18">
        <f t="shared" si="265"/>
        <v>0</v>
      </c>
      <c r="BK112" s="18">
        <f t="shared" si="265"/>
        <v>0</v>
      </c>
      <c r="BL112" s="18">
        <f t="shared" si="265"/>
        <v>0</v>
      </c>
      <c r="BM112" s="18">
        <f t="shared" si="265"/>
        <v>0</v>
      </c>
      <c r="BN112" s="18">
        <f t="shared" si="265"/>
        <v>2448188</v>
      </c>
      <c r="BO112" s="18">
        <f t="shared" si="265"/>
        <v>0</v>
      </c>
      <c r="BP112" s="18">
        <f t="shared" si="265"/>
        <v>2448188</v>
      </c>
      <c r="BQ112" s="18">
        <f t="shared" si="265"/>
        <v>0</v>
      </c>
      <c r="BR112" s="18">
        <f t="shared" si="265"/>
        <v>0</v>
      </c>
      <c r="BS112" s="18">
        <f t="shared" si="265"/>
        <v>0</v>
      </c>
      <c r="BT112" s="18">
        <f t="shared" si="265"/>
        <v>0</v>
      </c>
      <c r="BU112" s="18">
        <f t="shared" si="265"/>
        <v>0</v>
      </c>
      <c r="BV112" s="18">
        <f t="shared" si="265"/>
        <v>0</v>
      </c>
      <c r="BW112" s="18">
        <f t="shared" si="265"/>
        <v>0</v>
      </c>
      <c r="BX112" s="18">
        <f t="shared" si="265"/>
        <v>0</v>
      </c>
      <c r="BY112" s="18">
        <f t="shared" si="265"/>
        <v>0</v>
      </c>
      <c r="BZ112" s="18">
        <f t="shared" si="265"/>
        <v>0</v>
      </c>
      <c r="CA112" s="18">
        <f t="shared" si="265"/>
        <v>0</v>
      </c>
      <c r="CB112" s="18">
        <f t="shared" si="265"/>
        <v>0</v>
      </c>
      <c r="CC112" s="18">
        <f t="shared" si="265"/>
        <v>0</v>
      </c>
      <c r="CD112" s="18">
        <f t="shared" si="265"/>
        <v>0</v>
      </c>
      <c r="CE112" s="18">
        <f t="shared" si="265"/>
        <v>0</v>
      </c>
      <c r="CF112" s="18">
        <f t="shared" si="265"/>
        <v>0</v>
      </c>
      <c r="CG112" s="18">
        <f t="shared" si="265"/>
        <v>0</v>
      </c>
      <c r="CH112" s="18">
        <f t="shared" si="265"/>
        <v>0</v>
      </c>
      <c r="CI112" s="18">
        <f t="shared" si="265"/>
        <v>0</v>
      </c>
      <c r="CJ112" s="18">
        <f t="shared" si="265"/>
        <v>0</v>
      </c>
      <c r="CK112" s="18">
        <f t="shared" si="265"/>
        <v>0</v>
      </c>
      <c r="CL112" s="18">
        <f t="shared" si="265"/>
        <v>0</v>
      </c>
      <c r="CM112" s="18">
        <f t="shared" si="265"/>
        <v>0</v>
      </c>
      <c r="CN112" s="18">
        <f t="shared" si="265"/>
        <v>0</v>
      </c>
      <c r="CO112" s="18">
        <f t="shared" si="265"/>
        <v>0</v>
      </c>
      <c r="CP112" s="18">
        <f t="shared" si="265"/>
        <v>0</v>
      </c>
      <c r="CQ112" s="18">
        <f t="shared" si="265"/>
        <v>0</v>
      </c>
      <c r="CR112" s="18"/>
      <c r="CS112" s="18"/>
      <c r="CT112" s="18"/>
      <c r="CU112" s="18">
        <f t="shared" si="265"/>
        <v>0</v>
      </c>
      <c r="CV112" s="73">
        <f t="shared" si="265"/>
        <v>0</v>
      </c>
      <c r="CW112" s="73">
        <f t="shared" si="265"/>
        <v>0</v>
      </c>
      <c r="CX112" s="73">
        <f t="shared" si="265"/>
        <v>0</v>
      </c>
      <c r="CY112" s="73">
        <f t="shared" ref="CY112" si="266">SUM(CY113:CY116)</f>
        <v>0</v>
      </c>
      <c r="CZ112" s="18">
        <f t="shared" ref="CZ112:DC112" si="267">SUM(CZ113:CZ114)</f>
        <v>0</v>
      </c>
      <c r="DA112" s="18">
        <f t="shared" si="267"/>
        <v>0</v>
      </c>
      <c r="DB112" s="18">
        <f t="shared" si="267"/>
        <v>0</v>
      </c>
      <c r="DC112" s="46">
        <f t="shared" si="267"/>
        <v>0</v>
      </c>
      <c r="DD112" s="57"/>
    </row>
    <row r="113" spans="1:108" s="58" customFormat="1" ht="15.6" x14ac:dyDescent="0.3">
      <c r="A113" s="94" t="s">
        <v>1</v>
      </c>
      <c r="B113" s="21" t="s">
        <v>52</v>
      </c>
      <c r="C113" s="22" t="s">
        <v>177</v>
      </c>
      <c r="D113" s="19">
        <f>SUM(E113+CC113+CZ113)</f>
        <v>9913187</v>
      </c>
      <c r="E113" s="19">
        <f>SUM(F113+BC113)</f>
        <v>9913187</v>
      </c>
      <c r="F113" s="19">
        <f t="shared" ref="F113:F114" si="268">SUM(G113+H113+I113+P113+S113+T113+U113+AD113)</f>
        <v>0</v>
      </c>
      <c r="G113" s="19">
        <v>0</v>
      </c>
      <c r="H113" s="19">
        <v>0</v>
      </c>
      <c r="I113" s="19">
        <f t="shared" si="127"/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f t="shared" si="128"/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f>SUM(V113:AC113)</f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f>SUM(AE113:AY113)</f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/>
      <c r="AT113" s="19"/>
      <c r="AU113" s="19">
        <v>0</v>
      </c>
      <c r="AV113" s="19">
        <v>0</v>
      </c>
      <c r="AW113" s="19">
        <v>0</v>
      </c>
      <c r="AX113" s="19"/>
      <c r="AY113" s="19">
        <v>0</v>
      </c>
      <c r="AZ113" s="19"/>
      <c r="BA113" s="19"/>
      <c r="BB113" s="19"/>
      <c r="BC113" s="19">
        <f>SUM(BD113+BH113+BL113+BN113+BQ113)</f>
        <v>9913187</v>
      </c>
      <c r="BD113" s="19">
        <f>SUM(BE113:BG113)</f>
        <v>9913187</v>
      </c>
      <c r="BE113" s="19">
        <v>0</v>
      </c>
      <c r="BF113" s="23">
        <v>9913187</v>
      </c>
      <c r="BG113" s="19">
        <v>0</v>
      </c>
      <c r="BH113" s="19">
        <f t="shared" ref="BH113:BH114" si="269">SUM(BI113:BK113)</f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  <c r="BN113" s="19">
        <f>SUM(BO113)+BP113</f>
        <v>0</v>
      </c>
      <c r="BO113" s="19">
        <v>0</v>
      </c>
      <c r="BP113" s="19"/>
      <c r="BQ113" s="19">
        <f>SUM(BR113:CB113)</f>
        <v>0</v>
      </c>
      <c r="BR113" s="19">
        <v>0</v>
      </c>
      <c r="BS113" s="19">
        <v>0</v>
      </c>
      <c r="BT113" s="19">
        <v>0</v>
      </c>
      <c r="BU113" s="19">
        <v>0</v>
      </c>
      <c r="BV113" s="19">
        <v>0</v>
      </c>
      <c r="BW113" s="19">
        <v>0</v>
      </c>
      <c r="BX113" s="19">
        <v>0</v>
      </c>
      <c r="BY113" s="19">
        <v>0</v>
      </c>
      <c r="BZ113" s="19">
        <v>0</v>
      </c>
      <c r="CA113" s="19">
        <v>0</v>
      </c>
      <c r="CB113" s="19">
        <v>0</v>
      </c>
      <c r="CC113" s="19">
        <f>SUM(CD113+CU113)</f>
        <v>0</v>
      </c>
      <c r="CD113" s="19">
        <f>SUM(CE113+CH113+CN113)</f>
        <v>0</v>
      </c>
      <c r="CE113" s="19">
        <f t="shared" si="130"/>
        <v>0</v>
      </c>
      <c r="CF113" s="19">
        <v>0</v>
      </c>
      <c r="CG113" s="19">
        <v>0</v>
      </c>
      <c r="CH113" s="19">
        <f>SUM(CI113:CM113)</f>
        <v>0</v>
      </c>
      <c r="CI113" s="19">
        <v>0</v>
      </c>
      <c r="CJ113" s="19">
        <v>0</v>
      </c>
      <c r="CK113" s="19">
        <v>0</v>
      </c>
      <c r="CL113" s="19">
        <v>0</v>
      </c>
      <c r="CM113" s="19">
        <v>0</v>
      </c>
      <c r="CN113" s="19">
        <f>SUM(CO113:CQ113)</f>
        <v>0</v>
      </c>
      <c r="CO113" s="19">
        <v>0</v>
      </c>
      <c r="CP113" s="19">
        <v>0</v>
      </c>
      <c r="CQ113" s="19"/>
      <c r="CR113" s="19"/>
      <c r="CS113" s="19"/>
      <c r="CT113" s="19"/>
      <c r="CU113" s="19">
        <v>0</v>
      </c>
      <c r="CV113" s="74"/>
      <c r="CW113" s="74"/>
      <c r="CX113" s="74"/>
      <c r="CY113" s="74"/>
      <c r="CZ113" s="19">
        <f t="shared" si="131"/>
        <v>0</v>
      </c>
      <c r="DA113" s="19">
        <f t="shared" si="132"/>
        <v>0</v>
      </c>
      <c r="DB113" s="19">
        <v>0</v>
      </c>
      <c r="DC113" s="20">
        <v>0</v>
      </c>
      <c r="DD113" s="52"/>
    </row>
    <row r="114" spans="1:108" ht="31.2" x14ac:dyDescent="0.3">
      <c r="A114" s="94" t="s">
        <v>1</v>
      </c>
      <c r="B114" s="21" t="s">
        <v>52</v>
      </c>
      <c r="C114" s="22" t="s">
        <v>424</v>
      </c>
      <c r="D114" s="19">
        <f>SUM(E114+CC114+CZ114)</f>
        <v>2448188</v>
      </c>
      <c r="E114" s="19">
        <f>SUM(F114+BC114)</f>
        <v>2448188</v>
      </c>
      <c r="F114" s="19">
        <f t="shared" si="268"/>
        <v>0</v>
      </c>
      <c r="G114" s="19">
        <v>0</v>
      </c>
      <c r="H114" s="19">
        <v>0</v>
      </c>
      <c r="I114" s="19">
        <f t="shared" ref="I114" si="270">SUM(J114:O114)</f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f t="shared" ref="P114" si="271">SUM(Q114:R114)</f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f>SUM(V114:AC114)</f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f>SUM(AE114:AY114)</f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/>
      <c r="AT114" s="19"/>
      <c r="AU114" s="19">
        <v>0</v>
      </c>
      <c r="AV114" s="19">
        <v>0</v>
      </c>
      <c r="AW114" s="19">
        <v>0</v>
      </c>
      <c r="AX114" s="19"/>
      <c r="AY114" s="19">
        <v>0</v>
      </c>
      <c r="AZ114" s="19"/>
      <c r="BA114" s="19"/>
      <c r="BB114" s="19"/>
      <c r="BC114" s="19">
        <f>SUM(BD114+BH114+BL114+BN114+BQ114)</f>
        <v>2448188</v>
      </c>
      <c r="BD114" s="19">
        <f>SUM(BE114:BG114)</f>
        <v>0</v>
      </c>
      <c r="BE114" s="19">
        <v>0</v>
      </c>
      <c r="BF114" s="19"/>
      <c r="BG114" s="19">
        <v>0</v>
      </c>
      <c r="BH114" s="19">
        <f t="shared" si="269"/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f>SUM(BO114:BP114)</f>
        <v>2448188</v>
      </c>
      <c r="BO114" s="19">
        <v>0</v>
      </c>
      <c r="BP114" s="23">
        <v>2448188</v>
      </c>
      <c r="BQ114" s="19">
        <f>SUM(BR114:CB114)</f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  <c r="BW114" s="19">
        <v>0</v>
      </c>
      <c r="BX114" s="19">
        <v>0</v>
      </c>
      <c r="BY114" s="19">
        <v>0</v>
      </c>
      <c r="BZ114" s="19">
        <v>0</v>
      </c>
      <c r="CA114" s="19">
        <v>0</v>
      </c>
      <c r="CB114" s="19">
        <v>0</v>
      </c>
      <c r="CC114" s="19">
        <f>SUM(CD114+CU114)</f>
        <v>0</v>
      </c>
      <c r="CD114" s="19">
        <f>SUM(CE114+CH114+CN114)</f>
        <v>0</v>
      </c>
      <c r="CE114" s="19">
        <f t="shared" ref="CE114" si="272">SUM(CF114:CG114)</f>
        <v>0</v>
      </c>
      <c r="CF114" s="19">
        <v>0</v>
      </c>
      <c r="CG114" s="19">
        <v>0</v>
      </c>
      <c r="CH114" s="19">
        <f>SUM(CI114:CM114)</f>
        <v>0</v>
      </c>
      <c r="CI114" s="19">
        <v>0</v>
      </c>
      <c r="CJ114" s="19">
        <v>0</v>
      </c>
      <c r="CK114" s="19">
        <v>0</v>
      </c>
      <c r="CL114" s="19">
        <v>0</v>
      </c>
      <c r="CM114" s="19">
        <v>0</v>
      </c>
      <c r="CN114" s="19">
        <f>SUM(CO114:CQ114)</f>
        <v>0</v>
      </c>
      <c r="CO114" s="19">
        <v>0</v>
      </c>
      <c r="CP114" s="19">
        <v>0</v>
      </c>
      <c r="CQ114" s="19"/>
      <c r="CR114" s="19"/>
      <c r="CS114" s="19"/>
      <c r="CT114" s="19"/>
      <c r="CU114" s="19">
        <v>0</v>
      </c>
      <c r="CV114" s="74"/>
      <c r="CW114" s="74"/>
      <c r="CX114" s="74"/>
      <c r="CY114" s="74"/>
      <c r="CZ114" s="19">
        <f t="shared" ref="CZ114" si="273">SUM(DA114)</f>
        <v>0</v>
      </c>
      <c r="DA114" s="19">
        <f t="shared" ref="DA114" si="274">SUM(DB114:DC114)</f>
        <v>0</v>
      </c>
      <c r="DB114" s="19">
        <v>0</v>
      </c>
      <c r="DC114" s="20">
        <v>0</v>
      </c>
      <c r="DD114" s="52"/>
    </row>
    <row r="115" spans="1:108" ht="46.8" x14ac:dyDescent="0.3">
      <c r="A115" s="94"/>
      <c r="B115" s="21" t="s">
        <v>266</v>
      </c>
      <c r="C115" s="22" t="s">
        <v>608</v>
      </c>
      <c r="D115" s="19">
        <f t="shared" ref="D115:D116" si="275">SUM(E115+CC115+CZ115)</f>
        <v>14311588</v>
      </c>
      <c r="E115" s="19">
        <f t="shared" ref="E115:E116" si="276">SUM(F115+BC115)</f>
        <v>14311588</v>
      </c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>
        <f t="shared" ref="BC115:BC116" si="277">SUM(BD115+BH115+BL115+BN115+BQ115)</f>
        <v>14311588</v>
      </c>
      <c r="BD115" s="19">
        <f>BE115+BF115</f>
        <v>14311588</v>
      </c>
      <c r="BE115" s="19"/>
      <c r="BF115" s="19">
        <v>14311588</v>
      </c>
      <c r="BG115" s="19"/>
      <c r="BH115" s="19"/>
      <c r="BI115" s="19"/>
      <c r="BJ115" s="19"/>
      <c r="BK115" s="19"/>
      <c r="BL115" s="19"/>
      <c r="BM115" s="19"/>
      <c r="BN115" s="19"/>
      <c r="BO115" s="19"/>
      <c r="BP115" s="23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74"/>
      <c r="CW115" s="74"/>
      <c r="CX115" s="74"/>
      <c r="CY115" s="74"/>
      <c r="CZ115" s="19"/>
      <c r="DA115" s="19"/>
      <c r="DB115" s="19"/>
      <c r="DC115" s="20"/>
      <c r="DD115" s="52"/>
    </row>
    <row r="116" spans="1:108" ht="46.8" x14ac:dyDescent="0.3">
      <c r="A116" s="94"/>
      <c r="B116" s="21" t="s">
        <v>266</v>
      </c>
      <c r="C116" s="22" t="s">
        <v>609</v>
      </c>
      <c r="D116" s="19">
        <f t="shared" si="275"/>
        <v>18037514</v>
      </c>
      <c r="E116" s="19">
        <f t="shared" si="276"/>
        <v>18037514</v>
      </c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>
        <f t="shared" si="277"/>
        <v>18037514</v>
      </c>
      <c r="BD116" s="19">
        <f>BE116+BF116</f>
        <v>18037514</v>
      </c>
      <c r="BE116" s="19"/>
      <c r="BF116" s="19">
        <v>18037514</v>
      </c>
      <c r="BG116" s="19"/>
      <c r="BH116" s="19"/>
      <c r="BI116" s="19"/>
      <c r="BJ116" s="19"/>
      <c r="BK116" s="19"/>
      <c r="BL116" s="19"/>
      <c r="BM116" s="19"/>
      <c r="BN116" s="19"/>
      <c r="BO116" s="19"/>
      <c r="BP116" s="23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74"/>
      <c r="CW116" s="74"/>
      <c r="CX116" s="74"/>
      <c r="CY116" s="74"/>
      <c r="CZ116" s="19"/>
      <c r="DA116" s="19"/>
      <c r="DB116" s="19"/>
      <c r="DC116" s="20"/>
      <c r="DD116" s="52"/>
    </row>
    <row r="117" spans="1:108" s="58" customFormat="1" ht="15.6" x14ac:dyDescent="0.3">
      <c r="A117" s="93" t="s">
        <v>178</v>
      </c>
      <c r="B117" s="16" t="s">
        <v>1</v>
      </c>
      <c r="C117" s="17" t="s">
        <v>179</v>
      </c>
      <c r="D117" s="18">
        <f t="shared" ref="D117:AW117" si="278">SUM(D118:D118)</f>
        <v>18724102</v>
      </c>
      <c r="E117" s="18">
        <f t="shared" si="278"/>
        <v>18724102</v>
      </c>
      <c r="F117" s="18">
        <f t="shared" si="278"/>
        <v>0</v>
      </c>
      <c r="G117" s="18">
        <f t="shared" si="278"/>
        <v>0</v>
      </c>
      <c r="H117" s="18">
        <f t="shared" si="278"/>
        <v>0</v>
      </c>
      <c r="I117" s="18">
        <f t="shared" si="278"/>
        <v>0</v>
      </c>
      <c r="J117" s="18">
        <f t="shared" si="278"/>
        <v>0</v>
      </c>
      <c r="K117" s="18">
        <f t="shared" si="278"/>
        <v>0</v>
      </c>
      <c r="L117" s="18">
        <f t="shared" si="278"/>
        <v>0</v>
      </c>
      <c r="M117" s="18">
        <f t="shared" si="278"/>
        <v>0</v>
      </c>
      <c r="N117" s="18">
        <f t="shared" si="278"/>
        <v>0</v>
      </c>
      <c r="O117" s="18">
        <f t="shared" si="278"/>
        <v>0</v>
      </c>
      <c r="P117" s="18">
        <f t="shared" si="278"/>
        <v>0</v>
      </c>
      <c r="Q117" s="18">
        <f t="shared" si="278"/>
        <v>0</v>
      </c>
      <c r="R117" s="18">
        <f t="shared" si="278"/>
        <v>0</v>
      </c>
      <c r="S117" s="18">
        <f t="shared" si="278"/>
        <v>0</v>
      </c>
      <c r="T117" s="18">
        <f t="shared" si="278"/>
        <v>0</v>
      </c>
      <c r="U117" s="18">
        <f t="shared" si="278"/>
        <v>0</v>
      </c>
      <c r="V117" s="18">
        <f t="shared" si="278"/>
        <v>0</v>
      </c>
      <c r="W117" s="18">
        <f t="shared" si="278"/>
        <v>0</v>
      </c>
      <c r="X117" s="18">
        <f t="shared" si="278"/>
        <v>0</v>
      </c>
      <c r="Y117" s="18">
        <f t="shared" si="278"/>
        <v>0</v>
      </c>
      <c r="Z117" s="18">
        <f t="shared" si="278"/>
        <v>0</v>
      </c>
      <c r="AA117" s="18">
        <f t="shared" si="278"/>
        <v>0</v>
      </c>
      <c r="AB117" s="18">
        <f t="shared" si="278"/>
        <v>0</v>
      </c>
      <c r="AC117" s="18">
        <f t="shared" si="278"/>
        <v>0</v>
      </c>
      <c r="AD117" s="18">
        <f t="shared" si="278"/>
        <v>0</v>
      </c>
      <c r="AE117" s="18">
        <f t="shared" si="278"/>
        <v>0</v>
      </c>
      <c r="AF117" s="18">
        <f t="shared" si="278"/>
        <v>0</v>
      </c>
      <c r="AG117" s="18">
        <f t="shared" si="278"/>
        <v>0</v>
      </c>
      <c r="AH117" s="18">
        <f t="shared" si="278"/>
        <v>0</v>
      </c>
      <c r="AI117" s="18">
        <f t="shared" si="278"/>
        <v>0</v>
      </c>
      <c r="AJ117" s="18">
        <f t="shared" si="278"/>
        <v>0</v>
      </c>
      <c r="AK117" s="18">
        <f t="shared" si="278"/>
        <v>0</v>
      </c>
      <c r="AL117" s="18">
        <f t="shared" si="278"/>
        <v>0</v>
      </c>
      <c r="AM117" s="18">
        <f t="shared" si="278"/>
        <v>0</v>
      </c>
      <c r="AN117" s="18">
        <f t="shared" si="278"/>
        <v>0</v>
      </c>
      <c r="AO117" s="18">
        <f t="shared" si="278"/>
        <v>0</v>
      </c>
      <c r="AP117" s="18">
        <f t="shared" si="278"/>
        <v>0</v>
      </c>
      <c r="AQ117" s="18">
        <f t="shared" si="278"/>
        <v>0</v>
      </c>
      <c r="AR117" s="18">
        <f t="shared" si="278"/>
        <v>0</v>
      </c>
      <c r="AS117" s="18">
        <f t="shared" si="278"/>
        <v>0</v>
      </c>
      <c r="AT117" s="18">
        <f t="shared" si="278"/>
        <v>0</v>
      </c>
      <c r="AU117" s="18">
        <f t="shared" si="278"/>
        <v>0</v>
      </c>
      <c r="AV117" s="18">
        <f t="shared" si="278"/>
        <v>0</v>
      </c>
      <c r="AW117" s="18">
        <f t="shared" si="278"/>
        <v>0</v>
      </c>
      <c r="AX117" s="18"/>
      <c r="AY117" s="18">
        <f t="shared" ref="AY117:DC117" si="279">SUM(AY118:AY118)</f>
        <v>0</v>
      </c>
      <c r="AZ117" s="18"/>
      <c r="BA117" s="18"/>
      <c r="BB117" s="18"/>
      <c r="BC117" s="18">
        <f t="shared" si="279"/>
        <v>18724102</v>
      </c>
      <c r="BD117" s="18">
        <f t="shared" si="279"/>
        <v>18724102</v>
      </c>
      <c r="BE117" s="18">
        <f t="shared" si="279"/>
        <v>0</v>
      </c>
      <c r="BF117" s="18">
        <f t="shared" si="279"/>
        <v>0</v>
      </c>
      <c r="BG117" s="18">
        <f t="shared" si="279"/>
        <v>18724102</v>
      </c>
      <c r="BH117" s="18">
        <f t="shared" si="279"/>
        <v>0</v>
      </c>
      <c r="BI117" s="18">
        <f t="shared" si="279"/>
        <v>0</v>
      </c>
      <c r="BJ117" s="18">
        <f t="shared" si="279"/>
        <v>0</v>
      </c>
      <c r="BK117" s="18">
        <f t="shared" si="279"/>
        <v>0</v>
      </c>
      <c r="BL117" s="18">
        <f t="shared" si="279"/>
        <v>0</v>
      </c>
      <c r="BM117" s="18">
        <f t="shared" si="279"/>
        <v>0</v>
      </c>
      <c r="BN117" s="18">
        <f t="shared" si="279"/>
        <v>0</v>
      </c>
      <c r="BO117" s="18">
        <f t="shared" si="279"/>
        <v>0</v>
      </c>
      <c r="BP117" s="18">
        <f t="shared" si="279"/>
        <v>0</v>
      </c>
      <c r="BQ117" s="18">
        <f t="shared" si="279"/>
        <v>0</v>
      </c>
      <c r="BR117" s="18">
        <f t="shared" si="279"/>
        <v>0</v>
      </c>
      <c r="BS117" s="18">
        <f t="shared" si="279"/>
        <v>0</v>
      </c>
      <c r="BT117" s="18">
        <f t="shared" si="279"/>
        <v>0</v>
      </c>
      <c r="BU117" s="18">
        <f t="shared" si="279"/>
        <v>0</v>
      </c>
      <c r="BV117" s="18">
        <f t="shared" si="279"/>
        <v>0</v>
      </c>
      <c r="BW117" s="18">
        <f t="shared" si="279"/>
        <v>0</v>
      </c>
      <c r="BX117" s="18">
        <f t="shared" si="279"/>
        <v>0</v>
      </c>
      <c r="BY117" s="18">
        <f t="shared" si="279"/>
        <v>0</v>
      </c>
      <c r="BZ117" s="18">
        <f t="shared" si="279"/>
        <v>0</v>
      </c>
      <c r="CA117" s="18">
        <f t="shared" si="279"/>
        <v>0</v>
      </c>
      <c r="CB117" s="18">
        <f t="shared" si="279"/>
        <v>0</v>
      </c>
      <c r="CC117" s="18">
        <f t="shared" si="279"/>
        <v>0</v>
      </c>
      <c r="CD117" s="18">
        <f t="shared" si="279"/>
        <v>0</v>
      </c>
      <c r="CE117" s="18">
        <f t="shared" si="279"/>
        <v>0</v>
      </c>
      <c r="CF117" s="18">
        <f t="shared" si="279"/>
        <v>0</v>
      </c>
      <c r="CG117" s="18">
        <f t="shared" si="279"/>
        <v>0</v>
      </c>
      <c r="CH117" s="18">
        <f t="shared" si="279"/>
        <v>0</v>
      </c>
      <c r="CI117" s="18">
        <f t="shared" si="279"/>
        <v>0</v>
      </c>
      <c r="CJ117" s="18">
        <f t="shared" si="279"/>
        <v>0</v>
      </c>
      <c r="CK117" s="18">
        <f t="shared" si="279"/>
        <v>0</v>
      </c>
      <c r="CL117" s="18">
        <f t="shared" si="279"/>
        <v>0</v>
      </c>
      <c r="CM117" s="18">
        <f t="shared" si="279"/>
        <v>0</v>
      </c>
      <c r="CN117" s="18">
        <f t="shared" si="279"/>
        <v>0</v>
      </c>
      <c r="CO117" s="18">
        <f t="shared" si="279"/>
        <v>0</v>
      </c>
      <c r="CP117" s="18">
        <f t="shared" si="279"/>
        <v>0</v>
      </c>
      <c r="CQ117" s="18">
        <f t="shared" si="279"/>
        <v>0</v>
      </c>
      <c r="CR117" s="18"/>
      <c r="CS117" s="18"/>
      <c r="CT117" s="18"/>
      <c r="CU117" s="18">
        <f t="shared" si="279"/>
        <v>0</v>
      </c>
      <c r="CV117" s="73"/>
      <c r="CW117" s="73"/>
      <c r="CX117" s="73"/>
      <c r="CY117" s="73"/>
      <c r="CZ117" s="18">
        <f t="shared" si="279"/>
        <v>0</v>
      </c>
      <c r="DA117" s="18">
        <f t="shared" si="279"/>
        <v>0</v>
      </c>
      <c r="DB117" s="18">
        <f t="shared" si="279"/>
        <v>0</v>
      </c>
      <c r="DC117" s="46">
        <f t="shared" si="279"/>
        <v>0</v>
      </c>
      <c r="DD117" s="57"/>
    </row>
    <row r="118" spans="1:108" ht="31.2" x14ac:dyDescent="0.3">
      <c r="A118" s="94"/>
      <c r="B118" s="21" t="s">
        <v>76</v>
      </c>
      <c r="C118" s="32" t="s">
        <v>180</v>
      </c>
      <c r="D118" s="19">
        <f>SUM(E118+CC118+CZ118)</f>
        <v>18724102</v>
      </c>
      <c r="E118" s="19">
        <f>SUM(F118+BC118)</f>
        <v>18724102</v>
      </c>
      <c r="F118" s="19">
        <f>SUM(G118+H118+I118+P118+S118+T118+U118+AD118)</f>
        <v>0</v>
      </c>
      <c r="G118" s="19">
        <v>0</v>
      </c>
      <c r="H118" s="19">
        <v>0</v>
      </c>
      <c r="I118" s="19">
        <f t="shared" ref="I118" si="280">SUM(J118:O118)</f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f t="shared" ref="P118" si="281">SUM(Q118:R118)</f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f>SUM(V118:AC118)</f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f>SUM(AE118:AY118)</f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/>
      <c r="AT118" s="19"/>
      <c r="AU118" s="19">
        <v>0</v>
      </c>
      <c r="AV118" s="19">
        <v>0</v>
      </c>
      <c r="AW118" s="19">
        <v>0</v>
      </c>
      <c r="AX118" s="19"/>
      <c r="AY118" s="19">
        <v>0</v>
      </c>
      <c r="AZ118" s="19"/>
      <c r="BA118" s="19"/>
      <c r="BB118" s="19"/>
      <c r="BC118" s="19">
        <f>SUM(BD118+BH118+BL118+BN118+BQ118)</f>
        <v>18724102</v>
      </c>
      <c r="BD118" s="19">
        <f>SUM(BE118:BG118)</f>
        <v>18724102</v>
      </c>
      <c r="BE118" s="19">
        <v>0</v>
      </c>
      <c r="BF118" s="19">
        <v>0</v>
      </c>
      <c r="BG118" s="23">
        <v>18724102</v>
      </c>
      <c r="BH118" s="19">
        <f>SUM(BI118:BK118)</f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f t="shared" ref="BN118" si="282">SUM(BO118)</f>
        <v>0</v>
      </c>
      <c r="BO118" s="19">
        <v>0</v>
      </c>
      <c r="BP118" s="19">
        <v>0</v>
      </c>
      <c r="BQ118" s="19">
        <f>SUM(BR118:CB118)</f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  <c r="BW118" s="19">
        <v>0</v>
      </c>
      <c r="BX118" s="19">
        <v>0</v>
      </c>
      <c r="BY118" s="19">
        <v>0</v>
      </c>
      <c r="BZ118" s="19">
        <v>0</v>
      </c>
      <c r="CA118" s="19">
        <v>0</v>
      </c>
      <c r="CB118" s="19">
        <v>0</v>
      </c>
      <c r="CC118" s="19">
        <f>SUM(CD118+CU118)</f>
        <v>0</v>
      </c>
      <c r="CD118" s="19">
        <f>SUM(CE118+CH118+CN118)</f>
        <v>0</v>
      </c>
      <c r="CE118" s="19">
        <f t="shared" ref="CE118" si="283">SUM(CF118:CG118)</f>
        <v>0</v>
      </c>
      <c r="CF118" s="19">
        <v>0</v>
      </c>
      <c r="CG118" s="19">
        <v>0</v>
      </c>
      <c r="CH118" s="19">
        <f>SUM(CI118:CM118)</f>
        <v>0</v>
      </c>
      <c r="CI118" s="19">
        <v>0</v>
      </c>
      <c r="CJ118" s="19">
        <v>0</v>
      </c>
      <c r="CK118" s="19">
        <v>0</v>
      </c>
      <c r="CL118" s="19">
        <v>0</v>
      </c>
      <c r="CM118" s="19">
        <v>0</v>
      </c>
      <c r="CN118" s="19">
        <f>SUM(CO118:CQ118)</f>
        <v>0</v>
      </c>
      <c r="CO118" s="19">
        <v>0</v>
      </c>
      <c r="CP118" s="19">
        <v>0</v>
      </c>
      <c r="CQ118" s="19"/>
      <c r="CR118" s="19"/>
      <c r="CS118" s="19"/>
      <c r="CT118" s="19"/>
      <c r="CU118" s="19">
        <v>0</v>
      </c>
      <c r="CV118" s="74"/>
      <c r="CW118" s="74"/>
      <c r="CX118" s="74"/>
      <c r="CY118" s="74"/>
      <c r="CZ118" s="19">
        <f t="shared" ref="CZ118" si="284">SUM(DA118)</f>
        <v>0</v>
      </c>
      <c r="DA118" s="19">
        <f t="shared" ref="DA118" si="285">SUM(DB118:DC118)</f>
        <v>0</v>
      </c>
      <c r="DB118" s="19">
        <v>0</v>
      </c>
      <c r="DC118" s="20">
        <v>0</v>
      </c>
      <c r="DD118" s="52"/>
    </row>
    <row r="119" spans="1:108" ht="15.6" x14ac:dyDescent="0.3">
      <c r="A119" s="93" t="s">
        <v>181</v>
      </c>
      <c r="B119" s="16" t="s">
        <v>1</v>
      </c>
      <c r="C119" s="17" t="s">
        <v>182</v>
      </c>
      <c r="D119" s="18">
        <f t="shared" ref="D119:AY119" si="286">SUM(D120:D122)</f>
        <v>4769105</v>
      </c>
      <c r="E119" s="18">
        <f t="shared" si="286"/>
        <v>4769105</v>
      </c>
      <c r="F119" s="18">
        <f t="shared" si="286"/>
        <v>4769105</v>
      </c>
      <c r="G119" s="18">
        <f t="shared" si="286"/>
        <v>0</v>
      </c>
      <c r="H119" s="18">
        <f t="shared" si="286"/>
        <v>0</v>
      </c>
      <c r="I119" s="18">
        <f t="shared" si="286"/>
        <v>0</v>
      </c>
      <c r="J119" s="18">
        <f t="shared" si="286"/>
        <v>0</v>
      </c>
      <c r="K119" s="18">
        <f t="shared" si="286"/>
        <v>0</v>
      </c>
      <c r="L119" s="18">
        <f t="shared" si="286"/>
        <v>0</v>
      </c>
      <c r="M119" s="18">
        <f t="shared" si="286"/>
        <v>0</v>
      </c>
      <c r="N119" s="18">
        <f t="shared" si="286"/>
        <v>0</v>
      </c>
      <c r="O119" s="18">
        <f t="shared" si="286"/>
        <v>0</v>
      </c>
      <c r="P119" s="18">
        <f t="shared" si="286"/>
        <v>0</v>
      </c>
      <c r="Q119" s="18">
        <f t="shared" si="286"/>
        <v>0</v>
      </c>
      <c r="R119" s="18">
        <f t="shared" si="286"/>
        <v>0</v>
      </c>
      <c r="S119" s="18">
        <f t="shared" si="286"/>
        <v>0</v>
      </c>
      <c r="T119" s="18">
        <f t="shared" si="286"/>
        <v>0</v>
      </c>
      <c r="U119" s="18">
        <f t="shared" si="286"/>
        <v>0</v>
      </c>
      <c r="V119" s="18">
        <f t="shared" si="286"/>
        <v>0</v>
      </c>
      <c r="W119" s="18">
        <f t="shared" si="286"/>
        <v>0</v>
      </c>
      <c r="X119" s="18">
        <f t="shared" si="286"/>
        <v>0</v>
      </c>
      <c r="Y119" s="18">
        <f t="shared" si="286"/>
        <v>0</v>
      </c>
      <c r="Z119" s="18">
        <f t="shared" si="286"/>
        <v>0</v>
      </c>
      <c r="AA119" s="18">
        <f t="shared" si="286"/>
        <v>0</v>
      </c>
      <c r="AB119" s="18">
        <f t="shared" si="286"/>
        <v>0</v>
      </c>
      <c r="AC119" s="18">
        <f t="shared" si="286"/>
        <v>0</v>
      </c>
      <c r="AD119" s="18">
        <f t="shared" si="286"/>
        <v>4769105</v>
      </c>
      <c r="AE119" s="18">
        <f t="shared" si="286"/>
        <v>0</v>
      </c>
      <c r="AF119" s="18">
        <f t="shared" si="286"/>
        <v>0</v>
      </c>
      <c r="AG119" s="18">
        <f t="shared" si="286"/>
        <v>0</v>
      </c>
      <c r="AH119" s="18">
        <f t="shared" si="286"/>
        <v>0</v>
      </c>
      <c r="AI119" s="18">
        <f t="shared" si="286"/>
        <v>0</v>
      </c>
      <c r="AJ119" s="18">
        <f t="shared" si="286"/>
        <v>0</v>
      </c>
      <c r="AK119" s="18">
        <f t="shared" si="286"/>
        <v>0</v>
      </c>
      <c r="AL119" s="18">
        <f t="shared" si="286"/>
        <v>0</v>
      </c>
      <c r="AM119" s="18">
        <f t="shared" si="286"/>
        <v>0</v>
      </c>
      <c r="AN119" s="18">
        <f t="shared" si="286"/>
        <v>0</v>
      </c>
      <c r="AO119" s="18">
        <f t="shared" si="286"/>
        <v>0</v>
      </c>
      <c r="AP119" s="18">
        <f t="shared" si="286"/>
        <v>0</v>
      </c>
      <c r="AQ119" s="18">
        <f t="shared" si="286"/>
        <v>0</v>
      </c>
      <c r="AR119" s="18">
        <f t="shared" si="286"/>
        <v>0</v>
      </c>
      <c r="AS119" s="18">
        <f t="shared" si="286"/>
        <v>0</v>
      </c>
      <c r="AT119" s="18">
        <f t="shared" si="286"/>
        <v>0</v>
      </c>
      <c r="AU119" s="18">
        <f t="shared" si="286"/>
        <v>0</v>
      </c>
      <c r="AV119" s="18">
        <f t="shared" si="286"/>
        <v>0</v>
      </c>
      <c r="AW119" s="18">
        <f t="shared" si="286"/>
        <v>0</v>
      </c>
      <c r="AX119" s="18">
        <f t="shared" si="286"/>
        <v>0</v>
      </c>
      <c r="AY119" s="18">
        <f t="shared" si="286"/>
        <v>4769105</v>
      </c>
      <c r="AZ119" s="18"/>
      <c r="BA119" s="18"/>
      <c r="BB119" s="18"/>
      <c r="BC119" s="18">
        <f t="shared" ref="BC119:CQ119" si="287">SUM(BC120:BC122)</f>
        <v>0</v>
      </c>
      <c r="BD119" s="18">
        <f t="shared" si="287"/>
        <v>0</v>
      </c>
      <c r="BE119" s="18">
        <f t="shared" si="287"/>
        <v>0</v>
      </c>
      <c r="BF119" s="18">
        <f t="shared" si="287"/>
        <v>0</v>
      </c>
      <c r="BG119" s="18">
        <f t="shared" si="287"/>
        <v>0</v>
      </c>
      <c r="BH119" s="18">
        <f t="shared" si="287"/>
        <v>0</v>
      </c>
      <c r="BI119" s="18">
        <f t="shared" si="287"/>
        <v>0</v>
      </c>
      <c r="BJ119" s="18">
        <f t="shared" si="287"/>
        <v>0</v>
      </c>
      <c r="BK119" s="18">
        <f t="shared" si="287"/>
        <v>0</v>
      </c>
      <c r="BL119" s="18">
        <f t="shared" si="287"/>
        <v>0</v>
      </c>
      <c r="BM119" s="18">
        <f t="shared" si="287"/>
        <v>0</v>
      </c>
      <c r="BN119" s="18">
        <f t="shared" si="287"/>
        <v>0</v>
      </c>
      <c r="BO119" s="18">
        <f t="shared" si="287"/>
        <v>0</v>
      </c>
      <c r="BP119" s="18">
        <f t="shared" si="287"/>
        <v>0</v>
      </c>
      <c r="BQ119" s="18">
        <f t="shared" si="287"/>
        <v>0</v>
      </c>
      <c r="BR119" s="18">
        <f t="shared" si="287"/>
        <v>0</v>
      </c>
      <c r="BS119" s="18">
        <f t="shared" si="287"/>
        <v>0</v>
      </c>
      <c r="BT119" s="18">
        <f t="shared" si="287"/>
        <v>0</v>
      </c>
      <c r="BU119" s="18">
        <f t="shared" si="287"/>
        <v>0</v>
      </c>
      <c r="BV119" s="18">
        <f t="shared" si="287"/>
        <v>0</v>
      </c>
      <c r="BW119" s="18">
        <f t="shared" si="287"/>
        <v>0</v>
      </c>
      <c r="BX119" s="18">
        <f t="shared" si="287"/>
        <v>0</v>
      </c>
      <c r="BY119" s="18">
        <f t="shared" si="287"/>
        <v>0</v>
      </c>
      <c r="BZ119" s="18">
        <f t="shared" si="287"/>
        <v>0</v>
      </c>
      <c r="CA119" s="18">
        <f t="shared" si="287"/>
        <v>0</v>
      </c>
      <c r="CB119" s="18">
        <f t="shared" si="287"/>
        <v>0</v>
      </c>
      <c r="CC119" s="18">
        <f t="shared" si="287"/>
        <v>0</v>
      </c>
      <c r="CD119" s="18">
        <f t="shared" si="287"/>
        <v>0</v>
      </c>
      <c r="CE119" s="18">
        <f t="shared" si="287"/>
        <v>0</v>
      </c>
      <c r="CF119" s="18">
        <f t="shared" si="287"/>
        <v>0</v>
      </c>
      <c r="CG119" s="18">
        <f t="shared" si="287"/>
        <v>0</v>
      </c>
      <c r="CH119" s="18">
        <f t="shared" si="287"/>
        <v>0</v>
      </c>
      <c r="CI119" s="18">
        <f t="shared" si="287"/>
        <v>0</v>
      </c>
      <c r="CJ119" s="18">
        <f t="shared" si="287"/>
        <v>0</v>
      </c>
      <c r="CK119" s="18">
        <f t="shared" si="287"/>
        <v>0</v>
      </c>
      <c r="CL119" s="18">
        <f t="shared" si="287"/>
        <v>0</v>
      </c>
      <c r="CM119" s="18">
        <f t="shared" si="287"/>
        <v>0</v>
      </c>
      <c r="CN119" s="18">
        <f t="shared" si="287"/>
        <v>0</v>
      </c>
      <c r="CO119" s="18">
        <f t="shared" si="287"/>
        <v>0</v>
      </c>
      <c r="CP119" s="18">
        <f t="shared" si="287"/>
        <v>0</v>
      </c>
      <c r="CQ119" s="18">
        <f t="shared" si="287"/>
        <v>0</v>
      </c>
      <c r="CR119" s="18"/>
      <c r="CS119" s="18"/>
      <c r="CT119" s="18"/>
      <c r="CU119" s="18">
        <f>SUM(CU120:CU122)</f>
        <v>0</v>
      </c>
      <c r="CV119" s="73"/>
      <c r="CW119" s="73"/>
      <c r="CX119" s="73"/>
      <c r="CY119" s="73"/>
      <c r="CZ119" s="18">
        <f>SUM(CZ120:CZ122)</f>
        <v>0</v>
      </c>
      <c r="DA119" s="18">
        <f>SUM(DA120:DA122)</f>
        <v>0</v>
      </c>
      <c r="DB119" s="18">
        <f>SUM(DB120:DB122)</f>
        <v>0</v>
      </c>
      <c r="DC119" s="46">
        <f>SUM(DC120:DC122)</f>
        <v>0</v>
      </c>
      <c r="DD119" s="57"/>
    </row>
    <row r="120" spans="1:108" s="58" customFormat="1" ht="31.2" x14ac:dyDescent="0.3">
      <c r="A120" s="94"/>
      <c r="B120" s="21" t="s">
        <v>52</v>
      </c>
      <c r="C120" s="32" t="s">
        <v>453</v>
      </c>
      <c r="D120" s="19">
        <f>SUM(E120+CC120+CZ120)</f>
        <v>593821</v>
      </c>
      <c r="E120" s="19">
        <f>SUM(F120+BC120)</f>
        <v>593821</v>
      </c>
      <c r="F120" s="19">
        <f>SUM(G120+H120+I120+P120+S120+T120+U120+AD120)</f>
        <v>593821</v>
      </c>
      <c r="G120" s="19">
        <v>0</v>
      </c>
      <c r="H120" s="19">
        <v>0</v>
      </c>
      <c r="I120" s="19">
        <f t="shared" ref="I120:I122" si="288">SUM(J120:O120)</f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f t="shared" ref="P120:P122" si="289">SUM(Q120:R120)</f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f t="shared" ref="U120:U122" si="290">SUM(V120:AC120)</f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f>SUM(AE120:AY120)</f>
        <v>593821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593821</v>
      </c>
      <c r="AZ120" s="19"/>
      <c r="BA120" s="19"/>
      <c r="BB120" s="19"/>
      <c r="BC120" s="19">
        <f>SUM(BD120+BH120+BL120+BN120+BQ120)</f>
        <v>0</v>
      </c>
      <c r="BD120" s="19">
        <f t="shared" ref="BD120:BD122" si="291">SUM(BE120:BG120)</f>
        <v>0</v>
      </c>
      <c r="BE120" s="19">
        <v>0</v>
      </c>
      <c r="BF120" s="19">
        <v>0</v>
      </c>
      <c r="BG120" s="23"/>
      <c r="BH120" s="19">
        <f t="shared" ref="BH120:BH122" si="292">SUM(BI120:BK120)</f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f t="shared" ref="BN120:BN122" si="293">SUM(BO120)</f>
        <v>0</v>
      </c>
      <c r="BO120" s="19">
        <v>0</v>
      </c>
      <c r="BP120" s="19">
        <v>0</v>
      </c>
      <c r="BQ120" s="19">
        <f t="shared" ref="BQ120:BQ122" si="294">SUM(BR120:CB120)</f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0</v>
      </c>
      <c r="CC120" s="19">
        <f>SUM(CD120+CU120)</f>
        <v>0</v>
      </c>
      <c r="CD120" s="19">
        <f>SUM(CE120+CH120+CN120)</f>
        <v>0</v>
      </c>
      <c r="CE120" s="19">
        <f t="shared" ref="CE120:CE122" si="295">SUM(CF120:CG120)</f>
        <v>0</v>
      </c>
      <c r="CF120" s="19">
        <v>0</v>
      </c>
      <c r="CG120" s="19">
        <v>0</v>
      </c>
      <c r="CH120" s="19">
        <f>SUM(CI120:CM120)</f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f>SUM(CO120:CQ120)</f>
        <v>0</v>
      </c>
      <c r="CO120" s="19">
        <v>0</v>
      </c>
      <c r="CP120" s="19">
        <v>0</v>
      </c>
      <c r="CQ120" s="19"/>
      <c r="CR120" s="19"/>
      <c r="CS120" s="19"/>
      <c r="CT120" s="19"/>
      <c r="CU120" s="19">
        <v>0</v>
      </c>
      <c r="CV120" s="74"/>
      <c r="CW120" s="74"/>
      <c r="CX120" s="74"/>
      <c r="CY120" s="74"/>
      <c r="CZ120" s="19">
        <f t="shared" ref="CZ120:CZ122" si="296">SUM(DA120)</f>
        <v>0</v>
      </c>
      <c r="DA120" s="19">
        <f t="shared" ref="DA120:DA122" si="297">SUM(DB120:DC120)</f>
        <v>0</v>
      </c>
      <c r="DB120" s="19">
        <v>0</v>
      </c>
      <c r="DC120" s="20">
        <v>0</v>
      </c>
      <c r="DD120" s="52"/>
    </row>
    <row r="121" spans="1:108" s="58" customFormat="1" ht="31.2" x14ac:dyDescent="0.3">
      <c r="A121" s="94"/>
      <c r="B121" s="21" t="s">
        <v>60</v>
      </c>
      <c r="C121" s="32" t="s">
        <v>581</v>
      </c>
      <c r="D121" s="19">
        <f>SUM(E121+CC121+CZ121)</f>
        <v>314766</v>
      </c>
      <c r="E121" s="19">
        <f>SUM(F121+BC121)</f>
        <v>314766</v>
      </c>
      <c r="F121" s="19">
        <f>SUM(G121+H121+I121+P121+S121+T121+U121+AD121)</f>
        <v>314766</v>
      </c>
      <c r="G121" s="19">
        <v>0</v>
      </c>
      <c r="H121" s="19">
        <v>0</v>
      </c>
      <c r="I121" s="19">
        <f t="shared" ref="I121" si="298">SUM(J121:O121)</f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f t="shared" ref="P121" si="299">SUM(Q121:R121)</f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f t="shared" ref="U121" si="300">SUM(V121:AC121)</f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f>SUM(AE121:AY121)</f>
        <v>314766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314766</v>
      </c>
      <c r="AZ121" s="19"/>
      <c r="BA121" s="19"/>
      <c r="BB121" s="19"/>
      <c r="BC121" s="19">
        <f>SUM(BD121+BH121+BL121+BN121+BQ121)</f>
        <v>0</v>
      </c>
      <c r="BD121" s="19">
        <f t="shared" ref="BD121" si="301">SUM(BE121:BG121)</f>
        <v>0</v>
      </c>
      <c r="BE121" s="19">
        <v>0</v>
      </c>
      <c r="BF121" s="19">
        <v>0</v>
      </c>
      <c r="BG121" s="23"/>
      <c r="BH121" s="19">
        <f t="shared" ref="BH121" si="302">SUM(BI121:BK121)</f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f t="shared" ref="BN121" si="303">SUM(BO121)</f>
        <v>0</v>
      </c>
      <c r="BO121" s="19">
        <v>0</v>
      </c>
      <c r="BP121" s="19">
        <v>0</v>
      </c>
      <c r="BQ121" s="19">
        <f t="shared" ref="BQ121" si="304">SUM(BR121:CB121)</f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0</v>
      </c>
      <c r="BW121" s="19">
        <v>0</v>
      </c>
      <c r="BX121" s="19">
        <v>0</v>
      </c>
      <c r="BY121" s="19">
        <v>0</v>
      </c>
      <c r="BZ121" s="19">
        <v>0</v>
      </c>
      <c r="CA121" s="19">
        <v>0</v>
      </c>
      <c r="CB121" s="19">
        <v>0</v>
      </c>
      <c r="CC121" s="19">
        <f>SUM(CD121+CU121)</f>
        <v>0</v>
      </c>
      <c r="CD121" s="19">
        <f>SUM(CE121+CH121+CN121)</f>
        <v>0</v>
      </c>
      <c r="CE121" s="19">
        <f t="shared" ref="CE121" si="305">SUM(CF121:CG121)</f>
        <v>0</v>
      </c>
      <c r="CF121" s="19">
        <v>0</v>
      </c>
      <c r="CG121" s="19">
        <v>0</v>
      </c>
      <c r="CH121" s="19">
        <f>SUM(CI121:CM121)</f>
        <v>0</v>
      </c>
      <c r="CI121" s="19">
        <v>0</v>
      </c>
      <c r="CJ121" s="19">
        <v>0</v>
      </c>
      <c r="CK121" s="19">
        <v>0</v>
      </c>
      <c r="CL121" s="19">
        <v>0</v>
      </c>
      <c r="CM121" s="19">
        <v>0</v>
      </c>
      <c r="CN121" s="19">
        <f>SUM(CO121:CQ121)</f>
        <v>0</v>
      </c>
      <c r="CO121" s="19">
        <v>0</v>
      </c>
      <c r="CP121" s="19">
        <v>0</v>
      </c>
      <c r="CQ121" s="19"/>
      <c r="CR121" s="19"/>
      <c r="CS121" s="19"/>
      <c r="CT121" s="19"/>
      <c r="CU121" s="19">
        <v>0</v>
      </c>
      <c r="CV121" s="74"/>
      <c r="CW121" s="74"/>
      <c r="CX121" s="74"/>
      <c r="CY121" s="74"/>
      <c r="CZ121" s="19">
        <f t="shared" ref="CZ121" si="306">SUM(DA121)</f>
        <v>0</v>
      </c>
      <c r="DA121" s="19">
        <f t="shared" ref="DA121" si="307">SUM(DB121:DC121)</f>
        <v>0</v>
      </c>
      <c r="DB121" s="19">
        <v>0</v>
      </c>
      <c r="DC121" s="20">
        <v>0</v>
      </c>
      <c r="DD121" s="52"/>
    </row>
    <row r="122" spans="1:108" ht="31.2" x14ac:dyDescent="0.3">
      <c r="A122" s="94"/>
      <c r="B122" s="21" t="s">
        <v>76</v>
      </c>
      <c r="C122" s="32" t="s">
        <v>454</v>
      </c>
      <c r="D122" s="19">
        <f>SUM(E122+CC122+CZ122)</f>
        <v>3860518</v>
      </c>
      <c r="E122" s="19">
        <f>SUM(F122+BC122)</f>
        <v>3860518</v>
      </c>
      <c r="F122" s="19">
        <f>SUM(G122+H122+I122+P122+S122+T122+U122+AD122)</f>
        <v>3860518</v>
      </c>
      <c r="G122" s="19">
        <v>0</v>
      </c>
      <c r="H122" s="19">
        <v>0</v>
      </c>
      <c r="I122" s="19">
        <f t="shared" si="288"/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f t="shared" si="289"/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f t="shared" si="290"/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f>SUM(AE122:AY122)</f>
        <v>3860518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3860518</v>
      </c>
      <c r="AZ122" s="19"/>
      <c r="BA122" s="19"/>
      <c r="BB122" s="19"/>
      <c r="BC122" s="19">
        <f>SUM(BD122+BH122+BL122+BN122+BQ122)</f>
        <v>0</v>
      </c>
      <c r="BD122" s="19">
        <f t="shared" si="291"/>
        <v>0</v>
      </c>
      <c r="BE122" s="19">
        <v>0</v>
      </c>
      <c r="BF122" s="19">
        <v>0</v>
      </c>
      <c r="BG122" s="23"/>
      <c r="BH122" s="19">
        <f t="shared" si="292"/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f t="shared" si="293"/>
        <v>0</v>
      </c>
      <c r="BO122" s="19">
        <v>0</v>
      </c>
      <c r="BP122" s="19">
        <v>0</v>
      </c>
      <c r="BQ122" s="19">
        <f t="shared" si="294"/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  <c r="BW122" s="19">
        <v>0</v>
      </c>
      <c r="BX122" s="19">
        <v>0</v>
      </c>
      <c r="BY122" s="19">
        <v>0</v>
      </c>
      <c r="BZ122" s="19">
        <v>0</v>
      </c>
      <c r="CA122" s="19">
        <v>0</v>
      </c>
      <c r="CB122" s="19">
        <v>0</v>
      </c>
      <c r="CC122" s="19">
        <f>SUM(CD122+CU122)</f>
        <v>0</v>
      </c>
      <c r="CD122" s="19">
        <f>SUM(CE122+CH122+CN122)</f>
        <v>0</v>
      </c>
      <c r="CE122" s="19">
        <f t="shared" si="295"/>
        <v>0</v>
      </c>
      <c r="CF122" s="19">
        <v>0</v>
      </c>
      <c r="CG122" s="19">
        <v>0</v>
      </c>
      <c r="CH122" s="19">
        <f>SUM(CI122:CM122)</f>
        <v>0</v>
      </c>
      <c r="CI122" s="19">
        <v>0</v>
      </c>
      <c r="CJ122" s="19">
        <v>0</v>
      </c>
      <c r="CK122" s="19">
        <v>0</v>
      </c>
      <c r="CL122" s="19">
        <v>0</v>
      </c>
      <c r="CM122" s="19">
        <v>0</v>
      </c>
      <c r="CN122" s="19">
        <f>SUM(CO122:CQ122)</f>
        <v>0</v>
      </c>
      <c r="CO122" s="19">
        <v>0</v>
      </c>
      <c r="CP122" s="19">
        <v>0</v>
      </c>
      <c r="CQ122" s="19"/>
      <c r="CR122" s="19"/>
      <c r="CS122" s="19"/>
      <c r="CT122" s="19"/>
      <c r="CU122" s="19">
        <v>0</v>
      </c>
      <c r="CV122" s="74"/>
      <c r="CW122" s="74"/>
      <c r="CX122" s="74"/>
      <c r="CY122" s="74"/>
      <c r="CZ122" s="19">
        <f t="shared" si="296"/>
        <v>0</v>
      </c>
      <c r="DA122" s="19">
        <f t="shared" si="297"/>
        <v>0</v>
      </c>
      <c r="DB122" s="19">
        <v>0</v>
      </c>
      <c r="DC122" s="20">
        <v>0</v>
      </c>
      <c r="DD122" s="52"/>
    </row>
    <row r="123" spans="1:108" s="58" customFormat="1" ht="31.2" x14ac:dyDescent="0.3">
      <c r="A123" s="93" t="s">
        <v>183</v>
      </c>
      <c r="B123" s="16" t="s">
        <v>1</v>
      </c>
      <c r="C123" s="17" t="s">
        <v>184</v>
      </c>
      <c r="D123" s="18">
        <f t="shared" ref="D123:AW123" si="308">SUM(D124:D124)</f>
        <v>1218669</v>
      </c>
      <c r="E123" s="18">
        <f t="shared" si="308"/>
        <v>1218669</v>
      </c>
      <c r="F123" s="18">
        <f t="shared" si="308"/>
        <v>1218669</v>
      </c>
      <c r="G123" s="18">
        <f t="shared" si="308"/>
        <v>0</v>
      </c>
      <c r="H123" s="18">
        <f t="shared" si="308"/>
        <v>0</v>
      </c>
      <c r="I123" s="18">
        <f t="shared" si="308"/>
        <v>0</v>
      </c>
      <c r="J123" s="18">
        <f t="shared" si="308"/>
        <v>0</v>
      </c>
      <c r="K123" s="18">
        <f t="shared" si="308"/>
        <v>0</v>
      </c>
      <c r="L123" s="18">
        <f t="shared" si="308"/>
        <v>0</v>
      </c>
      <c r="M123" s="18">
        <f t="shared" si="308"/>
        <v>0</v>
      </c>
      <c r="N123" s="18">
        <f t="shared" si="308"/>
        <v>0</v>
      </c>
      <c r="O123" s="18">
        <f t="shared" si="308"/>
        <v>0</v>
      </c>
      <c r="P123" s="18">
        <f t="shared" si="308"/>
        <v>0</v>
      </c>
      <c r="Q123" s="18">
        <f t="shared" si="308"/>
        <v>0</v>
      </c>
      <c r="R123" s="18">
        <f t="shared" si="308"/>
        <v>0</v>
      </c>
      <c r="S123" s="18">
        <f t="shared" si="308"/>
        <v>0</v>
      </c>
      <c r="T123" s="18">
        <f t="shared" si="308"/>
        <v>0</v>
      </c>
      <c r="U123" s="18">
        <f t="shared" si="308"/>
        <v>0</v>
      </c>
      <c r="V123" s="18">
        <f t="shared" si="308"/>
        <v>0</v>
      </c>
      <c r="W123" s="18">
        <f t="shared" si="308"/>
        <v>0</v>
      </c>
      <c r="X123" s="18">
        <f t="shared" si="308"/>
        <v>0</v>
      </c>
      <c r="Y123" s="18">
        <f t="shared" si="308"/>
        <v>0</v>
      </c>
      <c r="Z123" s="18">
        <f t="shared" si="308"/>
        <v>0</v>
      </c>
      <c r="AA123" s="18">
        <f t="shared" si="308"/>
        <v>0</v>
      </c>
      <c r="AB123" s="18">
        <f t="shared" si="308"/>
        <v>0</v>
      </c>
      <c r="AC123" s="18">
        <f t="shared" si="308"/>
        <v>0</v>
      </c>
      <c r="AD123" s="18">
        <f t="shared" si="308"/>
        <v>1218669</v>
      </c>
      <c r="AE123" s="18">
        <f t="shared" si="308"/>
        <v>0</v>
      </c>
      <c r="AF123" s="18">
        <f t="shared" si="308"/>
        <v>0</v>
      </c>
      <c r="AG123" s="18">
        <f t="shared" si="308"/>
        <v>0</v>
      </c>
      <c r="AH123" s="18">
        <f t="shared" si="308"/>
        <v>0</v>
      </c>
      <c r="AI123" s="18">
        <f t="shared" si="308"/>
        <v>0</v>
      </c>
      <c r="AJ123" s="18">
        <f t="shared" si="308"/>
        <v>0</v>
      </c>
      <c r="AK123" s="18">
        <f t="shared" si="308"/>
        <v>0</v>
      </c>
      <c r="AL123" s="18">
        <f t="shared" si="308"/>
        <v>0</v>
      </c>
      <c r="AM123" s="18">
        <f t="shared" si="308"/>
        <v>0</v>
      </c>
      <c r="AN123" s="18">
        <f t="shared" si="308"/>
        <v>0</v>
      </c>
      <c r="AO123" s="18">
        <f t="shared" si="308"/>
        <v>0</v>
      </c>
      <c r="AP123" s="18">
        <f t="shared" si="308"/>
        <v>0</v>
      </c>
      <c r="AQ123" s="18">
        <f t="shared" si="308"/>
        <v>0</v>
      </c>
      <c r="AR123" s="18">
        <f t="shared" si="308"/>
        <v>0</v>
      </c>
      <c r="AS123" s="18">
        <f t="shared" si="308"/>
        <v>0</v>
      </c>
      <c r="AT123" s="18">
        <f t="shared" si="308"/>
        <v>0</v>
      </c>
      <c r="AU123" s="18">
        <f t="shared" si="308"/>
        <v>0</v>
      </c>
      <c r="AV123" s="18">
        <f t="shared" si="308"/>
        <v>0</v>
      </c>
      <c r="AW123" s="18">
        <f t="shared" si="308"/>
        <v>0</v>
      </c>
      <c r="AX123" s="18"/>
      <c r="AY123" s="18">
        <f t="shared" ref="AY123:DC123" si="309">SUM(AY124:AY124)</f>
        <v>1218669</v>
      </c>
      <c r="AZ123" s="18"/>
      <c r="BA123" s="18"/>
      <c r="BB123" s="18"/>
      <c r="BC123" s="18">
        <f t="shared" si="309"/>
        <v>0</v>
      </c>
      <c r="BD123" s="18">
        <f t="shared" si="309"/>
        <v>0</v>
      </c>
      <c r="BE123" s="18">
        <f t="shared" si="309"/>
        <v>0</v>
      </c>
      <c r="BF123" s="18">
        <f t="shared" si="309"/>
        <v>0</v>
      </c>
      <c r="BG123" s="18">
        <f t="shared" si="309"/>
        <v>0</v>
      </c>
      <c r="BH123" s="18">
        <f t="shared" si="309"/>
        <v>0</v>
      </c>
      <c r="BI123" s="18">
        <f t="shared" si="309"/>
        <v>0</v>
      </c>
      <c r="BJ123" s="18">
        <f t="shared" si="309"/>
        <v>0</v>
      </c>
      <c r="BK123" s="18">
        <f t="shared" si="309"/>
        <v>0</v>
      </c>
      <c r="BL123" s="18">
        <f t="shared" si="309"/>
        <v>0</v>
      </c>
      <c r="BM123" s="18">
        <f t="shared" si="309"/>
        <v>0</v>
      </c>
      <c r="BN123" s="18">
        <f t="shared" si="309"/>
        <v>0</v>
      </c>
      <c r="BO123" s="18">
        <f t="shared" si="309"/>
        <v>0</v>
      </c>
      <c r="BP123" s="18">
        <f t="shared" si="309"/>
        <v>0</v>
      </c>
      <c r="BQ123" s="18">
        <f t="shared" si="309"/>
        <v>0</v>
      </c>
      <c r="BR123" s="18">
        <f t="shared" si="309"/>
        <v>0</v>
      </c>
      <c r="BS123" s="18">
        <f t="shared" si="309"/>
        <v>0</v>
      </c>
      <c r="BT123" s="18">
        <f t="shared" si="309"/>
        <v>0</v>
      </c>
      <c r="BU123" s="18">
        <f t="shared" si="309"/>
        <v>0</v>
      </c>
      <c r="BV123" s="18">
        <f t="shared" si="309"/>
        <v>0</v>
      </c>
      <c r="BW123" s="18">
        <f t="shared" si="309"/>
        <v>0</v>
      </c>
      <c r="BX123" s="18">
        <f t="shared" si="309"/>
        <v>0</v>
      </c>
      <c r="BY123" s="18">
        <f t="shared" si="309"/>
        <v>0</v>
      </c>
      <c r="BZ123" s="18">
        <f t="shared" si="309"/>
        <v>0</v>
      </c>
      <c r="CA123" s="18">
        <f t="shared" si="309"/>
        <v>0</v>
      </c>
      <c r="CB123" s="18">
        <f t="shared" si="309"/>
        <v>0</v>
      </c>
      <c r="CC123" s="18">
        <f t="shared" si="309"/>
        <v>0</v>
      </c>
      <c r="CD123" s="18">
        <f t="shared" si="309"/>
        <v>0</v>
      </c>
      <c r="CE123" s="18">
        <f t="shared" si="309"/>
        <v>0</v>
      </c>
      <c r="CF123" s="18">
        <f t="shared" si="309"/>
        <v>0</v>
      </c>
      <c r="CG123" s="18">
        <f t="shared" si="309"/>
        <v>0</v>
      </c>
      <c r="CH123" s="18">
        <f t="shared" si="309"/>
        <v>0</v>
      </c>
      <c r="CI123" s="18">
        <f t="shared" si="309"/>
        <v>0</v>
      </c>
      <c r="CJ123" s="18">
        <f t="shared" si="309"/>
        <v>0</v>
      </c>
      <c r="CK123" s="18">
        <f t="shared" si="309"/>
        <v>0</v>
      </c>
      <c r="CL123" s="18">
        <f t="shared" si="309"/>
        <v>0</v>
      </c>
      <c r="CM123" s="18">
        <f t="shared" si="309"/>
        <v>0</v>
      </c>
      <c r="CN123" s="18">
        <f t="shared" si="309"/>
        <v>0</v>
      </c>
      <c r="CO123" s="18">
        <f t="shared" si="309"/>
        <v>0</v>
      </c>
      <c r="CP123" s="18">
        <f t="shared" si="309"/>
        <v>0</v>
      </c>
      <c r="CQ123" s="18">
        <f t="shared" si="309"/>
        <v>0</v>
      </c>
      <c r="CR123" s="18"/>
      <c r="CS123" s="18"/>
      <c r="CT123" s="18"/>
      <c r="CU123" s="18">
        <f t="shared" si="309"/>
        <v>0</v>
      </c>
      <c r="CV123" s="73"/>
      <c r="CW123" s="73"/>
      <c r="CX123" s="73"/>
      <c r="CY123" s="73"/>
      <c r="CZ123" s="18">
        <f t="shared" si="309"/>
        <v>0</v>
      </c>
      <c r="DA123" s="18">
        <f t="shared" si="309"/>
        <v>0</v>
      </c>
      <c r="DB123" s="18">
        <f t="shared" si="309"/>
        <v>0</v>
      </c>
      <c r="DC123" s="46">
        <f t="shared" si="309"/>
        <v>0</v>
      </c>
      <c r="DD123" s="57"/>
    </row>
    <row r="124" spans="1:108" s="58" customFormat="1" ht="31.2" x14ac:dyDescent="0.3">
      <c r="A124" s="94" t="s">
        <v>1</v>
      </c>
      <c r="B124" s="21" t="s">
        <v>76</v>
      </c>
      <c r="C124" s="22" t="s">
        <v>464</v>
      </c>
      <c r="D124" s="19">
        <f>SUM(E124+CC124+CZ124)</f>
        <v>1218669</v>
      </c>
      <c r="E124" s="19">
        <f>SUM(F124+BC124)</f>
        <v>1218669</v>
      </c>
      <c r="F124" s="19">
        <f>SUM(G124+H124+I124+P124+S124+T124+U124+AD124)</f>
        <v>1218669</v>
      </c>
      <c r="G124" s="19">
        <v>0</v>
      </c>
      <c r="H124" s="19">
        <v>0</v>
      </c>
      <c r="I124" s="19">
        <f t="shared" si="127"/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f t="shared" si="128"/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f>SUM(V124:AC124)</f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f>SUM(AE124:AY124)</f>
        <v>1218669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23">
        <v>1218669</v>
      </c>
      <c r="AZ124" s="23"/>
      <c r="BA124" s="23"/>
      <c r="BB124" s="23"/>
      <c r="BC124" s="19">
        <f>SUM(BD124+BH124+BL124+BN124+BQ124)</f>
        <v>0</v>
      </c>
      <c r="BD124" s="19">
        <f>SUM(BE124:BG124)</f>
        <v>0</v>
      </c>
      <c r="BE124" s="19">
        <v>0</v>
      </c>
      <c r="BF124" s="19">
        <v>0</v>
      </c>
      <c r="BG124" s="19">
        <v>0</v>
      </c>
      <c r="BH124" s="19">
        <f>SUM(BI124:BK124)</f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f t="shared" si="129"/>
        <v>0</v>
      </c>
      <c r="BO124" s="19">
        <v>0</v>
      </c>
      <c r="BP124" s="19">
        <v>0</v>
      </c>
      <c r="BQ124" s="19">
        <f>SUM(BR124:CB124)</f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f>SUM(CD124+CU124)</f>
        <v>0</v>
      </c>
      <c r="CD124" s="19">
        <f>SUM(CE124+CH124+CN124)</f>
        <v>0</v>
      </c>
      <c r="CE124" s="19">
        <f t="shared" si="130"/>
        <v>0</v>
      </c>
      <c r="CF124" s="19">
        <v>0</v>
      </c>
      <c r="CG124" s="19">
        <v>0</v>
      </c>
      <c r="CH124" s="19">
        <f>SUM(CI124:CM124)</f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f>SUM(CO124:CQ124)</f>
        <v>0</v>
      </c>
      <c r="CO124" s="19">
        <v>0</v>
      </c>
      <c r="CP124" s="19">
        <v>0</v>
      </c>
      <c r="CQ124" s="19"/>
      <c r="CR124" s="19"/>
      <c r="CS124" s="19"/>
      <c r="CT124" s="19"/>
      <c r="CU124" s="19">
        <v>0</v>
      </c>
      <c r="CV124" s="74"/>
      <c r="CW124" s="74"/>
      <c r="CX124" s="74"/>
      <c r="CY124" s="74"/>
      <c r="CZ124" s="19">
        <f t="shared" si="131"/>
        <v>0</v>
      </c>
      <c r="DA124" s="19">
        <f t="shared" si="132"/>
        <v>0</v>
      </c>
      <c r="DB124" s="19">
        <v>0</v>
      </c>
      <c r="DC124" s="20">
        <v>0</v>
      </c>
      <c r="DD124" s="52"/>
    </row>
    <row r="125" spans="1:108" ht="15.6" x14ac:dyDescent="0.3">
      <c r="A125" s="95" t="s">
        <v>185</v>
      </c>
      <c r="B125" s="25" t="s">
        <v>1</v>
      </c>
      <c r="C125" s="26" t="s">
        <v>186</v>
      </c>
      <c r="D125" s="27">
        <f t="shared" ref="D125:AR125" si="310">SUM(D126+D130+D133+D138+D140+D142)</f>
        <v>427715268</v>
      </c>
      <c r="E125" s="27">
        <f t="shared" si="310"/>
        <v>426715214</v>
      </c>
      <c r="F125" s="27">
        <f t="shared" si="310"/>
        <v>390934755</v>
      </c>
      <c r="G125" s="27">
        <f t="shared" si="310"/>
        <v>269884270</v>
      </c>
      <c r="H125" s="27">
        <f t="shared" si="310"/>
        <v>63694034</v>
      </c>
      <c r="I125" s="27">
        <f t="shared" si="310"/>
        <v>26455463</v>
      </c>
      <c r="J125" s="27">
        <f t="shared" si="310"/>
        <v>404353</v>
      </c>
      <c r="K125" s="27">
        <f t="shared" si="310"/>
        <v>1039515</v>
      </c>
      <c r="L125" s="27">
        <f t="shared" si="310"/>
        <v>21798679</v>
      </c>
      <c r="M125" s="27">
        <f t="shared" si="310"/>
        <v>0</v>
      </c>
      <c r="N125" s="27">
        <f t="shared" si="310"/>
        <v>1783846</v>
      </c>
      <c r="O125" s="27">
        <f t="shared" si="310"/>
        <v>1429070</v>
      </c>
      <c r="P125" s="27">
        <f t="shared" si="310"/>
        <v>0</v>
      </c>
      <c r="Q125" s="27">
        <f t="shared" si="310"/>
        <v>0</v>
      </c>
      <c r="R125" s="27">
        <f t="shared" si="310"/>
        <v>0</v>
      </c>
      <c r="S125" s="27">
        <f t="shared" si="310"/>
        <v>0</v>
      </c>
      <c r="T125" s="27">
        <f t="shared" si="310"/>
        <v>649453</v>
      </c>
      <c r="U125" s="27">
        <f t="shared" si="310"/>
        <v>25213023</v>
      </c>
      <c r="V125" s="27">
        <f t="shared" si="310"/>
        <v>505920</v>
      </c>
      <c r="W125" s="27">
        <f t="shared" si="310"/>
        <v>16051773</v>
      </c>
      <c r="X125" s="27">
        <f t="shared" si="310"/>
        <v>6058150</v>
      </c>
      <c r="Y125" s="27">
        <f t="shared" si="310"/>
        <v>1790916</v>
      </c>
      <c r="Z125" s="27">
        <f t="shared" si="310"/>
        <v>287211</v>
      </c>
      <c r="AA125" s="27">
        <f t="shared" si="310"/>
        <v>0</v>
      </c>
      <c r="AB125" s="27">
        <f t="shared" si="310"/>
        <v>0</v>
      </c>
      <c r="AC125" s="27">
        <f t="shared" si="310"/>
        <v>519053</v>
      </c>
      <c r="AD125" s="27">
        <f t="shared" si="310"/>
        <v>5038512</v>
      </c>
      <c r="AE125" s="27">
        <f t="shared" si="310"/>
        <v>0</v>
      </c>
      <c r="AF125" s="27">
        <f t="shared" si="310"/>
        <v>0</v>
      </c>
      <c r="AG125" s="27">
        <f t="shared" si="310"/>
        <v>110169</v>
      </c>
      <c r="AH125" s="27">
        <f t="shared" si="310"/>
        <v>800483</v>
      </c>
      <c r="AI125" s="27">
        <f t="shared" si="310"/>
        <v>125087</v>
      </c>
      <c r="AJ125" s="27">
        <f t="shared" si="310"/>
        <v>380167</v>
      </c>
      <c r="AK125" s="27">
        <f t="shared" si="310"/>
        <v>0</v>
      </c>
      <c r="AL125" s="27">
        <f t="shared" si="310"/>
        <v>12901</v>
      </c>
      <c r="AM125" s="27">
        <f t="shared" si="310"/>
        <v>346066</v>
      </c>
      <c r="AN125" s="27">
        <f t="shared" si="310"/>
        <v>0</v>
      </c>
      <c r="AO125" s="27">
        <f t="shared" si="310"/>
        <v>2847</v>
      </c>
      <c r="AP125" s="27">
        <f t="shared" si="310"/>
        <v>0</v>
      </c>
      <c r="AQ125" s="27">
        <f t="shared" si="310"/>
        <v>1743253</v>
      </c>
      <c r="AR125" s="27">
        <f t="shared" si="310"/>
        <v>164676</v>
      </c>
      <c r="AS125" s="27"/>
      <c r="AT125" s="27"/>
      <c r="AU125" s="27">
        <f>SUM(AU126+AU130+AU133+AU138+AU140+AU142)</f>
        <v>0</v>
      </c>
      <c r="AV125" s="27">
        <f>SUM(AV126+AV130+AV133+AV138+AV140+AV142)</f>
        <v>0</v>
      </c>
      <c r="AW125" s="27">
        <f>SUM(AW126+AW130+AW133+AW138+AW140+AW142)</f>
        <v>0</v>
      </c>
      <c r="AX125" s="27"/>
      <c r="AY125" s="27">
        <f t="shared" ref="AY125:CP125" si="311">SUM(AY126+AY130+AY133+AY138+AY140+AY142)</f>
        <v>1352863</v>
      </c>
      <c r="AZ125" s="27">
        <f t="shared" ref="AZ125" si="312">SUM(AZ126+AZ130+AZ133+AZ138+AZ140+AZ142)</f>
        <v>0</v>
      </c>
      <c r="BA125" s="27">
        <f t="shared" ref="BA125" si="313">SUM(BA126+BA130+BA133+BA138+BA140+BA142)</f>
        <v>0</v>
      </c>
      <c r="BB125" s="27">
        <f t="shared" ref="BB125" si="314">SUM(BB126+BB130+BB133+BB138+BB140+BB142)</f>
        <v>0</v>
      </c>
      <c r="BC125" s="27">
        <f t="shared" si="311"/>
        <v>35780459</v>
      </c>
      <c r="BD125" s="27">
        <f t="shared" si="311"/>
        <v>0</v>
      </c>
      <c r="BE125" s="27">
        <f t="shared" si="311"/>
        <v>0</v>
      </c>
      <c r="BF125" s="27">
        <f t="shared" si="311"/>
        <v>0</v>
      </c>
      <c r="BG125" s="27">
        <f t="shared" si="311"/>
        <v>0</v>
      </c>
      <c r="BH125" s="27">
        <f t="shared" si="311"/>
        <v>0</v>
      </c>
      <c r="BI125" s="27">
        <f t="shared" si="311"/>
        <v>0</v>
      </c>
      <c r="BJ125" s="27">
        <f t="shared" si="311"/>
        <v>0</v>
      </c>
      <c r="BK125" s="27">
        <f t="shared" si="311"/>
        <v>0</v>
      </c>
      <c r="BL125" s="27">
        <f t="shared" si="311"/>
        <v>0</v>
      </c>
      <c r="BM125" s="27">
        <f t="shared" si="311"/>
        <v>0</v>
      </c>
      <c r="BN125" s="27">
        <f t="shared" si="311"/>
        <v>0</v>
      </c>
      <c r="BO125" s="27">
        <f t="shared" si="311"/>
        <v>0</v>
      </c>
      <c r="BP125" s="27">
        <f t="shared" si="311"/>
        <v>0</v>
      </c>
      <c r="BQ125" s="27">
        <f t="shared" si="311"/>
        <v>35780459</v>
      </c>
      <c r="BR125" s="27">
        <f t="shared" si="311"/>
        <v>0</v>
      </c>
      <c r="BS125" s="27">
        <f t="shared" si="311"/>
        <v>0</v>
      </c>
      <c r="BT125" s="27">
        <f t="shared" si="311"/>
        <v>11218513</v>
      </c>
      <c r="BU125" s="27">
        <f t="shared" si="311"/>
        <v>0</v>
      </c>
      <c r="BV125" s="27">
        <f t="shared" si="311"/>
        <v>0</v>
      </c>
      <c r="BW125" s="27">
        <f t="shared" si="311"/>
        <v>0</v>
      </c>
      <c r="BX125" s="27">
        <f t="shared" si="311"/>
        <v>0</v>
      </c>
      <c r="BY125" s="27">
        <f t="shared" si="311"/>
        <v>0</v>
      </c>
      <c r="BZ125" s="27">
        <f t="shared" si="311"/>
        <v>0</v>
      </c>
      <c r="CA125" s="27">
        <f t="shared" si="311"/>
        <v>13084990</v>
      </c>
      <c r="CB125" s="27">
        <f t="shared" si="311"/>
        <v>11476956</v>
      </c>
      <c r="CC125" s="27">
        <f t="shared" si="311"/>
        <v>1000054</v>
      </c>
      <c r="CD125" s="27">
        <f t="shared" si="311"/>
        <v>1000054</v>
      </c>
      <c r="CE125" s="27">
        <f t="shared" si="311"/>
        <v>1000054</v>
      </c>
      <c r="CF125" s="27">
        <f t="shared" si="311"/>
        <v>0</v>
      </c>
      <c r="CG125" s="27">
        <f t="shared" si="311"/>
        <v>1000054</v>
      </c>
      <c r="CH125" s="27">
        <f t="shared" si="311"/>
        <v>0</v>
      </c>
      <c r="CI125" s="27">
        <f t="shared" si="311"/>
        <v>0</v>
      </c>
      <c r="CJ125" s="27">
        <f t="shared" si="311"/>
        <v>0</v>
      </c>
      <c r="CK125" s="27">
        <f t="shared" si="311"/>
        <v>0</v>
      </c>
      <c r="CL125" s="27">
        <f t="shared" si="311"/>
        <v>0</v>
      </c>
      <c r="CM125" s="27">
        <f t="shared" si="311"/>
        <v>0</v>
      </c>
      <c r="CN125" s="27">
        <f t="shared" si="311"/>
        <v>0</v>
      </c>
      <c r="CO125" s="27">
        <f t="shared" si="311"/>
        <v>0</v>
      </c>
      <c r="CP125" s="27">
        <f t="shared" si="311"/>
        <v>0</v>
      </c>
      <c r="CQ125" s="27"/>
      <c r="CR125" s="27"/>
      <c r="CS125" s="27"/>
      <c r="CT125" s="27"/>
      <c r="CU125" s="27">
        <f t="shared" ref="CU125:DC125" si="315">SUM(CU126+CU130+CU133+CU138+CU140+CU142)</f>
        <v>0</v>
      </c>
      <c r="CV125" s="27">
        <f t="shared" si="315"/>
        <v>0</v>
      </c>
      <c r="CW125" s="27">
        <f t="shared" si="315"/>
        <v>0</v>
      </c>
      <c r="CX125" s="27">
        <f t="shared" si="315"/>
        <v>0</v>
      </c>
      <c r="CY125" s="27">
        <f t="shared" ref="CY125" si="316">SUM(CY126+CY130+CY133+CY138+CY140+CY142)</f>
        <v>0</v>
      </c>
      <c r="CZ125" s="27">
        <f t="shared" si="315"/>
        <v>0</v>
      </c>
      <c r="DA125" s="27">
        <f t="shared" si="315"/>
        <v>0</v>
      </c>
      <c r="DB125" s="27">
        <f t="shared" si="315"/>
        <v>0</v>
      </c>
      <c r="DC125" s="60">
        <f t="shared" si="315"/>
        <v>0</v>
      </c>
      <c r="DD125" s="57"/>
    </row>
    <row r="126" spans="1:108" ht="15.6" x14ac:dyDescent="0.3">
      <c r="A126" s="93" t="s">
        <v>187</v>
      </c>
      <c r="B126" s="16" t="s">
        <v>1</v>
      </c>
      <c r="C126" s="17" t="s">
        <v>188</v>
      </c>
      <c r="D126" s="18">
        <f>SUM(D127:D129)</f>
        <v>88590472</v>
      </c>
      <c r="E126" s="18">
        <f t="shared" ref="E126:BW126" si="317">SUM(E127:E129)</f>
        <v>87919868</v>
      </c>
      <c r="F126" s="18">
        <f t="shared" si="317"/>
        <v>79997385</v>
      </c>
      <c r="G126" s="18">
        <f t="shared" si="317"/>
        <v>45618940</v>
      </c>
      <c r="H126" s="18">
        <f t="shared" si="317"/>
        <v>10764625</v>
      </c>
      <c r="I126" s="18">
        <f t="shared" si="317"/>
        <v>14974694</v>
      </c>
      <c r="J126" s="18">
        <f t="shared" si="317"/>
        <v>252029</v>
      </c>
      <c r="K126" s="18">
        <f t="shared" si="317"/>
        <v>938033</v>
      </c>
      <c r="L126" s="18">
        <f t="shared" si="317"/>
        <v>12444003</v>
      </c>
      <c r="M126" s="18">
        <f t="shared" si="317"/>
        <v>0</v>
      </c>
      <c r="N126" s="18">
        <f t="shared" si="317"/>
        <v>566498</v>
      </c>
      <c r="O126" s="18">
        <f t="shared" si="317"/>
        <v>774131</v>
      </c>
      <c r="P126" s="18">
        <f t="shared" si="317"/>
        <v>0</v>
      </c>
      <c r="Q126" s="18">
        <f t="shared" si="317"/>
        <v>0</v>
      </c>
      <c r="R126" s="18">
        <f t="shared" si="317"/>
        <v>0</v>
      </c>
      <c r="S126" s="18">
        <f t="shared" si="317"/>
        <v>0</v>
      </c>
      <c r="T126" s="18">
        <f t="shared" si="317"/>
        <v>81387</v>
      </c>
      <c r="U126" s="18">
        <f t="shared" si="317"/>
        <v>6380037</v>
      </c>
      <c r="V126" s="18">
        <f t="shared" si="317"/>
        <v>174110</v>
      </c>
      <c r="W126" s="18">
        <f t="shared" si="317"/>
        <v>3192196</v>
      </c>
      <c r="X126" s="18">
        <f t="shared" si="317"/>
        <v>1807488</v>
      </c>
      <c r="Y126" s="18">
        <f t="shared" si="317"/>
        <v>607344</v>
      </c>
      <c r="Z126" s="18">
        <f t="shared" si="317"/>
        <v>81322</v>
      </c>
      <c r="AA126" s="18">
        <f t="shared" si="317"/>
        <v>0</v>
      </c>
      <c r="AB126" s="18">
        <f t="shared" si="317"/>
        <v>0</v>
      </c>
      <c r="AC126" s="18">
        <f t="shared" si="317"/>
        <v>517577</v>
      </c>
      <c r="AD126" s="18">
        <f t="shared" si="317"/>
        <v>2177702</v>
      </c>
      <c r="AE126" s="18">
        <f t="shared" si="317"/>
        <v>0</v>
      </c>
      <c r="AF126" s="18">
        <f t="shared" si="317"/>
        <v>0</v>
      </c>
      <c r="AG126" s="18">
        <f t="shared" si="317"/>
        <v>70352</v>
      </c>
      <c r="AH126" s="18">
        <f t="shared" si="317"/>
        <v>774173</v>
      </c>
      <c r="AI126" s="18">
        <f t="shared" si="317"/>
        <v>104265</v>
      </c>
      <c r="AJ126" s="18">
        <f t="shared" si="317"/>
        <v>370345</v>
      </c>
      <c r="AK126" s="18">
        <f t="shared" si="317"/>
        <v>0</v>
      </c>
      <c r="AL126" s="18">
        <f t="shared" si="317"/>
        <v>10935</v>
      </c>
      <c r="AM126" s="18">
        <f t="shared" si="317"/>
        <v>12852</v>
      </c>
      <c r="AN126" s="18">
        <f t="shared" si="317"/>
        <v>0</v>
      </c>
      <c r="AO126" s="18">
        <f t="shared" si="317"/>
        <v>2847</v>
      </c>
      <c r="AP126" s="18">
        <f t="shared" si="317"/>
        <v>0</v>
      </c>
      <c r="AQ126" s="18">
        <f t="shared" si="317"/>
        <v>621778</v>
      </c>
      <c r="AR126" s="18">
        <f t="shared" si="317"/>
        <v>31572</v>
      </c>
      <c r="AS126" s="18"/>
      <c r="AT126" s="18"/>
      <c r="AU126" s="18">
        <f t="shared" si="317"/>
        <v>0</v>
      </c>
      <c r="AV126" s="18">
        <f t="shared" si="317"/>
        <v>0</v>
      </c>
      <c r="AW126" s="18">
        <f t="shared" si="317"/>
        <v>0</v>
      </c>
      <c r="AX126" s="18"/>
      <c r="AY126" s="18">
        <f t="shared" si="317"/>
        <v>178583</v>
      </c>
      <c r="AZ126" s="18">
        <f t="shared" si="317"/>
        <v>0</v>
      </c>
      <c r="BA126" s="18">
        <f t="shared" si="317"/>
        <v>0</v>
      </c>
      <c r="BB126" s="18">
        <f t="shared" si="317"/>
        <v>0</v>
      </c>
      <c r="BC126" s="18">
        <f t="shared" si="317"/>
        <v>7922483</v>
      </c>
      <c r="BD126" s="18">
        <f t="shared" si="317"/>
        <v>0</v>
      </c>
      <c r="BE126" s="18">
        <f t="shared" si="317"/>
        <v>0</v>
      </c>
      <c r="BF126" s="18">
        <f t="shared" si="317"/>
        <v>0</v>
      </c>
      <c r="BG126" s="18">
        <f t="shared" si="317"/>
        <v>0</v>
      </c>
      <c r="BH126" s="18">
        <f t="shared" si="317"/>
        <v>0</v>
      </c>
      <c r="BI126" s="18">
        <f t="shared" si="317"/>
        <v>0</v>
      </c>
      <c r="BJ126" s="18">
        <f t="shared" ref="BJ126" si="318">SUM(BJ127:BJ129)</f>
        <v>0</v>
      </c>
      <c r="BK126" s="18">
        <f t="shared" si="317"/>
        <v>0</v>
      </c>
      <c r="BL126" s="18">
        <f t="shared" si="317"/>
        <v>0</v>
      </c>
      <c r="BM126" s="18">
        <f t="shared" ref="BM126" si="319">SUM(BM127:BM129)</f>
        <v>0</v>
      </c>
      <c r="BN126" s="18">
        <f t="shared" si="317"/>
        <v>0</v>
      </c>
      <c r="BO126" s="18">
        <f t="shared" si="317"/>
        <v>0</v>
      </c>
      <c r="BP126" s="18">
        <f t="shared" ref="BP126" si="320">SUM(BP127:BP129)</f>
        <v>0</v>
      </c>
      <c r="BQ126" s="18">
        <f t="shared" si="317"/>
        <v>7922483</v>
      </c>
      <c r="BR126" s="18">
        <f t="shared" si="317"/>
        <v>0</v>
      </c>
      <c r="BS126" s="18">
        <f t="shared" si="317"/>
        <v>0</v>
      </c>
      <c r="BT126" s="18">
        <f t="shared" si="317"/>
        <v>0</v>
      </c>
      <c r="BU126" s="18">
        <f t="shared" si="317"/>
        <v>0</v>
      </c>
      <c r="BV126" s="18">
        <f t="shared" si="317"/>
        <v>0</v>
      </c>
      <c r="BW126" s="18">
        <f t="shared" si="317"/>
        <v>0</v>
      </c>
      <c r="BX126" s="18">
        <f t="shared" ref="BX126:DC126" si="321">SUM(BX127:BX129)</f>
        <v>0</v>
      </c>
      <c r="BY126" s="18">
        <f t="shared" si="321"/>
        <v>0</v>
      </c>
      <c r="BZ126" s="18">
        <f t="shared" si="321"/>
        <v>0</v>
      </c>
      <c r="CA126" s="18">
        <f t="shared" si="321"/>
        <v>0</v>
      </c>
      <c r="CB126" s="18">
        <f t="shared" si="321"/>
        <v>7922483</v>
      </c>
      <c r="CC126" s="18">
        <f t="shared" si="321"/>
        <v>670604</v>
      </c>
      <c r="CD126" s="18">
        <f t="shared" si="321"/>
        <v>670604</v>
      </c>
      <c r="CE126" s="18">
        <f t="shared" si="321"/>
        <v>670604</v>
      </c>
      <c r="CF126" s="18">
        <f t="shared" si="321"/>
        <v>0</v>
      </c>
      <c r="CG126" s="18">
        <f t="shared" si="321"/>
        <v>670604</v>
      </c>
      <c r="CH126" s="18">
        <f t="shared" si="321"/>
        <v>0</v>
      </c>
      <c r="CI126" s="18">
        <f t="shared" si="321"/>
        <v>0</v>
      </c>
      <c r="CJ126" s="18">
        <f t="shared" ref="CJ126:CK126" si="322">SUM(CJ127:CJ129)</f>
        <v>0</v>
      </c>
      <c r="CK126" s="18">
        <f t="shared" si="322"/>
        <v>0</v>
      </c>
      <c r="CL126" s="18">
        <f t="shared" si="321"/>
        <v>0</v>
      </c>
      <c r="CM126" s="18">
        <f t="shared" ref="CM126" si="323">SUM(CM127:CM129)</f>
        <v>0</v>
      </c>
      <c r="CN126" s="18">
        <f t="shared" si="321"/>
        <v>0</v>
      </c>
      <c r="CO126" s="18">
        <f t="shared" ref="CO126" si="324">SUM(CO127:CO129)</f>
        <v>0</v>
      </c>
      <c r="CP126" s="18">
        <f t="shared" si="321"/>
        <v>0</v>
      </c>
      <c r="CQ126" s="18"/>
      <c r="CR126" s="18"/>
      <c r="CS126" s="18"/>
      <c r="CT126" s="18"/>
      <c r="CU126" s="18">
        <f t="shared" si="321"/>
        <v>0</v>
      </c>
      <c r="CV126" s="73"/>
      <c r="CW126" s="73"/>
      <c r="CX126" s="73"/>
      <c r="CY126" s="73"/>
      <c r="CZ126" s="18">
        <f t="shared" si="321"/>
        <v>0</v>
      </c>
      <c r="DA126" s="18">
        <f t="shared" si="321"/>
        <v>0</v>
      </c>
      <c r="DB126" s="18">
        <f t="shared" si="321"/>
        <v>0</v>
      </c>
      <c r="DC126" s="46">
        <f t="shared" si="321"/>
        <v>0</v>
      </c>
      <c r="DD126" s="57"/>
    </row>
    <row r="127" spans="1:108" s="78" customFormat="1" ht="15.6" x14ac:dyDescent="0.3">
      <c r="A127" s="96" t="s">
        <v>1</v>
      </c>
      <c r="B127" s="71" t="s">
        <v>54</v>
      </c>
      <c r="C127" s="72" t="s">
        <v>189</v>
      </c>
      <c r="D127" s="74">
        <f>SUM(E127+CC127+CZ127)</f>
        <v>28490813</v>
      </c>
      <c r="E127" s="74">
        <f>SUM(F127+BC127)</f>
        <v>28343130</v>
      </c>
      <c r="F127" s="74">
        <f t="shared" ref="F127:F129" si="325">SUM(G127+H127+I127+P127+S127+T127+U127+AD127)</f>
        <v>23693090</v>
      </c>
      <c r="G127" s="74">
        <v>12152635</v>
      </c>
      <c r="H127" s="74">
        <v>2950975</v>
      </c>
      <c r="I127" s="74">
        <f t="shared" si="127"/>
        <v>5728794</v>
      </c>
      <c r="J127" s="75">
        <v>71191</v>
      </c>
      <c r="K127" s="75">
        <v>370607</v>
      </c>
      <c r="L127" s="75">
        <v>4735315</v>
      </c>
      <c r="M127" s="75">
        <v>0</v>
      </c>
      <c r="N127" s="75">
        <v>293389</v>
      </c>
      <c r="O127" s="75">
        <v>258292</v>
      </c>
      <c r="P127" s="74">
        <f t="shared" si="128"/>
        <v>0</v>
      </c>
      <c r="Q127" s="74">
        <v>0</v>
      </c>
      <c r="R127" s="74">
        <v>0</v>
      </c>
      <c r="S127" s="74">
        <v>0</v>
      </c>
      <c r="T127" s="75">
        <v>21737</v>
      </c>
      <c r="U127" s="74">
        <f t="shared" ref="U127:U129" si="326">SUM(V127:AC127)</f>
        <v>2143690</v>
      </c>
      <c r="V127" s="75">
        <v>43071</v>
      </c>
      <c r="W127" s="75">
        <f>790384+197148</f>
        <v>987532</v>
      </c>
      <c r="X127" s="75">
        <f>484828+133994</f>
        <v>618822</v>
      </c>
      <c r="Y127" s="75">
        <f>233034+9512</f>
        <v>242546</v>
      </c>
      <c r="Z127" s="75">
        <v>22194</v>
      </c>
      <c r="AA127" s="75">
        <v>0</v>
      </c>
      <c r="AB127" s="75">
        <v>0</v>
      </c>
      <c r="AC127" s="75">
        <f>181160+48365</f>
        <v>229525</v>
      </c>
      <c r="AD127" s="74">
        <f>SUM(AE127:AY127)</f>
        <v>695259</v>
      </c>
      <c r="AE127" s="74">
        <v>0</v>
      </c>
      <c r="AF127" s="74">
        <v>0</v>
      </c>
      <c r="AG127" s="75">
        <v>23352</v>
      </c>
      <c r="AH127" s="75">
        <v>317066</v>
      </c>
      <c r="AI127" s="75">
        <v>0</v>
      </c>
      <c r="AJ127" s="75">
        <v>14591</v>
      </c>
      <c r="AK127" s="75">
        <v>0</v>
      </c>
      <c r="AL127" s="75">
        <v>9800</v>
      </c>
      <c r="AM127" s="75">
        <v>6235</v>
      </c>
      <c r="AN127" s="75">
        <v>0</v>
      </c>
      <c r="AO127" s="75">
        <v>2847</v>
      </c>
      <c r="AP127" s="75">
        <v>0</v>
      </c>
      <c r="AQ127" s="75">
        <v>254842</v>
      </c>
      <c r="AR127" s="75">
        <v>0</v>
      </c>
      <c r="AS127" s="75">
        <v>0</v>
      </c>
      <c r="AT127" s="75">
        <v>0</v>
      </c>
      <c r="AU127" s="75">
        <v>0</v>
      </c>
      <c r="AV127" s="75">
        <v>0</v>
      </c>
      <c r="AW127" s="75">
        <v>0</v>
      </c>
      <c r="AX127" s="75">
        <v>0</v>
      </c>
      <c r="AY127" s="75">
        <v>66526</v>
      </c>
      <c r="AZ127" s="75"/>
      <c r="BA127" s="75"/>
      <c r="BB127" s="75"/>
      <c r="BC127" s="74">
        <f>SUM(BD127+BH127+BL127+BN127+BQ127)</f>
        <v>4650040</v>
      </c>
      <c r="BD127" s="74">
        <f>SUM(BE127:BG127)</f>
        <v>0</v>
      </c>
      <c r="BE127" s="74">
        <v>0</v>
      </c>
      <c r="BF127" s="74">
        <v>0</v>
      </c>
      <c r="BG127" s="74">
        <v>0</v>
      </c>
      <c r="BH127" s="74">
        <f t="shared" ref="BH127:BH129" si="327">SUM(BI127:BK127)</f>
        <v>0</v>
      </c>
      <c r="BI127" s="74">
        <v>0</v>
      </c>
      <c r="BJ127" s="74">
        <v>0</v>
      </c>
      <c r="BK127" s="74">
        <v>0</v>
      </c>
      <c r="BL127" s="74">
        <v>0</v>
      </c>
      <c r="BM127" s="74">
        <v>0</v>
      </c>
      <c r="BN127" s="74">
        <f t="shared" si="129"/>
        <v>0</v>
      </c>
      <c r="BO127" s="74">
        <v>0</v>
      </c>
      <c r="BP127" s="74">
        <v>0</v>
      </c>
      <c r="BQ127" s="74">
        <f>SUM(BR127:CB127)</f>
        <v>4650040</v>
      </c>
      <c r="BR127" s="74">
        <v>0</v>
      </c>
      <c r="BS127" s="74">
        <v>0</v>
      </c>
      <c r="BT127" s="74">
        <v>0</v>
      </c>
      <c r="BU127" s="74">
        <v>0</v>
      </c>
      <c r="BV127" s="74">
        <v>0</v>
      </c>
      <c r="BW127" s="76"/>
      <c r="BX127" s="74">
        <v>0</v>
      </c>
      <c r="BY127" s="74">
        <v>0</v>
      </c>
      <c r="BZ127" s="74">
        <v>0</v>
      </c>
      <c r="CA127" s="74">
        <v>0</v>
      </c>
      <c r="CB127" s="75">
        <v>4650040</v>
      </c>
      <c r="CC127" s="74">
        <f>SUM(CD127+CU127)</f>
        <v>147683</v>
      </c>
      <c r="CD127" s="74">
        <f>SUM(CE127+CH127+CN127)</f>
        <v>147683</v>
      </c>
      <c r="CE127" s="74">
        <f t="shared" si="130"/>
        <v>147683</v>
      </c>
      <c r="CF127" s="74">
        <v>0</v>
      </c>
      <c r="CG127" s="75">
        <v>147683</v>
      </c>
      <c r="CH127" s="74">
        <f t="shared" ref="CH127:CH129" si="328">SUM(CI127:CM127)</f>
        <v>0</v>
      </c>
      <c r="CI127" s="74">
        <v>0</v>
      </c>
      <c r="CJ127" s="74">
        <v>0</v>
      </c>
      <c r="CK127" s="74">
        <v>0</v>
      </c>
      <c r="CL127" s="74">
        <v>0</v>
      </c>
      <c r="CM127" s="74">
        <v>0</v>
      </c>
      <c r="CN127" s="74">
        <f>SUM(CO127:CQ127)</f>
        <v>0</v>
      </c>
      <c r="CO127" s="74">
        <v>0</v>
      </c>
      <c r="CP127" s="74">
        <v>0</v>
      </c>
      <c r="CQ127" s="74"/>
      <c r="CR127" s="74"/>
      <c r="CS127" s="74"/>
      <c r="CT127" s="74"/>
      <c r="CU127" s="74">
        <v>0</v>
      </c>
      <c r="CV127" s="74"/>
      <c r="CW127" s="74"/>
      <c r="CX127" s="74"/>
      <c r="CY127" s="74"/>
      <c r="CZ127" s="74">
        <f t="shared" si="131"/>
        <v>0</v>
      </c>
      <c r="DA127" s="74">
        <f t="shared" si="132"/>
        <v>0</v>
      </c>
      <c r="DB127" s="74">
        <v>0</v>
      </c>
      <c r="DC127" s="77">
        <v>0</v>
      </c>
    </row>
    <row r="128" spans="1:108" s="88" customFormat="1" ht="15.6" x14ac:dyDescent="0.3">
      <c r="A128" s="96" t="s">
        <v>1</v>
      </c>
      <c r="B128" s="71" t="s">
        <v>54</v>
      </c>
      <c r="C128" s="72" t="s">
        <v>190</v>
      </c>
      <c r="D128" s="74">
        <f>SUM(E128+CC128+CZ128)</f>
        <v>46655929</v>
      </c>
      <c r="E128" s="74">
        <f>SUM(F128+BC128)</f>
        <v>46133008</v>
      </c>
      <c r="F128" s="74">
        <f t="shared" si="325"/>
        <v>42860565</v>
      </c>
      <c r="G128" s="74">
        <v>24341405</v>
      </c>
      <c r="H128" s="74">
        <v>5678621</v>
      </c>
      <c r="I128" s="74">
        <f t="shared" si="127"/>
        <v>8630284</v>
      </c>
      <c r="J128" s="75">
        <v>173545</v>
      </c>
      <c r="K128" s="75">
        <v>567426</v>
      </c>
      <c r="L128" s="75">
        <f>8698672-1555176</f>
        <v>7143496</v>
      </c>
      <c r="M128" s="75">
        <v>0</v>
      </c>
      <c r="N128" s="75">
        <v>273109</v>
      </c>
      <c r="O128" s="75">
        <v>472708</v>
      </c>
      <c r="P128" s="74">
        <f t="shared" si="128"/>
        <v>0</v>
      </c>
      <c r="Q128" s="74">
        <v>0</v>
      </c>
      <c r="R128" s="74">
        <v>0</v>
      </c>
      <c r="S128" s="74">
        <v>0</v>
      </c>
      <c r="T128" s="75">
        <v>29744</v>
      </c>
      <c r="U128" s="74">
        <f t="shared" si="326"/>
        <v>2784753</v>
      </c>
      <c r="V128" s="75">
        <v>108076</v>
      </c>
      <c r="W128" s="75">
        <f>994617+260964</f>
        <v>1255581</v>
      </c>
      <c r="X128" s="75">
        <f>566796+250767</f>
        <v>817563</v>
      </c>
      <c r="Y128" s="75">
        <f>256717+16380</f>
        <v>273097</v>
      </c>
      <c r="Z128" s="75">
        <v>42384</v>
      </c>
      <c r="AA128" s="75">
        <v>0</v>
      </c>
      <c r="AB128" s="75">
        <v>0</v>
      </c>
      <c r="AC128" s="75">
        <f>227095+60957</f>
        <v>288052</v>
      </c>
      <c r="AD128" s="74">
        <f>SUM(AE128:AY128)</f>
        <v>1395758</v>
      </c>
      <c r="AE128" s="74">
        <v>0</v>
      </c>
      <c r="AF128" s="74">
        <v>0</v>
      </c>
      <c r="AG128" s="75">
        <v>47000</v>
      </c>
      <c r="AH128" s="75">
        <v>457107</v>
      </c>
      <c r="AI128" s="75">
        <v>104265</v>
      </c>
      <c r="AJ128" s="75">
        <v>355754</v>
      </c>
      <c r="AK128" s="75">
        <v>0</v>
      </c>
      <c r="AL128" s="75">
        <v>1135</v>
      </c>
      <c r="AM128" s="75">
        <v>6617</v>
      </c>
      <c r="AN128" s="75">
        <v>0</v>
      </c>
      <c r="AO128" s="75">
        <v>0</v>
      </c>
      <c r="AP128" s="75">
        <v>0</v>
      </c>
      <c r="AQ128" s="75">
        <v>280251</v>
      </c>
      <c r="AR128" s="75">
        <v>31572</v>
      </c>
      <c r="AS128" s="75">
        <v>0</v>
      </c>
      <c r="AT128" s="75">
        <v>0</v>
      </c>
      <c r="AU128" s="75">
        <v>0</v>
      </c>
      <c r="AV128" s="75">
        <v>0</v>
      </c>
      <c r="AW128" s="75">
        <v>0</v>
      </c>
      <c r="AX128" s="75">
        <v>0</v>
      </c>
      <c r="AY128" s="75">
        <v>112057</v>
      </c>
      <c r="AZ128" s="75"/>
      <c r="BA128" s="75"/>
      <c r="BB128" s="75"/>
      <c r="BC128" s="74">
        <f>SUM(BD128+BH128+BL128+BN128+BQ128)</f>
        <v>3272443</v>
      </c>
      <c r="BD128" s="74">
        <f>SUM(BE128:BG128)</f>
        <v>0</v>
      </c>
      <c r="BE128" s="74">
        <v>0</v>
      </c>
      <c r="BF128" s="74">
        <v>0</v>
      </c>
      <c r="BG128" s="74">
        <v>0</v>
      </c>
      <c r="BH128" s="74">
        <f t="shared" si="327"/>
        <v>0</v>
      </c>
      <c r="BI128" s="74">
        <v>0</v>
      </c>
      <c r="BJ128" s="74">
        <v>0</v>
      </c>
      <c r="BK128" s="74">
        <v>0</v>
      </c>
      <c r="BL128" s="74">
        <v>0</v>
      </c>
      <c r="BM128" s="74">
        <v>0</v>
      </c>
      <c r="BN128" s="74">
        <f t="shared" si="129"/>
        <v>0</v>
      </c>
      <c r="BO128" s="74">
        <v>0</v>
      </c>
      <c r="BP128" s="74">
        <v>0</v>
      </c>
      <c r="BQ128" s="74">
        <f>SUM(BR128:CB128)</f>
        <v>3272443</v>
      </c>
      <c r="BR128" s="74">
        <v>0</v>
      </c>
      <c r="BS128" s="74">
        <v>0</v>
      </c>
      <c r="BT128" s="74">
        <v>0</v>
      </c>
      <c r="BU128" s="74">
        <v>0</v>
      </c>
      <c r="BV128" s="74">
        <v>0</v>
      </c>
      <c r="BW128" s="76"/>
      <c r="BX128" s="74">
        <v>0</v>
      </c>
      <c r="BY128" s="74">
        <v>0</v>
      </c>
      <c r="BZ128" s="74">
        <v>0</v>
      </c>
      <c r="CA128" s="74">
        <v>0</v>
      </c>
      <c r="CB128" s="75">
        <v>3272443</v>
      </c>
      <c r="CC128" s="74">
        <f>SUM(CD128+CU128)</f>
        <v>522921</v>
      </c>
      <c r="CD128" s="74">
        <f>SUM(CE128+CH128+CN128)</f>
        <v>522921</v>
      </c>
      <c r="CE128" s="74">
        <f t="shared" si="130"/>
        <v>522921</v>
      </c>
      <c r="CF128" s="74">
        <v>0</v>
      </c>
      <c r="CG128" s="75">
        <v>522921</v>
      </c>
      <c r="CH128" s="74">
        <f t="shared" si="328"/>
        <v>0</v>
      </c>
      <c r="CI128" s="74">
        <v>0</v>
      </c>
      <c r="CJ128" s="74">
        <v>0</v>
      </c>
      <c r="CK128" s="74">
        <v>0</v>
      </c>
      <c r="CL128" s="74">
        <v>0</v>
      </c>
      <c r="CM128" s="74">
        <v>0</v>
      </c>
      <c r="CN128" s="74">
        <f>SUM(CO128:CQ128)</f>
        <v>0</v>
      </c>
      <c r="CO128" s="75"/>
      <c r="CP128" s="74">
        <v>0</v>
      </c>
      <c r="CQ128" s="74"/>
      <c r="CR128" s="74"/>
      <c r="CS128" s="74"/>
      <c r="CT128" s="74"/>
      <c r="CU128" s="74">
        <v>0</v>
      </c>
      <c r="CV128" s="74"/>
      <c r="CW128" s="74"/>
      <c r="CX128" s="74"/>
      <c r="CY128" s="74"/>
      <c r="CZ128" s="74">
        <f t="shared" si="131"/>
        <v>0</v>
      </c>
      <c r="DA128" s="74">
        <f t="shared" si="132"/>
        <v>0</v>
      </c>
      <c r="DB128" s="74">
        <v>0</v>
      </c>
      <c r="DC128" s="77">
        <v>0</v>
      </c>
      <c r="DD128" s="78"/>
    </row>
    <row r="129" spans="1:108" s="78" customFormat="1" ht="15.6" x14ac:dyDescent="0.3">
      <c r="A129" s="96" t="s">
        <v>1</v>
      </c>
      <c r="B129" s="71" t="s">
        <v>58</v>
      </c>
      <c r="C129" s="72" t="s">
        <v>191</v>
      </c>
      <c r="D129" s="74">
        <f>SUM(E129+CC129+CZ129)</f>
        <v>13443730</v>
      </c>
      <c r="E129" s="74">
        <f>SUM(F129+BC129)</f>
        <v>13443730</v>
      </c>
      <c r="F129" s="74">
        <f t="shared" si="325"/>
        <v>13443730</v>
      </c>
      <c r="G129" s="74">
        <v>9124900</v>
      </c>
      <c r="H129" s="74">
        <v>2135029</v>
      </c>
      <c r="I129" s="74">
        <f t="shared" si="127"/>
        <v>615616</v>
      </c>
      <c r="J129" s="75">
        <v>7293</v>
      </c>
      <c r="K129" s="75">
        <v>0</v>
      </c>
      <c r="L129" s="75">
        <f>688237-123045</f>
        <v>565192</v>
      </c>
      <c r="M129" s="75">
        <v>0</v>
      </c>
      <c r="N129" s="75">
        <v>0</v>
      </c>
      <c r="O129" s="75">
        <v>43131</v>
      </c>
      <c r="P129" s="74">
        <f t="shared" si="128"/>
        <v>0</v>
      </c>
      <c r="Q129" s="74">
        <v>0</v>
      </c>
      <c r="R129" s="76"/>
      <c r="S129" s="74">
        <v>0</v>
      </c>
      <c r="T129" s="75">
        <v>29906</v>
      </c>
      <c r="U129" s="74">
        <f t="shared" si="326"/>
        <v>1451594</v>
      </c>
      <c r="V129" s="75">
        <v>22963</v>
      </c>
      <c r="W129" s="75">
        <f>724678+224405</f>
        <v>949083</v>
      </c>
      <c r="X129" s="75">
        <f>246571+124532</f>
        <v>371103</v>
      </c>
      <c r="Y129" s="75">
        <f>68700+23001</f>
        <v>91701</v>
      </c>
      <c r="Z129" s="75">
        <v>16744</v>
      </c>
      <c r="AA129" s="75">
        <v>0</v>
      </c>
      <c r="AB129" s="75">
        <v>0</v>
      </c>
      <c r="AC129" s="75">
        <v>0</v>
      </c>
      <c r="AD129" s="74">
        <f>SUM(AE129:AY129)</f>
        <v>86685</v>
      </c>
      <c r="AE129" s="74">
        <v>0</v>
      </c>
      <c r="AF129" s="74">
        <v>0</v>
      </c>
      <c r="AG129" s="75">
        <v>0</v>
      </c>
      <c r="AH129" s="75">
        <v>0</v>
      </c>
      <c r="AI129" s="75">
        <v>0</v>
      </c>
      <c r="AJ129" s="75">
        <v>0</v>
      </c>
      <c r="AK129" s="75">
        <v>0</v>
      </c>
      <c r="AL129" s="75">
        <v>0</v>
      </c>
      <c r="AM129" s="75">
        <v>0</v>
      </c>
      <c r="AN129" s="75">
        <v>0</v>
      </c>
      <c r="AO129" s="75">
        <v>0</v>
      </c>
      <c r="AP129" s="75">
        <v>0</v>
      </c>
      <c r="AQ129" s="75">
        <v>86685</v>
      </c>
      <c r="AR129" s="75">
        <v>0</v>
      </c>
      <c r="AS129" s="75">
        <v>0</v>
      </c>
      <c r="AT129" s="75">
        <v>0</v>
      </c>
      <c r="AU129" s="75">
        <v>0</v>
      </c>
      <c r="AV129" s="75">
        <v>0</v>
      </c>
      <c r="AW129" s="75">
        <v>0</v>
      </c>
      <c r="AX129" s="75">
        <v>0</v>
      </c>
      <c r="AY129" s="75">
        <v>0</v>
      </c>
      <c r="AZ129" s="75"/>
      <c r="BA129" s="75"/>
      <c r="BB129" s="75"/>
      <c r="BC129" s="74">
        <f>SUM(BD129+BH129+BL129+BN129+BQ129)</f>
        <v>0</v>
      </c>
      <c r="BD129" s="74">
        <f>SUM(BE129:BG129)</f>
        <v>0</v>
      </c>
      <c r="BE129" s="74">
        <v>0</v>
      </c>
      <c r="BF129" s="74">
        <v>0</v>
      </c>
      <c r="BG129" s="74">
        <v>0</v>
      </c>
      <c r="BH129" s="74">
        <f t="shared" si="327"/>
        <v>0</v>
      </c>
      <c r="BI129" s="74">
        <v>0</v>
      </c>
      <c r="BJ129" s="74">
        <v>0</v>
      </c>
      <c r="BK129" s="74">
        <v>0</v>
      </c>
      <c r="BL129" s="74">
        <v>0</v>
      </c>
      <c r="BM129" s="74">
        <v>0</v>
      </c>
      <c r="BN129" s="74">
        <f t="shared" si="129"/>
        <v>0</v>
      </c>
      <c r="BO129" s="74">
        <v>0</v>
      </c>
      <c r="BP129" s="74">
        <v>0</v>
      </c>
      <c r="BQ129" s="74">
        <f>SUM(BR129:CB129)</f>
        <v>0</v>
      </c>
      <c r="BR129" s="74">
        <v>0</v>
      </c>
      <c r="BS129" s="74">
        <v>0</v>
      </c>
      <c r="BT129" s="74">
        <v>0</v>
      </c>
      <c r="BU129" s="74">
        <v>0</v>
      </c>
      <c r="BV129" s="74">
        <v>0</v>
      </c>
      <c r="BW129" s="74">
        <v>0</v>
      </c>
      <c r="BX129" s="74">
        <v>0</v>
      </c>
      <c r="BY129" s="74">
        <v>0</v>
      </c>
      <c r="BZ129" s="74">
        <v>0</v>
      </c>
      <c r="CA129" s="74">
        <v>0</v>
      </c>
      <c r="CB129" s="74"/>
      <c r="CC129" s="74">
        <f>SUM(CD129+CU129)</f>
        <v>0</v>
      </c>
      <c r="CD129" s="74">
        <f>SUM(CE129+CH129+CN129)</f>
        <v>0</v>
      </c>
      <c r="CE129" s="74">
        <f t="shared" si="130"/>
        <v>0</v>
      </c>
      <c r="CF129" s="74">
        <v>0</v>
      </c>
      <c r="CG129" s="75"/>
      <c r="CH129" s="74">
        <f t="shared" si="328"/>
        <v>0</v>
      </c>
      <c r="CI129" s="74">
        <v>0</v>
      </c>
      <c r="CJ129" s="74">
        <v>0</v>
      </c>
      <c r="CK129" s="74">
        <v>0</v>
      </c>
      <c r="CL129" s="74">
        <v>0</v>
      </c>
      <c r="CM129" s="74">
        <v>0</v>
      </c>
      <c r="CN129" s="74">
        <f>SUM(CO129:CQ129)</f>
        <v>0</v>
      </c>
      <c r="CO129" s="74">
        <v>0</v>
      </c>
      <c r="CP129" s="74">
        <v>0</v>
      </c>
      <c r="CQ129" s="74"/>
      <c r="CR129" s="74"/>
      <c r="CS129" s="74"/>
      <c r="CT129" s="74"/>
      <c r="CU129" s="74">
        <v>0</v>
      </c>
      <c r="CV129" s="74"/>
      <c r="CW129" s="74"/>
      <c r="CX129" s="74"/>
      <c r="CY129" s="74"/>
      <c r="CZ129" s="74">
        <f t="shared" si="131"/>
        <v>0</v>
      </c>
      <c r="DA129" s="74">
        <f t="shared" si="132"/>
        <v>0</v>
      </c>
      <c r="DB129" s="74">
        <v>0</v>
      </c>
      <c r="DC129" s="77">
        <v>0</v>
      </c>
    </row>
    <row r="130" spans="1:108" s="78" customFormat="1" ht="15.6" x14ac:dyDescent="0.3">
      <c r="A130" s="93" t="s">
        <v>192</v>
      </c>
      <c r="B130" s="16" t="s">
        <v>1</v>
      </c>
      <c r="C130" s="17" t="s">
        <v>193</v>
      </c>
      <c r="D130" s="18">
        <f t="shared" ref="D130:AR130" si="329">SUM(D131:D132)</f>
        <v>124365468</v>
      </c>
      <c r="E130" s="18">
        <f t="shared" si="329"/>
        <v>124261868</v>
      </c>
      <c r="F130" s="18">
        <f t="shared" si="329"/>
        <v>113325545</v>
      </c>
      <c r="G130" s="18">
        <f t="shared" si="329"/>
        <v>74962984</v>
      </c>
      <c r="H130" s="18">
        <f t="shared" si="329"/>
        <v>17610762</v>
      </c>
      <c r="I130" s="18">
        <f t="shared" si="329"/>
        <v>7448283</v>
      </c>
      <c r="J130" s="18">
        <f t="shared" si="329"/>
        <v>128507</v>
      </c>
      <c r="K130" s="18">
        <f t="shared" si="329"/>
        <v>0</v>
      </c>
      <c r="L130" s="18">
        <f t="shared" si="329"/>
        <v>6100253</v>
      </c>
      <c r="M130" s="18">
        <f t="shared" si="329"/>
        <v>0</v>
      </c>
      <c r="N130" s="18">
        <f t="shared" si="329"/>
        <v>938027</v>
      </c>
      <c r="O130" s="18">
        <f t="shared" si="329"/>
        <v>281496</v>
      </c>
      <c r="P130" s="18">
        <f t="shared" si="329"/>
        <v>0</v>
      </c>
      <c r="Q130" s="18">
        <f t="shared" si="329"/>
        <v>0</v>
      </c>
      <c r="R130" s="18">
        <f t="shared" si="329"/>
        <v>0</v>
      </c>
      <c r="S130" s="18">
        <f t="shared" si="329"/>
        <v>0</v>
      </c>
      <c r="T130" s="18">
        <f t="shared" si="329"/>
        <v>187342</v>
      </c>
      <c r="U130" s="18">
        <f t="shared" si="329"/>
        <v>11020057</v>
      </c>
      <c r="V130" s="18">
        <f t="shared" si="329"/>
        <v>298110</v>
      </c>
      <c r="W130" s="18">
        <f t="shared" si="329"/>
        <v>7845345</v>
      </c>
      <c r="X130" s="18">
        <f t="shared" si="329"/>
        <v>2291501</v>
      </c>
      <c r="Y130" s="18">
        <f t="shared" si="329"/>
        <v>534161</v>
      </c>
      <c r="Z130" s="18">
        <f t="shared" si="329"/>
        <v>50000</v>
      </c>
      <c r="AA130" s="18">
        <f t="shared" si="329"/>
        <v>0</v>
      </c>
      <c r="AB130" s="18">
        <f t="shared" si="329"/>
        <v>0</v>
      </c>
      <c r="AC130" s="18">
        <f t="shared" si="329"/>
        <v>940</v>
      </c>
      <c r="AD130" s="18">
        <f t="shared" si="329"/>
        <v>2096117</v>
      </c>
      <c r="AE130" s="18">
        <f t="shared" si="329"/>
        <v>0</v>
      </c>
      <c r="AF130" s="18">
        <f t="shared" si="329"/>
        <v>0</v>
      </c>
      <c r="AG130" s="18">
        <f t="shared" si="329"/>
        <v>30000</v>
      </c>
      <c r="AH130" s="18">
        <f t="shared" si="329"/>
        <v>2859</v>
      </c>
      <c r="AI130" s="18">
        <f t="shared" si="329"/>
        <v>18677</v>
      </c>
      <c r="AJ130" s="18">
        <f t="shared" si="329"/>
        <v>7375</v>
      </c>
      <c r="AK130" s="18">
        <f t="shared" si="329"/>
        <v>0</v>
      </c>
      <c r="AL130" s="18">
        <f t="shared" si="329"/>
        <v>0</v>
      </c>
      <c r="AM130" s="18">
        <f t="shared" si="329"/>
        <v>15702</v>
      </c>
      <c r="AN130" s="18">
        <f t="shared" si="329"/>
        <v>0</v>
      </c>
      <c r="AO130" s="18">
        <f t="shared" si="329"/>
        <v>0</v>
      </c>
      <c r="AP130" s="18">
        <f t="shared" si="329"/>
        <v>0</v>
      </c>
      <c r="AQ130" s="18">
        <f t="shared" si="329"/>
        <v>945504</v>
      </c>
      <c r="AR130" s="18">
        <f t="shared" si="329"/>
        <v>66000</v>
      </c>
      <c r="AS130" s="18"/>
      <c r="AT130" s="18"/>
      <c r="AU130" s="18">
        <f>SUM(AU131:AU132)</f>
        <v>0</v>
      </c>
      <c r="AV130" s="18">
        <f>SUM(AV131:AV132)</f>
        <v>0</v>
      </c>
      <c r="AW130" s="18">
        <f>SUM(AW131:AW132)</f>
        <v>0</v>
      </c>
      <c r="AX130" s="18"/>
      <c r="AY130" s="18">
        <f t="shared" ref="AY130:CP130" si="330">SUM(AY131:AY132)</f>
        <v>1010000</v>
      </c>
      <c r="AZ130" s="18">
        <f t="shared" ref="AZ130" si="331">SUM(AZ131:AZ132)</f>
        <v>0</v>
      </c>
      <c r="BA130" s="18">
        <f t="shared" ref="BA130" si="332">SUM(BA131:BA132)</f>
        <v>0</v>
      </c>
      <c r="BB130" s="18">
        <f t="shared" ref="BB130" si="333">SUM(BB131:BB132)</f>
        <v>0</v>
      </c>
      <c r="BC130" s="18">
        <f t="shared" si="330"/>
        <v>10936323</v>
      </c>
      <c r="BD130" s="18">
        <f t="shared" si="330"/>
        <v>0</v>
      </c>
      <c r="BE130" s="18">
        <f t="shared" si="330"/>
        <v>0</v>
      </c>
      <c r="BF130" s="18">
        <f t="shared" si="330"/>
        <v>0</v>
      </c>
      <c r="BG130" s="18">
        <f t="shared" si="330"/>
        <v>0</v>
      </c>
      <c r="BH130" s="18">
        <f t="shared" si="330"/>
        <v>0</v>
      </c>
      <c r="BI130" s="18">
        <f t="shared" si="330"/>
        <v>0</v>
      </c>
      <c r="BJ130" s="18">
        <f t="shared" si="330"/>
        <v>0</v>
      </c>
      <c r="BK130" s="18">
        <f t="shared" si="330"/>
        <v>0</v>
      </c>
      <c r="BL130" s="18">
        <f t="shared" si="330"/>
        <v>0</v>
      </c>
      <c r="BM130" s="18">
        <f t="shared" si="330"/>
        <v>0</v>
      </c>
      <c r="BN130" s="18">
        <f t="shared" si="330"/>
        <v>0</v>
      </c>
      <c r="BO130" s="18">
        <f t="shared" si="330"/>
        <v>0</v>
      </c>
      <c r="BP130" s="18">
        <f t="shared" si="330"/>
        <v>0</v>
      </c>
      <c r="BQ130" s="18">
        <f t="shared" si="330"/>
        <v>10936323</v>
      </c>
      <c r="BR130" s="18">
        <f t="shared" si="330"/>
        <v>0</v>
      </c>
      <c r="BS130" s="18">
        <f t="shared" si="330"/>
        <v>0</v>
      </c>
      <c r="BT130" s="18">
        <f t="shared" si="330"/>
        <v>4008780</v>
      </c>
      <c r="BU130" s="18">
        <f t="shared" si="330"/>
        <v>0</v>
      </c>
      <c r="BV130" s="18">
        <f t="shared" si="330"/>
        <v>0</v>
      </c>
      <c r="BW130" s="18">
        <f t="shared" si="330"/>
        <v>0</v>
      </c>
      <c r="BX130" s="18">
        <f t="shared" si="330"/>
        <v>0</v>
      </c>
      <c r="BY130" s="18">
        <f t="shared" si="330"/>
        <v>0</v>
      </c>
      <c r="BZ130" s="18">
        <f t="shared" si="330"/>
        <v>0</v>
      </c>
      <c r="CA130" s="18">
        <f t="shared" si="330"/>
        <v>6555144</v>
      </c>
      <c r="CB130" s="18">
        <f t="shared" si="330"/>
        <v>372399</v>
      </c>
      <c r="CC130" s="18">
        <f t="shared" si="330"/>
        <v>103600</v>
      </c>
      <c r="CD130" s="18">
        <f t="shared" si="330"/>
        <v>103600</v>
      </c>
      <c r="CE130" s="18">
        <f t="shared" si="330"/>
        <v>103600</v>
      </c>
      <c r="CF130" s="18">
        <f t="shared" si="330"/>
        <v>0</v>
      </c>
      <c r="CG130" s="18">
        <f t="shared" si="330"/>
        <v>103600</v>
      </c>
      <c r="CH130" s="18">
        <f t="shared" si="330"/>
        <v>0</v>
      </c>
      <c r="CI130" s="18">
        <f t="shared" si="330"/>
        <v>0</v>
      </c>
      <c r="CJ130" s="18">
        <f t="shared" si="330"/>
        <v>0</v>
      </c>
      <c r="CK130" s="18">
        <f t="shared" si="330"/>
        <v>0</v>
      </c>
      <c r="CL130" s="18">
        <f t="shared" si="330"/>
        <v>0</v>
      </c>
      <c r="CM130" s="18">
        <f t="shared" si="330"/>
        <v>0</v>
      </c>
      <c r="CN130" s="18">
        <f t="shared" si="330"/>
        <v>0</v>
      </c>
      <c r="CO130" s="18">
        <f t="shared" si="330"/>
        <v>0</v>
      </c>
      <c r="CP130" s="18">
        <f t="shared" si="330"/>
        <v>0</v>
      </c>
      <c r="CQ130" s="18"/>
      <c r="CR130" s="18"/>
      <c r="CS130" s="18"/>
      <c r="CT130" s="18"/>
      <c r="CU130" s="18">
        <f>SUM(CU131:CU132)</f>
        <v>0</v>
      </c>
      <c r="CV130" s="73"/>
      <c r="CW130" s="73"/>
      <c r="CX130" s="73"/>
      <c r="CY130" s="73"/>
      <c r="CZ130" s="18">
        <f>SUM(CZ131:CZ132)</f>
        <v>0</v>
      </c>
      <c r="DA130" s="18">
        <f>SUM(DA131:DA132)</f>
        <v>0</v>
      </c>
      <c r="DB130" s="18">
        <f>SUM(DB131:DB132)</f>
        <v>0</v>
      </c>
      <c r="DC130" s="46">
        <f>SUM(DC131:DC132)</f>
        <v>0</v>
      </c>
      <c r="DD130" s="57"/>
    </row>
    <row r="131" spans="1:108" s="88" customFormat="1" ht="31.2" x14ac:dyDescent="0.3">
      <c r="A131" s="96" t="s">
        <v>1</v>
      </c>
      <c r="B131" s="71" t="s">
        <v>58</v>
      </c>
      <c r="C131" s="72" t="s">
        <v>195</v>
      </c>
      <c r="D131" s="74">
        <f>SUM(E131+CC131+CZ131)</f>
        <v>108952640</v>
      </c>
      <c r="E131" s="74">
        <f>SUM(F131+BC131)</f>
        <v>108952640</v>
      </c>
      <c r="F131" s="74">
        <f t="shared" ref="F131:F132" si="334">SUM(G131+H131+I131+P131+S131+T131+U131+AD131)</f>
        <v>98244396</v>
      </c>
      <c r="G131" s="74">
        <v>67840759</v>
      </c>
      <c r="H131" s="74">
        <v>15927493</v>
      </c>
      <c r="I131" s="74">
        <f t="shared" si="127"/>
        <v>3316979</v>
      </c>
      <c r="J131" s="75">
        <v>48508</v>
      </c>
      <c r="K131" s="75">
        <v>0</v>
      </c>
      <c r="L131" s="75">
        <f>2826502-505331</f>
        <v>2321171</v>
      </c>
      <c r="M131" s="75">
        <v>0</v>
      </c>
      <c r="N131" s="75">
        <v>741139</v>
      </c>
      <c r="O131" s="75">
        <v>206161</v>
      </c>
      <c r="P131" s="74">
        <f t="shared" si="128"/>
        <v>0</v>
      </c>
      <c r="Q131" s="75"/>
      <c r="R131" s="75">
        <v>0</v>
      </c>
      <c r="S131" s="75">
        <v>0</v>
      </c>
      <c r="T131" s="75">
        <v>169938</v>
      </c>
      <c r="U131" s="74">
        <f t="shared" ref="U131:U132" si="335">SUM(V131:AC131)</f>
        <v>10019379</v>
      </c>
      <c r="V131" s="75">
        <v>278110</v>
      </c>
      <c r="W131" s="75">
        <f>5671939+1694311</f>
        <v>7366250</v>
      </c>
      <c r="X131" s="75">
        <f>1379903+518519</f>
        <v>1898422</v>
      </c>
      <c r="Y131" s="75">
        <f>351384+90273</f>
        <v>441657</v>
      </c>
      <c r="Z131" s="75">
        <v>34000</v>
      </c>
      <c r="AA131" s="75">
        <v>0</v>
      </c>
      <c r="AB131" s="75">
        <v>0</v>
      </c>
      <c r="AC131" s="75">
        <f>709+231</f>
        <v>940</v>
      </c>
      <c r="AD131" s="74">
        <f>SUM(AE131:AY131)</f>
        <v>969848</v>
      </c>
      <c r="AE131" s="74">
        <v>0</v>
      </c>
      <c r="AF131" s="74">
        <v>0</v>
      </c>
      <c r="AG131" s="75">
        <v>5000</v>
      </c>
      <c r="AH131" s="75">
        <v>0</v>
      </c>
      <c r="AI131" s="75">
        <v>18677</v>
      </c>
      <c r="AJ131" s="75">
        <v>5375</v>
      </c>
      <c r="AK131" s="75">
        <v>0</v>
      </c>
      <c r="AL131" s="75">
        <v>0</v>
      </c>
      <c r="AM131" s="75">
        <v>10000</v>
      </c>
      <c r="AN131" s="75">
        <v>0</v>
      </c>
      <c r="AO131" s="75">
        <v>0</v>
      </c>
      <c r="AP131" s="75">
        <v>0</v>
      </c>
      <c r="AQ131" s="75">
        <v>930796</v>
      </c>
      <c r="AR131" s="75">
        <v>0</v>
      </c>
      <c r="AS131" s="75">
        <v>0</v>
      </c>
      <c r="AT131" s="75">
        <v>0</v>
      </c>
      <c r="AU131" s="75">
        <v>0</v>
      </c>
      <c r="AV131" s="75">
        <v>0</v>
      </c>
      <c r="AW131" s="75">
        <v>0</v>
      </c>
      <c r="AX131" s="75">
        <v>0</v>
      </c>
      <c r="AY131" s="75">
        <v>0</v>
      </c>
      <c r="AZ131" s="75"/>
      <c r="BA131" s="75"/>
      <c r="BB131" s="75"/>
      <c r="BC131" s="74">
        <f>SUM(BD131+BH131+BL131+BN131+BQ131)</f>
        <v>10708244</v>
      </c>
      <c r="BD131" s="74">
        <f>SUM(BE131:BG131)</f>
        <v>0</v>
      </c>
      <c r="BE131" s="74">
        <v>0</v>
      </c>
      <c r="BF131" s="74">
        <v>0</v>
      </c>
      <c r="BG131" s="74">
        <v>0</v>
      </c>
      <c r="BH131" s="74">
        <f t="shared" ref="BH131:BH132" si="336">SUM(BI131:BK131)</f>
        <v>0</v>
      </c>
      <c r="BI131" s="74">
        <v>0</v>
      </c>
      <c r="BJ131" s="74">
        <v>0</v>
      </c>
      <c r="BK131" s="74">
        <v>0</v>
      </c>
      <c r="BL131" s="74">
        <v>0</v>
      </c>
      <c r="BM131" s="74">
        <v>0</v>
      </c>
      <c r="BN131" s="74">
        <f t="shared" si="129"/>
        <v>0</v>
      </c>
      <c r="BO131" s="74">
        <v>0</v>
      </c>
      <c r="BP131" s="74">
        <v>0</v>
      </c>
      <c r="BQ131" s="74">
        <f>SUM(BR131:CB131)</f>
        <v>10708244</v>
      </c>
      <c r="BR131" s="74">
        <v>0</v>
      </c>
      <c r="BS131" s="74">
        <v>0</v>
      </c>
      <c r="BT131" s="75">
        <f>4580340-700000</f>
        <v>3880340</v>
      </c>
      <c r="BU131" s="74">
        <v>0</v>
      </c>
      <c r="BV131" s="74">
        <v>0</v>
      </c>
      <c r="BW131" s="74">
        <v>0</v>
      </c>
      <c r="BX131" s="74">
        <v>0</v>
      </c>
      <c r="BY131" s="74">
        <v>0</v>
      </c>
      <c r="BZ131" s="74">
        <v>0</v>
      </c>
      <c r="CA131" s="75">
        <v>6455505</v>
      </c>
      <c r="CB131" s="75">
        <v>372399</v>
      </c>
      <c r="CC131" s="74">
        <f>SUM(CD131+CU131)</f>
        <v>0</v>
      </c>
      <c r="CD131" s="74">
        <f>SUM(CE131+CH131+CN131)</f>
        <v>0</v>
      </c>
      <c r="CE131" s="74">
        <f t="shared" si="130"/>
        <v>0</v>
      </c>
      <c r="CF131" s="74">
        <v>0</v>
      </c>
      <c r="CG131" s="75"/>
      <c r="CH131" s="74">
        <f t="shared" ref="CH131:CH132" si="337">SUM(CI131:CM131)</f>
        <v>0</v>
      </c>
      <c r="CI131" s="74">
        <v>0</v>
      </c>
      <c r="CJ131" s="74">
        <v>0</v>
      </c>
      <c r="CK131" s="74">
        <v>0</v>
      </c>
      <c r="CL131" s="74">
        <v>0</v>
      </c>
      <c r="CM131" s="74">
        <v>0</v>
      </c>
      <c r="CN131" s="74">
        <f>SUM(CO131:CQ131)</f>
        <v>0</v>
      </c>
      <c r="CO131" s="75"/>
      <c r="CP131" s="74">
        <v>0</v>
      </c>
      <c r="CQ131" s="74"/>
      <c r="CR131" s="74"/>
      <c r="CS131" s="74"/>
      <c r="CT131" s="74"/>
      <c r="CU131" s="74">
        <v>0</v>
      </c>
      <c r="CV131" s="74"/>
      <c r="CW131" s="74"/>
      <c r="CX131" s="74"/>
      <c r="CY131" s="74"/>
      <c r="CZ131" s="74">
        <f t="shared" si="131"/>
        <v>0</v>
      </c>
      <c r="DA131" s="74">
        <f t="shared" si="132"/>
        <v>0</v>
      </c>
      <c r="DB131" s="74">
        <v>0</v>
      </c>
      <c r="DC131" s="77">
        <v>0</v>
      </c>
      <c r="DD131" s="78"/>
    </row>
    <row r="132" spans="1:108" s="78" customFormat="1" ht="15.6" x14ac:dyDescent="0.3">
      <c r="A132" s="96" t="s">
        <v>1</v>
      </c>
      <c r="B132" s="71" t="s">
        <v>66</v>
      </c>
      <c r="C132" s="72" t="s">
        <v>324</v>
      </c>
      <c r="D132" s="74">
        <f>SUM(E132+CC132+CZ132)</f>
        <v>15412828</v>
      </c>
      <c r="E132" s="74">
        <f>SUM(F132+BC132)</f>
        <v>15309228</v>
      </c>
      <c r="F132" s="74">
        <f t="shared" si="334"/>
        <v>15081149</v>
      </c>
      <c r="G132" s="74">
        <v>7122225</v>
      </c>
      <c r="H132" s="74">
        <v>1683269</v>
      </c>
      <c r="I132" s="74">
        <f t="shared" si="127"/>
        <v>4131304</v>
      </c>
      <c r="J132" s="75">
        <v>79999</v>
      </c>
      <c r="K132" s="75">
        <v>0</v>
      </c>
      <c r="L132" s="75">
        <f>4601807-822725</f>
        <v>3779082</v>
      </c>
      <c r="M132" s="75">
        <v>0</v>
      </c>
      <c r="N132" s="75">
        <v>196888</v>
      </c>
      <c r="O132" s="75">
        <v>75335</v>
      </c>
      <c r="P132" s="74">
        <f t="shared" si="128"/>
        <v>0</v>
      </c>
      <c r="Q132" s="75">
        <v>0</v>
      </c>
      <c r="R132" s="75">
        <v>0</v>
      </c>
      <c r="S132" s="75">
        <v>0</v>
      </c>
      <c r="T132" s="75">
        <v>17404</v>
      </c>
      <c r="U132" s="74">
        <f t="shared" si="335"/>
        <v>1000678</v>
      </c>
      <c r="V132" s="75">
        <v>20000</v>
      </c>
      <c r="W132" s="75">
        <f>356148+122947</f>
        <v>479095</v>
      </c>
      <c r="X132" s="75">
        <f>237628+155451</f>
        <v>393079</v>
      </c>
      <c r="Y132" s="75">
        <f>64095+28409</f>
        <v>92504</v>
      </c>
      <c r="Z132" s="75">
        <v>16000</v>
      </c>
      <c r="AA132" s="75">
        <v>0</v>
      </c>
      <c r="AB132" s="75">
        <v>0</v>
      </c>
      <c r="AC132" s="75">
        <v>0</v>
      </c>
      <c r="AD132" s="74">
        <f>SUM(AE132:AY132)</f>
        <v>1126269</v>
      </c>
      <c r="AE132" s="74">
        <v>0</v>
      </c>
      <c r="AF132" s="74">
        <v>0</v>
      </c>
      <c r="AG132" s="75">
        <v>25000</v>
      </c>
      <c r="AH132" s="75">
        <v>2859</v>
      </c>
      <c r="AI132" s="75">
        <v>0</v>
      </c>
      <c r="AJ132" s="75">
        <v>2000</v>
      </c>
      <c r="AK132" s="75">
        <v>0</v>
      </c>
      <c r="AL132" s="75">
        <v>0</v>
      </c>
      <c r="AM132" s="75">
        <v>5702</v>
      </c>
      <c r="AN132" s="75">
        <v>0</v>
      </c>
      <c r="AO132" s="75">
        <v>0</v>
      </c>
      <c r="AP132" s="75">
        <v>0</v>
      </c>
      <c r="AQ132" s="75">
        <v>14708</v>
      </c>
      <c r="AR132" s="75">
        <v>66000</v>
      </c>
      <c r="AS132" s="75">
        <v>0</v>
      </c>
      <c r="AT132" s="75">
        <v>0</v>
      </c>
      <c r="AU132" s="75">
        <v>0</v>
      </c>
      <c r="AV132" s="75">
        <v>0</v>
      </c>
      <c r="AW132" s="75">
        <v>0</v>
      </c>
      <c r="AX132" s="75">
        <v>0</v>
      </c>
      <c r="AY132" s="75">
        <v>1010000</v>
      </c>
      <c r="AZ132" s="75"/>
      <c r="BA132" s="75"/>
      <c r="BB132" s="75"/>
      <c r="BC132" s="74">
        <f>SUM(BD132+BH132+BL132+BN132+BQ132)</f>
        <v>228079</v>
      </c>
      <c r="BD132" s="74">
        <f>SUM(BE132:BG132)</f>
        <v>0</v>
      </c>
      <c r="BE132" s="74">
        <v>0</v>
      </c>
      <c r="BF132" s="74">
        <v>0</v>
      </c>
      <c r="BG132" s="74">
        <v>0</v>
      </c>
      <c r="BH132" s="74">
        <f t="shared" si="336"/>
        <v>0</v>
      </c>
      <c r="BI132" s="74">
        <v>0</v>
      </c>
      <c r="BJ132" s="74">
        <v>0</v>
      </c>
      <c r="BK132" s="74">
        <v>0</v>
      </c>
      <c r="BL132" s="74">
        <v>0</v>
      </c>
      <c r="BM132" s="74">
        <v>0</v>
      </c>
      <c r="BN132" s="74">
        <f t="shared" si="129"/>
        <v>0</v>
      </c>
      <c r="BO132" s="74">
        <v>0</v>
      </c>
      <c r="BP132" s="74">
        <v>0</v>
      </c>
      <c r="BQ132" s="74">
        <f>SUM(BR132:CB132)</f>
        <v>228079</v>
      </c>
      <c r="BR132" s="74">
        <v>0</v>
      </c>
      <c r="BS132" s="74">
        <v>0</v>
      </c>
      <c r="BT132" s="75">
        <f>148526-20086</f>
        <v>128440</v>
      </c>
      <c r="BU132" s="74">
        <v>0</v>
      </c>
      <c r="BV132" s="74">
        <v>0</v>
      </c>
      <c r="BW132" s="74">
        <v>0</v>
      </c>
      <c r="BX132" s="74">
        <v>0</v>
      </c>
      <c r="BY132" s="74">
        <v>0</v>
      </c>
      <c r="BZ132" s="74">
        <v>0</v>
      </c>
      <c r="CA132" s="75">
        <v>99639</v>
      </c>
      <c r="CB132" s="75">
        <v>0</v>
      </c>
      <c r="CC132" s="74">
        <f>SUM(CD132+CU132)</f>
        <v>103600</v>
      </c>
      <c r="CD132" s="74">
        <f>SUM(CE132+CH132+CN132)</f>
        <v>103600</v>
      </c>
      <c r="CE132" s="74">
        <f t="shared" si="130"/>
        <v>103600</v>
      </c>
      <c r="CF132" s="74">
        <v>0</v>
      </c>
      <c r="CG132" s="75">
        <v>103600</v>
      </c>
      <c r="CH132" s="74">
        <f t="shared" si="337"/>
        <v>0</v>
      </c>
      <c r="CI132" s="74">
        <v>0</v>
      </c>
      <c r="CJ132" s="74">
        <v>0</v>
      </c>
      <c r="CK132" s="74">
        <v>0</v>
      </c>
      <c r="CL132" s="74">
        <v>0</v>
      </c>
      <c r="CM132" s="74">
        <v>0</v>
      </c>
      <c r="CN132" s="74">
        <f>SUM(CO132:CQ132)</f>
        <v>0</v>
      </c>
      <c r="CO132" s="75"/>
      <c r="CP132" s="74">
        <v>0</v>
      </c>
      <c r="CQ132" s="74"/>
      <c r="CR132" s="74"/>
      <c r="CS132" s="74"/>
      <c r="CT132" s="74"/>
      <c r="CU132" s="74">
        <v>0</v>
      </c>
      <c r="CV132" s="74"/>
      <c r="CW132" s="74"/>
      <c r="CX132" s="74"/>
      <c r="CY132" s="74"/>
      <c r="CZ132" s="74">
        <f t="shared" si="131"/>
        <v>0</v>
      </c>
      <c r="DA132" s="74">
        <f t="shared" si="132"/>
        <v>0</v>
      </c>
      <c r="DB132" s="74">
        <v>0</v>
      </c>
      <c r="DC132" s="77">
        <v>0</v>
      </c>
    </row>
    <row r="133" spans="1:108" s="78" customFormat="1" ht="15.6" x14ac:dyDescent="0.3">
      <c r="A133" s="93" t="s">
        <v>196</v>
      </c>
      <c r="B133" s="16" t="s">
        <v>1</v>
      </c>
      <c r="C133" s="17" t="s">
        <v>197</v>
      </c>
      <c r="D133" s="18">
        <f>SUM(D134:D137)</f>
        <v>197531986</v>
      </c>
      <c r="E133" s="18">
        <f t="shared" ref="E133:BR133" si="338">SUM(E134:E137)</f>
        <v>197496641</v>
      </c>
      <c r="F133" s="18">
        <f t="shared" si="338"/>
        <v>181884614</v>
      </c>
      <c r="G133" s="18">
        <f t="shared" si="338"/>
        <v>138885179</v>
      </c>
      <c r="H133" s="18">
        <f t="shared" si="338"/>
        <v>32883234</v>
      </c>
      <c r="I133" s="18">
        <f t="shared" si="338"/>
        <v>2434394</v>
      </c>
      <c r="J133" s="18">
        <f t="shared" si="338"/>
        <v>3748</v>
      </c>
      <c r="K133" s="18">
        <f t="shared" si="338"/>
        <v>0</v>
      </c>
      <c r="L133" s="18">
        <f t="shared" si="338"/>
        <v>2239591</v>
      </c>
      <c r="M133" s="18">
        <f t="shared" si="338"/>
        <v>0</v>
      </c>
      <c r="N133" s="18">
        <f t="shared" si="338"/>
        <v>117016</v>
      </c>
      <c r="O133" s="18">
        <f t="shared" si="338"/>
        <v>74039</v>
      </c>
      <c r="P133" s="18">
        <f t="shared" si="338"/>
        <v>0</v>
      </c>
      <c r="Q133" s="18">
        <f t="shared" si="338"/>
        <v>0</v>
      </c>
      <c r="R133" s="18">
        <f t="shared" si="338"/>
        <v>0</v>
      </c>
      <c r="S133" s="18">
        <f t="shared" si="338"/>
        <v>0</v>
      </c>
      <c r="T133" s="18">
        <f t="shared" si="338"/>
        <v>346523</v>
      </c>
      <c r="U133" s="18">
        <f t="shared" si="338"/>
        <v>7043577</v>
      </c>
      <c r="V133" s="18">
        <f t="shared" si="338"/>
        <v>14963</v>
      </c>
      <c r="W133" s="18">
        <f t="shared" si="338"/>
        <v>4551178</v>
      </c>
      <c r="X133" s="18">
        <f t="shared" si="338"/>
        <v>1751296</v>
      </c>
      <c r="Y133" s="18">
        <f t="shared" si="338"/>
        <v>576604</v>
      </c>
      <c r="Z133" s="18">
        <f t="shared" si="338"/>
        <v>149000</v>
      </c>
      <c r="AA133" s="18">
        <f t="shared" si="338"/>
        <v>0</v>
      </c>
      <c r="AB133" s="18">
        <f t="shared" si="338"/>
        <v>0</v>
      </c>
      <c r="AC133" s="18">
        <f t="shared" si="338"/>
        <v>536</v>
      </c>
      <c r="AD133" s="18">
        <f t="shared" si="338"/>
        <v>291707</v>
      </c>
      <c r="AE133" s="18">
        <f t="shared" si="338"/>
        <v>0</v>
      </c>
      <c r="AF133" s="18">
        <f t="shared" si="338"/>
        <v>0</v>
      </c>
      <c r="AG133" s="18">
        <f t="shared" si="338"/>
        <v>717</v>
      </c>
      <c r="AH133" s="18">
        <f t="shared" si="338"/>
        <v>0</v>
      </c>
      <c r="AI133" s="18">
        <f t="shared" si="338"/>
        <v>0</v>
      </c>
      <c r="AJ133" s="18">
        <f t="shared" si="338"/>
        <v>390</v>
      </c>
      <c r="AK133" s="18">
        <f t="shared" si="338"/>
        <v>0</v>
      </c>
      <c r="AL133" s="18">
        <f t="shared" si="338"/>
        <v>300</v>
      </c>
      <c r="AM133" s="18">
        <f t="shared" si="338"/>
        <v>203474</v>
      </c>
      <c r="AN133" s="18">
        <f t="shared" si="338"/>
        <v>0</v>
      </c>
      <c r="AO133" s="18">
        <f t="shared" si="338"/>
        <v>0</v>
      </c>
      <c r="AP133" s="18">
        <f t="shared" si="338"/>
        <v>0</v>
      </c>
      <c r="AQ133" s="18">
        <f t="shared" si="338"/>
        <v>0</v>
      </c>
      <c r="AR133" s="18">
        <f t="shared" si="338"/>
        <v>38640</v>
      </c>
      <c r="AS133" s="18">
        <f t="shared" si="338"/>
        <v>0</v>
      </c>
      <c r="AT133" s="18">
        <f t="shared" si="338"/>
        <v>0</v>
      </c>
      <c r="AU133" s="18">
        <f t="shared" si="338"/>
        <v>0</v>
      </c>
      <c r="AV133" s="18">
        <f t="shared" si="338"/>
        <v>0</v>
      </c>
      <c r="AW133" s="18">
        <f t="shared" si="338"/>
        <v>0</v>
      </c>
      <c r="AX133" s="18">
        <f t="shared" si="338"/>
        <v>0</v>
      </c>
      <c r="AY133" s="18">
        <f t="shared" si="338"/>
        <v>48186</v>
      </c>
      <c r="AZ133" s="18">
        <f t="shared" si="338"/>
        <v>0</v>
      </c>
      <c r="BA133" s="18">
        <f t="shared" si="338"/>
        <v>0</v>
      </c>
      <c r="BB133" s="18">
        <f t="shared" si="338"/>
        <v>0</v>
      </c>
      <c r="BC133" s="18">
        <f t="shared" si="338"/>
        <v>15612027</v>
      </c>
      <c r="BD133" s="18">
        <f t="shared" si="338"/>
        <v>0</v>
      </c>
      <c r="BE133" s="18">
        <f t="shared" si="338"/>
        <v>0</v>
      </c>
      <c r="BF133" s="18">
        <f t="shared" si="338"/>
        <v>0</v>
      </c>
      <c r="BG133" s="18">
        <f t="shared" si="338"/>
        <v>0</v>
      </c>
      <c r="BH133" s="18">
        <f t="shared" si="338"/>
        <v>0</v>
      </c>
      <c r="BI133" s="18">
        <f t="shared" si="338"/>
        <v>0</v>
      </c>
      <c r="BJ133" s="18">
        <f t="shared" si="338"/>
        <v>0</v>
      </c>
      <c r="BK133" s="18">
        <f t="shared" si="338"/>
        <v>0</v>
      </c>
      <c r="BL133" s="18">
        <f t="shared" si="338"/>
        <v>0</v>
      </c>
      <c r="BM133" s="18">
        <f t="shared" si="338"/>
        <v>0</v>
      </c>
      <c r="BN133" s="18">
        <f t="shared" si="338"/>
        <v>0</v>
      </c>
      <c r="BO133" s="18">
        <f t="shared" si="338"/>
        <v>0</v>
      </c>
      <c r="BP133" s="18">
        <f t="shared" si="338"/>
        <v>0</v>
      </c>
      <c r="BQ133" s="18">
        <f t="shared" si="338"/>
        <v>15612027</v>
      </c>
      <c r="BR133" s="18">
        <f t="shared" si="338"/>
        <v>0</v>
      </c>
      <c r="BS133" s="18">
        <f t="shared" ref="BS133:CX133" si="339">SUM(BS134:BS137)</f>
        <v>0</v>
      </c>
      <c r="BT133" s="18">
        <f t="shared" si="339"/>
        <v>7159293</v>
      </c>
      <c r="BU133" s="18">
        <f t="shared" si="339"/>
        <v>0</v>
      </c>
      <c r="BV133" s="18">
        <f t="shared" si="339"/>
        <v>0</v>
      </c>
      <c r="BW133" s="18">
        <f t="shared" si="339"/>
        <v>0</v>
      </c>
      <c r="BX133" s="18">
        <f t="shared" si="339"/>
        <v>0</v>
      </c>
      <c r="BY133" s="18">
        <f t="shared" si="339"/>
        <v>0</v>
      </c>
      <c r="BZ133" s="18">
        <f t="shared" si="339"/>
        <v>0</v>
      </c>
      <c r="CA133" s="18">
        <f t="shared" si="339"/>
        <v>6529846</v>
      </c>
      <c r="CB133" s="18">
        <f t="shared" si="339"/>
        <v>1922888</v>
      </c>
      <c r="CC133" s="18">
        <f t="shared" si="339"/>
        <v>35345</v>
      </c>
      <c r="CD133" s="18">
        <f t="shared" si="339"/>
        <v>35345</v>
      </c>
      <c r="CE133" s="18">
        <f t="shared" si="339"/>
        <v>35345</v>
      </c>
      <c r="CF133" s="18">
        <f t="shared" si="339"/>
        <v>0</v>
      </c>
      <c r="CG133" s="18">
        <f t="shared" si="339"/>
        <v>35345</v>
      </c>
      <c r="CH133" s="18">
        <f t="shared" si="339"/>
        <v>0</v>
      </c>
      <c r="CI133" s="18">
        <f t="shared" si="339"/>
        <v>0</v>
      </c>
      <c r="CJ133" s="18">
        <f t="shared" si="339"/>
        <v>0</v>
      </c>
      <c r="CK133" s="18">
        <f t="shared" si="339"/>
        <v>0</v>
      </c>
      <c r="CL133" s="18">
        <f t="shared" si="339"/>
        <v>0</v>
      </c>
      <c r="CM133" s="18">
        <f t="shared" si="339"/>
        <v>0</v>
      </c>
      <c r="CN133" s="18">
        <f t="shared" si="339"/>
        <v>0</v>
      </c>
      <c r="CO133" s="18">
        <f t="shared" si="339"/>
        <v>0</v>
      </c>
      <c r="CP133" s="18">
        <f t="shared" si="339"/>
        <v>0</v>
      </c>
      <c r="CQ133" s="18">
        <f t="shared" si="339"/>
        <v>0</v>
      </c>
      <c r="CR133" s="18"/>
      <c r="CS133" s="18"/>
      <c r="CT133" s="18"/>
      <c r="CU133" s="18">
        <f t="shared" si="339"/>
        <v>0</v>
      </c>
      <c r="CV133" s="73">
        <f t="shared" si="339"/>
        <v>0</v>
      </c>
      <c r="CW133" s="73">
        <f t="shared" si="339"/>
        <v>0</v>
      </c>
      <c r="CX133" s="73">
        <f t="shared" si="339"/>
        <v>0</v>
      </c>
      <c r="CY133" s="73">
        <f t="shared" ref="CY133" si="340">SUM(CY134:CY137)</f>
        <v>0</v>
      </c>
      <c r="CZ133" s="18">
        <f t="shared" ref="CZ133:DC133" si="341">SUM(CZ135:CZ137)</f>
        <v>0</v>
      </c>
      <c r="DA133" s="18">
        <f t="shared" si="341"/>
        <v>0</v>
      </c>
      <c r="DB133" s="18">
        <f t="shared" si="341"/>
        <v>0</v>
      </c>
      <c r="DC133" s="46">
        <f t="shared" si="341"/>
        <v>0</v>
      </c>
      <c r="DD133" s="57"/>
    </row>
    <row r="134" spans="1:108" ht="31.2" x14ac:dyDescent="0.3">
      <c r="A134" s="94" t="s">
        <v>1</v>
      </c>
      <c r="B134" s="21" t="s">
        <v>56</v>
      </c>
      <c r="C134" s="22" t="s">
        <v>194</v>
      </c>
      <c r="D134" s="19">
        <f>SUM(E134+CC134+CZ134)</f>
        <v>18158465</v>
      </c>
      <c r="E134" s="19">
        <f>SUM(F134+BC134)</f>
        <v>18158465</v>
      </c>
      <c r="F134" s="19">
        <f t="shared" ref="F134:F137" si="342">SUM(G134+H134+I134+P134+S134+T134+U134+AD134)</f>
        <v>16484351</v>
      </c>
      <c r="G134" s="19">
        <v>12010802</v>
      </c>
      <c r="H134" s="19">
        <v>2922272</v>
      </c>
      <c r="I134" s="19">
        <f t="shared" ref="I134" si="343">SUM(J134:O134)</f>
        <v>400156</v>
      </c>
      <c r="J134" s="23">
        <v>0</v>
      </c>
      <c r="K134" s="23">
        <v>0</v>
      </c>
      <c r="L134" s="23">
        <f>406087-72601</f>
        <v>333486</v>
      </c>
      <c r="M134" s="23">
        <v>0</v>
      </c>
      <c r="N134" s="23">
        <v>22581</v>
      </c>
      <c r="O134" s="23">
        <v>44089</v>
      </c>
      <c r="P134" s="19">
        <f t="shared" ref="P134" si="344">SUM(Q134:R134)</f>
        <v>0</v>
      </c>
      <c r="Q134" s="23">
        <v>0</v>
      </c>
      <c r="R134" s="23">
        <v>0</v>
      </c>
      <c r="S134" s="23">
        <v>0</v>
      </c>
      <c r="T134" s="23">
        <v>48126</v>
      </c>
      <c r="U134" s="19">
        <f t="shared" ref="U134" si="345">SUM(V134:AC134)</f>
        <v>1069204</v>
      </c>
      <c r="V134" s="23">
        <v>13748</v>
      </c>
      <c r="W134" s="23">
        <f>603542+189097</f>
        <v>792639</v>
      </c>
      <c r="X134" s="23">
        <f>116075+91265</f>
        <v>207340</v>
      </c>
      <c r="Y134" s="23">
        <f>43571+11906</f>
        <v>55477</v>
      </c>
      <c r="Z134" s="23">
        <v>0</v>
      </c>
      <c r="AA134" s="23">
        <v>0</v>
      </c>
      <c r="AB134" s="23">
        <v>0</v>
      </c>
      <c r="AC134" s="23">
        <v>0</v>
      </c>
      <c r="AD134" s="19">
        <f>SUM(AE134:AY134)</f>
        <v>33791</v>
      </c>
      <c r="AE134" s="23">
        <v>0</v>
      </c>
      <c r="AF134" s="23">
        <v>0</v>
      </c>
      <c r="AG134" s="23">
        <v>717</v>
      </c>
      <c r="AH134" s="23">
        <v>0</v>
      </c>
      <c r="AI134" s="23">
        <v>0</v>
      </c>
      <c r="AJ134" s="23">
        <v>390</v>
      </c>
      <c r="AK134" s="23">
        <v>0</v>
      </c>
      <c r="AL134" s="23">
        <v>0</v>
      </c>
      <c r="AM134" s="23">
        <v>32684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s="23"/>
      <c r="BA134" s="23"/>
      <c r="BB134" s="23"/>
      <c r="BC134" s="19">
        <f>SUM(BD134+BH134+BL134+BN134+BQ134)</f>
        <v>1674114</v>
      </c>
      <c r="BD134" s="19">
        <f>SUM(BE134:BG134)</f>
        <v>0</v>
      </c>
      <c r="BE134" s="19">
        <v>0</v>
      </c>
      <c r="BF134" s="19">
        <v>0</v>
      </c>
      <c r="BG134" s="19">
        <v>0</v>
      </c>
      <c r="BH134" s="19">
        <f t="shared" ref="BH134" si="346">SUM(BI134:BK134)</f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f t="shared" ref="BN134" si="347">SUM(BO134)</f>
        <v>0</v>
      </c>
      <c r="BO134" s="19">
        <v>0</v>
      </c>
      <c r="BP134" s="19">
        <v>0</v>
      </c>
      <c r="BQ134" s="19">
        <f>SUM(BR134:CB134)</f>
        <v>1674114</v>
      </c>
      <c r="BR134" s="19">
        <v>0</v>
      </c>
      <c r="BS134" s="19">
        <v>0</v>
      </c>
      <c r="BT134" s="23">
        <f>784769-207735</f>
        <v>577034</v>
      </c>
      <c r="BU134" s="19">
        <v>0</v>
      </c>
      <c r="BV134" s="19">
        <v>0</v>
      </c>
      <c r="BW134" s="19">
        <v>0</v>
      </c>
      <c r="BX134" s="19">
        <v>0</v>
      </c>
      <c r="BY134" s="19">
        <v>0</v>
      </c>
      <c r="BZ134" s="19">
        <v>0</v>
      </c>
      <c r="CA134" s="23">
        <v>933743</v>
      </c>
      <c r="CB134" s="23">
        <v>163337</v>
      </c>
      <c r="CC134" s="19">
        <f>SUM(CD134+CU134)</f>
        <v>0</v>
      </c>
      <c r="CD134" s="19">
        <f>SUM(CE134+CH134+CN134)</f>
        <v>0</v>
      </c>
      <c r="CE134" s="19">
        <f t="shared" ref="CE134" si="348">SUM(CF134:CG134)</f>
        <v>0</v>
      </c>
      <c r="CF134" s="19">
        <v>0</v>
      </c>
      <c r="CG134" s="23">
        <v>0</v>
      </c>
      <c r="CH134" s="19">
        <f t="shared" ref="CH134" si="349">SUM(CI134:CM134)</f>
        <v>0</v>
      </c>
      <c r="CI134" s="19">
        <v>0</v>
      </c>
      <c r="CJ134" s="19">
        <v>0</v>
      </c>
      <c r="CK134" s="19">
        <v>0</v>
      </c>
      <c r="CL134" s="19">
        <v>0</v>
      </c>
      <c r="CM134" s="19">
        <v>0</v>
      </c>
      <c r="CN134" s="19">
        <f>SUM(CO134:CQ134)</f>
        <v>0</v>
      </c>
      <c r="CO134" s="19">
        <v>0</v>
      </c>
      <c r="CP134" s="19">
        <v>0</v>
      </c>
      <c r="CQ134" s="19"/>
      <c r="CR134" s="19"/>
      <c r="CS134" s="19"/>
      <c r="CT134" s="19"/>
      <c r="CU134" s="19">
        <v>0</v>
      </c>
      <c r="CV134" s="74"/>
      <c r="CW134" s="74"/>
      <c r="CX134" s="74"/>
      <c r="CY134" s="74"/>
      <c r="CZ134" s="19">
        <f t="shared" ref="CZ134" si="350">SUM(DA134)</f>
        <v>0</v>
      </c>
      <c r="DA134" s="19">
        <f t="shared" ref="DA134" si="351">SUM(DB134:DC134)</f>
        <v>0</v>
      </c>
      <c r="DB134" s="19">
        <v>0</v>
      </c>
      <c r="DC134" s="20">
        <v>0</v>
      </c>
      <c r="DD134" s="52"/>
    </row>
    <row r="135" spans="1:108" ht="31.2" x14ac:dyDescent="0.3">
      <c r="A135" s="94" t="s">
        <v>1</v>
      </c>
      <c r="B135" s="21" t="s">
        <v>58</v>
      </c>
      <c r="C135" s="22" t="s">
        <v>195</v>
      </c>
      <c r="D135" s="19">
        <f>SUM(E135+CC135+CZ135)</f>
        <v>592873</v>
      </c>
      <c r="E135" s="19">
        <f>SUM(F135+BC135)</f>
        <v>592873</v>
      </c>
      <c r="F135" s="19">
        <f t="shared" si="342"/>
        <v>211663</v>
      </c>
      <c r="G135" s="19">
        <v>169330</v>
      </c>
      <c r="H135" s="19">
        <v>42333</v>
      </c>
      <c r="I135" s="19">
        <f t="shared" si="127"/>
        <v>0</v>
      </c>
      <c r="J135" s="23"/>
      <c r="K135" s="23"/>
      <c r="L135" s="23"/>
      <c r="M135" s="23"/>
      <c r="N135" s="23">
        <v>0</v>
      </c>
      <c r="O135" s="23">
        <v>0</v>
      </c>
      <c r="P135" s="19">
        <f t="shared" si="128"/>
        <v>0</v>
      </c>
      <c r="Q135" s="23">
        <v>0</v>
      </c>
      <c r="R135" s="23">
        <v>0</v>
      </c>
      <c r="S135" s="23">
        <v>0</v>
      </c>
      <c r="T135" s="23">
        <v>0</v>
      </c>
      <c r="U135" s="19">
        <f t="shared" ref="U135:U137" si="352">SUM(V135:AC135)</f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19">
        <f>SUM(AE135:AY135)</f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/>
      <c r="BA135" s="23"/>
      <c r="BB135" s="23"/>
      <c r="BC135" s="19">
        <f>SUM(BD135+BH135+BL135+BN135+BQ135)</f>
        <v>381210</v>
      </c>
      <c r="BD135" s="19">
        <f>SUM(BE135:BG135)</f>
        <v>0</v>
      </c>
      <c r="BE135" s="19">
        <v>0</v>
      </c>
      <c r="BF135" s="19">
        <v>0</v>
      </c>
      <c r="BG135" s="19">
        <v>0</v>
      </c>
      <c r="BH135" s="19">
        <f t="shared" ref="BH135:BH137" si="353">SUM(BI135:BK135)</f>
        <v>0</v>
      </c>
      <c r="BI135" s="19">
        <v>0</v>
      </c>
      <c r="BJ135" s="19">
        <v>0</v>
      </c>
      <c r="BK135" s="19">
        <v>0</v>
      </c>
      <c r="BL135" s="19">
        <v>0</v>
      </c>
      <c r="BM135" s="19">
        <v>0</v>
      </c>
      <c r="BN135" s="19">
        <f t="shared" si="129"/>
        <v>0</v>
      </c>
      <c r="BO135" s="19">
        <v>0</v>
      </c>
      <c r="BP135" s="19">
        <v>0</v>
      </c>
      <c r="BQ135" s="19">
        <f>SUM(BR135:CB135)</f>
        <v>381210</v>
      </c>
      <c r="BR135" s="19">
        <v>0</v>
      </c>
      <c r="BS135" s="19">
        <v>0</v>
      </c>
      <c r="BT135" s="23">
        <v>381210</v>
      </c>
      <c r="BU135" s="19">
        <v>0</v>
      </c>
      <c r="BV135" s="19">
        <v>0</v>
      </c>
      <c r="BW135" s="19">
        <v>0</v>
      </c>
      <c r="BX135" s="19">
        <v>0</v>
      </c>
      <c r="BY135" s="19">
        <v>0</v>
      </c>
      <c r="BZ135" s="19">
        <v>0</v>
      </c>
      <c r="CA135" s="23">
        <v>0</v>
      </c>
      <c r="CB135" s="23">
        <v>0</v>
      </c>
      <c r="CC135" s="19">
        <f>SUM(CD135+CU135)</f>
        <v>0</v>
      </c>
      <c r="CD135" s="19">
        <f>SUM(CE135+CH135+CN135)</f>
        <v>0</v>
      </c>
      <c r="CE135" s="19">
        <f t="shared" si="130"/>
        <v>0</v>
      </c>
      <c r="CF135" s="19">
        <v>0</v>
      </c>
      <c r="CG135" s="23">
        <v>0</v>
      </c>
      <c r="CH135" s="19">
        <f t="shared" ref="CH135:CH137" si="354">SUM(CI135:CM135)</f>
        <v>0</v>
      </c>
      <c r="CI135" s="19">
        <v>0</v>
      </c>
      <c r="CJ135" s="19">
        <v>0</v>
      </c>
      <c r="CK135" s="19">
        <v>0</v>
      </c>
      <c r="CL135" s="19">
        <v>0</v>
      </c>
      <c r="CM135" s="19">
        <v>0</v>
      </c>
      <c r="CN135" s="19">
        <f>SUM(CO135:CQ135)</f>
        <v>0</v>
      </c>
      <c r="CO135" s="19">
        <v>0</v>
      </c>
      <c r="CP135" s="19">
        <v>0</v>
      </c>
      <c r="CQ135" s="19"/>
      <c r="CR135" s="19"/>
      <c r="CS135" s="19"/>
      <c r="CT135" s="19"/>
      <c r="CU135" s="19">
        <v>0</v>
      </c>
      <c r="CV135" s="74"/>
      <c r="CW135" s="74"/>
      <c r="CX135" s="74"/>
      <c r="CY135" s="74"/>
      <c r="CZ135" s="19">
        <f t="shared" si="131"/>
        <v>0</v>
      </c>
      <c r="DA135" s="19">
        <f t="shared" si="132"/>
        <v>0</v>
      </c>
      <c r="DB135" s="19">
        <v>0</v>
      </c>
      <c r="DC135" s="20">
        <v>0</v>
      </c>
      <c r="DD135" s="52"/>
    </row>
    <row r="136" spans="1:108" s="88" customFormat="1" ht="15.6" x14ac:dyDescent="0.3">
      <c r="A136" s="96" t="s">
        <v>1</v>
      </c>
      <c r="B136" s="71" t="s">
        <v>160</v>
      </c>
      <c r="C136" s="72" t="s">
        <v>198</v>
      </c>
      <c r="D136" s="74">
        <f>SUM(E136+CC136+CZ136)</f>
        <v>157573982</v>
      </c>
      <c r="E136" s="74">
        <f>SUM(F136+BC136)</f>
        <v>157573982</v>
      </c>
      <c r="F136" s="74">
        <f t="shared" si="342"/>
        <v>145008748</v>
      </c>
      <c r="G136" s="74">
        <v>111046911</v>
      </c>
      <c r="H136" s="74">
        <v>26166269</v>
      </c>
      <c r="I136" s="74">
        <f t="shared" si="127"/>
        <v>1809308</v>
      </c>
      <c r="J136" s="75">
        <v>3748</v>
      </c>
      <c r="K136" s="75">
        <v>0</v>
      </c>
      <c r="L136" s="75">
        <f>2096352-374792</f>
        <v>1721560</v>
      </c>
      <c r="M136" s="75">
        <v>0</v>
      </c>
      <c r="N136" s="75">
        <v>75000</v>
      </c>
      <c r="O136" s="75">
        <v>9000</v>
      </c>
      <c r="P136" s="74">
        <f t="shared" si="128"/>
        <v>0</v>
      </c>
      <c r="Q136" s="75">
        <v>0</v>
      </c>
      <c r="R136" s="75">
        <v>0</v>
      </c>
      <c r="S136" s="75">
        <v>0</v>
      </c>
      <c r="T136" s="75">
        <v>260664</v>
      </c>
      <c r="U136" s="74">
        <f t="shared" si="352"/>
        <v>5511942</v>
      </c>
      <c r="V136" s="75">
        <v>0</v>
      </c>
      <c r="W136" s="75">
        <f>2736975+670743</f>
        <v>3407718</v>
      </c>
      <c r="X136" s="75">
        <f>917765+545301</f>
        <v>1463066</v>
      </c>
      <c r="Y136" s="75">
        <f>350831+151508</f>
        <v>502339</v>
      </c>
      <c r="Z136" s="75">
        <v>138283</v>
      </c>
      <c r="AA136" s="75">
        <v>0</v>
      </c>
      <c r="AB136" s="75">
        <v>0</v>
      </c>
      <c r="AC136" s="75">
        <f>404+132</f>
        <v>536</v>
      </c>
      <c r="AD136" s="74">
        <f>SUM(AE136:AY136)</f>
        <v>213654</v>
      </c>
      <c r="AE136" s="23">
        <v>0</v>
      </c>
      <c r="AF136" s="23">
        <v>0</v>
      </c>
      <c r="AG136" s="75">
        <v>0</v>
      </c>
      <c r="AH136" s="75">
        <v>0</v>
      </c>
      <c r="AI136" s="75">
        <v>0</v>
      </c>
      <c r="AJ136" s="75">
        <v>0</v>
      </c>
      <c r="AK136" s="75">
        <v>0</v>
      </c>
      <c r="AL136" s="75">
        <v>0</v>
      </c>
      <c r="AM136" s="75">
        <v>165468</v>
      </c>
      <c r="AN136" s="75">
        <v>0</v>
      </c>
      <c r="AO136" s="75">
        <v>0</v>
      </c>
      <c r="AP136" s="75">
        <v>0</v>
      </c>
      <c r="AQ136" s="75">
        <v>0</v>
      </c>
      <c r="AR136" s="75">
        <v>0</v>
      </c>
      <c r="AS136" s="75">
        <v>0</v>
      </c>
      <c r="AT136" s="75">
        <v>0</v>
      </c>
      <c r="AU136" s="75">
        <v>0</v>
      </c>
      <c r="AV136" s="75">
        <v>0</v>
      </c>
      <c r="AW136" s="75">
        <v>0</v>
      </c>
      <c r="AX136" s="75">
        <v>0</v>
      </c>
      <c r="AY136" s="75">
        <v>48186</v>
      </c>
      <c r="AZ136" s="75"/>
      <c r="BA136" s="75"/>
      <c r="BB136" s="75"/>
      <c r="BC136" s="74">
        <f>SUM(BD136+BH136+BL136+BN136+BQ136)</f>
        <v>12565234</v>
      </c>
      <c r="BD136" s="74">
        <f>SUM(BE136:BG136)</f>
        <v>0</v>
      </c>
      <c r="BE136" s="74">
        <v>0</v>
      </c>
      <c r="BF136" s="74">
        <v>0</v>
      </c>
      <c r="BG136" s="74">
        <v>0</v>
      </c>
      <c r="BH136" s="74">
        <f t="shared" si="353"/>
        <v>0</v>
      </c>
      <c r="BI136" s="74">
        <v>0</v>
      </c>
      <c r="BJ136" s="74">
        <v>0</v>
      </c>
      <c r="BK136" s="74">
        <v>0</v>
      </c>
      <c r="BL136" s="74">
        <v>0</v>
      </c>
      <c r="BM136" s="74">
        <v>0</v>
      </c>
      <c r="BN136" s="74">
        <f t="shared" si="129"/>
        <v>0</v>
      </c>
      <c r="BO136" s="74">
        <v>0</v>
      </c>
      <c r="BP136" s="74">
        <v>0</v>
      </c>
      <c r="BQ136" s="74">
        <f>SUM(BR136:CB136)</f>
        <v>12565234</v>
      </c>
      <c r="BR136" s="74">
        <v>0</v>
      </c>
      <c r="BS136" s="74">
        <v>0</v>
      </c>
      <c r="BT136" s="75">
        <v>5641326</v>
      </c>
      <c r="BU136" s="74">
        <v>0</v>
      </c>
      <c r="BV136" s="74">
        <v>0</v>
      </c>
      <c r="BW136" s="74">
        <v>0</v>
      </c>
      <c r="BX136" s="74">
        <v>0</v>
      </c>
      <c r="BY136" s="74">
        <v>0</v>
      </c>
      <c r="BZ136" s="74">
        <v>0</v>
      </c>
      <c r="CA136" s="75">
        <v>5164357</v>
      </c>
      <c r="CB136" s="75">
        <v>1759551</v>
      </c>
      <c r="CC136" s="74">
        <f>SUM(CD136+CU136)</f>
        <v>0</v>
      </c>
      <c r="CD136" s="74">
        <f>SUM(CE136+CH136+CN136)</f>
        <v>0</v>
      </c>
      <c r="CE136" s="74">
        <f t="shared" si="130"/>
        <v>0</v>
      </c>
      <c r="CF136" s="74">
        <v>0</v>
      </c>
      <c r="CG136" s="75"/>
      <c r="CH136" s="74">
        <f t="shared" si="354"/>
        <v>0</v>
      </c>
      <c r="CI136" s="74">
        <v>0</v>
      </c>
      <c r="CJ136" s="74">
        <v>0</v>
      </c>
      <c r="CK136" s="74">
        <v>0</v>
      </c>
      <c r="CL136" s="74">
        <v>0</v>
      </c>
      <c r="CM136" s="74">
        <v>0</v>
      </c>
      <c r="CN136" s="74">
        <f>SUM(CO136:CQ136)</f>
        <v>0</v>
      </c>
      <c r="CO136" s="74">
        <v>0</v>
      </c>
      <c r="CP136" s="74">
        <v>0</v>
      </c>
      <c r="CQ136" s="74"/>
      <c r="CR136" s="74"/>
      <c r="CS136" s="74"/>
      <c r="CT136" s="74"/>
      <c r="CU136" s="74">
        <v>0</v>
      </c>
      <c r="CV136" s="74"/>
      <c r="CW136" s="74"/>
      <c r="CX136" s="74"/>
      <c r="CY136" s="74"/>
      <c r="CZ136" s="74">
        <f t="shared" si="131"/>
        <v>0</v>
      </c>
      <c r="DA136" s="74">
        <f t="shared" si="132"/>
        <v>0</v>
      </c>
      <c r="DB136" s="74">
        <v>0</v>
      </c>
      <c r="DC136" s="77">
        <v>0</v>
      </c>
      <c r="DD136" s="78"/>
    </row>
    <row r="137" spans="1:108" s="78" customFormat="1" ht="15.6" x14ac:dyDescent="0.3">
      <c r="A137" s="96" t="s">
        <v>1</v>
      </c>
      <c r="B137" s="71" t="s">
        <v>68</v>
      </c>
      <c r="C137" s="72" t="s">
        <v>466</v>
      </c>
      <c r="D137" s="74">
        <f>SUM(E137+CC137+CZ137)</f>
        <v>21206666</v>
      </c>
      <c r="E137" s="74">
        <f>SUM(F137+BC137)</f>
        <v>21171321</v>
      </c>
      <c r="F137" s="74">
        <f t="shared" si="342"/>
        <v>20179852</v>
      </c>
      <c r="G137" s="74">
        <v>15658136</v>
      </c>
      <c r="H137" s="74">
        <v>3752360</v>
      </c>
      <c r="I137" s="74">
        <f t="shared" si="127"/>
        <v>224930</v>
      </c>
      <c r="J137" s="75">
        <v>0</v>
      </c>
      <c r="K137" s="75">
        <v>0</v>
      </c>
      <c r="L137" s="75">
        <f>224721-40176</f>
        <v>184545</v>
      </c>
      <c r="M137" s="75">
        <v>0</v>
      </c>
      <c r="N137" s="75">
        <v>19435</v>
      </c>
      <c r="O137" s="75">
        <v>20950</v>
      </c>
      <c r="P137" s="74">
        <f t="shared" si="128"/>
        <v>0</v>
      </c>
      <c r="Q137" s="75">
        <v>0</v>
      </c>
      <c r="R137" s="75">
        <v>0</v>
      </c>
      <c r="S137" s="75">
        <v>0</v>
      </c>
      <c r="T137" s="75">
        <v>37733</v>
      </c>
      <c r="U137" s="74">
        <f t="shared" si="352"/>
        <v>462431</v>
      </c>
      <c r="V137" s="75">
        <v>1215</v>
      </c>
      <c r="W137" s="75">
        <f>366231-15410</f>
        <v>350821</v>
      </c>
      <c r="X137" s="75">
        <f>85126-4236</f>
        <v>80890</v>
      </c>
      <c r="Y137" s="75">
        <f>20240-1452</f>
        <v>18788</v>
      </c>
      <c r="Z137" s="75">
        <v>10717</v>
      </c>
      <c r="AA137" s="75">
        <v>0</v>
      </c>
      <c r="AB137" s="75">
        <v>0</v>
      </c>
      <c r="AC137" s="75">
        <v>0</v>
      </c>
      <c r="AD137" s="74">
        <f>SUM(AE137:AY137)</f>
        <v>44262</v>
      </c>
      <c r="AE137" s="23">
        <v>0</v>
      </c>
      <c r="AF137" s="23">
        <v>0</v>
      </c>
      <c r="AG137" s="75">
        <v>0</v>
      </c>
      <c r="AH137" s="75">
        <v>0</v>
      </c>
      <c r="AI137" s="75">
        <v>0</v>
      </c>
      <c r="AJ137" s="75">
        <v>0</v>
      </c>
      <c r="AK137" s="75">
        <v>0</v>
      </c>
      <c r="AL137" s="75">
        <v>300</v>
      </c>
      <c r="AM137" s="75">
        <v>5322</v>
      </c>
      <c r="AN137" s="75">
        <v>0</v>
      </c>
      <c r="AO137" s="75">
        <v>0</v>
      </c>
      <c r="AP137" s="75">
        <v>0</v>
      </c>
      <c r="AQ137" s="75">
        <v>0</v>
      </c>
      <c r="AR137" s="75">
        <v>38640</v>
      </c>
      <c r="AS137" s="75">
        <v>0</v>
      </c>
      <c r="AT137" s="75">
        <v>0</v>
      </c>
      <c r="AU137" s="75">
        <v>0</v>
      </c>
      <c r="AV137" s="75">
        <v>0</v>
      </c>
      <c r="AW137" s="75">
        <v>0</v>
      </c>
      <c r="AX137" s="75">
        <v>0</v>
      </c>
      <c r="AY137" s="75">
        <v>0</v>
      </c>
      <c r="AZ137" s="75"/>
      <c r="BA137" s="75"/>
      <c r="BB137" s="75"/>
      <c r="BC137" s="74">
        <f>SUM(BD137+BH137+BL137+BN137+BQ137)</f>
        <v>991469</v>
      </c>
      <c r="BD137" s="74">
        <f>SUM(BE137:BG137)</f>
        <v>0</v>
      </c>
      <c r="BE137" s="74">
        <v>0</v>
      </c>
      <c r="BF137" s="74">
        <v>0</v>
      </c>
      <c r="BG137" s="74">
        <v>0</v>
      </c>
      <c r="BH137" s="74">
        <f t="shared" si="353"/>
        <v>0</v>
      </c>
      <c r="BI137" s="74">
        <v>0</v>
      </c>
      <c r="BJ137" s="74">
        <v>0</v>
      </c>
      <c r="BK137" s="74">
        <v>0</v>
      </c>
      <c r="BL137" s="74">
        <v>0</v>
      </c>
      <c r="BM137" s="74">
        <v>0</v>
      </c>
      <c r="BN137" s="74">
        <f t="shared" si="129"/>
        <v>0</v>
      </c>
      <c r="BO137" s="74">
        <v>0</v>
      </c>
      <c r="BP137" s="74">
        <v>0</v>
      </c>
      <c r="BQ137" s="74">
        <f>SUM(BR137:CB137)</f>
        <v>991469</v>
      </c>
      <c r="BR137" s="74">
        <v>0</v>
      </c>
      <c r="BS137" s="74">
        <v>0</v>
      </c>
      <c r="BT137" s="75">
        <f>594688-34965</f>
        <v>559723</v>
      </c>
      <c r="BU137" s="74">
        <v>0</v>
      </c>
      <c r="BV137" s="74">
        <v>0</v>
      </c>
      <c r="BW137" s="74">
        <v>0</v>
      </c>
      <c r="BX137" s="74">
        <v>0</v>
      </c>
      <c r="BY137" s="74">
        <v>0</v>
      </c>
      <c r="BZ137" s="74">
        <v>0</v>
      </c>
      <c r="CA137" s="75">
        <v>431746</v>
      </c>
      <c r="CB137" s="75">
        <v>0</v>
      </c>
      <c r="CC137" s="74">
        <f>SUM(CD137+CU137)</f>
        <v>35345</v>
      </c>
      <c r="CD137" s="74">
        <f>SUM(CE137+CH137+CN137)</f>
        <v>35345</v>
      </c>
      <c r="CE137" s="74">
        <f t="shared" si="130"/>
        <v>35345</v>
      </c>
      <c r="CF137" s="74">
        <v>0</v>
      </c>
      <c r="CG137" s="75">
        <v>35345</v>
      </c>
      <c r="CH137" s="74">
        <f t="shared" si="354"/>
        <v>0</v>
      </c>
      <c r="CI137" s="74">
        <v>0</v>
      </c>
      <c r="CJ137" s="74">
        <v>0</v>
      </c>
      <c r="CK137" s="74">
        <v>0</v>
      </c>
      <c r="CL137" s="74">
        <v>0</v>
      </c>
      <c r="CM137" s="74">
        <v>0</v>
      </c>
      <c r="CN137" s="74">
        <f>SUM(CO137:CQ137)</f>
        <v>0</v>
      </c>
      <c r="CO137" s="74"/>
      <c r="CP137" s="74">
        <v>0</v>
      </c>
      <c r="CQ137" s="74"/>
      <c r="CR137" s="74"/>
      <c r="CS137" s="74"/>
      <c r="CT137" s="74"/>
      <c r="CU137" s="74">
        <v>0</v>
      </c>
      <c r="CV137" s="74"/>
      <c r="CW137" s="74"/>
      <c r="CX137" s="74"/>
      <c r="CY137" s="74"/>
      <c r="CZ137" s="74">
        <f t="shared" si="131"/>
        <v>0</v>
      </c>
      <c r="DA137" s="74">
        <f t="shared" si="132"/>
        <v>0</v>
      </c>
      <c r="DB137" s="74">
        <v>0</v>
      </c>
      <c r="DC137" s="77">
        <v>0</v>
      </c>
    </row>
    <row r="138" spans="1:108" s="58" customFormat="1" ht="31.2" x14ac:dyDescent="0.3">
      <c r="A138" s="93" t="s">
        <v>199</v>
      </c>
      <c r="B138" s="16" t="s">
        <v>1</v>
      </c>
      <c r="C138" s="17" t="s">
        <v>200</v>
      </c>
      <c r="D138" s="18">
        <f>SUM(D139)</f>
        <v>5885572</v>
      </c>
      <c r="E138" s="18">
        <f t="shared" ref="E138:BW138" si="355">SUM(E139)</f>
        <v>5885572</v>
      </c>
      <c r="F138" s="18">
        <f t="shared" si="355"/>
        <v>5885572</v>
      </c>
      <c r="G138" s="18">
        <f t="shared" si="355"/>
        <v>4580695</v>
      </c>
      <c r="H138" s="18">
        <f t="shared" si="355"/>
        <v>1049351</v>
      </c>
      <c r="I138" s="18">
        <f t="shared" si="355"/>
        <v>42050</v>
      </c>
      <c r="J138" s="18">
        <f t="shared" si="355"/>
        <v>0</v>
      </c>
      <c r="K138" s="18">
        <f t="shared" si="355"/>
        <v>0</v>
      </c>
      <c r="L138" s="18">
        <f t="shared" si="355"/>
        <v>0</v>
      </c>
      <c r="M138" s="18">
        <f t="shared" si="355"/>
        <v>0</v>
      </c>
      <c r="N138" s="18">
        <f t="shared" si="355"/>
        <v>34906</v>
      </c>
      <c r="O138" s="18">
        <f t="shared" si="355"/>
        <v>7144</v>
      </c>
      <c r="P138" s="18">
        <f t="shared" si="355"/>
        <v>0</v>
      </c>
      <c r="Q138" s="18">
        <f t="shared" si="355"/>
        <v>0</v>
      </c>
      <c r="R138" s="18">
        <f t="shared" si="355"/>
        <v>0</v>
      </c>
      <c r="S138" s="18">
        <f t="shared" si="355"/>
        <v>0</v>
      </c>
      <c r="T138" s="18">
        <f t="shared" si="355"/>
        <v>19143</v>
      </c>
      <c r="U138" s="18">
        <f t="shared" si="355"/>
        <v>191625</v>
      </c>
      <c r="V138" s="18">
        <f t="shared" si="355"/>
        <v>1680</v>
      </c>
      <c r="W138" s="18">
        <f t="shared" si="355"/>
        <v>131099</v>
      </c>
      <c r="X138" s="18">
        <f t="shared" si="355"/>
        <v>46759</v>
      </c>
      <c r="Y138" s="18">
        <f t="shared" si="355"/>
        <v>10309</v>
      </c>
      <c r="Z138" s="18">
        <f t="shared" si="355"/>
        <v>1778</v>
      </c>
      <c r="AA138" s="18">
        <f t="shared" si="355"/>
        <v>0</v>
      </c>
      <c r="AB138" s="18">
        <f t="shared" si="355"/>
        <v>0</v>
      </c>
      <c r="AC138" s="18">
        <f t="shared" si="355"/>
        <v>0</v>
      </c>
      <c r="AD138" s="18">
        <f t="shared" si="355"/>
        <v>2708</v>
      </c>
      <c r="AE138" s="18">
        <f t="shared" si="355"/>
        <v>0</v>
      </c>
      <c r="AF138" s="18">
        <f t="shared" si="355"/>
        <v>0</v>
      </c>
      <c r="AG138" s="18">
        <f t="shared" si="355"/>
        <v>1300</v>
      </c>
      <c r="AH138" s="18">
        <f t="shared" si="355"/>
        <v>0</v>
      </c>
      <c r="AI138" s="18">
        <f t="shared" si="355"/>
        <v>0</v>
      </c>
      <c r="AJ138" s="18">
        <f t="shared" si="355"/>
        <v>0</v>
      </c>
      <c r="AK138" s="18">
        <f t="shared" si="355"/>
        <v>0</v>
      </c>
      <c r="AL138" s="18">
        <f t="shared" si="355"/>
        <v>156</v>
      </c>
      <c r="AM138" s="18">
        <f t="shared" si="355"/>
        <v>1252</v>
      </c>
      <c r="AN138" s="18">
        <f t="shared" si="355"/>
        <v>0</v>
      </c>
      <c r="AO138" s="18">
        <f t="shared" si="355"/>
        <v>0</v>
      </c>
      <c r="AP138" s="18">
        <f t="shared" si="355"/>
        <v>0</v>
      </c>
      <c r="AQ138" s="18">
        <f t="shared" si="355"/>
        <v>0</v>
      </c>
      <c r="AR138" s="18">
        <f t="shared" si="355"/>
        <v>0</v>
      </c>
      <c r="AS138" s="18"/>
      <c r="AT138" s="18"/>
      <c r="AU138" s="18">
        <f t="shared" si="355"/>
        <v>0</v>
      </c>
      <c r="AV138" s="18">
        <f t="shared" si="355"/>
        <v>0</v>
      </c>
      <c r="AW138" s="18">
        <f t="shared" si="355"/>
        <v>0</v>
      </c>
      <c r="AX138" s="18"/>
      <c r="AY138" s="18">
        <f t="shared" si="355"/>
        <v>0</v>
      </c>
      <c r="AZ138" s="18"/>
      <c r="BA138" s="18"/>
      <c r="BB138" s="18"/>
      <c r="BC138" s="18">
        <f t="shared" si="355"/>
        <v>0</v>
      </c>
      <c r="BD138" s="18">
        <f t="shared" si="355"/>
        <v>0</v>
      </c>
      <c r="BE138" s="18">
        <f t="shared" si="355"/>
        <v>0</v>
      </c>
      <c r="BF138" s="18">
        <f t="shared" si="355"/>
        <v>0</v>
      </c>
      <c r="BG138" s="18">
        <f t="shared" si="355"/>
        <v>0</v>
      </c>
      <c r="BH138" s="18">
        <f t="shared" si="355"/>
        <v>0</v>
      </c>
      <c r="BI138" s="18">
        <f t="shared" si="355"/>
        <v>0</v>
      </c>
      <c r="BJ138" s="18">
        <f t="shared" si="355"/>
        <v>0</v>
      </c>
      <c r="BK138" s="18">
        <f t="shared" si="355"/>
        <v>0</v>
      </c>
      <c r="BL138" s="18">
        <f t="shared" si="355"/>
        <v>0</v>
      </c>
      <c r="BM138" s="18">
        <f t="shared" si="355"/>
        <v>0</v>
      </c>
      <c r="BN138" s="18">
        <f t="shared" si="355"/>
        <v>0</v>
      </c>
      <c r="BO138" s="18">
        <f t="shared" si="355"/>
        <v>0</v>
      </c>
      <c r="BP138" s="18">
        <f t="shared" si="355"/>
        <v>0</v>
      </c>
      <c r="BQ138" s="18">
        <f t="shared" si="355"/>
        <v>0</v>
      </c>
      <c r="BR138" s="18">
        <f t="shared" si="355"/>
        <v>0</v>
      </c>
      <c r="BS138" s="18">
        <f t="shared" si="355"/>
        <v>0</v>
      </c>
      <c r="BT138" s="18">
        <f t="shared" si="355"/>
        <v>0</v>
      </c>
      <c r="BU138" s="18">
        <f t="shared" si="355"/>
        <v>0</v>
      </c>
      <c r="BV138" s="18">
        <f t="shared" si="355"/>
        <v>0</v>
      </c>
      <c r="BW138" s="18">
        <f t="shared" si="355"/>
        <v>0</v>
      </c>
      <c r="BX138" s="18">
        <f t="shared" ref="BX138:DC138" si="356">SUM(BX139)</f>
        <v>0</v>
      </c>
      <c r="BY138" s="18">
        <f t="shared" si="356"/>
        <v>0</v>
      </c>
      <c r="BZ138" s="18">
        <f t="shared" si="356"/>
        <v>0</v>
      </c>
      <c r="CA138" s="18">
        <f t="shared" si="356"/>
        <v>0</v>
      </c>
      <c r="CB138" s="18">
        <f t="shared" si="356"/>
        <v>0</v>
      </c>
      <c r="CC138" s="18">
        <f t="shared" si="356"/>
        <v>0</v>
      </c>
      <c r="CD138" s="18">
        <f t="shared" si="356"/>
        <v>0</v>
      </c>
      <c r="CE138" s="18">
        <f t="shared" si="356"/>
        <v>0</v>
      </c>
      <c r="CF138" s="18">
        <f t="shared" si="356"/>
        <v>0</v>
      </c>
      <c r="CG138" s="18">
        <f t="shared" si="356"/>
        <v>0</v>
      </c>
      <c r="CH138" s="18">
        <f t="shared" si="356"/>
        <v>0</v>
      </c>
      <c r="CI138" s="18">
        <f t="shared" si="356"/>
        <v>0</v>
      </c>
      <c r="CJ138" s="18">
        <f t="shared" si="356"/>
        <v>0</v>
      </c>
      <c r="CK138" s="18">
        <f t="shared" si="356"/>
        <v>0</v>
      </c>
      <c r="CL138" s="18">
        <f t="shared" si="356"/>
        <v>0</v>
      </c>
      <c r="CM138" s="18">
        <f t="shared" si="356"/>
        <v>0</v>
      </c>
      <c r="CN138" s="18">
        <f t="shared" si="356"/>
        <v>0</v>
      </c>
      <c r="CO138" s="18">
        <f t="shared" si="356"/>
        <v>0</v>
      </c>
      <c r="CP138" s="18">
        <f t="shared" si="356"/>
        <v>0</v>
      </c>
      <c r="CQ138" s="18"/>
      <c r="CR138" s="18"/>
      <c r="CS138" s="18"/>
      <c r="CT138" s="18"/>
      <c r="CU138" s="18">
        <f t="shared" si="356"/>
        <v>0</v>
      </c>
      <c r="CV138" s="73"/>
      <c r="CW138" s="73"/>
      <c r="CX138" s="73"/>
      <c r="CY138" s="73"/>
      <c r="CZ138" s="18">
        <f t="shared" si="356"/>
        <v>0</v>
      </c>
      <c r="DA138" s="18">
        <f t="shared" si="356"/>
        <v>0</v>
      </c>
      <c r="DB138" s="18">
        <f t="shared" si="356"/>
        <v>0</v>
      </c>
      <c r="DC138" s="46">
        <f t="shared" si="356"/>
        <v>0</v>
      </c>
      <c r="DD138" s="57"/>
    </row>
    <row r="139" spans="1:108" s="78" customFormat="1" ht="31.2" x14ac:dyDescent="0.3">
      <c r="A139" s="96" t="s">
        <v>1</v>
      </c>
      <c r="B139" s="71" t="s">
        <v>58</v>
      </c>
      <c r="C139" s="72" t="s">
        <v>201</v>
      </c>
      <c r="D139" s="74">
        <f>SUM(E139+CC139+CZ139)</f>
        <v>5885572</v>
      </c>
      <c r="E139" s="74">
        <f>SUM(F139+BC139)</f>
        <v>5885572</v>
      </c>
      <c r="F139" s="74">
        <f>SUM(G139+H139+I139+P139+S139+T139+U139+AD139)</f>
        <v>5885572</v>
      </c>
      <c r="G139" s="74">
        <v>4580695</v>
      </c>
      <c r="H139" s="74">
        <v>1049351</v>
      </c>
      <c r="I139" s="74">
        <f t="shared" si="127"/>
        <v>42050</v>
      </c>
      <c r="J139" s="74">
        <v>0</v>
      </c>
      <c r="K139" s="74">
        <v>0</v>
      </c>
      <c r="L139" s="74">
        <v>0</v>
      </c>
      <c r="M139" s="74">
        <v>0</v>
      </c>
      <c r="N139" s="76">
        <v>34906</v>
      </c>
      <c r="O139" s="76">
        <v>7144</v>
      </c>
      <c r="P139" s="74">
        <f t="shared" si="128"/>
        <v>0</v>
      </c>
      <c r="Q139" s="76"/>
      <c r="R139" s="74">
        <v>0</v>
      </c>
      <c r="S139" s="74">
        <v>0</v>
      </c>
      <c r="T139" s="76">
        <v>19143</v>
      </c>
      <c r="U139" s="74">
        <f>SUM(V139:AC139)</f>
        <v>191625</v>
      </c>
      <c r="V139" s="75">
        <v>1680</v>
      </c>
      <c r="W139" s="75">
        <f>94534+36565</f>
        <v>131099</v>
      </c>
      <c r="X139" s="75">
        <f>26500+20259</f>
        <v>46759</v>
      </c>
      <c r="Y139" s="75">
        <f>6726+3583</f>
        <v>10309</v>
      </c>
      <c r="Z139" s="75">
        <v>1778</v>
      </c>
      <c r="AA139" s="75">
        <v>0</v>
      </c>
      <c r="AB139" s="75">
        <v>0</v>
      </c>
      <c r="AC139" s="75">
        <v>0</v>
      </c>
      <c r="AD139" s="74">
        <f>SUM(AE139:AY139)</f>
        <v>2708</v>
      </c>
      <c r="AE139" s="74">
        <v>0</v>
      </c>
      <c r="AF139" s="74">
        <v>0</v>
      </c>
      <c r="AG139" s="75">
        <v>1300</v>
      </c>
      <c r="AH139" s="75"/>
      <c r="AI139" s="75">
        <v>0</v>
      </c>
      <c r="AJ139" s="75"/>
      <c r="AK139" s="75">
        <v>0</v>
      </c>
      <c r="AL139" s="75">
        <v>156</v>
      </c>
      <c r="AM139" s="75">
        <v>1252</v>
      </c>
      <c r="AN139" s="75">
        <v>0</v>
      </c>
      <c r="AO139" s="75">
        <v>0</v>
      </c>
      <c r="AP139" s="75">
        <v>0</v>
      </c>
      <c r="AQ139" s="75">
        <v>0</v>
      </c>
      <c r="AR139" s="75">
        <v>0</v>
      </c>
      <c r="AS139" s="75">
        <v>0</v>
      </c>
      <c r="AT139" s="75">
        <v>0</v>
      </c>
      <c r="AU139" s="75">
        <v>0</v>
      </c>
      <c r="AV139" s="75">
        <v>0</v>
      </c>
      <c r="AW139" s="75">
        <v>0</v>
      </c>
      <c r="AX139" s="75">
        <v>0</v>
      </c>
      <c r="AY139" s="75">
        <v>0</v>
      </c>
      <c r="AZ139" s="75"/>
      <c r="BA139" s="75"/>
      <c r="BB139" s="75"/>
      <c r="BC139" s="74">
        <f>SUM(BD139+BH139+BL139+BN139+BQ139)</f>
        <v>0</v>
      </c>
      <c r="BD139" s="74">
        <f>SUM(BE139:BG139)</f>
        <v>0</v>
      </c>
      <c r="BE139" s="74">
        <v>0</v>
      </c>
      <c r="BF139" s="74">
        <v>0</v>
      </c>
      <c r="BG139" s="74">
        <v>0</v>
      </c>
      <c r="BH139" s="74">
        <f>SUM(BI139:BK139)</f>
        <v>0</v>
      </c>
      <c r="BI139" s="74">
        <v>0</v>
      </c>
      <c r="BJ139" s="74">
        <v>0</v>
      </c>
      <c r="BK139" s="74">
        <v>0</v>
      </c>
      <c r="BL139" s="74">
        <v>0</v>
      </c>
      <c r="BM139" s="74">
        <v>0</v>
      </c>
      <c r="BN139" s="74">
        <f t="shared" si="129"/>
        <v>0</v>
      </c>
      <c r="BO139" s="74">
        <v>0</v>
      </c>
      <c r="BP139" s="74">
        <v>0</v>
      </c>
      <c r="BQ139" s="74">
        <f>SUM(BR139:CB139)</f>
        <v>0</v>
      </c>
      <c r="BR139" s="74">
        <v>0</v>
      </c>
      <c r="BS139" s="74">
        <v>0</v>
      </c>
      <c r="BT139" s="74">
        <v>0</v>
      </c>
      <c r="BU139" s="74">
        <v>0</v>
      </c>
      <c r="BV139" s="74">
        <v>0</v>
      </c>
      <c r="BW139" s="74">
        <v>0</v>
      </c>
      <c r="BX139" s="74">
        <v>0</v>
      </c>
      <c r="BY139" s="74">
        <v>0</v>
      </c>
      <c r="BZ139" s="74">
        <v>0</v>
      </c>
      <c r="CA139" s="74">
        <v>0</v>
      </c>
      <c r="CB139" s="74">
        <v>0</v>
      </c>
      <c r="CC139" s="74">
        <f>SUM(CD139+CU139)</f>
        <v>0</v>
      </c>
      <c r="CD139" s="74">
        <f>SUM(CE139+CH139+CN139)</f>
        <v>0</v>
      </c>
      <c r="CE139" s="74">
        <f t="shared" si="130"/>
        <v>0</v>
      </c>
      <c r="CF139" s="74">
        <v>0</v>
      </c>
      <c r="CG139" s="74"/>
      <c r="CH139" s="74">
        <f>SUM(CI139:CM139)</f>
        <v>0</v>
      </c>
      <c r="CI139" s="74">
        <v>0</v>
      </c>
      <c r="CJ139" s="74">
        <v>0</v>
      </c>
      <c r="CK139" s="74">
        <v>0</v>
      </c>
      <c r="CL139" s="74">
        <v>0</v>
      </c>
      <c r="CM139" s="74">
        <v>0</v>
      </c>
      <c r="CN139" s="74">
        <f>SUM(CO139:CQ139)</f>
        <v>0</v>
      </c>
      <c r="CO139" s="74">
        <v>0</v>
      </c>
      <c r="CP139" s="74">
        <v>0</v>
      </c>
      <c r="CQ139" s="74"/>
      <c r="CR139" s="74"/>
      <c r="CS139" s="74"/>
      <c r="CT139" s="74"/>
      <c r="CU139" s="74">
        <v>0</v>
      </c>
      <c r="CV139" s="74"/>
      <c r="CW139" s="74"/>
      <c r="CX139" s="74"/>
      <c r="CY139" s="74"/>
      <c r="CZ139" s="74">
        <f t="shared" si="131"/>
        <v>0</v>
      </c>
      <c r="DA139" s="74">
        <f t="shared" si="132"/>
        <v>0</v>
      </c>
      <c r="DB139" s="74">
        <v>0</v>
      </c>
      <c r="DC139" s="77">
        <v>0</v>
      </c>
    </row>
    <row r="140" spans="1:108" s="58" customFormat="1" ht="31.2" x14ac:dyDescent="0.3">
      <c r="A140" s="93" t="s">
        <v>202</v>
      </c>
      <c r="B140" s="16" t="s">
        <v>1</v>
      </c>
      <c r="C140" s="17" t="s">
        <v>203</v>
      </c>
      <c r="D140" s="18">
        <f t="shared" ref="D140:AJ140" si="357">SUM(D141)</f>
        <v>9299625</v>
      </c>
      <c r="E140" s="18">
        <f t="shared" si="357"/>
        <v>9109120</v>
      </c>
      <c r="F140" s="18">
        <f t="shared" si="357"/>
        <v>7849934</v>
      </c>
      <c r="G140" s="18">
        <f t="shared" si="357"/>
        <v>4419714</v>
      </c>
      <c r="H140" s="18">
        <f t="shared" si="357"/>
        <v>1046397</v>
      </c>
      <c r="I140" s="18">
        <f t="shared" si="357"/>
        <v>1545542</v>
      </c>
      <c r="J140" s="18">
        <f t="shared" si="357"/>
        <v>20069</v>
      </c>
      <c r="K140" s="18">
        <f t="shared" si="357"/>
        <v>101482</v>
      </c>
      <c r="L140" s="18">
        <f t="shared" si="357"/>
        <v>1014832</v>
      </c>
      <c r="M140" s="18">
        <f t="shared" si="357"/>
        <v>0</v>
      </c>
      <c r="N140" s="18">
        <f t="shared" si="357"/>
        <v>127399</v>
      </c>
      <c r="O140" s="18">
        <f t="shared" si="357"/>
        <v>281760</v>
      </c>
      <c r="P140" s="18">
        <f t="shared" si="357"/>
        <v>0</v>
      </c>
      <c r="Q140" s="18">
        <f t="shared" si="357"/>
        <v>0</v>
      </c>
      <c r="R140" s="18">
        <f t="shared" si="357"/>
        <v>0</v>
      </c>
      <c r="S140" s="18">
        <f t="shared" si="357"/>
        <v>0</v>
      </c>
      <c r="T140" s="18">
        <f t="shared" si="357"/>
        <v>7286</v>
      </c>
      <c r="U140" s="18">
        <f t="shared" si="357"/>
        <v>577727</v>
      </c>
      <c r="V140" s="18">
        <f t="shared" si="357"/>
        <v>17057</v>
      </c>
      <c r="W140" s="18">
        <f t="shared" si="357"/>
        <v>331955</v>
      </c>
      <c r="X140" s="18">
        <f t="shared" si="357"/>
        <v>161106</v>
      </c>
      <c r="Y140" s="18">
        <f t="shared" si="357"/>
        <v>62498</v>
      </c>
      <c r="Z140" s="18">
        <f t="shared" si="357"/>
        <v>5111</v>
      </c>
      <c r="AA140" s="18">
        <f t="shared" si="357"/>
        <v>0</v>
      </c>
      <c r="AB140" s="18">
        <f t="shared" si="357"/>
        <v>0</v>
      </c>
      <c r="AC140" s="18">
        <f t="shared" si="357"/>
        <v>0</v>
      </c>
      <c r="AD140" s="18">
        <f t="shared" si="357"/>
        <v>253268</v>
      </c>
      <c r="AE140" s="18">
        <f t="shared" si="357"/>
        <v>0</v>
      </c>
      <c r="AF140" s="18">
        <f t="shared" si="357"/>
        <v>0</v>
      </c>
      <c r="AG140" s="18">
        <f t="shared" si="357"/>
        <v>7800</v>
      </c>
      <c r="AH140" s="18">
        <f t="shared" si="357"/>
        <v>23451</v>
      </c>
      <c r="AI140" s="18">
        <f t="shared" si="357"/>
        <v>2145</v>
      </c>
      <c r="AJ140" s="18">
        <f t="shared" si="357"/>
        <v>2057</v>
      </c>
      <c r="AK140" s="18">
        <f t="shared" ref="AK140:DC140" si="358">SUM(AK141)</f>
        <v>0</v>
      </c>
      <c r="AL140" s="18">
        <f t="shared" si="358"/>
        <v>1510</v>
      </c>
      <c r="AM140" s="18">
        <f t="shared" si="358"/>
        <v>0</v>
      </c>
      <c r="AN140" s="18">
        <f t="shared" si="358"/>
        <v>0</v>
      </c>
      <c r="AO140" s="18">
        <f t="shared" si="358"/>
        <v>0</v>
      </c>
      <c r="AP140" s="18">
        <f t="shared" si="358"/>
        <v>0</v>
      </c>
      <c r="AQ140" s="18">
        <f t="shared" si="358"/>
        <v>175971</v>
      </c>
      <c r="AR140" s="18">
        <f t="shared" si="358"/>
        <v>28464</v>
      </c>
      <c r="AS140" s="18"/>
      <c r="AT140" s="18"/>
      <c r="AU140" s="18">
        <f t="shared" si="358"/>
        <v>0</v>
      </c>
      <c r="AV140" s="18">
        <f t="shared" si="358"/>
        <v>0</v>
      </c>
      <c r="AW140" s="18">
        <f t="shared" si="358"/>
        <v>0</v>
      </c>
      <c r="AX140" s="18"/>
      <c r="AY140" s="18">
        <f t="shared" si="358"/>
        <v>11870</v>
      </c>
      <c r="AZ140" s="18">
        <f t="shared" si="358"/>
        <v>0</v>
      </c>
      <c r="BA140" s="18">
        <f t="shared" si="358"/>
        <v>0</v>
      </c>
      <c r="BB140" s="18">
        <f t="shared" si="358"/>
        <v>0</v>
      </c>
      <c r="BC140" s="18">
        <f t="shared" si="358"/>
        <v>1259186</v>
      </c>
      <c r="BD140" s="18">
        <f t="shared" si="358"/>
        <v>0</v>
      </c>
      <c r="BE140" s="18">
        <f t="shared" si="358"/>
        <v>0</v>
      </c>
      <c r="BF140" s="18">
        <f t="shared" si="358"/>
        <v>0</v>
      </c>
      <c r="BG140" s="18">
        <f t="shared" si="358"/>
        <v>0</v>
      </c>
      <c r="BH140" s="18">
        <f t="shared" si="358"/>
        <v>0</v>
      </c>
      <c r="BI140" s="18">
        <f t="shared" si="358"/>
        <v>0</v>
      </c>
      <c r="BJ140" s="18">
        <f t="shared" si="358"/>
        <v>0</v>
      </c>
      <c r="BK140" s="18">
        <f t="shared" si="358"/>
        <v>0</v>
      </c>
      <c r="BL140" s="18">
        <f t="shared" si="358"/>
        <v>0</v>
      </c>
      <c r="BM140" s="18">
        <f t="shared" si="358"/>
        <v>0</v>
      </c>
      <c r="BN140" s="18">
        <f t="shared" si="358"/>
        <v>0</v>
      </c>
      <c r="BO140" s="18">
        <f t="shared" si="358"/>
        <v>0</v>
      </c>
      <c r="BP140" s="18">
        <f t="shared" si="358"/>
        <v>0</v>
      </c>
      <c r="BQ140" s="18">
        <f t="shared" si="358"/>
        <v>1259186</v>
      </c>
      <c r="BR140" s="18">
        <f t="shared" si="358"/>
        <v>0</v>
      </c>
      <c r="BS140" s="18">
        <f t="shared" si="358"/>
        <v>0</v>
      </c>
      <c r="BT140" s="18">
        <f t="shared" si="358"/>
        <v>0</v>
      </c>
      <c r="BU140" s="18">
        <f t="shared" si="358"/>
        <v>0</v>
      </c>
      <c r="BV140" s="18">
        <f t="shared" si="358"/>
        <v>0</v>
      </c>
      <c r="BW140" s="18">
        <f t="shared" si="358"/>
        <v>0</v>
      </c>
      <c r="BX140" s="18">
        <f t="shared" si="358"/>
        <v>0</v>
      </c>
      <c r="BY140" s="18">
        <f t="shared" si="358"/>
        <v>0</v>
      </c>
      <c r="BZ140" s="18">
        <f t="shared" si="358"/>
        <v>0</v>
      </c>
      <c r="CA140" s="18">
        <f t="shared" si="358"/>
        <v>0</v>
      </c>
      <c r="CB140" s="18">
        <f t="shared" si="358"/>
        <v>1259186</v>
      </c>
      <c r="CC140" s="18">
        <f t="shared" si="358"/>
        <v>190505</v>
      </c>
      <c r="CD140" s="18">
        <f t="shared" si="358"/>
        <v>190505</v>
      </c>
      <c r="CE140" s="18">
        <f t="shared" si="358"/>
        <v>190505</v>
      </c>
      <c r="CF140" s="18">
        <f t="shared" si="358"/>
        <v>0</v>
      </c>
      <c r="CG140" s="18">
        <f t="shared" si="358"/>
        <v>190505</v>
      </c>
      <c r="CH140" s="18">
        <f t="shared" si="358"/>
        <v>0</v>
      </c>
      <c r="CI140" s="18">
        <f t="shared" si="358"/>
        <v>0</v>
      </c>
      <c r="CJ140" s="18">
        <f t="shared" si="358"/>
        <v>0</v>
      </c>
      <c r="CK140" s="18">
        <f t="shared" si="358"/>
        <v>0</v>
      </c>
      <c r="CL140" s="18">
        <f t="shared" si="358"/>
        <v>0</v>
      </c>
      <c r="CM140" s="18">
        <f t="shared" si="358"/>
        <v>0</v>
      </c>
      <c r="CN140" s="18">
        <f t="shared" si="358"/>
        <v>0</v>
      </c>
      <c r="CO140" s="18">
        <f t="shared" si="358"/>
        <v>0</v>
      </c>
      <c r="CP140" s="18">
        <f t="shared" si="358"/>
        <v>0</v>
      </c>
      <c r="CQ140" s="18"/>
      <c r="CR140" s="18"/>
      <c r="CS140" s="18"/>
      <c r="CT140" s="18"/>
      <c r="CU140" s="18">
        <f t="shared" si="358"/>
        <v>0</v>
      </c>
      <c r="CV140" s="73"/>
      <c r="CW140" s="73"/>
      <c r="CX140" s="73"/>
      <c r="CY140" s="73"/>
      <c r="CZ140" s="18">
        <f t="shared" si="358"/>
        <v>0</v>
      </c>
      <c r="DA140" s="18">
        <f t="shared" si="358"/>
        <v>0</v>
      </c>
      <c r="DB140" s="18">
        <f t="shared" si="358"/>
        <v>0</v>
      </c>
      <c r="DC140" s="46">
        <f t="shared" si="358"/>
        <v>0</v>
      </c>
      <c r="DD140" s="57"/>
    </row>
    <row r="141" spans="1:108" s="78" customFormat="1" ht="15.6" x14ac:dyDescent="0.3">
      <c r="A141" s="96" t="s">
        <v>1</v>
      </c>
      <c r="B141" s="71" t="s">
        <v>54</v>
      </c>
      <c r="C141" s="72" t="s">
        <v>204</v>
      </c>
      <c r="D141" s="74">
        <f>SUM(E141+CC141+CZ141)</f>
        <v>9299625</v>
      </c>
      <c r="E141" s="74">
        <f>SUM(F141+BC141)</f>
        <v>9109120</v>
      </c>
      <c r="F141" s="74">
        <f>SUM(G141+H141+I141+P141+S141+T141+U141+AD141)</f>
        <v>7849934</v>
      </c>
      <c r="G141" s="74">
        <v>4419714</v>
      </c>
      <c r="H141" s="74">
        <v>1046397</v>
      </c>
      <c r="I141" s="74">
        <f t="shared" si="127"/>
        <v>1545542</v>
      </c>
      <c r="J141" s="75">
        <v>20069</v>
      </c>
      <c r="K141" s="75">
        <v>101482</v>
      </c>
      <c r="L141" s="75">
        <f>1076013-61181</f>
        <v>1014832</v>
      </c>
      <c r="M141" s="75">
        <v>0</v>
      </c>
      <c r="N141" s="75">
        <v>127399</v>
      </c>
      <c r="O141" s="75">
        <v>281760</v>
      </c>
      <c r="P141" s="74">
        <f t="shared" si="128"/>
        <v>0</v>
      </c>
      <c r="Q141" s="74">
        <v>0</v>
      </c>
      <c r="R141" s="74">
        <v>0</v>
      </c>
      <c r="S141" s="74">
        <v>0</v>
      </c>
      <c r="T141" s="75">
        <v>7286</v>
      </c>
      <c r="U141" s="74">
        <f>SUM(V141:AC141)</f>
        <v>577727</v>
      </c>
      <c r="V141" s="75">
        <v>17057</v>
      </c>
      <c r="W141" s="75">
        <f>295929+36026</f>
        <v>331955</v>
      </c>
      <c r="X141" s="75">
        <f>114028+47078</f>
        <v>161106</v>
      </c>
      <c r="Y141" s="75">
        <f>60944+1554</f>
        <v>62498</v>
      </c>
      <c r="Z141" s="75">
        <v>5111</v>
      </c>
      <c r="AA141" s="75">
        <v>0</v>
      </c>
      <c r="AB141" s="75">
        <v>0</v>
      </c>
      <c r="AC141" s="75">
        <v>0</v>
      </c>
      <c r="AD141" s="74">
        <f>SUM(AE141:AY141)</f>
        <v>253268</v>
      </c>
      <c r="AE141" s="74">
        <v>0</v>
      </c>
      <c r="AF141" s="74">
        <v>0</v>
      </c>
      <c r="AG141" s="75">
        <v>7800</v>
      </c>
      <c r="AH141" s="75">
        <v>23451</v>
      </c>
      <c r="AI141" s="75">
        <v>2145</v>
      </c>
      <c r="AJ141" s="75">
        <v>2057</v>
      </c>
      <c r="AK141" s="75">
        <v>0</v>
      </c>
      <c r="AL141" s="75">
        <v>1510</v>
      </c>
      <c r="AM141" s="75">
        <v>0</v>
      </c>
      <c r="AN141" s="75">
        <v>0</v>
      </c>
      <c r="AO141" s="75">
        <v>0</v>
      </c>
      <c r="AP141" s="75">
        <v>0</v>
      </c>
      <c r="AQ141" s="75">
        <v>175971</v>
      </c>
      <c r="AR141" s="75">
        <v>28464</v>
      </c>
      <c r="AS141" s="75">
        <v>0</v>
      </c>
      <c r="AT141" s="75">
        <v>0</v>
      </c>
      <c r="AU141" s="75">
        <v>0</v>
      </c>
      <c r="AV141" s="75">
        <v>0</v>
      </c>
      <c r="AW141" s="75">
        <v>0</v>
      </c>
      <c r="AX141" s="75">
        <v>0</v>
      </c>
      <c r="AY141" s="75">
        <v>11870</v>
      </c>
      <c r="AZ141" s="75"/>
      <c r="BA141" s="75"/>
      <c r="BB141" s="75"/>
      <c r="BC141" s="74">
        <f>SUM(BD141+BH141+BL141+BN141+BQ141)</f>
        <v>1259186</v>
      </c>
      <c r="BD141" s="74">
        <f>SUM(BE141:BG141)</f>
        <v>0</v>
      </c>
      <c r="BE141" s="74">
        <v>0</v>
      </c>
      <c r="BF141" s="74">
        <v>0</v>
      </c>
      <c r="BG141" s="74">
        <v>0</v>
      </c>
      <c r="BH141" s="74">
        <f>SUM(BI141:BK141)</f>
        <v>0</v>
      </c>
      <c r="BI141" s="74">
        <v>0</v>
      </c>
      <c r="BJ141" s="74">
        <v>0</v>
      </c>
      <c r="BK141" s="74">
        <v>0</v>
      </c>
      <c r="BL141" s="74">
        <v>0</v>
      </c>
      <c r="BM141" s="74">
        <v>0</v>
      </c>
      <c r="BN141" s="74">
        <f t="shared" si="129"/>
        <v>0</v>
      </c>
      <c r="BO141" s="74">
        <v>0</v>
      </c>
      <c r="BP141" s="74">
        <v>0</v>
      </c>
      <c r="BQ141" s="74">
        <f>SUM(BR141:CB141)</f>
        <v>1259186</v>
      </c>
      <c r="BR141" s="74">
        <v>0</v>
      </c>
      <c r="BS141" s="74">
        <v>0</v>
      </c>
      <c r="BT141" s="74">
        <v>0</v>
      </c>
      <c r="BU141" s="74">
        <v>0</v>
      </c>
      <c r="BV141" s="74">
        <v>0</v>
      </c>
      <c r="BW141" s="74"/>
      <c r="BX141" s="74">
        <v>0</v>
      </c>
      <c r="BY141" s="74">
        <v>0</v>
      </c>
      <c r="BZ141" s="74">
        <v>0</v>
      </c>
      <c r="CA141" s="74">
        <v>0</v>
      </c>
      <c r="CB141" s="75">
        <v>1259186</v>
      </c>
      <c r="CC141" s="74">
        <f>SUM(CD141+CU141)</f>
        <v>190505</v>
      </c>
      <c r="CD141" s="74">
        <f>SUM(CE141+CH141+CN141)</f>
        <v>190505</v>
      </c>
      <c r="CE141" s="74">
        <f t="shared" si="130"/>
        <v>190505</v>
      </c>
      <c r="CF141" s="74">
        <v>0</v>
      </c>
      <c r="CG141" s="75">
        <v>190505</v>
      </c>
      <c r="CH141" s="74">
        <f>SUM(CI141:CM141)</f>
        <v>0</v>
      </c>
      <c r="CI141" s="74">
        <v>0</v>
      </c>
      <c r="CJ141" s="74">
        <v>0</v>
      </c>
      <c r="CK141" s="74">
        <v>0</v>
      </c>
      <c r="CL141" s="74">
        <v>0</v>
      </c>
      <c r="CM141" s="74">
        <v>0</v>
      </c>
      <c r="CN141" s="74">
        <f>SUM(CO141:CQ141)</f>
        <v>0</v>
      </c>
      <c r="CO141" s="74"/>
      <c r="CP141" s="74">
        <v>0</v>
      </c>
      <c r="CQ141" s="74"/>
      <c r="CR141" s="74"/>
      <c r="CS141" s="74"/>
      <c r="CT141" s="74"/>
      <c r="CU141" s="74">
        <v>0</v>
      </c>
      <c r="CV141" s="74"/>
      <c r="CW141" s="74"/>
      <c r="CX141" s="74"/>
      <c r="CY141" s="74"/>
      <c r="CZ141" s="74">
        <f t="shared" si="131"/>
        <v>0</v>
      </c>
      <c r="DA141" s="74">
        <f t="shared" si="132"/>
        <v>0</v>
      </c>
      <c r="DB141" s="74">
        <v>0</v>
      </c>
      <c r="DC141" s="77">
        <v>0</v>
      </c>
    </row>
    <row r="142" spans="1:108" ht="31.2" x14ac:dyDescent="0.3">
      <c r="A142" s="93" t="s">
        <v>205</v>
      </c>
      <c r="B142" s="16" t="s">
        <v>1</v>
      </c>
      <c r="C142" s="17" t="s">
        <v>206</v>
      </c>
      <c r="D142" s="18">
        <f t="shared" ref="D142:BT142" si="359">SUM(D143:D145)</f>
        <v>2042145</v>
      </c>
      <c r="E142" s="18">
        <f t="shared" si="359"/>
        <v>2042145</v>
      </c>
      <c r="F142" s="18">
        <f t="shared" si="359"/>
        <v>1991705</v>
      </c>
      <c r="G142" s="18">
        <f t="shared" si="359"/>
        <v>1416758</v>
      </c>
      <c r="H142" s="18">
        <f t="shared" si="359"/>
        <v>339665</v>
      </c>
      <c r="I142" s="18">
        <f t="shared" si="359"/>
        <v>10500</v>
      </c>
      <c r="J142" s="18">
        <f t="shared" si="359"/>
        <v>0</v>
      </c>
      <c r="K142" s="18">
        <f t="shared" si="359"/>
        <v>0</v>
      </c>
      <c r="L142" s="18">
        <f t="shared" si="359"/>
        <v>0</v>
      </c>
      <c r="M142" s="18">
        <f t="shared" si="359"/>
        <v>0</v>
      </c>
      <c r="N142" s="18">
        <f t="shared" si="359"/>
        <v>0</v>
      </c>
      <c r="O142" s="18">
        <f t="shared" si="359"/>
        <v>10500</v>
      </c>
      <c r="P142" s="18">
        <f t="shared" si="359"/>
        <v>0</v>
      </c>
      <c r="Q142" s="18">
        <f t="shared" si="359"/>
        <v>0</v>
      </c>
      <c r="R142" s="18">
        <f t="shared" si="359"/>
        <v>0</v>
      </c>
      <c r="S142" s="18">
        <f t="shared" si="359"/>
        <v>0</v>
      </c>
      <c r="T142" s="18">
        <f t="shared" si="359"/>
        <v>7772</v>
      </c>
      <c r="U142" s="18">
        <f t="shared" si="359"/>
        <v>0</v>
      </c>
      <c r="V142" s="18">
        <f t="shared" si="359"/>
        <v>0</v>
      </c>
      <c r="W142" s="18">
        <f t="shared" si="359"/>
        <v>0</v>
      </c>
      <c r="X142" s="18">
        <f t="shared" si="359"/>
        <v>0</v>
      </c>
      <c r="Y142" s="18">
        <f t="shared" si="359"/>
        <v>0</v>
      </c>
      <c r="Z142" s="18">
        <f t="shared" si="359"/>
        <v>0</v>
      </c>
      <c r="AA142" s="18">
        <f t="shared" si="359"/>
        <v>0</v>
      </c>
      <c r="AB142" s="18">
        <f t="shared" si="359"/>
        <v>0</v>
      </c>
      <c r="AC142" s="18">
        <f t="shared" si="359"/>
        <v>0</v>
      </c>
      <c r="AD142" s="18">
        <f t="shared" si="359"/>
        <v>217010</v>
      </c>
      <c r="AE142" s="18">
        <f t="shared" si="359"/>
        <v>0</v>
      </c>
      <c r="AF142" s="18">
        <f t="shared" si="359"/>
        <v>0</v>
      </c>
      <c r="AG142" s="18">
        <f t="shared" si="359"/>
        <v>0</v>
      </c>
      <c r="AH142" s="18">
        <f t="shared" si="359"/>
        <v>0</v>
      </c>
      <c r="AI142" s="18">
        <f t="shared" si="359"/>
        <v>0</v>
      </c>
      <c r="AJ142" s="18">
        <f t="shared" si="359"/>
        <v>0</v>
      </c>
      <c r="AK142" s="18">
        <f t="shared" si="359"/>
        <v>0</v>
      </c>
      <c r="AL142" s="18">
        <f t="shared" si="359"/>
        <v>0</v>
      </c>
      <c r="AM142" s="18">
        <f t="shared" si="359"/>
        <v>112786</v>
      </c>
      <c r="AN142" s="18">
        <f t="shared" si="359"/>
        <v>0</v>
      </c>
      <c r="AO142" s="18">
        <f t="shared" si="359"/>
        <v>0</v>
      </c>
      <c r="AP142" s="18">
        <f t="shared" si="359"/>
        <v>0</v>
      </c>
      <c r="AQ142" s="18">
        <f t="shared" si="359"/>
        <v>0</v>
      </c>
      <c r="AR142" s="18">
        <f t="shared" si="359"/>
        <v>0</v>
      </c>
      <c r="AS142" s="18"/>
      <c r="AT142" s="18"/>
      <c r="AU142" s="18">
        <f t="shared" si="359"/>
        <v>0</v>
      </c>
      <c r="AV142" s="18">
        <f t="shared" si="359"/>
        <v>0</v>
      </c>
      <c r="AW142" s="18">
        <f t="shared" si="359"/>
        <v>0</v>
      </c>
      <c r="AX142" s="18"/>
      <c r="AY142" s="18">
        <f t="shared" si="359"/>
        <v>104224</v>
      </c>
      <c r="AZ142" s="18">
        <f t="shared" si="359"/>
        <v>0</v>
      </c>
      <c r="BA142" s="18">
        <f t="shared" si="359"/>
        <v>0</v>
      </c>
      <c r="BB142" s="18">
        <f t="shared" si="359"/>
        <v>0</v>
      </c>
      <c r="BC142" s="18">
        <f t="shared" si="359"/>
        <v>50440</v>
      </c>
      <c r="BD142" s="18">
        <f t="shared" si="359"/>
        <v>0</v>
      </c>
      <c r="BE142" s="18">
        <f t="shared" si="359"/>
        <v>0</v>
      </c>
      <c r="BF142" s="18">
        <f t="shared" si="359"/>
        <v>0</v>
      </c>
      <c r="BG142" s="18">
        <f t="shared" si="359"/>
        <v>0</v>
      </c>
      <c r="BH142" s="18">
        <f t="shared" si="359"/>
        <v>0</v>
      </c>
      <c r="BI142" s="18">
        <f t="shared" si="359"/>
        <v>0</v>
      </c>
      <c r="BJ142" s="18">
        <f t="shared" ref="BJ142" si="360">SUM(BJ143:BJ145)</f>
        <v>0</v>
      </c>
      <c r="BK142" s="18">
        <f t="shared" si="359"/>
        <v>0</v>
      </c>
      <c r="BL142" s="18">
        <f t="shared" si="359"/>
        <v>0</v>
      </c>
      <c r="BM142" s="18">
        <f t="shared" ref="BM142" si="361">SUM(BM143:BM145)</f>
        <v>0</v>
      </c>
      <c r="BN142" s="18">
        <f t="shared" si="359"/>
        <v>0</v>
      </c>
      <c r="BO142" s="18">
        <f t="shared" si="359"/>
        <v>0</v>
      </c>
      <c r="BP142" s="18">
        <f t="shared" ref="BP142" si="362">SUM(BP143:BP145)</f>
        <v>0</v>
      </c>
      <c r="BQ142" s="18">
        <f t="shared" si="359"/>
        <v>50440</v>
      </c>
      <c r="BR142" s="18">
        <f t="shared" si="359"/>
        <v>0</v>
      </c>
      <c r="BS142" s="18">
        <f t="shared" si="359"/>
        <v>0</v>
      </c>
      <c r="BT142" s="18">
        <f t="shared" si="359"/>
        <v>50440</v>
      </c>
      <c r="BU142" s="18">
        <f t="shared" ref="BU142:DC142" si="363">SUM(BU143:BU145)</f>
        <v>0</v>
      </c>
      <c r="BV142" s="18">
        <f t="shared" si="363"/>
        <v>0</v>
      </c>
      <c r="BW142" s="18">
        <f t="shared" si="363"/>
        <v>0</v>
      </c>
      <c r="BX142" s="18">
        <f t="shared" si="363"/>
        <v>0</v>
      </c>
      <c r="BY142" s="18">
        <f t="shared" si="363"/>
        <v>0</v>
      </c>
      <c r="BZ142" s="18">
        <f t="shared" si="363"/>
        <v>0</v>
      </c>
      <c r="CA142" s="18">
        <f t="shared" si="363"/>
        <v>0</v>
      </c>
      <c r="CB142" s="18">
        <f t="shared" si="363"/>
        <v>0</v>
      </c>
      <c r="CC142" s="18">
        <f t="shared" si="363"/>
        <v>0</v>
      </c>
      <c r="CD142" s="18">
        <f t="shared" si="363"/>
        <v>0</v>
      </c>
      <c r="CE142" s="18">
        <f t="shared" si="363"/>
        <v>0</v>
      </c>
      <c r="CF142" s="18">
        <f t="shared" si="363"/>
        <v>0</v>
      </c>
      <c r="CG142" s="18">
        <f t="shared" si="363"/>
        <v>0</v>
      </c>
      <c r="CH142" s="18">
        <f t="shared" si="363"/>
        <v>0</v>
      </c>
      <c r="CI142" s="18">
        <f t="shared" si="363"/>
        <v>0</v>
      </c>
      <c r="CJ142" s="18">
        <f t="shared" ref="CJ142:CK142" si="364">SUM(CJ143:CJ145)</f>
        <v>0</v>
      </c>
      <c r="CK142" s="18">
        <f t="shared" si="364"/>
        <v>0</v>
      </c>
      <c r="CL142" s="18">
        <f t="shared" si="363"/>
        <v>0</v>
      </c>
      <c r="CM142" s="18">
        <f t="shared" ref="CM142" si="365">SUM(CM143:CM145)</f>
        <v>0</v>
      </c>
      <c r="CN142" s="18">
        <f t="shared" si="363"/>
        <v>0</v>
      </c>
      <c r="CO142" s="18">
        <f t="shared" ref="CO142" si="366">SUM(CO143:CO145)</f>
        <v>0</v>
      </c>
      <c r="CP142" s="18">
        <f t="shared" si="363"/>
        <v>0</v>
      </c>
      <c r="CQ142" s="18"/>
      <c r="CR142" s="18"/>
      <c r="CS142" s="18"/>
      <c r="CT142" s="18"/>
      <c r="CU142" s="18">
        <f t="shared" si="363"/>
        <v>0</v>
      </c>
      <c r="CV142" s="73"/>
      <c r="CW142" s="73"/>
      <c r="CX142" s="73"/>
      <c r="CY142" s="73"/>
      <c r="CZ142" s="18">
        <f t="shared" si="363"/>
        <v>0</v>
      </c>
      <c r="DA142" s="18">
        <f t="shared" si="363"/>
        <v>0</v>
      </c>
      <c r="DB142" s="18">
        <f t="shared" si="363"/>
        <v>0</v>
      </c>
      <c r="DC142" s="46">
        <f t="shared" si="363"/>
        <v>0</v>
      </c>
      <c r="DD142" s="57"/>
    </row>
    <row r="143" spans="1:108" ht="31.2" x14ac:dyDescent="0.3">
      <c r="A143" s="94" t="s">
        <v>1</v>
      </c>
      <c r="B143" s="21" t="s">
        <v>54</v>
      </c>
      <c r="C143" s="22" t="s">
        <v>207</v>
      </c>
      <c r="D143" s="19">
        <f>SUM(E143+CC143+CZ143)</f>
        <v>35127</v>
      </c>
      <c r="E143" s="19">
        <f>SUM(F143+BC143)</f>
        <v>35127</v>
      </c>
      <c r="F143" s="19">
        <f t="shared" ref="F143:F145" si="367">SUM(G143+H143+I143+P143+S143+T143+U143+AD143)</f>
        <v>35127</v>
      </c>
      <c r="G143" s="19">
        <v>0</v>
      </c>
      <c r="H143" s="19">
        <v>0</v>
      </c>
      <c r="I143" s="19">
        <f t="shared" si="127"/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f t="shared" si="128"/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f t="shared" ref="U143:U145" si="368">SUM(V143:AC143)</f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f>SUM(AE143:AY143)</f>
        <v>35127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23">
        <v>5500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23">
        <v>29627</v>
      </c>
      <c r="AZ143" s="23"/>
      <c r="BA143" s="23"/>
      <c r="BB143" s="23"/>
      <c r="BC143" s="19">
        <f>SUM(BD143+BH143+BL143+BN143+BQ143)</f>
        <v>0</v>
      </c>
      <c r="BD143" s="19">
        <f>SUM(BE143:BG143)</f>
        <v>0</v>
      </c>
      <c r="BE143" s="19">
        <v>0</v>
      </c>
      <c r="BF143" s="19">
        <v>0</v>
      </c>
      <c r="BG143" s="19">
        <v>0</v>
      </c>
      <c r="BH143" s="19">
        <f t="shared" ref="BH143:BH144" si="369">SUM(BI143:BK143)</f>
        <v>0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f t="shared" si="129"/>
        <v>0</v>
      </c>
      <c r="BO143" s="19">
        <v>0</v>
      </c>
      <c r="BP143" s="19">
        <v>0</v>
      </c>
      <c r="BQ143" s="19">
        <f>SUM(BR143:CB143)</f>
        <v>0</v>
      </c>
      <c r="BR143" s="19">
        <v>0</v>
      </c>
      <c r="BS143" s="19">
        <v>0</v>
      </c>
      <c r="BT143" s="19">
        <v>0</v>
      </c>
      <c r="BU143" s="19">
        <v>0</v>
      </c>
      <c r="BV143" s="19">
        <v>0</v>
      </c>
      <c r="BW143" s="19">
        <v>0</v>
      </c>
      <c r="BX143" s="19">
        <v>0</v>
      </c>
      <c r="BY143" s="19">
        <v>0</v>
      </c>
      <c r="BZ143" s="19">
        <v>0</v>
      </c>
      <c r="CA143" s="19">
        <v>0</v>
      </c>
      <c r="CB143" s="19">
        <v>0</v>
      </c>
      <c r="CC143" s="19">
        <f>SUM(CD143+CU143)</f>
        <v>0</v>
      </c>
      <c r="CD143" s="19">
        <f>SUM(CE143+CH143+CN143)</f>
        <v>0</v>
      </c>
      <c r="CE143" s="19">
        <f t="shared" si="130"/>
        <v>0</v>
      </c>
      <c r="CF143" s="19">
        <v>0</v>
      </c>
      <c r="CG143" s="19">
        <v>0</v>
      </c>
      <c r="CH143" s="19">
        <f>SUM(CI143:CM143)</f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f>SUM(CO143:CQ143)</f>
        <v>0</v>
      </c>
      <c r="CO143" s="19">
        <v>0</v>
      </c>
      <c r="CP143" s="19">
        <v>0</v>
      </c>
      <c r="CQ143" s="19"/>
      <c r="CR143" s="19"/>
      <c r="CS143" s="19"/>
      <c r="CT143" s="19"/>
      <c r="CU143" s="19">
        <v>0</v>
      </c>
      <c r="CV143" s="74"/>
      <c r="CW143" s="74"/>
      <c r="CX143" s="74"/>
      <c r="CY143" s="74"/>
      <c r="CZ143" s="19">
        <f t="shared" si="131"/>
        <v>0</v>
      </c>
      <c r="DA143" s="19">
        <f t="shared" si="132"/>
        <v>0</v>
      </c>
      <c r="DB143" s="19">
        <v>0</v>
      </c>
      <c r="DC143" s="20">
        <v>0</v>
      </c>
      <c r="DD143" s="52"/>
    </row>
    <row r="144" spans="1:108" s="58" customFormat="1" ht="15.6" x14ac:dyDescent="0.3">
      <c r="A144" s="94" t="s">
        <v>1</v>
      </c>
      <c r="B144" s="21" t="s">
        <v>58</v>
      </c>
      <c r="C144" s="22" t="s">
        <v>208</v>
      </c>
      <c r="D144" s="19">
        <f>SUM(E144+CC144+CZ144)</f>
        <v>1109470</v>
      </c>
      <c r="E144" s="19">
        <f>SUM(F144+BC144)</f>
        <v>1109470</v>
      </c>
      <c r="F144" s="19">
        <f t="shared" si="367"/>
        <v>1109470</v>
      </c>
      <c r="G144" s="19">
        <v>884578</v>
      </c>
      <c r="H144" s="19">
        <v>206620</v>
      </c>
      <c r="I144" s="19">
        <f>SUM(J144:O144)</f>
        <v>10500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10500</v>
      </c>
      <c r="P144" s="19">
        <f>SUM(Q144:R144)</f>
        <v>0</v>
      </c>
      <c r="Q144" s="19"/>
      <c r="R144" s="19">
        <v>0</v>
      </c>
      <c r="S144" s="19">
        <v>0</v>
      </c>
      <c r="T144" s="19">
        <v>7772</v>
      </c>
      <c r="U144" s="19">
        <f t="shared" si="368"/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f>SUM(AE144:AY144)</f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23">
        <v>0</v>
      </c>
      <c r="AN144" s="19">
        <v>0</v>
      </c>
      <c r="AO144" s="19">
        <v>0</v>
      </c>
      <c r="AP144" s="19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23">
        <v>0</v>
      </c>
      <c r="AZ144" s="23"/>
      <c r="BA144" s="23"/>
      <c r="BB144" s="23"/>
      <c r="BC144" s="19">
        <f>SUM(BD144+BH144+BL144+BN144+BQ144)</f>
        <v>0</v>
      </c>
      <c r="BD144" s="19">
        <f>SUM(BE144:BG144)</f>
        <v>0</v>
      </c>
      <c r="BE144" s="19">
        <v>0</v>
      </c>
      <c r="BF144" s="19">
        <v>0</v>
      </c>
      <c r="BG144" s="19">
        <v>0</v>
      </c>
      <c r="BH144" s="19">
        <f t="shared" si="369"/>
        <v>0</v>
      </c>
      <c r="BI144" s="19">
        <v>0</v>
      </c>
      <c r="BJ144" s="19">
        <v>0</v>
      </c>
      <c r="BK144" s="19">
        <v>0</v>
      </c>
      <c r="BL144" s="19">
        <v>0</v>
      </c>
      <c r="BM144" s="19">
        <v>0</v>
      </c>
      <c r="BN144" s="19">
        <f>SUM(BO144)</f>
        <v>0</v>
      </c>
      <c r="BO144" s="19">
        <v>0</v>
      </c>
      <c r="BP144" s="19">
        <v>0</v>
      </c>
      <c r="BQ144" s="19">
        <f>SUM(BR144:CB144)</f>
        <v>0</v>
      </c>
      <c r="BR144" s="19">
        <v>0</v>
      </c>
      <c r="BS144" s="19">
        <v>0</v>
      </c>
      <c r="BT144" s="19">
        <v>0</v>
      </c>
      <c r="BU144" s="19">
        <v>0</v>
      </c>
      <c r="BV144" s="19">
        <v>0</v>
      </c>
      <c r="BW144" s="19">
        <v>0</v>
      </c>
      <c r="BX144" s="19">
        <v>0</v>
      </c>
      <c r="BY144" s="19">
        <v>0</v>
      </c>
      <c r="BZ144" s="19">
        <v>0</v>
      </c>
      <c r="CA144" s="19">
        <v>0</v>
      </c>
      <c r="CB144" s="19">
        <v>0</v>
      </c>
      <c r="CC144" s="19">
        <f>SUM(CD144+CU144)</f>
        <v>0</v>
      </c>
      <c r="CD144" s="19">
        <f>SUM(CE144+CH144+CN144)</f>
        <v>0</v>
      </c>
      <c r="CE144" s="19">
        <f>SUM(CF144:CG144)</f>
        <v>0</v>
      </c>
      <c r="CF144" s="19">
        <v>0</v>
      </c>
      <c r="CG144" s="19"/>
      <c r="CH144" s="19">
        <f>SUM(CI144:CM144)</f>
        <v>0</v>
      </c>
      <c r="CI144" s="19">
        <v>0</v>
      </c>
      <c r="CJ144" s="19">
        <v>0</v>
      </c>
      <c r="CK144" s="19">
        <v>0</v>
      </c>
      <c r="CL144" s="19">
        <v>0</v>
      </c>
      <c r="CM144" s="19">
        <v>0</v>
      </c>
      <c r="CN144" s="19">
        <f>SUM(CO144:CQ144)</f>
        <v>0</v>
      </c>
      <c r="CO144" s="19">
        <v>0</v>
      </c>
      <c r="CP144" s="19">
        <v>0</v>
      </c>
      <c r="CQ144" s="19"/>
      <c r="CR144" s="19"/>
      <c r="CS144" s="19"/>
      <c r="CT144" s="19"/>
      <c r="CU144" s="19">
        <v>0</v>
      </c>
      <c r="CV144" s="74"/>
      <c r="CW144" s="74"/>
      <c r="CX144" s="74"/>
      <c r="CY144" s="74"/>
      <c r="CZ144" s="19">
        <f>SUM(DA144)</f>
        <v>0</v>
      </c>
      <c r="DA144" s="19">
        <f>SUM(DB144:DC144)</f>
        <v>0</v>
      </c>
      <c r="DB144" s="19">
        <v>0</v>
      </c>
      <c r="DC144" s="20">
        <v>0</v>
      </c>
      <c r="DD144" s="52"/>
    </row>
    <row r="145" spans="1:108" s="58" customFormat="1" ht="15.6" x14ac:dyDescent="0.3">
      <c r="A145" s="94" t="s">
        <v>1</v>
      </c>
      <c r="B145" s="21" t="s">
        <v>58</v>
      </c>
      <c r="C145" s="22" t="s">
        <v>209</v>
      </c>
      <c r="D145" s="19">
        <f>SUM(E145+CC145+CZ145)</f>
        <v>897548</v>
      </c>
      <c r="E145" s="19">
        <f>SUM(F145+BC145)</f>
        <v>897548</v>
      </c>
      <c r="F145" s="19">
        <f t="shared" si="367"/>
        <v>847108</v>
      </c>
      <c r="G145" s="19">
        <v>532180</v>
      </c>
      <c r="H145" s="19">
        <v>133045</v>
      </c>
      <c r="I145" s="19">
        <f t="shared" si="127"/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f t="shared" si="128"/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f t="shared" si="368"/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f>SUM(AE145:AY145)</f>
        <v>181883</v>
      </c>
      <c r="AE145" s="19">
        <v>0</v>
      </c>
      <c r="AF145" s="19">
        <v>0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0</v>
      </c>
      <c r="AM145" s="23">
        <v>107286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23">
        <v>74597</v>
      </c>
      <c r="AZ145" s="23"/>
      <c r="BA145" s="23"/>
      <c r="BB145" s="23"/>
      <c r="BC145" s="19">
        <f>SUM(BD145+BH145+BL145+BN145+BQ145)</f>
        <v>50440</v>
      </c>
      <c r="BD145" s="19">
        <f>SUM(BE145:BG145)</f>
        <v>0</v>
      </c>
      <c r="BE145" s="19">
        <v>0</v>
      </c>
      <c r="BF145" s="19">
        <v>0</v>
      </c>
      <c r="BG145" s="19">
        <v>0</v>
      </c>
      <c r="BH145" s="19">
        <f>SUM(BK145:BK145)</f>
        <v>0</v>
      </c>
      <c r="BI145" s="19">
        <v>0</v>
      </c>
      <c r="BJ145" s="19">
        <v>0</v>
      </c>
      <c r="BK145" s="19">
        <v>0</v>
      </c>
      <c r="BL145" s="19">
        <v>0</v>
      </c>
      <c r="BM145" s="19">
        <v>0</v>
      </c>
      <c r="BN145" s="19">
        <f t="shared" si="129"/>
        <v>0</v>
      </c>
      <c r="BO145" s="19">
        <v>0</v>
      </c>
      <c r="BP145" s="19">
        <v>0</v>
      </c>
      <c r="BQ145" s="19">
        <f>SUM(BR145:CB145)</f>
        <v>50440</v>
      </c>
      <c r="BR145" s="19">
        <v>0</v>
      </c>
      <c r="BS145" s="19">
        <v>0</v>
      </c>
      <c r="BT145" s="19">
        <v>50440</v>
      </c>
      <c r="BU145" s="19">
        <v>0</v>
      </c>
      <c r="BV145" s="19">
        <v>0</v>
      </c>
      <c r="BW145" s="19">
        <v>0</v>
      </c>
      <c r="BX145" s="19">
        <v>0</v>
      </c>
      <c r="BY145" s="19">
        <v>0</v>
      </c>
      <c r="BZ145" s="19">
        <v>0</v>
      </c>
      <c r="CA145" s="19">
        <v>0</v>
      </c>
      <c r="CB145" s="19">
        <v>0</v>
      </c>
      <c r="CC145" s="19">
        <f>SUM(CD145+CU145)</f>
        <v>0</v>
      </c>
      <c r="CD145" s="19">
        <f>SUM(CE145+CH145+CN145)</f>
        <v>0</v>
      </c>
      <c r="CE145" s="19">
        <f t="shared" si="130"/>
        <v>0</v>
      </c>
      <c r="CF145" s="19">
        <v>0</v>
      </c>
      <c r="CG145" s="19">
        <v>0</v>
      </c>
      <c r="CH145" s="19">
        <f>SUM(CI145:CM145)</f>
        <v>0</v>
      </c>
      <c r="CI145" s="19">
        <v>0</v>
      </c>
      <c r="CJ145" s="19">
        <v>0</v>
      </c>
      <c r="CK145" s="19">
        <v>0</v>
      </c>
      <c r="CL145" s="19">
        <v>0</v>
      </c>
      <c r="CM145" s="19">
        <v>0</v>
      </c>
      <c r="CN145" s="19">
        <f>SUM(CO145:CQ145)</f>
        <v>0</v>
      </c>
      <c r="CO145" s="19">
        <v>0</v>
      </c>
      <c r="CP145" s="19">
        <v>0</v>
      </c>
      <c r="CQ145" s="19"/>
      <c r="CR145" s="19"/>
      <c r="CS145" s="19"/>
      <c r="CT145" s="19"/>
      <c r="CU145" s="19">
        <v>0</v>
      </c>
      <c r="CV145" s="74"/>
      <c r="CW145" s="74"/>
      <c r="CX145" s="74"/>
      <c r="CY145" s="74"/>
      <c r="CZ145" s="19">
        <f t="shared" si="131"/>
        <v>0</v>
      </c>
      <c r="DA145" s="19">
        <f t="shared" si="132"/>
        <v>0</v>
      </c>
      <c r="DB145" s="19">
        <v>0</v>
      </c>
      <c r="DC145" s="20">
        <v>0</v>
      </c>
      <c r="DD145" s="52"/>
    </row>
    <row r="146" spans="1:108" ht="31.2" x14ac:dyDescent="0.3">
      <c r="A146" s="95" t="s">
        <v>210</v>
      </c>
      <c r="B146" s="25" t="s">
        <v>1</v>
      </c>
      <c r="C146" s="26" t="s">
        <v>211</v>
      </c>
      <c r="D146" s="27">
        <f t="shared" ref="D146:AR146" si="370">SUM(D147+D151+D154)</f>
        <v>31212189</v>
      </c>
      <c r="E146" s="27">
        <f t="shared" si="370"/>
        <v>31165610</v>
      </c>
      <c r="F146" s="27">
        <f t="shared" si="370"/>
        <v>30449750</v>
      </c>
      <c r="G146" s="27">
        <f t="shared" si="370"/>
        <v>21811552</v>
      </c>
      <c r="H146" s="27">
        <f t="shared" si="370"/>
        <v>5112331</v>
      </c>
      <c r="I146" s="27">
        <f t="shared" si="370"/>
        <v>729801</v>
      </c>
      <c r="J146" s="27">
        <f t="shared" si="370"/>
        <v>17702</v>
      </c>
      <c r="K146" s="27">
        <f t="shared" si="370"/>
        <v>0</v>
      </c>
      <c r="L146" s="27">
        <f t="shared" si="370"/>
        <v>0</v>
      </c>
      <c r="M146" s="27">
        <f t="shared" si="370"/>
        <v>0</v>
      </c>
      <c r="N146" s="27">
        <f t="shared" si="370"/>
        <v>602687</v>
      </c>
      <c r="O146" s="27">
        <f t="shared" si="370"/>
        <v>109412</v>
      </c>
      <c r="P146" s="27">
        <f t="shared" si="370"/>
        <v>0</v>
      </c>
      <c r="Q146" s="27">
        <f t="shared" si="370"/>
        <v>0</v>
      </c>
      <c r="R146" s="27">
        <f t="shared" si="370"/>
        <v>0</v>
      </c>
      <c r="S146" s="27">
        <f t="shared" si="370"/>
        <v>0</v>
      </c>
      <c r="T146" s="27">
        <f t="shared" si="370"/>
        <v>69576</v>
      </c>
      <c r="U146" s="27">
        <f t="shared" si="370"/>
        <v>1673468</v>
      </c>
      <c r="V146" s="27">
        <f t="shared" si="370"/>
        <v>13238</v>
      </c>
      <c r="W146" s="27">
        <f t="shared" si="370"/>
        <v>982224</v>
      </c>
      <c r="X146" s="27">
        <f t="shared" si="370"/>
        <v>590673</v>
      </c>
      <c r="Y146" s="27">
        <f t="shared" si="370"/>
        <v>57575</v>
      </c>
      <c r="Z146" s="27">
        <f t="shared" si="370"/>
        <v>4512</v>
      </c>
      <c r="AA146" s="27">
        <f t="shared" si="370"/>
        <v>0</v>
      </c>
      <c r="AB146" s="27">
        <f t="shared" si="370"/>
        <v>0</v>
      </c>
      <c r="AC146" s="27">
        <f t="shared" si="370"/>
        <v>25246</v>
      </c>
      <c r="AD146" s="27">
        <f t="shared" si="370"/>
        <v>1053022</v>
      </c>
      <c r="AE146" s="27">
        <f t="shared" si="370"/>
        <v>0</v>
      </c>
      <c r="AF146" s="27">
        <f t="shared" si="370"/>
        <v>0</v>
      </c>
      <c r="AG146" s="27">
        <f t="shared" si="370"/>
        <v>6598</v>
      </c>
      <c r="AH146" s="27">
        <f t="shared" si="370"/>
        <v>0</v>
      </c>
      <c r="AI146" s="27">
        <f t="shared" si="370"/>
        <v>0</v>
      </c>
      <c r="AJ146" s="27">
        <f t="shared" si="370"/>
        <v>0</v>
      </c>
      <c r="AK146" s="27">
        <f t="shared" si="370"/>
        <v>0</v>
      </c>
      <c r="AL146" s="27">
        <f t="shared" si="370"/>
        <v>215</v>
      </c>
      <c r="AM146" s="27">
        <f t="shared" si="370"/>
        <v>1207</v>
      </c>
      <c r="AN146" s="27">
        <f t="shared" si="370"/>
        <v>0</v>
      </c>
      <c r="AO146" s="27">
        <f t="shared" si="370"/>
        <v>0</v>
      </c>
      <c r="AP146" s="27">
        <f t="shared" si="370"/>
        <v>0</v>
      </c>
      <c r="AQ146" s="27">
        <f t="shared" si="370"/>
        <v>292899</v>
      </c>
      <c r="AR146" s="27">
        <f t="shared" si="370"/>
        <v>24000</v>
      </c>
      <c r="AS146" s="27"/>
      <c r="AT146" s="27"/>
      <c r="AU146" s="27">
        <f>SUM(AU147+AU151+AU154)</f>
        <v>0</v>
      </c>
      <c r="AV146" s="27">
        <f>SUM(AV147+AV151+AV154)</f>
        <v>0</v>
      </c>
      <c r="AW146" s="27">
        <f>SUM(AW147+AW151+AW154)</f>
        <v>13068</v>
      </c>
      <c r="AX146" s="27"/>
      <c r="AY146" s="27">
        <f t="shared" ref="AY146:CP146" si="371">SUM(AY147+AY151+AY154)</f>
        <v>715035</v>
      </c>
      <c r="AZ146" s="27">
        <f t="shared" si="371"/>
        <v>0</v>
      </c>
      <c r="BA146" s="27">
        <f t="shared" si="371"/>
        <v>0</v>
      </c>
      <c r="BB146" s="27">
        <f t="shared" si="371"/>
        <v>0</v>
      </c>
      <c r="BC146" s="27">
        <f t="shared" si="371"/>
        <v>715860</v>
      </c>
      <c r="BD146" s="27">
        <f t="shared" si="371"/>
        <v>0</v>
      </c>
      <c r="BE146" s="27">
        <f t="shared" si="371"/>
        <v>0</v>
      </c>
      <c r="BF146" s="27">
        <f t="shared" si="371"/>
        <v>0</v>
      </c>
      <c r="BG146" s="27">
        <f t="shared" si="371"/>
        <v>0</v>
      </c>
      <c r="BH146" s="27">
        <f t="shared" si="371"/>
        <v>0</v>
      </c>
      <c r="BI146" s="27">
        <f t="shared" si="371"/>
        <v>0</v>
      </c>
      <c r="BJ146" s="27">
        <f t="shared" si="371"/>
        <v>0</v>
      </c>
      <c r="BK146" s="27">
        <f t="shared" si="371"/>
        <v>0</v>
      </c>
      <c r="BL146" s="27">
        <f t="shared" si="371"/>
        <v>0</v>
      </c>
      <c r="BM146" s="27">
        <f t="shared" si="371"/>
        <v>0</v>
      </c>
      <c r="BN146" s="27">
        <f t="shared" si="371"/>
        <v>0</v>
      </c>
      <c r="BO146" s="27">
        <f t="shared" si="371"/>
        <v>0</v>
      </c>
      <c r="BP146" s="27">
        <f t="shared" si="371"/>
        <v>0</v>
      </c>
      <c r="BQ146" s="27">
        <f t="shared" si="371"/>
        <v>715860</v>
      </c>
      <c r="BR146" s="27">
        <f t="shared" si="371"/>
        <v>0</v>
      </c>
      <c r="BS146" s="27">
        <f t="shared" si="371"/>
        <v>0</v>
      </c>
      <c r="BT146" s="27">
        <f t="shared" si="371"/>
        <v>715860</v>
      </c>
      <c r="BU146" s="27">
        <f t="shared" si="371"/>
        <v>0</v>
      </c>
      <c r="BV146" s="27">
        <f t="shared" si="371"/>
        <v>0</v>
      </c>
      <c r="BW146" s="27">
        <f t="shared" si="371"/>
        <v>0</v>
      </c>
      <c r="BX146" s="27">
        <f t="shared" si="371"/>
        <v>0</v>
      </c>
      <c r="BY146" s="27">
        <f t="shared" si="371"/>
        <v>0</v>
      </c>
      <c r="BZ146" s="27">
        <f t="shared" si="371"/>
        <v>0</v>
      </c>
      <c r="CA146" s="27">
        <f t="shared" si="371"/>
        <v>0</v>
      </c>
      <c r="CB146" s="27">
        <f t="shared" si="371"/>
        <v>0</v>
      </c>
      <c r="CC146" s="27">
        <f t="shared" si="371"/>
        <v>46579</v>
      </c>
      <c r="CD146" s="27">
        <f t="shared" si="371"/>
        <v>46579</v>
      </c>
      <c r="CE146" s="27">
        <f t="shared" si="371"/>
        <v>46579</v>
      </c>
      <c r="CF146" s="27">
        <f t="shared" si="371"/>
        <v>0</v>
      </c>
      <c r="CG146" s="27">
        <f t="shared" si="371"/>
        <v>46579</v>
      </c>
      <c r="CH146" s="27">
        <f t="shared" si="371"/>
        <v>0</v>
      </c>
      <c r="CI146" s="27">
        <f t="shared" si="371"/>
        <v>0</v>
      </c>
      <c r="CJ146" s="27">
        <f t="shared" si="371"/>
        <v>0</v>
      </c>
      <c r="CK146" s="27">
        <f t="shared" si="371"/>
        <v>0</v>
      </c>
      <c r="CL146" s="27">
        <f t="shared" si="371"/>
        <v>0</v>
      </c>
      <c r="CM146" s="27">
        <f t="shared" si="371"/>
        <v>0</v>
      </c>
      <c r="CN146" s="27">
        <f t="shared" si="371"/>
        <v>0</v>
      </c>
      <c r="CO146" s="27">
        <f t="shared" si="371"/>
        <v>0</v>
      </c>
      <c r="CP146" s="27">
        <f t="shared" si="371"/>
        <v>0</v>
      </c>
      <c r="CQ146" s="27"/>
      <c r="CR146" s="27"/>
      <c r="CS146" s="27"/>
      <c r="CT146" s="27"/>
      <c r="CU146" s="27">
        <f t="shared" ref="CU146:DC146" si="372">SUM(CU147+CU151+CU154)</f>
        <v>0</v>
      </c>
      <c r="CV146" s="27">
        <f t="shared" si="372"/>
        <v>0</v>
      </c>
      <c r="CW146" s="27">
        <f t="shared" si="372"/>
        <v>0</v>
      </c>
      <c r="CX146" s="27">
        <f t="shared" si="372"/>
        <v>0</v>
      </c>
      <c r="CY146" s="27">
        <f t="shared" ref="CY146" si="373">SUM(CY147+CY151+CY154)</f>
        <v>0</v>
      </c>
      <c r="CZ146" s="27">
        <f t="shared" si="372"/>
        <v>0</v>
      </c>
      <c r="DA146" s="27">
        <f t="shared" si="372"/>
        <v>0</v>
      </c>
      <c r="DB146" s="27">
        <f t="shared" si="372"/>
        <v>0</v>
      </c>
      <c r="DC146" s="60">
        <f t="shared" si="372"/>
        <v>0</v>
      </c>
      <c r="DD146" s="57"/>
    </row>
    <row r="147" spans="1:108" ht="31.2" x14ac:dyDescent="0.3">
      <c r="A147" s="93" t="s">
        <v>212</v>
      </c>
      <c r="B147" s="16" t="s">
        <v>1</v>
      </c>
      <c r="C147" s="17" t="s">
        <v>213</v>
      </c>
      <c r="D147" s="18">
        <f t="shared" ref="D147:AR147" si="374">SUM(D148:D150)</f>
        <v>17512392</v>
      </c>
      <c r="E147" s="18">
        <f t="shared" si="374"/>
        <v>17512392</v>
      </c>
      <c r="F147" s="18">
        <f t="shared" si="374"/>
        <v>17512392</v>
      </c>
      <c r="G147" s="18">
        <f t="shared" si="374"/>
        <v>13124783</v>
      </c>
      <c r="H147" s="18">
        <f t="shared" si="374"/>
        <v>3088788</v>
      </c>
      <c r="I147" s="18">
        <f t="shared" si="374"/>
        <v>45245</v>
      </c>
      <c r="J147" s="18">
        <f t="shared" si="374"/>
        <v>0</v>
      </c>
      <c r="K147" s="18">
        <f t="shared" si="374"/>
        <v>0</v>
      </c>
      <c r="L147" s="18">
        <f t="shared" si="374"/>
        <v>0</v>
      </c>
      <c r="M147" s="18">
        <f t="shared" si="374"/>
        <v>0</v>
      </c>
      <c r="N147" s="18">
        <f t="shared" si="374"/>
        <v>25000</v>
      </c>
      <c r="O147" s="18">
        <f t="shared" si="374"/>
        <v>20245</v>
      </c>
      <c r="P147" s="18">
        <f t="shared" si="374"/>
        <v>0</v>
      </c>
      <c r="Q147" s="18">
        <f t="shared" si="374"/>
        <v>0</v>
      </c>
      <c r="R147" s="18">
        <f t="shared" si="374"/>
        <v>0</v>
      </c>
      <c r="S147" s="18">
        <f t="shared" si="374"/>
        <v>0</v>
      </c>
      <c r="T147" s="18">
        <f t="shared" si="374"/>
        <v>31169</v>
      </c>
      <c r="U147" s="18">
        <f t="shared" si="374"/>
        <v>1026416</v>
      </c>
      <c r="V147" s="18">
        <f t="shared" si="374"/>
        <v>8238</v>
      </c>
      <c r="W147" s="18">
        <f t="shared" si="374"/>
        <v>585373</v>
      </c>
      <c r="X147" s="18">
        <f t="shared" si="374"/>
        <v>361614</v>
      </c>
      <c r="Y147" s="18">
        <f t="shared" si="374"/>
        <v>41433</v>
      </c>
      <c r="Z147" s="18">
        <f t="shared" si="374"/>
        <v>4512</v>
      </c>
      <c r="AA147" s="18">
        <f t="shared" si="374"/>
        <v>0</v>
      </c>
      <c r="AB147" s="18">
        <f t="shared" si="374"/>
        <v>0</v>
      </c>
      <c r="AC147" s="18">
        <f t="shared" si="374"/>
        <v>25246</v>
      </c>
      <c r="AD147" s="18">
        <f t="shared" si="374"/>
        <v>195991</v>
      </c>
      <c r="AE147" s="18">
        <f t="shared" si="374"/>
        <v>0</v>
      </c>
      <c r="AF147" s="18">
        <f t="shared" si="374"/>
        <v>0</v>
      </c>
      <c r="AG147" s="18">
        <f t="shared" si="374"/>
        <v>6598</v>
      </c>
      <c r="AH147" s="18">
        <f t="shared" si="374"/>
        <v>0</v>
      </c>
      <c r="AI147" s="18">
        <f t="shared" si="374"/>
        <v>0</v>
      </c>
      <c r="AJ147" s="18">
        <f t="shared" si="374"/>
        <v>0</v>
      </c>
      <c r="AK147" s="18">
        <f t="shared" si="374"/>
        <v>0</v>
      </c>
      <c r="AL147" s="18">
        <f t="shared" si="374"/>
        <v>0</v>
      </c>
      <c r="AM147" s="18">
        <f t="shared" si="374"/>
        <v>0</v>
      </c>
      <c r="AN147" s="18">
        <f t="shared" si="374"/>
        <v>0</v>
      </c>
      <c r="AO147" s="18">
        <f t="shared" si="374"/>
        <v>0</v>
      </c>
      <c r="AP147" s="18">
        <f t="shared" si="374"/>
        <v>0</v>
      </c>
      <c r="AQ147" s="18">
        <f t="shared" si="374"/>
        <v>176325</v>
      </c>
      <c r="AR147" s="18">
        <f t="shared" si="374"/>
        <v>0</v>
      </c>
      <c r="AS147" s="18"/>
      <c r="AT147" s="18"/>
      <c r="AU147" s="18">
        <f>SUM(AU148:AU150)</f>
        <v>0</v>
      </c>
      <c r="AV147" s="18">
        <f>SUM(AV148:AV150)</f>
        <v>0</v>
      </c>
      <c r="AW147" s="18">
        <f>SUM(AW148:AW150)</f>
        <v>13068</v>
      </c>
      <c r="AX147" s="18"/>
      <c r="AY147" s="18">
        <f t="shared" ref="AY147:CP147" si="375">SUM(AY148:AY150)</f>
        <v>0</v>
      </c>
      <c r="AZ147" s="18"/>
      <c r="BA147" s="18"/>
      <c r="BB147" s="18"/>
      <c r="BC147" s="18">
        <f t="shared" si="375"/>
        <v>0</v>
      </c>
      <c r="BD147" s="18">
        <f t="shared" si="375"/>
        <v>0</v>
      </c>
      <c r="BE147" s="18">
        <f t="shared" si="375"/>
        <v>0</v>
      </c>
      <c r="BF147" s="18">
        <f t="shared" si="375"/>
        <v>0</v>
      </c>
      <c r="BG147" s="18">
        <f t="shared" si="375"/>
        <v>0</v>
      </c>
      <c r="BH147" s="18">
        <f t="shared" si="375"/>
        <v>0</v>
      </c>
      <c r="BI147" s="18">
        <f t="shared" si="375"/>
        <v>0</v>
      </c>
      <c r="BJ147" s="18">
        <f t="shared" si="375"/>
        <v>0</v>
      </c>
      <c r="BK147" s="18">
        <f t="shared" si="375"/>
        <v>0</v>
      </c>
      <c r="BL147" s="18">
        <f t="shared" si="375"/>
        <v>0</v>
      </c>
      <c r="BM147" s="18">
        <f t="shared" si="375"/>
        <v>0</v>
      </c>
      <c r="BN147" s="18">
        <f t="shared" si="375"/>
        <v>0</v>
      </c>
      <c r="BO147" s="18">
        <f t="shared" si="375"/>
        <v>0</v>
      </c>
      <c r="BP147" s="18">
        <f t="shared" si="375"/>
        <v>0</v>
      </c>
      <c r="BQ147" s="18">
        <f t="shared" si="375"/>
        <v>0</v>
      </c>
      <c r="BR147" s="18">
        <f t="shared" si="375"/>
        <v>0</v>
      </c>
      <c r="BS147" s="18">
        <f t="shared" si="375"/>
        <v>0</v>
      </c>
      <c r="BT147" s="18">
        <f t="shared" si="375"/>
        <v>0</v>
      </c>
      <c r="BU147" s="18">
        <f t="shared" si="375"/>
        <v>0</v>
      </c>
      <c r="BV147" s="18">
        <f t="shared" si="375"/>
        <v>0</v>
      </c>
      <c r="BW147" s="18">
        <f t="shared" si="375"/>
        <v>0</v>
      </c>
      <c r="BX147" s="18">
        <f t="shared" si="375"/>
        <v>0</v>
      </c>
      <c r="BY147" s="18">
        <f t="shared" si="375"/>
        <v>0</v>
      </c>
      <c r="BZ147" s="18">
        <f t="shared" si="375"/>
        <v>0</v>
      </c>
      <c r="CA147" s="18">
        <f t="shared" si="375"/>
        <v>0</v>
      </c>
      <c r="CB147" s="18">
        <f t="shared" si="375"/>
        <v>0</v>
      </c>
      <c r="CC147" s="18">
        <f t="shared" si="375"/>
        <v>0</v>
      </c>
      <c r="CD147" s="18">
        <f t="shared" si="375"/>
        <v>0</v>
      </c>
      <c r="CE147" s="18">
        <f t="shared" si="375"/>
        <v>0</v>
      </c>
      <c r="CF147" s="18">
        <f t="shared" si="375"/>
        <v>0</v>
      </c>
      <c r="CG147" s="18">
        <f t="shared" si="375"/>
        <v>0</v>
      </c>
      <c r="CH147" s="18">
        <f t="shared" si="375"/>
        <v>0</v>
      </c>
      <c r="CI147" s="18">
        <f t="shared" si="375"/>
        <v>0</v>
      </c>
      <c r="CJ147" s="18">
        <f t="shared" si="375"/>
        <v>0</v>
      </c>
      <c r="CK147" s="18">
        <f t="shared" si="375"/>
        <v>0</v>
      </c>
      <c r="CL147" s="18">
        <f t="shared" si="375"/>
        <v>0</v>
      </c>
      <c r="CM147" s="18">
        <f t="shared" si="375"/>
        <v>0</v>
      </c>
      <c r="CN147" s="18">
        <f t="shared" si="375"/>
        <v>0</v>
      </c>
      <c r="CO147" s="18">
        <f t="shared" si="375"/>
        <v>0</v>
      </c>
      <c r="CP147" s="18">
        <f t="shared" si="375"/>
        <v>0</v>
      </c>
      <c r="CQ147" s="18"/>
      <c r="CR147" s="18"/>
      <c r="CS147" s="18"/>
      <c r="CT147" s="18"/>
      <c r="CU147" s="18">
        <f>SUM(CU148:CU150)</f>
        <v>0</v>
      </c>
      <c r="CV147" s="73"/>
      <c r="CW147" s="73"/>
      <c r="CX147" s="73"/>
      <c r="CY147" s="73"/>
      <c r="CZ147" s="18">
        <f>SUM(CZ148:CZ150)</f>
        <v>0</v>
      </c>
      <c r="DA147" s="18">
        <f>SUM(DA148:DA150)</f>
        <v>0</v>
      </c>
      <c r="DB147" s="18">
        <f>SUM(DB148:DB150)</f>
        <v>0</v>
      </c>
      <c r="DC147" s="46">
        <f>SUM(DC148:DC150)</f>
        <v>0</v>
      </c>
      <c r="DD147" s="57"/>
    </row>
    <row r="148" spans="1:108" s="88" customFormat="1" ht="15.6" x14ac:dyDescent="0.3">
      <c r="A148" s="96" t="s">
        <v>1</v>
      </c>
      <c r="B148" s="71" t="s">
        <v>68</v>
      </c>
      <c r="C148" s="72" t="s">
        <v>577</v>
      </c>
      <c r="D148" s="74">
        <f>SUM(E148+CC148+CZ148)</f>
        <v>1285344</v>
      </c>
      <c r="E148" s="74">
        <f>SUM(F148+BC148)</f>
        <v>1285344</v>
      </c>
      <c r="F148" s="74">
        <f t="shared" ref="F148:F150" si="376">SUM(G148+H148+I148+P148+S148+T148+U148+AD148)</f>
        <v>1285344</v>
      </c>
      <c r="G148" s="74">
        <v>913618</v>
      </c>
      <c r="H148" s="74">
        <v>214031</v>
      </c>
      <c r="I148" s="74">
        <f t="shared" si="127"/>
        <v>0</v>
      </c>
      <c r="J148" s="75">
        <v>0</v>
      </c>
      <c r="K148" s="75">
        <v>0</v>
      </c>
      <c r="L148" s="75">
        <v>0</v>
      </c>
      <c r="M148" s="75">
        <v>0</v>
      </c>
      <c r="N148" s="75">
        <v>0</v>
      </c>
      <c r="O148" s="75">
        <f>6281-6281</f>
        <v>0</v>
      </c>
      <c r="P148" s="74">
        <f t="shared" si="128"/>
        <v>0</v>
      </c>
      <c r="Q148" s="74">
        <v>0</v>
      </c>
      <c r="R148" s="74">
        <v>0</v>
      </c>
      <c r="S148" s="74">
        <v>0</v>
      </c>
      <c r="T148" s="75">
        <v>10147</v>
      </c>
      <c r="U148" s="74">
        <f t="shared" ref="U148:U150" si="377">SUM(V148:AC148)</f>
        <v>106480</v>
      </c>
      <c r="V148" s="75">
        <v>8238</v>
      </c>
      <c r="W148" s="75">
        <v>0</v>
      </c>
      <c r="X148" s="75">
        <f>54483+12906</f>
        <v>67389</v>
      </c>
      <c r="Y148" s="75">
        <f>3353+1742</f>
        <v>5095</v>
      </c>
      <c r="Z148" s="75">
        <v>512</v>
      </c>
      <c r="AA148" s="75">
        <v>0</v>
      </c>
      <c r="AB148" s="75">
        <v>0</v>
      </c>
      <c r="AC148" s="75">
        <f>18819+6427</f>
        <v>25246</v>
      </c>
      <c r="AD148" s="74">
        <f>SUM(AE148:AY148)</f>
        <v>41068</v>
      </c>
      <c r="AE148" s="74">
        <v>0</v>
      </c>
      <c r="AF148" s="74">
        <v>0</v>
      </c>
      <c r="AG148" s="75">
        <v>0</v>
      </c>
      <c r="AH148" s="75">
        <v>0</v>
      </c>
      <c r="AI148" s="75">
        <v>0</v>
      </c>
      <c r="AJ148" s="75">
        <v>0</v>
      </c>
      <c r="AK148" s="75">
        <v>0</v>
      </c>
      <c r="AL148" s="75">
        <v>0</v>
      </c>
      <c r="AM148" s="75">
        <v>0</v>
      </c>
      <c r="AN148" s="75">
        <v>0</v>
      </c>
      <c r="AO148" s="75">
        <v>0</v>
      </c>
      <c r="AP148" s="75">
        <v>0</v>
      </c>
      <c r="AQ148" s="75">
        <v>40945</v>
      </c>
      <c r="AR148" s="75">
        <v>0</v>
      </c>
      <c r="AS148" s="75">
        <v>0</v>
      </c>
      <c r="AT148" s="75">
        <v>0</v>
      </c>
      <c r="AU148" s="75">
        <v>0</v>
      </c>
      <c r="AV148" s="75">
        <v>0</v>
      </c>
      <c r="AW148" s="75">
        <v>123</v>
      </c>
      <c r="AX148" s="75">
        <v>0</v>
      </c>
      <c r="AY148" s="75">
        <v>0</v>
      </c>
      <c r="AZ148" s="75"/>
      <c r="BA148" s="75"/>
      <c r="BB148" s="75"/>
      <c r="BC148" s="74">
        <f>SUM(BD148+BH148+BL148+BN148+BQ148)</f>
        <v>0</v>
      </c>
      <c r="BD148" s="74">
        <f>SUM(BE148:BG148)</f>
        <v>0</v>
      </c>
      <c r="BE148" s="74">
        <v>0</v>
      </c>
      <c r="BF148" s="74">
        <v>0</v>
      </c>
      <c r="BG148" s="74">
        <v>0</v>
      </c>
      <c r="BH148" s="74">
        <f t="shared" ref="BH148:BH150" si="378">SUM(BI148:BK148)</f>
        <v>0</v>
      </c>
      <c r="BI148" s="74">
        <v>0</v>
      </c>
      <c r="BJ148" s="74">
        <v>0</v>
      </c>
      <c r="BK148" s="74">
        <v>0</v>
      </c>
      <c r="BL148" s="74">
        <v>0</v>
      </c>
      <c r="BM148" s="74">
        <v>0</v>
      </c>
      <c r="BN148" s="74">
        <f t="shared" si="129"/>
        <v>0</v>
      </c>
      <c r="BO148" s="74">
        <v>0</v>
      </c>
      <c r="BP148" s="74">
        <v>0</v>
      </c>
      <c r="BQ148" s="74">
        <f>SUM(BR148:CB148)</f>
        <v>0</v>
      </c>
      <c r="BR148" s="74">
        <v>0</v>
      </c>
      <c r="BS148" s="74">
        <v>0</v>
      </c>
      <c r="BT148" s="74">
        <v>0</v>
      </c>
      <c r="BU148" s="74">
        <v>0</v>
      </c>
      <c r="BV148" s="74">
        <v>0</v>
      </c>
      <c r="BW148" s="74">
        <v>0</v>
      </c>
      <c r="BX148" s="74">
        <v>0</v>
      </c>
      <c r="BY148" s="74">
        <v>0</v>
      </c>
      <c r="BZ148" s="74">
        <v>0</v>
      </c>
      <c r="CA148" s="74">
        <v>0</v>
      </c>
      <c r="CB148" s="74">
        <v>0</v>
      </c>
      <c r="CC148" s="74">
        <f>SUM(CD148+CU148)</f>
        <v>0</v>
      </c>
      <c r="CD148" s="74">
        <f>SUM(CE148+CH148+CN148)</f>
        <v>0</v>
      </c>
      <c r="CE148" s="74">
        <f t="shared" si="130"/>
        <v>0</v>
      </c>
      <c r="CF148" s="74">
        <v>0</v>
      </c>
      <c r="CG148" s="75">
        <v>0</v>
      </c>
      <c r="CH148" s="74">
        <f t="shared" ref="CH148:CH150" si="379">SUM(CI148:CM148)</f>
        <v>0</v>
      </c>
      <c r="CI148" s="74">
        <v>0</v>
      </c>
      <c r="CJ148" s="74">
        <v>0</v>
      </c>
      <c r="CK148" s="74">
        <v>0</v>
      </c>
      <c r="CL148" s="74">
        <v>0</v>
      </c>
      <c r="CM148" s="74">
        <v>0</v>
      </c>
      <c r="CN148" s="74">
        <f>SUM(CO148:CQ148)</f>
        <v>0</v>
      </c>
      <c r="CO148" s="74">
        <v>0</v>
      </c>
      <c r="CP148" s="74">
        <v>0</v>
      </c>
      <c r="CQ148" s="74"/>
      <c r="CR148" s="74"/>
      <c r="CS148" s="74"/>
      <c r="CT148" s="74"/>
      <c r="CU148" s="74">
        <v>0</v>
      </c>
      <c r="CV148" s="74"/>
      <c r="CW148" s="74"/>
      <c r="CX148" s="74"/>
      <c r="CY148" s="74"/>
      <c r="CZ148" s="74">
        <f t="shared" si="131"/>
        <v>0</v>
      </c>
      <c r="DA148" s="74">
        <f t="shared" si="132"/>
        <v>0</v>
      </c>
      <c r="DB148" s="74">
        <v>0</v>
      </c>
      <c r="DC148" s="77">
        <v>0</v>
      </c>
      <c r="DD148" s="78"/>
    </row>
    <row r="149" spans="1:108" s="78" customFormat="1" ht="31.2" x14ac:dyDescent="0.3">
      <c r="A149" s="96" t="s">
        <v>1</v>
      </c>
      <c r="B149" s="71" t="s">
        <v>68</v>
      </c>
      <c r="C149" s="72" t="s">
        <v>578</v>
      </c>
      <c r="D149" s="74">
        <f>SUM(E149+CC149+CZ149)</f>
        <v>11109563</v>
      </c>
      <c r="E149" s="74">
        <f>SUM(F149+BC149)</f>
        <v>11109563</v>
      </c>
      <c r="F149" s="74">
        <f t="shared" si="376"/>
        <v>11109563</v>
      </c>
      <c r="G149" s="74">
        <v>8091577</v>
      </c>
      <c r="H149" s="74">
        <v>1876860</v>
      </c>
      <c r="I149" s="74">
        <f>SUM(J149:O149)</f>
        <v>45245</v>
      </c>
      <c r="J149" s="75">
        <v>0</v>
      </c>
      <c r="K149" s="75"/>
      <c r="L149" s="75">
        <v>0</v>
      </c>
      <c r="M149" s="75">
        <v>0</v>
      </c>
      <c r="N149" s="75">
        <v>25000</v>
      </c>
      <c r="O149" s="75">
        <v>20245</v>
      </c>
      <c r="P149" s="74">
        <f>SUM(Q149:R149)</f>
        <v>0</v>
      </c>
      <c r="Q149" s="74">
        <v>0</v>
      </c>
      <c r="R149" s="74">
        <v>0</v>
      </c>
      <c r="S149" s="74">
        <v>0</v>
      </c>
      <c r="T149" s="75">
        <v>21022</v>
      </c>
      <c r="U149" s="74">
        <f>SUM(V149:AC149)</f>
        <v>919936</v>
      </c>
      <c r="V149" s="75">
        <v>0</v>
      </c>
      <c r="W149" s="75">
        <f>434309+151064</f>
        <v>585373</v>
      </c>
      <c r="X149" s="75">
        <f>187726+106499</f>
        <v>294225</v>
      </c>
      <c r="Y149" s="75">
        <f>15776+20562</f>
        <v>36338</v>
      </c>
      <c r="Z149" s="75">
        <v>4000</v>
      </c>
      <c r="AA149" s="75">
        <v>0</v>
      </c>
      <c r="AB149" s="75">
        <v>0</v>
      </c>
      <c r="AC149" s="75">
        <v>0</v>
      </c>
      <c r="AD149" s="74">
        <f>SUM(AE149:AY149)</f>
        <v>154923</v>
      </c>
      <c r="AE149" s="74">
        <v>0</v>
      </c>
      <c r="AF149" s="74">
        <v>0</v>
      </c>
      <c r="AG149" s="75">
        <v>6598</v>
      </c>
      <c r="AH149" s="75">
        <v>0</v>
      </c>
      <c r="AI149" s="75">
        <v>0</v>
      </c>
      <c r="AJ149" s="75">
        <v>0</v>
      </c>
      <c r="AK149" s="75">
        <v>0</v>
      </c>
      <c r="AL149" s="75">
        <v>0</v>
      </c>
      <c r="AM149" s="75">
        <v>0</v>
      </c>
      <c r="AN149" s="75">
        <v>0</v>
      </c>
      <c r="AO149" s="75">
        <v>0</v>
      </c>
      <c r="AP149" s="75">
        <v>0</v>
      </c>
      <c r="AQ149" s="75">
        <v>135380</v>
      </c>
      <c r="AR149" s="75">
        <v>0</v>
      </c>
      <c r="AS149" s="75">
        <v>0</v>
      </c>
      <c r="AT149" s="75">
        <v>0</v>
      </c>
      <c r="AU149" s="75">
        <v>0</v>
      </c>
      <c r="AV149" s="75">
        <v>0</v>
      </c>
      <c r="AW149" s="75">
        <v>12945</v>
      </c>
      <c r="AX149" s="75">
        <v>0</v>
      </c>
      <c r="AY149" s="75">
        <v>0</v>
      </c>
      <c r="AZ149" s="75"/>
      <c r="BA149" s="75"/>
      <c r="BB149" s="75"/>
      <c r="BC149" s="74">
        <f>SUM(BD149+BH149+BL149+BN149+BQ149)</f>
        <v>0</v>
      </c>
      <c r="BD149" s="74">
        <f>SUM(BE149:BG149)</f>
        <v>0</v>
      </c>
      <c r="BE149" s="74">
        <v>0</v>
      </c>
      <c r="BF149" s="74">
        <v>0</v>
      </c>
      <c r="BG149" s="74">
        <v>0</v>
      </c>
      <c r="BH149" s="74">
        <f t="shared" si="378"/>
        <v>0</v>
      </c>
      <c r="BI149" s="74">
        <v>0</v>
      </c>
      <c r="BJ149" s="74">
        <v>0</v>
      </c>
      <c r="BK149" s="74">
        <v>0</v>
      </c>
      <c r="BL149" s="74">
        <v>0</v>
      </c>
      <c r="BM149" s="74">
        <v>0</v>
      </c>
      <c r="BN149" s="74">
        <f>SUM(BO149)</f>
        <v>0</v>
      </c>
      <c r="BO149" s="74">
        <v>0</v>
      </c>
      <c r="BP149" s="74">
        <v>0</v>
      </c>
      <c r="BQ149" s="74">
        <f>SUM(BR149:CB149)</f>
        <v>0</v>
      </c>
      <c r="BR149" s="74">
        <v>0</v>
      </c>
      <c r="BS149" s="74">
        <v>0</v>
      </c>
      <c r="BT149" s="74">
        <v>0</v>
      </c>
      <c r="BU149" s="74">
        <v>0</v>
      </c>
      <c r="BV149" s="74">
        <v>0</v>
      </c>
      <c r="BW149" s="74">
        <v>0</v>
      </c>
      <c r="BX149" s="74">
        <v>0</v>
      </c>
      <c r="BY149" s="74">
        <v>0</v>
      </c>
      <c r="BZ149" s="74">
        <v>0</v>
      </c>
      <c r="CA149" s="74">
        <v>0</v>
      </c>
      <c r="CB149" s="74">
        <v>0</v>
      </c>
      <c r="CC149" s="74">
        <f>SUM(CD149+CU149)</f>
        <v>0</v>
      </c>
      <c r="CD149" s="74">
        <f>SUM(CE149+CH149+CN149)</f>
        <v>0</v>
      </c>
      <c r="CE149" s="74">
        <f>SUM(CF149:CG149)</f>
        <v>0</v>
      </c>
      <c r="CF149" s="74">
        <v>0</v>
      </c>
      <c r="CG149" s="75"/>
      <c r="CH149" s="74">
        <f>SUM(CI149:CM149)</f>
        <v>0</v>
      </c>
      <c r="CI149" s="74">
        <v>0</v>
      </c>
      <c r="CJ149" s="74">
        <v>0</v>
      </c>
      <c r="CK149" s="74">
        <v>0</v>
      </c>
      <c r="CL149" s="74">
        <v>0</v>
      </c>
      <c r="CM149" s="74">
        <v>0</v>
      </c>
      <c r="CN149" s="74">
        <f>SUM(CO149:CQ149)</f>
        <v>0</v>
      </c>
      <c r="CO149" s="74">
        <v>0</v>
      </c>
      <c r="CP149" s="74">
        <v>0</v>
      </c>
      <c r="CQ149" s="74"/>
      <c r="CR149" s="74"/>
      <c r="CS149" s="74"/>
      <c r="CT149" s="74"/>
      <c r="CU149" s="74">
        <v>0</v>
      </c>
      <c r="CV149" s="74"/>
      <c r="CW149" s="74"/>
      <c r="CX149" s="74"/>
      <c r="CY149" s="74"/>
      <c r="CZ149" s="74">
        <f>SUM(DA149)</f>
        <v>0</v>
      </c>
      <c r="DA149" s="74">
        <f>SUM(DB149:DC149)</f>
        <v>0</v>
      </c>
      <c r="DB149" s="74">
        <v>0</v>
      </c>
      <c r="DC149" s="77">
        <v>0</v>
      </c>
    </row>
    <row r="150" spans="1:108" ht="31.2" x14ac:dyDescent="0.3">
      <c r="A150" s="94" t="s">
        <v>1</v>
      </c>
      <c r="B150" s="21" t="s">
        <v>68</v>
      </c>
      <c r="C150" s="22" t="s">
        <v>562</v>
      </c>
      <c r="D150" s="19">
        <f>SUM(E150+CC150+CZ150)</f>
        <v>5117485</v>
      </c>
      <c r="E150" s="19">
        <f>SUM(F150+BC150)</f>
        <v>5117485</v>
      </c>
      <c r="F150" s="19">
        <f t="shared" si="376"/>
        <v>5117485</v>
      </c>
      <c r="G150" s="19">
        <v>4119588</v>
      </c>
      <c r="H150" s="19">
        <v>997897</v>
      </c>
      <c r="I150" s="19">
        <f t="shared" si="127"/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19">
        <f t="shared" si="128"/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f t="shared" si="377"/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3">
        <v>0</v>
      </c>
      <c r="AC150" s="23">
        <v>0</v>
      </c>
      <c r="AD150" s="19">
        <f>SUM(AE150:AY150)</f>
        <v>0</v>
      </c>
      <c r="AE150" s="19">
        <v>0</v>
      </c>
      <c r="AF150" s="19">
        <v>0</v>
      </c>
      <c r="AG150" s="23">
        <v>0</v>
      </c>
      <c r="AH150" s="23">
        <v>0</v>
      </c>
      <c r="AI150" s="23">
        <v>0</v>
      </c>
      <c r="AJ150" s="23">
        <v>0</v>
      </c>
      <c r="AK150" s="23">
        <v>0</v>
      </c>
      <c r="AL150" s="23">
        <v>0</v>
      </c>
      <c r="AM150" s="23">
        <v>0</v>
      </c>
      <c r="AN150" s="23">
        <v>0</v>
      </c>
      <c r="AO150" s="23">
        <v>0</v>
      </c>
      <c r="AP150" s="23">
        <v>0</v>
      </c>
      <c r="AQ150" s="23">
        <v>0</v>
      </c>
      <c r="AR150" s="23">
        <v>0</v>
      </c>
      <c r="AS150" s="23">
        <v>0</v>
      </c>
      <c r="AT150" s="23">
        <v>0</v>
      </c>
      <c r="AU150" s="23">
        <v>0</v>
      </c>
      <c r="AV150" s="23">
        <v>0</v>
      </c>
      <c r="AW150" s="23">
        <v>0</v>
      </c>
      <c r="AX150" s="23">
        <v>0</v>
      </c>
      <c r="AY150" s="23">
        <v>0</v>
      </c>
      <c r="AZ150" s="23"/>
      <c r="BA150" s="23"/>
      <c r="BB150" s="23"/>
      <c r="BC150" s="19">
        <f>SUM(BD150+BH150+BL150+BN150+BQ150)</f>
        <v>0</v>
      </c>
      <c r="BD150" s="19">
        <f>SUM(BE150:BG150)</f>
        <v>0</v>
      </c>
      <c r="BE150" s="19">
        <v>0</v>
      </c>
      <c r="BF150" s="19">
        <v>0</v>
      </c>
      <c r="BG150" s="19">
        <v>0</v>
      </c>
      <c r="BH150" s="19">
        <f t="shared" si="378"/>
        <v>0</v>
      </c>
      <c r="BI150" s="19">
        <v>0</v>
      </c>
      <c r="BJ150" s="19">
        <v>0</v>
      </c>
      <c r="BK150" s="19">
        <v>0</v>
      </c>
      <c r="BL150" s="19">
        <v>0</v>
      </c>
      <c r="BM150" s="19">
        <v>0</v>
      </c>
      <c r="BN150" s="19">
        <f t="shared" si="129"/>
        <v>0</v>
      </c>
      <c r="BO150" s="19">
        <v>0</v>
      </c>
      <c r="BP150" s="19">
        <v>0</v>
      </c>
      <c r="BQ150" s="19">
        <f>SUM(BR150:CB150)</f>
        <v>0</v>
      </c>
      <c r="BR150" s="19">
        <v>0</v>
      </c>
      <c r="BS150" s="19">
        <v>0</v>
      </c>
      <c r="BT150" s="19">
        <v>0</v>
      </c>
      <c r="BU150" s="19">
        <v>0</v>
      </c>
      <c r="BV150" s="19">
        <v>0</v>
      </c>
      <c r="BW150" s="19">
        <v>0</v>
      </c>
      <c r="BX150" s="19">
        <v>0</v>
      </c>
      <c r="BY150" s="19">
        <v>0</v>
      </c>
      <c r="BZ150" s="19">
        <v>0</v>
      </c>
      <c r="CA150" s="19">
        <v>0</v>
      </c>
      <c r="CB150" s="19">
        <v>0</v>
      </c>
      <c r="CC150" s="19">
        <f>SUM(CD150+CU150)</f>
        <v>0</v>
      </c>
      <c r="CD150" s="19">
        <f>SUM(CE150+CH150+CN150)</f>
        <v>0</v>
      </c>
      <c r="CE150" s="19">
        <f t="shared" si="130"/>
        <v>0</v>
      </c>
      <c r="CF150" s="19">
        <v>0</v>
      </c>
      <c r="CG150" s="19"/>
      <c r="CH150" s="19">
        <f t="shared" si="379"/>
        <v>0</v>
      </c>
      <c r="CI150" s="19">
        <v>0</v>
      </c>
      <c r="CJ150" s="19">
        <v>0</v>
      </c>
      <c r="CK150" s="19">
        <v>0</v>
      </c>
      <c r="CL150" s="19">
        <v>0</v>
      </c>
      <c r="CM150" s="19">
        <v>0</v>
      </c>
      <c r="CN150" s="19">
        <f>SUM(CO150:CQ150)</f>
        <v>0</v>
      </c>
      <c r="CO150" s="19">
        <v>0</v>
      </c>
      <c r="CP150" s="19">
        <v>0</v>
      </c>
      <c r="CQ150" s="19"/>
      <c r="CR150" s="19"/>
      <c r="CS150" s="19"/>
      <c r="CT150" s="19"/>
      <c r="CU150" s="19">
        <v>0</v>
      </c>
      <c r="CV150" s="74"/>
      <c r="CW150" s="74"/>
      <c r="CX150" s="74"/>
      <c r="CY150" s="74"/>
      <c r="CZ150" s="19">
        <f t="shared" si="131"/>
        <v>0</v>
      </c>
      <c r="DA150" s="19">
        <f t="shared" si="132"/>
        <v>0</v>
      </c>
      <c r="DB150" s="19">
        <v>0</v>
      </c>
      <c r="DC150" s="20">
        <v>0</v>
      </c>
      <c r="DD150" s="52"/>
    </row>
    <row r="151" spans="1:108" ht="15.6" x14ac:dyDescent="0.3">
      <c r="A151" s="93" t="s">
        <v>214</v>
      </c>
      <c r="B151" s="16" t="s">
        <v>1</v>
      </c>
      <c r="C151" s="17" t="s">
        <v>215</v>
      </c>
      <c r="D151" s="18">
        <f>SUM(D152:D153)</f>
        <v>272553</v>
      </c>
      <c r="E151" s="18">
        <f t="shared" ref="E151:BW151" si="380">SUM(E152:E153)</f>
        <v>272553</v>
      </c>
      <c r="F151" s="18">
        <f t="shared" si="380"/>
        <v>272553</v>
      </c>
      <c r="G151" s="18">
        <f t="shared" si="380"/>
        <v>0</v>
      </c>
      <c r="H151" s="18">
        <f t="shared" si="380"/>
        <v>0</v>
      </c>
      <c r="I151" s="18">
        <f t="shared" si="380"/>
        <v>0</v>
      </c>
      <c r="J151" s="18">
        <f t="shared" si="380"/>
        <v>0</v>
      </c>
      <c r="K151" s="18">
        <f t="shared" si="380"/>
        <v>0</v>
      </c>
      <c r="L151" s="18">
        <f t="shared" si="380"/>
        <v>0</v>
      </c>
      <c r="M151" s="18">
        <f t="shared" si="380"/>
        <v>0</v>
      </c>
      <c r="N151" s="18">
        <f t="shared" si="380"/>
        <v>0</v>
      </c>
      <c r="O151" s="18">
        <f t="shared" si="380"/>
        <v>0</v>
      </c>
      <c r="P151" s="18">
        <f t="shared" si="380"/>
        <v>0</v>
      </c>
      <c r="Q151" s="18">
        <f t="shared" si="380"/>
        <v>0</v>
      </c>
      <c r="R151" s="18">
        <f t="shared" si="380"/>
        <v>0</v>
      </c>
      <c r="S151" s="18">
        <f t="shared" si="380"/>
        <v>0</v>
      </c>
      <c r="T151" s="18">
        <f t="shared" si="380"/>
        <v>0</v>
      </c>
      <c r="U151" s="18">
        <f t="shared" si="380"/>
        <v>0</v>
      </c>
      <c r="V151" s="18">
        <f t="shared" si="380"/>
        <v>0</v>
      </c>
      <c r="W151" s="18">
        <f t="shared" si="380"/>
        <v>0</v>
      </c>
      <c r="X151" s="18">
        <f t="shared" si="380"/>
        <v>0</v>
      </c>
      <c r="Y151" s="18">
        <f t="shared" si="380"/>
        <v>0</v>
      </c>
      <c r="Z151" s="18">
        <f t="shared" si="380"/>
        <v>0</v>
      </c>
      <c r="AA151" s="18">
        <f t="shared" si="380"/>
        <v>0</v>
      </c>
      <c r="AB151" s="18">
        <f t="shared" si="380"/>
        <v>0</v>
      </c>
      <c r="AC151" s="18">
        <f t="shared" si="380"/>
        <v>0</v>
      </c>
      <c r="AD151" s="18">
        <f t="shared" si="380"/>
        <v>272553</v>
      </c>
      <c r="AE151" s="18">
        <f t="shared" si="380"/>
        <v>0</v>
      </c>
      <c r="AF151" s="18">
        <f t="shared" si="380"/>
        <v>0</v>
      </c>
      <c r="AG151" s="18">
        <f t="shared" si="380"/>
        <v>0</v>
      </c>
      <c r="AH151" s="18">
        <f t="shared" si="380"/>
        <v>0</v>
      </c>
      <c r="AI151" s="18">
        <f t="shared" si="380"/>
        <v>0</v>
      </c>
      <c r="AJ151" s="18">
        <f t="shared" si="380"/>
        <v>0</v>
      </c>
      <c r="AK151" s="18">
        <f t="shared" si="380"/>
        <v>0</v>
      </c>
      <c r="AL151" s="18">
        <f t="shared" si="380"/>
        <v>0</v>
      </c>
      <c r="AM151" s="18">
        <f t="shared" si="380"/>
        <v>0</v>
      </c>
      <c r="AN151" s="18">
        <f t="shared" si="380"/>
        <v>0</v>
      </c>
      <c r="AO151" s="18">
        <f t="shared" si="380"/>
        <v>0</v>
      </c>
      <c r="AP151" s="18">
        <f t="shared" si="380"/>
        <v>0</v>
      </c>
      <c r="AQ151" s="18">
        <f t="shared" si="380"/>
        <v>0</v>
      </c>
      <c r="AR151" s="18">
        <f t="shared" si="380"/>
        <v>0</v>
      </c>
      <c r="AS151" s="18"/>
      <c r="AT151" s="18"/>
      <c r="AU151" s="18">
        <f t="shared" si="380"/>
        <v>0</v>
      </c>
      <c r="AV151" s="18">
        <f t="shared" si="380"/>
        <v>0</v>
      </c>
      <c r="AW151" s="18">
        <f t="shared" si="380"/>
        <v>0</v>
      </c>
      <c r="AX151" s="18"/>
      <c r="AY151" s="18">
        <f t="shared" si="380"/>
        <v>272553</v>
      </c>
      <c r="AZ151" s="18">
        <f t="shared" si="380"/>
        <v>0</v>
      </c>
      <c r="BA151" s="18">
        <f t="shared" si="380"/>
        <v>0</v>
      </c>
      <c r="BB151" s="18">
        <f t="shared" si="380"/>
        <v>0</v>
      </c>
      <c r="BC151" s="18">
        <f t="shared" si="380"/>
        <v>0</v>
      </c>
      <c r="BD151" s="18">
        <f t="shared" si="380"/>
        <v>0</v>
      </c>
      <c r="BE151" s="18">
        <f t="shared" si="380"/>
        <v>0</v>
      </c>
      <c r="BF151" s="18">
        <f t="shared" si="380"/>
        <v>0</v>
      </c>
      <c r="BG151" s="18">
        <f t="shared" si="380"/>
        <v>0</v>
      </c>
      <c r="BH151" s="18">
        <f t="shared" si="380"/>
        <v>0</v>
      </c>
      <c r="BI151" s="18">
        <f t="shared" si="380"/>
        <v>0</v>
      </c>
      <c r="BJ151" s="18">
        <f t="shared" ref="BJ151" si="381">SUM(BJ152:BJ153)</f>
        <v>0</v>
      </c>
      <c r="BK151" s="18">
        <f t="shared" si="380"/>
        <v>0</v>
      </c>
      <c r="BL151" s="18">
        <f t="shared" si="380"/>
        <v>0</v>
      </c>
      <c r="BM151" s="18">
        <f t="shared" ref="BM151" si="382">SUM(BM152:BM153)</f>
        <v>0</v>
      </c>
      <c r="BN151" s="18">
        <f t="shared" si="380"/>
        <v>0</v>
      </c>
      <c r="BO151" s="18">
        <f t="shared" si="380"/>
        <v>0</v>
      </c>
      <c r="BP151" s="18">
        <f t="shared" ref="BP151" si="383">SUM(BP152:BP153)</f>
        <v>0</v>
      </c>
      <c r="BQ151" s="18">
        <f t="shared" si="380"/>
        <v>0</v>
      </c>
      <c r="BR151" s="18">
        <f t="shared" si="380"/>
        <v>0</v>
      </c>
      <c r="BS151" s="18">
        <f t="shared" si="380"/>
        <v>0</v>
      </c>
      <c r="BT151" s="18">
        <f t="shared" si="380"/>
        <v>0</v>
      </c>
      <c r="BU151" s="18">
        <f t="shared" si="380"/>
        <v>0</v>
      </c>
      <c r="BV151" s="18">
        <f t="shared" si="380"/>
        <v>0</v>
      </c>
      <c r="BW151" s="18">
        <f t="shared" si="380"/>
        <v>0</v>
      </c>
      <c r="BX151" s="18">
        <f t="shared" ref="BX151:DC151" si="384">SUM(BX152:BX153)</f>
        <v>0</v>
      </c>
      <c r="BY151" s="18">
        <f t="shared" si="384"/>
        <v>0</v>
      </c>
      <c r="BZ151" s="18">
        <f t="shared" si="384"/>
        <v>0</v>
      </c>
      <c r="CA151" s="18">
        <f t="shared" si="384"/>
        <v>0</v>
      </c>
      <c r="CB151" s="18">
        <f t="shared" si="384"/>
        <v>0</v>
      </c>
      <c r="CC151" s="18">
        <f t="shared" si="384"/>
        <v>0</v>
      </c>
      <c r="CD151" s="18">
        <f t="shared" si="384"/>
        <v>0</v>
      </c>
      <c r="CE151" s="18">
        <f t="shared" si="384"/>
        <v>0</v>
      </c>
      <c r="CF151" s="18">
        <f t="shared" si="384"/>
        <v>0</v>
      </c>
      <c r="CG151" s="18">
        <f t="shared" si="384"/>
        <v>0</v>
      </c>
      <c r="CH151" s="18">
        <f t="shared" si="384"/>
        <v>0</v>
      </c>
      <c r="CI151" s="18">
        <f t="shared" si="384"/>
        <v>0</v>
      </c>
      <c r="CJ151" s="18">
        <f t="shared" ref="CJ151:CK151" si="385">SUM(CJ152:CJ153)</f>
        <v>0</v>
      </c>
      <c r="CK151" s="18">
        <f t="shared" si="385"/>
        <v>0</v>
      </c>
      <c r="CL151" s="18">
        <f t="shared" si="384"/>
        <v>0</v>
      </c>
      <c r="CM151" s="18">
        <f t="shared" ref="CM151" si="386">SUM(CM152:CM153)</f>
        <v>0</v>
      </c>
      <c r="CN151" s="18">
        <f t="shared" si="384"/>
        <v>0</v>
      </c>
      <c r="CO151" s="18">
        <f t="shared" ref="CO151" si="387">SUM(CO152:CO153)</f>
        <v>0</v>
      </c>
      <c r="CP151" s="18">
        <f t="shared" si="384"/>
        <v>0</v>
      </c>
      <c r="CQ151" s="18"/>
      <c r="CR151" s="18"/>
      <c r="CS151" s="18"/>
      <c r="CT151" s="18"/>
      <c r="CU151" s="18">
        <f t="shared" si="384"/>
        <v>0</v>
      </c>
      <c r="CV151" s="73"/>
      <c r="CW151" s="73"/>
      <c r="CX151" s="73"/>
      <c r="CY151" s="73"/>
      <c r="CZ151" s="18">
        <f t="shared" si="384"/>
        <v>0</v>
      </c>
      <c r="DA151" s="18">
        <f t="shared" si="384"/>
        <v>0</v>
      </c>
      <c r="DB151" s="18">
        <f t="shared" si="384"/>
        <v>0</v>
      </c>
      <c r="DC151" s="46">
        <f t="shared" si="384"/>
        <v>0</v>
      </c>
      <c r="DD151" s="57"/>
    </row>
    <row r="152" spans="1:108" s="88" customFormat="1" ht="15.6" x14ac:dyDescent="0.3">
      <c r="A152" s="96" t="s">
        <v>1</v>
      </c>
      <c r="B152" s="71" t="s">
        <v>58</v>
      </c>
      <c r="C152" s="72" t="s">
        <v>216</v>
      </c>
      <c r="D152" s="74">
        <f>SUM(E152+CC152+CZ152)</f>
        <v>157573</v>
      </c>
      <c r="E152" s="74">
        <f>SUM(F152+BC152)</f>
        <v>157573</v>
      </c>
      <c r="F152" s="74">
        <f t="shared" ref="F152:F153" si="388">SUM(G152+H152+I152+P152+S152+T152+U152+AD152)</f>
        <v>157573</v>
      </c>
      <c r="G152" s="74">
        <v>0</v>
      </c>
      <c r="H152" s="74">
        <v>0</v>
      </c>
      <c r="I152" s="74">
        <f t="shared" ref="I152:I229" si="389">SUM(J152:O152)</f>
        <v>0</v>
      </c>
      <c r="J152" s="74">
        <v>0</v>
      </c>
      <c r="K152" s="74">
        <v>0</v>
      </c>
      <c r="L152" s="74">
        <v>0</v>
      </c>
      <c r="M152" s="74">
        <v>0</v>
      </c>
      <c r="N152" s="74">
        <v>0</v>
      </c>
      <c r="O152" s="74">
        <v>0</v>
      </c>
      <c r="P152" s="74">
        <f t="shared" ref="P152:P229" si="390">SUM(Q152:R152)</f>
        <v>0</v>
      </c>
      <c r="Q152" s="74">
        <v>0</v>
      </c>
      <c r="R152" s="74">
        <v>0</v>
      </c>
      <c r="S152" s="74">
        <v>0</v>
      </c>
      <c r="T152" s="74">
        <v>0</v>
      </c>
      <c r="U152" s="74">
        <f t="shared" ref="U152:U153" si="391">SUM(V152:AC152)</f>
        <v>0</v>
      </c>
      <c r="V152" s="74">
        <v>0</v>
      </c>
      <c r="W152" s="74">
        <v>0</v>
      </c>
      <c r="X152" s="74">
        <v>0</v>
      </c>
      <c r="Y152" s="74">
        <v>0</v>
      </c>
      <c r="Z152" s="74">
        <v>0</v>
      </c>
      <c r="AA152" s="74">
        <v>0</v>
      </c>
      <c r="AB152" s="74">
        <v>0</v>
      </c>
      <c r="AC152" s="74">
        <v>0</v>
      </c>
      <c r="AD152" s="74">
        <f>SUM(AE152:AY152)</f>
        <v>157573</v>
      </c>
      <c r="AE152" s="74">
        <v>0</v>
      </c>
      <c r="AF152" s="74">
        <v>0</v>
      </c>
      <c r="AG152" s="74">
        <v>0</v>
      </c>
      <c r="AH152" s="74">
        <v>0</v>
      </c>
      <c r="AI152" s="74">
        <v>0</v>
      </c>
      <c r="AJ152" s="74">
        <v>0</v>
      </c>
      <c r="AK152" s="74">
        <v>0</v>
      </c>
      <c r="AL152" s="74">
        <v>0</v>
      </c>
      <c r="AM152" s="74">
        <v>0</v>
      </c>
      <c r="AN152" s="74">
        <v>0</v>
      </c>
      <c r="AO152" s="74">
        <v>0</v>
      </c>
      <c r="AP152" s="74">
        <v>0</v>
      </c>
      <c r="AQ152" s="74">
        <v>0</v>
      </c>
      <c r="AR152" s="74">
        <v>0</v>
      </c>
      <c r="AS152" s="74">
        <v>0</v>
      </c>
      <c r="AT152" s="74">
        <v>0</v>
      </c>
      <c r="AU152" s="74">
        <v>0</v>
      </c>
      <c r="AV152" s="74">
        <v>0</v>
      </c>
      <c r="AW152" s="74">
        <v>0</v>
      </c>
      <c r="AX152" s="74">
        <v>0</v>
      </c>
      <c r="AY152" s="75">
        <v>157573</v>
      </c>
      <c r="AZ152" s="75"/>
      <c r="BA152" s="75"/>
      <c r="BB152" s="75"/>
      <c r="BC152" s="74">
        <f>SUM(BD152+BH152+BL152+BN152+BQ152)</f>
        <v>0</v>
      </c>
      <c r="BD152" s="74">
        <f>SUM(BE152:BG152)</f>
        <v>0</v>
      </c>
      <c r="BE152" s="74">
        <v>0</v>
      </c>
      <c r="BF152" s="74">
        <v>0</v>
      </c>
      <c r="BG152" s="74">
        <v>0</v>
      </c>
      <c r="BH152" s="74">
        <f t="shared" ref="BH152:BH153" si="392">SUM(BI152:BK152)</f>
        <v>0</v>
      </c>
      <c r="BI152" s="74">
        <v>0</v>
      </c>
      <c r="BJ152" s="74">
        <v>0</v>
      </c>
      <c r="BK152" s="74">
        <v>0</v>
      </c>
      <c r="BL152" s="74">
        <v>0</v>
      </c>
      <c r="BM152" s="74">
        <v>0</v>
      </c>
      <c r="BN152" s="74">
        <f t="shared" ref="BN152:BN229" si="393">SUM(BO152)</f>
        <v>0</v>
      </c>
      <c r="BO152" s="74">
        <v>0</v>
      </c>
      <c r="BP152" s="74">
        <v>0</v>
      </c>
      <c r="BQ152" s="74">
        <f>SUM(BR152:CB152)</f>
        <v>0</v>
      </c>
      <c r="BR152" s="74">
        <v>0</v>
      </c>
      <c r="BS152" s="74">
        <v>0</v>
      </c>
      <c r="BT152" s="74">
        <v>0</v>
      </c>
      <c r="BU152" s="74">
        <v>0</v>
      </c>
      <c r="BV152" s="74">
        <v>0</v>
      </c>
      <c r="BW152" s="74">
        <v>0</v>
      </c>
      <c r="BX152" s="74">
        <v>0</v>
      </c>
      <c r="BY152" s="74">
        <v>0</v>
      </c>
      <c r="BZ152" s="74">
        <v>0</v>
      </c>
      <c r="CA152" s="74">
        <v>0</v>
      </c>
      <c r="CB152" s="74">
        <v>0</v>
      </c>
      <c r="CC152" s="74">
        <f>SUM(CD152+CU152)</f>
        <v>0</v>
      </c>
      <c r="CD152" s="74">
        <f>SUM(CE152+CH152+CN152)</f>
        <v>0</v>
      </c>
      <c r="CE152" s="74">
        <f t="shared" ref="CE152:CE229" si="394">SUM(CF152:CG152)</f>
        <v>0</v>
      </c>
      <c r="CF152" s="74">
        <v>0</v>
      </c>
      <c r="CG152" s="74">
        <v>0</v>
      </c>
      <c r="CH152" s="74">
        <f t="shared" ref="CH152:CH153" si="395">SUM(CI152:CM152)</f>
        <v>0</v>
      </c>
      <c r="CI152" s="74">
        <v>0</v>
      </c>
      <c r="CJ152" s="74">
        <v>0</v>
      </c>
      <c r="CK152" s="74">
        <v>0</v>
      </c>
      <c r="CL152" s="74">
        <v>0</v>
      </c>
      <c r="CM152" s="74">
        <v>0</v>
      </c>
      <c r="CN152" s="74">
        <f>SUM(CO152:CQ152)</f>
        <v>0</v>
      </c>
      <c r="CO152" s="74">
        <v>0</v>
      </c>
      <c r="CP152" s="74">
        <v>0</v>
      </c>
      <c r="CQ152" s="74"/>
      <c r="CR152" s="74"/>
      <c r="CS152" s="74"/>
      <c r="CT152" s="74"/>
      <c r="CU152" s="74">
        <v>0</v>
      </c>
      <c r="CV152" s="74"/>
      <c r="CW152" s="74"/>
      <c r="CX152" s="74"/>
      <c r="CY152" s="74"/>
      <c r="CZ152" s="74">
        <f t="shared" ref="CZ152:CZ229" si="396">SUM(DA152)</f>
        <v>0</v>
      </c>
      <c r="DA152" s="74">
        <f t="shared" ref="DA152:DA229" si="397">SUM(DB152:DC152)</f>
        <v>0</v>
      </c>
      <c r="DB152" s="74">
        <v>0</v>
      </c>
      <c r="DC152" s="77">
        <v>0</v>
      </c>
      <c r="DD152" s="78"/>
    </row>
    <row r="153" spans="1:108" ht="15.6" x14ac:dyDescent="0.3">
      <c r="A153" s="94" t="s">
        <v>1</v>
      </c>
      <c r="B153" s="21" t="s">
        <v>66</v>
      </c>
      <c r="C153" s="22" t="s">
        <v>217</v>
      </c>
      <c r="D153" s="19">
        <f>SUM(E153+CC153+CZ153)</f>
        <v>114980</v>
      </c>
      <c r="E153" s="19">
        <f>SUM(F153+BC153)</f>
        <v>114980</v>
      </c>
      <c r="F153" s="19">
        <f t="shared" si="388"/>
        <v>114980</v>
      </c>
      <c r="G153" s="19">
        <v>0</v>
      </c>
      <c r="H153" s="19">
        <v>0</v>
      </c>
      <c r="I153" s="19">
        <f t="shared" si="389"/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f t="shared" si="390"/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f t="shared" si="391"/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f>SUM(AE153:AY153)</f>
        <v>114980</v>
      </c>
      <c r="AE153" s="19">
        <v>0</v>
      </c>
      <c r="AF153" s="19">
        <v>0</v>
      </c>
      <c r="AG153" s="19">
        <v>0</v>
      </c>
      <c r="AH153" s="19">
        <v>0</v>
      </c>
      <c r="AI153" s="19">
        <v>0</v>
      </c>
      <c r="AJ153" s="19">
        <v>0</v>
      </c>
      <c r="AK153" s="19">
        <v>0</v>
      </c>
      <c r="AL153" s="19">
        <v>0</v>
      </c>
      <c r="AM153" s="19">
        <v>0</v>
      </c>
      <c r="AN153" s="19">
        <v>0</v>
      </c>
      <c r="AO153" s="19">
        <v>0</v>
      </c>
      <c r="AP153" s="19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23">
        <v>114980</v>
      </c>
      <c r="AZ153" s="23"/>
      <c r="BA153" s="23"/>
      <c r="BB153" s="23"/>
      <c r="BC153" s="19">
        <f>SUM(BD153+BH153+BL153+BN153+BQ153)</f>
        <v>0</v>
      </c>
      <c r="BD153" s="19">
        <f>SUM(BE153:BG153)</f>
        <v>0</v>
      </c>
      <c r="BE153" s="19">
        <v>0</v>
      </c>
      <c r="BF153" s="19">
        <v>0</v>
      </c>
      <c r="BG153" s="19">
        <v>0</v>
      </c>
      <c r="BH153" s="19">
        <f t="shared" si="392"/>
        <v>0</v>
      </c>
      <c r="BI153" s="19">
        <v>0</v>
      </c>
      <c r="BJ153" s="19">
        <v>0</v>
      </c>
      <c r="BK153" s="19">
        <v>0</v>
      </c>
      <c r="BL153" s="19">
        <v>0</v>
      </c>
      <c r="BM153" s="19">
        <v>0</v>
      </c>
      <c r="BN153" s="19">
        <f t="shared" si="393"/>
        <v>0</v>
      </c>
      <c r="BO153" s="19">
        <v>0</v>
      </c>
      <c r="BP153" s="19">
        <v>0</v>
      </c>
      <c r="BQ153" s="19">
        <f>SUM(BR153:CB153)</f>
        <v>0</v>
      </c>
      <c r="BR153" s="19">
        <v>0</v>
      </c>
      <c r="BS153" s="19">
        <v>0</v>
      </c>
      <c r="BT153" s="19">
        <v>0</v>
      </c>
      <c r="BU153" s="19">
        <v>0</v>
      </c>
      <c r="BV153" s="19">
        <v>0</v>
      </c>
      <c r="BW153" s="19">
        <v>0</v>
      </c>
      <c r="BX153" s="19">
        <v>0</v>
      </c>
      <c r="BY153" s="19">
        <v>0</v>
      </c>
      <c r="BZ153" s="19">
        <v>0</v>
      </c>
      <c r="CA153" s="19">
        <v>0</v>
      </c>
      <c r="CB153" s="19">
        <v>0</v>
      </c>
      <c r="CC153" s="19">
        <f>SUM(CD153+CU153)</f>
        <v>0</v>
      </c>
      <c r="CD153" s="19">
        <f>SUM(CE153+CH153+CN153)</f>
        <v>0</v>
      </c>
      <c r="CE153" s="19">
        <f t="shared" si="394"/>
        <v>0</v>
      </c>
      <c r="CF153" s="19">
        <v>0</v>
      </c>
      <c r="CG153" s="19">
        <v>0</v>
      </c>
      <c r="CH153" s="19">
        <f t="shared" si="395"/>
        <v>0</v>
      </c>
      <c r="CI153" s="19">
        <v>0</v>
      </c>
      <c r="CJ153" s="19">
        <v>0</v>
      </c>
      <c r="CK153" s="19">
        <v>0</v>
      </c>
      <c r="CL153" s="19">
        <v>0</v>
      </c>
      <c r="CM153" s="19">
        <v>0</v>
      </c>
      <c r="CN153" s="19">
        <f>SUM(CO153:CQ153)</f>
        <v>0</v>
      </c>
      <c r="CO153" s="19">
        <v>0</v>
      </c>
      <c r="CP153" s="19">
        <v>0</v>
      </c>
      <c r="CQ153" s="19"/>
      <c r="CR153" s="19"/>
      <c r="CS153" s="19"/>
      <c r="CT153" s="19"/>
      <c r="CU153" s="19">
        <v>0</v>
      </c>
      <c r="CV153" s="74"/>
      <c r="CW153" s="74"/>
      <c r="CX153" s="74"/>
      <c r="CY153" s="74"/>
      <c r="CZ153" s="19">
        <f t="shared" si="396"/>
        <v>0</v>
      </c>
      <c r="DA153" s="19">
        <f t="shared" si="397"/>
        <v>0</v>
      </c>
      <c r="DB153" s="19">
        <v>0</v>
      </c>
      <c r="DC153" s="20">
        <v>0</v>
      </c>
      <c r="DD153" s="52"/>
    </row>
    <row r="154" spans="1:108" ht="46.8" x14ac:dyDescent="0.3">
      <c r="A154" s="93" t="s">
        <v>218</v>
      </c>
      <c r="B154" s="16" t="s">
        <v>1</v>
      </c>
      <c r="C154" s="17" t="s">
        <v>610</v>
      </c>
      <c r="D154" s="18">
        <f t="shared" ref="D154:AR154" si="398">SUM(D155:D159)</f>
        <v>13427244</v>
      </c>
      <c r="E154" s="18">
        <f t="shared" si="398"/>
        <v>13380665</v>
      </c>
      <c r="F154" s="18">
        <f t="shared" si="398"/>
        <v>12664805</v>
      </c>
      <c r="G154" s="18">
        <f t="shared" si="398"/>
        <v>8686769</v>
      </c>
      <c r="H154" s="18">
        <f t="shared" si="398"/>
        <v>2023543</v>
      </c>
      <c r="I154" s="18">
        <f t="shared" si="398"/>
        <v>684556</v>
      </c>
      <c r="J154" s="18">
        <f t="shared" si="398"/>
        <v>17702</v>
      </c>
      <c r="K154" s="18">
        <f t="shared" si="398"/>
        <v>0</v>
      </c>
      <c r="L154" s="18">
        <f t="shared" si="398"/>
        <v>0</v>
      </c>
      <c r="M154" s="18">
        <f t="shared" si="398"/>
        <v>0</v>
      </c>
      <c r="N154" s="18">
        <f t="shared" si="398"/>
        <v>577687</v>
      </c>
      <c r="O154" s="18">
        <f t="shared" si="398"/>
        <v>89167</v>
      </c>
      <c r="P154" s="18">
        <f t="shared" si="398"/>
        <v>0</v>
      </c>
      <c r="Q154" s="18">
        <f t="shared" si="398"/>
        <v>0</v>
      </c>
      <c r="R154" s="18">
        <f t="shared" si="398"/>
        <v>0</v>
      </c>
      <c r="S154" s="18">
        <f t="shared" si="398"/>
        <v>0</v>
      </c>
      <c r="T154" s="18">
        <f t="shared" si="398"/>
        <v>38407</v>
      </c>
      <c r="U154" s="18">
        <f t="shared" si="398"/>
        <v>647052</v>
      </c>
      <c r="V154" s="18">
        <f t="shared" si="398"/>
        <v>5000</v>
      </c>
      <c r="W154" s="18">
        <f t="shared" si="398"/>
        <v>396851</v>
      </c>
      <c r="X154" s="18">
        <f t="shared" si="398"/>
        <v>229059</v>
      </c>
      <c r="Y154" s="18">
        <f t="shared" si="398"/>
        <v>16142</v>
      </c>
      <c r="Z154" s="18">
        <f t="shared" si="398"/>
        <v>0</v>
      </c>
      <c r="AA154" s="18">
        <f t="shared" si="398"/>
        <v>0</v>
      </c>
      <c r="AB154" s="18">
        <f t="shared" si="398"/>
        <v>0</v>
      </c>
      <c r="AC154" s="18">
        <f t="shared" si="398"/>
        <v>0</v>
      </c>
      <c r="AD154" s="18">
        <f t="shared" si="398"/>
        <v>584478</v>
      </c>
      <c r="AE154" s="18">
        <f t="shared" si="398"/>
        <v>0</v>
      </c>
      <c r="AF154" s="18">
        <f t="shared" si="398"/>
        <v>0</v>
      </c>
      <c r="AG154" s="18">
        <f t="shared" si="398"/>
        <v>0</v>
      </c>
      <c r="AH154" s="18">
        <f t="shared" si="398"/>
        <v>0</v>
      </c>
      <c r="AI154" s="18">
        <f t="shared" si="398"/>
        <v>0</v>
      </c>
      <c r="AJ154" s="18">
        <f t="shared" si="398"/>
        <v>0</v>
      </c>
      <c r="AK154" s="18">
        <f t="shared" si="398"/>
        <v>0</v>
      </c>
      <c r="AL154" s="18">
        <f t="shared" si="398"/>
        <v>215</v>
      </c>
      <c r="AM154" s="18">
        <f t="shared" si="398"/>
        <v>1207</v>
      </c>
      <c r="AN154" s="18">
        <f t="shared" si="398"/>
        <v>0</v>
      </c>
      <c r="AO154" s="18">
        <f t="shared" si="398"/>
        <v>0</v>
      </c>
      <c r="AP154" s="18">
        <f t="shared" si="398"/>
        <v>0</v>
      </c>
      <c r="AQ154" s="18">
        <f t="shared" si="398"/>
        <v>116574</v>
      </c>
      <c r="AR154" s="18">
        <f t="shared" si="398"/>
        <v>24000</v>
      </c>
      <c r="AS154" s="18"/>
      <c r="AT154" s="18"/>
      <c r="AU154" s="18">
        <f>SUM(AU155:AU159)</f>
        <v>0</v>
      </c>
      <c r="AV154" s="18">
        <f>SUM(AV155:AV159)</f>
        <v>0</v>
      </c>
      <c r="AW154" s="18">
        <f>SUM(AW155:AW159)</f>
        <v>0</v>
      </c>
      <c r="AX154" s="18"/>
      <c r="AY154" s="18">
        <f t="shared" ref="AY154:CP154" si="399">SUM(AY155:AY159)</f>
        <v>442482</v>
      </c>
      <c r="AZ154" s="18">
        <f t="shared" si="399"/>
        <v>0</v>
      </c>
      <c r="BA154" s="18">
        <f t="shared" si="399"/>
        <v>0</v>
      </c>
      <c r="BB154" s="18">
        <f t="shared" si="399"/>
        <v>0</v>
      </c>
      <c r="BC154" s="18">
        <f t="shared" si="399"/>
        <v>715860</v>
      </c>
      <c r="BD154" s="18">
        <f t="shared" si="399"/>
        <v>0</v>
      </c>
      <c r="BE154" s="18">
        <f t="shared" si="399"/>
        <v>0</v>
      </c>
      <c r="BF154" s="18">
        <f t="shared" si="399"/>
        <v>0</v>
      </c>
      <c r="BG154" s="18">
        <f t="shared" si="399"/>
        <v>0</v>
      </c>
      <c r="BH154" s="18">
        <f t="shared" si="399"/>
        <v>0</v>
      </c>
      <c r="BI154" s="18">
        <f t="shared" si="399"/>
        <v>0</v>
      </c>
      <c r="BJ154" s="18">
        <f t="shared" ref="BJ154" si="400">SUM(BJ155:BJ159)</f>
        <v>0</v>
      </c>
      <c r="BK154" s="18">
        <f t="shared" si="399"/>
        <v>0</v>
      </c>
      <c r="BL154" s="18">
        <f t="shared" si="399"/>
        <v>0</v>
      </c>
      <c r="BM154" s="18">
        <f t="shared" ref="BM154" si="401">SUM(BM155:BM159)</f>
        <v>0</v>
      </c>
      <c r="BN154" s="18">
        <f t="shared" si="399"/>
        <v>0</v>
      </c>
      <c r="BO154" s="18">
        <f t="shared" si="399"/>
        <v>0</v>
      </c>
      <c r="BP154" s="18">
        <f t="shared" si="399"/>
        <v>0</v>
      </c>
      <c r="BQ154" s="18">
        <f t="shared" si="399"/>
        <v>715860</v>
      </c>
      <c r="BR154" s="18">
        <f t="shared" si="399"/>
        <v>0</v>
      </c>
      <c r="BS154" s="18">
        <f t="shared" si="399"/>
        <v>0</v>
      </c>
      <c r="BT154" s="18">
        <f t="shared" si="399"/>
        <v>715860</v>
      </c>
      <c r="BU154" s="18">
        <f t="shared" si="399"/>
        <v>0</v>
      </c>
      <c r="BV154" s="18">
        <f t="shared" si="399"/>
        <v>0</v>
      </c>
      <c r="BW154" s="18">
        <f t="shared" si="399"/>
        <v>0</v>
      </c>
      <c r="BX154" s="18">
        <f t="shared" si="399"/>
        <v>0</v>
      </c>
      <c r="BY154" s="18">
        <f t="shared" si="399"/>
        <v>0</v>
      </c>
      <c r="BZ154" s="18">
        <f t="shared" si="399"/>
        <v>0</v>
      </c>
      <c r="CA154" s="18">
        <f t="shared" si="399"/>
        <v>0</v>
      </c>
      <c r="CB154" s="18">
        <f t="shared" si="399"/>
        <v>0</v>
      </c>
      <c r="CC154" s="18">
        <f t="shared" si="399"/>
        <v>46579</v>
      </c>
      <c r="CD154" s="18">
        <f t="shared" si="399"/>
        <v>46579</v>
      </c>
      <c r="CE154" s="18">
        <f t="shared" si="399"/>
        <v>46579</v>
      </c>
      <c r="CF154" s="18">
        <f t="shared" si="399"/>
        <v>0</v>
      </c>
      <c r="CG154" s="18">
        <f t="shared" si="399"/>
        <v>46579</v>
      </c>
      <c r="CH154" s="18">
        <f t="shared" si="399"/>
        <v>0</v>
      </c>
      <c r="CI154" s="18">
        <f t="shared" si="399"/>
        <v>0</v>
      </c>
      <c r="CJ154" s="18">
        <f t="shared" si="399"/>
        <v>0</v>
      </c>
      <c r="CK154" s="18">
        <f t="shared" si="399"/>
        <v>0</v>
      </c>
      <c r="CL154" s="18">
        <f t="shared" si="399"/>
        <v>0</v>
      </c>
      <c r="CM154" s="18">
        <f t="shared" si="399"/>
        <v>0</v>
      </c>
      <c r="CN154" s="18">
        <f t="shared" si="399"/>
        <v>0</v>
      </c>
      <c r="CO154" s="18">
        <f t="shared" si="399"/>
        <v>0</v>
      </c>
      <c r="CP154" s="18">
        <f t="shared" si="399"/>
        <v>0</v>
      </c>
      <c r="CQ154" s="18"/>
      <c r="CR154" s="18"/>
      <c r="CS154" s="18"/>
      <c r="CT154" s="18"/>
      <c r="CU154" s="18">
        <f>SUM(CU155:CU159)</f>
        <v>0</v>
      </c>
      <c r="CV154" s="73"/>
      <c r="CW154" s="73"/>
      <c r="CX154" s="73"/>
      <c r="CY154" s="73"/>
      <c r="CZ154" s="18">
        <f>SUM(CZ155:CZ159)</f>
        <v>0</v>
      </c>
      <c r="DA154" s="18">
        <f>SUM(DA155:DA159)</f>
        <v>0</v>
      </c>
      <c r="DB154" s="18">
        <f>SUM(DB155:DB159)</f>
        <v>0</v>
      </c>
      <c r="DC154" s="46">
        <f>SUM(DC155:DC159)</f>
        <v>0</v>
      </c>
      <c r="DD154" s="57"/>
    </row>
    <row r="155" spans="1:108" s="78" customFormat="1" ht="15.6" x14ac:dyDescent="0.3">
      <c r="A155" s="96" t="s">
        <v>1</v>
      </c>
      <c r="B155" s="71" t="s">
        <v>54</v>
      </c>
      <c r="C155" s="72" t="s">
        <v>480</v>
      </c>
      <c r="D155" s="74">
        <f>SUM(E155+CC155+CZ155)</f>
        <v>5011469</v>
      </c>
      <c r="E155" s="74">
        <f>SUM(F155+BC155)</f>
        <v>5011469</v>
      </c>
      <c r="F155" s="74">
        <f t="shared" ref="F155:F159" si="402">SUM(G155+H155+I155+P155+S155+T155+U155+AD155)</f>
        <v>4295609</v>
      </c>
      <c r="G155" s="74">
        <v>3059672</v>
      </c>
      <c r="H155" s="74">
        <v>707535</v>
      </c>
      <c r="I155" s="74">
        <f t="shared" si="389"/>
        <v>120187</v>
      </c>
      <c r="J155" s="75"/>
      <c r="K155" s="75"/>
      <c r="L155" s="75"/>
      <c r="M155" s="75"/>
      <c r="N155" s="75">
        <v>113220</v>
      </c>
      <c r="O155" s="75">
        <v>6967</v>
      </c>
      <c r="P155" s="74">
        <f t="shared" si="390"/>
        <v>0</v>
      </c>
      <c r="Q155" s="75"/>
      <c r="R155" s="75"/>
      <c r="S155" s="75"/>
      <c r="T155" s="75">
        <v>12810</v>
      </c>
      <c r="U155" s="74">
        <f t="shared" ref="U155:U159" si="403">SUM(V155:AC155)</f>
        <v>313429</v>
      </c>
      <c r="V155" s="75">
        <v>5000</v>
      </c>
      <c r="W155" s="75">
        <f>155983+43347</f>
        <v>199330</v>
      </c>
      <c r="X155" s="75">
        <f>76147+23684</f>
        <v>99831</v>
      </c>
      <c r="Y155" s="75">
        <f>7798+1470</f>
        <v>9268</v>
      </c>
      <c r="Z155" s="75">
        <v>0</v>
      </c>
      <c r="AA155" s="75">
        <v>0</v>
      </c>
      <c r="AB155" s="75">
        <v>0</v>
      </c>
      <c r="AC155" s="75">
        <v>0</v>
      </c>
      <c r="AD155" s="74">
        <f>SUM(AE155:AY155)</f>
        <v>81976</v>
      </c>
      <c r="AE155" s="74">
        <v>0</v>
      </c>
      <c r="AF155" s="74">
        <v>0</v>
      </c>
      <c r="AG155" s="75">
        <v>0</v>
      </c>
      <c r="AH155" s="75">
        <v>0</v>
      </c>
      <c r="AI155" s="75">
        <v>0</v>
      </c>
      <c r="AJ155" s="75">
        <v>0</v>
      </c>
      <c r="AK155" s="75">
        <v>0</v>
      </c>
      <c r="AL155" s="75">
        <v>0</v>
      </c>
      <c r="AM155" s="75">
        <v>0</v>
      </c>
      <c r="AN155" s="75">
        <v>0</v>
      </c>
      <c r="AO155" s="75">
        <v>0</v>
      </c>
      <c r="AP155" s="75">
        <v>0</v>
      </c>
      <c r="AQ155" s="75">
        <v>56845</v>
      </c>
      <c r="AR155" s="75">
        <v>24000</v>
      </c>
      <c r="AS155" s="75">
        <v>0</v>
      </c>
      <c r="AT155" s="75">
        <v>0</v>
      </c>
      <c r="AU155" s="75">
        <v>0</v>
      </c>
      <c r="AV155" s="75">
        <v>0</v>
      </c>
      <c r="AW155" s="75">
        <v>0</v>
      </c>
      <c r="AX155" s="75">
        <v>0</v>
      </c>
      <c r="AY155" s="75">
        <v>1131</v>
      </c>
      <c r="AZ155" s="75"/>
      <c r="BA155" s="75"/>
      <c r="BB155" s="75"/>
      <c r="BC155" s="74">
        <f>SUM(BD155+BH155+BL155+BN155+BQ155)</f>
        <v>715860</v>
      </c>
      <c r="BD155" s="74">
        <f t="shared" ref="BD155:BD159" si="404">SUM(BE155:BG155)</f>
        <v>0</v>
      </c>
      <c r="BE155" s="74">
        <v>0</v>
      </c>
      <c r="BF155" s="74">
        <v>0</v>
      </c>
      <c r="BG155" s="74">
        <v>0</v>
      </c>
      <c r="BH155" s="74">
        <f t="shared" ref="BH155:BH159" si="405">SUM(BI155:BK155)</f>
        <v>0</v>
      </c>
      <c r="BI155" s="74">
        <v>0</v>
      </c>
      <c r="BJ155" s="74">
        <v>0</v>
      </c>
      <c r="BK155" s="74">
        <v>0</v>
      </c>
      <c r="BL155" s="74">
        <v>0</v>
      </c>
      <c r="BM155" s="74">
        <v>0</v>
      </c>
      <c r="BN155" s="74">
        <f t="shared" si="393"/>
        <v>0</v>
      </c>
      <c r="BO155" s="74">
        <v>0</v>
      </c>
      <c r="BP155" s="74">
        <v>0</v>
      </c>
      <c r="BQ155" s="74">
        <f t="shared" ref="BQ155:BQ159" si="406">SUM(BR155:CB155)</f>
        <v>715860</v>
      </c>
      <c r="BR155" s="74">
        <v>0</v>
      </c>
      <c r="BS155" s="74">
        <v>0</v>
      </c>
      <c r="BT155" s="75">
        <v>715860</v>
      </c>
      <c r="BU155" s="74">
        <v>0</v>
      </c>
      <c r="BV155" s="74">
        <v>0</v>
      </c>
      <c r="BW155" s="74">
        <v>0</v>
      </c>
      <c r="BX155" s="74">
        <v>0</v>
      </c>
      <c r="BY155" s="74">
        <v>0</v>
      </c>
      <c r="BZ155" s="74">
        <v>0</v>
      </c>
      <c r="CA155" s="74">
        <v>0</v>
      </c>
      <c r="CB155" s="74">
        <v>0</v>
      </c>
      <c r="CC155" s="74">
        <f>SUM(CD155+CU155)</f>
        <v>0</v>
      </c>
      <c r="CD155" s="74">
        <f>SUM(CE155+CH155+CN155)</f>
        <v>0</v>
      </c>
      <c r="CE155" s="74">
        <f t="shared" si="394"/>
        <v>0</v>
      </c>
      <c r="CF155" s="74">
        <v>0</v>
      </c>
      <c r="CG155" s="75">
        <v>0</v>
      </c>
      <c r="CH155" s="74">
        <f t="shared" ref="CH155:CH159" si="407">SUM(CI155:CM155)</f>
        <v>0</v>
      </c>
      <c r="CI155" s="74">
        <v>0</v>
      </c>
      <c r="CJ155" s="74">
        <v>0</v>
      </c>
      <c r="CK155" s="74">
        <v>0</v>
      </c>
      <c r="CL155" s="74">
        <v>0</v>
      </c>
      <c r="CM155" s="74">
        <v>0</v>
      </c>
      <c r="CN155" s="74">
        <f>SUM(CO155:CQ155)</f>
        <v>0</v>
      </c>
      <c r="CO155" s="74">
        <v>0</v>
      </c>
      <c r="CP155" s="74">
        <v>0</v>
      </c>
      <c r="CQ155" s="74"/>
      <c r="CR155" s="74"/>
      <c r="CS155" s="74"/>
      <c r="CT155" s="74"/>
      <c r="CU155" s="74">
        <v>0</v>
      </c>
      <c r="CV155" s="74"/>
      <c r="CW155" s="74"/>
      <c r="CX155" s="74"/>
      <c r="CY155" s="74"/>
      <c r="CZ155" s="74">
        <f t="shared" si="396"/>
        <v>0</v>
      </c>
      <c r="DA155" s="74">
        <f t="shared" si="397"/>
        <v>0</v>
      </c>
      <c r="DB155" s="74">
        <v>0</v>
      </c>
      <c r="DC155" s="77">
        <v>0</v>
      </c>
    </row>
    <row r="156" spans="1:108" s="78" customFormat="1" ht="15.6" x14ac:dyDescent="0.3">
      <c r="A156" s="96" t="s">
        <v>1</v>
      </c>
      <c r="B156" s="71" t="s">
        <v>66</v>
      </c>
      <c r="C156" s="72" t="s">
        <v>219</v>
      </c>
      <c r="D156" s="74">
        <f>SUM(E156+CC156+CZ156)</f>
        <v>4972658</v>
      </c>
      <c r="E156" s="74">
        <f>SUM(F156+BC156)</f>
        <v>4928982</v>
      </c>
      <c r="F156" s="74">
        <f t="shared" si="402"/>
        <v>4928982</v>
      </c>
      <c r="G156" s="74">
        <v>3172068</v>
      </c>
      <c r="H156" s="74">
        <v>739523</v>
      </c>
      <c r="I156" s="74">
        <f>SUM(J156:O156)</f>
        <v>545332</v>
      </c>
      <c r="J156" s="75">
        <v>9000</v>
      </c>
      <c r="K156" s="75"/>
      <c r="L156" s="75"/>
      <c r="M156" s="75"/>
      <c r="N156" s="75">
        <v>464467</v>
      </c>
      <c r="O156" s="75">
        <v>71865</v>
      </c>
      <c r="P156" s="74">
        <f>SUM(Q156:R156)</f>
        <v>0</v>
      </c>
      <c r="Q156" s="75"/>
      <c r="R156" s="75"/>
      <c r="S156" s="75"/>
      <c r="T156" s="75">
        <v>19785</v>
      </c>
      <c r="U156" s="74">
        <f t="shared" si="403"/>
        <v>333623</v>
      </c>
      <c r="V156" s="75">
        <v>0</v>
      </c>
      <c r="W156" s="75">
        <f>151760+45761</f>
        <v>197521</v>
      </c>
      <c r="X156" s="75">
        <f>79742+49486</f>
        <v>129228</v>
      </c>
      <c r="Y156" s="75">
        <f>4606+2268</f>
        <v>6874</v>
      </c>
      <c r="Z156" s="75">
        <v>0</v>
      </c>
      <c r="AA156" s="75">
        <v>0</v>
      </c>
      <c r="AB156" s="75">
        <v>0</v>
      </c>
      <c r="AC156" s="75">
        <v>0</v>
      </c>
      <c r="AD156" s="74">
        <f>SUM(AE156:AY156)</f>
        <v>118651</v>
      </c>
      <c r="AE156" s="74">
        <v>0</v>
      </c>
      <c r="AF156" s="74">
        <v>0</v>
      </c>
      <c r="AG156" s="75">
        <v>0</v>
      </c>
      <c r="AH156" s="75">
        <v>0</v>
      </c>
      <c r="AI156" s="75">
        <v>0</v>
      </c>
      <c r="AJ156" s="75">
        <v>0</v>
      </c>
      <c r="AK156" s="75">
        <v>0</v>
      </c>
      <c r="AL156" s="75">
        <v>215</v>
      </c>
      <c r="AM156" s="75">
        <v>1207</v>
      </c>
      <c r="AN156" s="75">
        <v>0</v>
      </c>
      <c r="AO156" s="75">
        <v>0</v>
      </c>
      <c r="AP156" s="75">
        <v>0</v>
      </c>
      <c r="AQ156" s="75">
        <v>59729</v>
      </c>
      <c r="AR156" s="75">
        <v>0</v>
      </c>
      <c r="AS156" s="75">
        <v>0</v>
      </c>
      <c r="AT156" s="75">
        <v>0</v>
      </c>
      <c r="AU156" s="75">
        <v>0</v>
      </c>
      <c r="AV156" s="75">
        <v>0</v>
      </c>
      <c r="AW156" s="75">
        <v>0</v>
      </c>
      <c r="AX156" s="75">
        <v>0</v>
      </c>
      <c r="AY156" s="75">
        <v>57500</v>
      </c>
      <c r="AZ156" s="75"/>
      <c r="BA156" s="75"/>
      <c r="BB156" s="75"/>
      <c r="BC156" s="74">
        <f>SUM(BD156+BH156+BL156+BN156+BQ156)</f>
        <v>0</v>
      </c>
      <c r="BD156" s="74">
        <f t="shared" si="404"/>
        <v>0</v>
      </c>
      <c r="BE156" s="74">
        <v>0</v>
      </c>
      <c r="BF156" s="74">
        <v>0</v>
      </c>
      <c r="BG156" s="74">
        <v>0</v>
      </c>
      <c r="BH156" s="74">
        <f t="shared" si="405"/>
        <v>0</v>
      </c>
      <c r="BI156" s="74">
        <v>0</v>
      </c>
      <c r="BJ156" s="74">
        <v>0</v>
      </c>
      <c r="BK156" s="74">
        <v>0</v>
      </c>
      <c r="BL156" s="74">
        <v>0</v>
      </c>
      <c r="BM156" s="74">
        <v>0</v>
      </c>
      <c r="BN156" s="74">
        <f>SUM(BO156)</f>
        <v>0</v>
      </c>
      <c r="BO156" s="74">
        <v>0</v>
      </c>
      <c r="BP156" s="74">
        <v>0</v>
      </c>
      <c r="BQ156" s="74">
        <f t="shared" si="406"/>
        <v>0</v>
      </c>
      <c r="BR156" s="74">
        <v>0</v>
      </c>
      <c r="BS156" s="74">
        <v>0</v>
      </c>
      <c r="BT156" s="74">
        <v>0</v>
      </c>
      <c r="BU156" s="74">
        <v>0</v>
      </c>
      <c r="BV156" s="74">
        <v>0</v>
      </c>
      <c r="BW156" s="74">
        <v>0</v>
      </c>
      <c r="BX156" s="74">
        <v>0</v>
      </c>
      <c r="BY156" s="74">
        <v>0</v>
      </c>
      <c r="BZ156" s="74">
        <v>0</v>
      </c>
      <c r="CA156" s="74">
        <v>0</v>
      </c>
      <c r="CB156" s="74">
        <v>0</v>
      </c>
      <c r="CC156" s="74">
        <f>SUM(CD156+CU156)</f>
        <v>43676</v>
      </c>
      <c r="CD156" s="74">
        <f>SUM(CE156+CH156+CN156)</f>
        <v>43676</v>
      </c>
      <c r="CE156" s="74">
        <f>SUM(CF156:CG156)</f>
        <v>43676</v>
      </c>
      <c r="CF156" s="74">
        <v>0</v>
      </c>
      <c r="CG156" s="75">
        <v>43676</v>
      </c>
      <c r="CH156" s="74">
        <f t="shared" si="407"/>
        <v>0</v>
      </c>
      <c r="CI156" s="74">
        <v>0</v>
      </c>
      <c r="CJ156" s="74">
        <v>0</v>
      </c>
      <c r="CK156" s="74">
        <v>0</v>
      </c>
      <c r="CL156" s="74">
        <v>0</v>
      </c>
      <c r="CM156" s="74">
        <v>0</v>
      </c>
      <c r="CN156" s="74">
        <f>SUM(CO156:CQ156)</f>
        <v>0</v>
      </c>
      <c r="CO156" s="74">
        <v>0</v>
      </c>
      <c r="CP156" s="74">
        <v>0</v>
      </c>
      <c r="CQ156" s="74"/>
      <c r="CR156" s="74"/>
      <c r="CS156" s="74"/>
      <c r="CT156" s="74"/>
      <c r="CU156" s="74">
        <v>0</v>
      </c>
      <c r="CV156" s="74"/>
      <c r="CW156" s="74"/>
      <c r="CX156" s="74"/>
      <c r="CY156" s="74"/>
      <c r="CZ156" s="74">
        <f>SUM(DA156)</f>
        <v>0</v>
      </c>
      <c r="DA156" s="74">
        <f>SUM(DB156:DC156)</f>
        <v>0</v>
      </c>
      <c r="DB156" s="74">
        <v>0</v>
      </c>
      <c r="DC156" s="77">
        <v>0</v>
      </c>
    </row>
    <row r="157" spans="1:108" s="78" customFormat="1" ht="15.6" x14ac:dyDescent="0.3">
      <c r="A157" s="96" t="s">
        <v>1</v>
      </c>
      <c r="B157" s="71" t="s">
        <v>66</v>
      </c>
      <c r="C157" s="72" t="s">
        <v>220</v>
      </c>
      <c r="D157" s="74">
        <f>SUM(E157+CC157+CZ157)</f>
        <v>2899974</v>
      </c>
      <c r="E157" s="74">
        <f>SUM(F157+BC157)</f>
        <v>2899974</v>
      </c>
      <c r="F157" s="74">
        <f t="shared" si="402"/>
        <v>2899974</v>
      </c>
      <c r="G157" s="74">
        <v>2244413</v>
      </c>
      <c r="H157" s="74">
        <v>523830</v>
      </c>
      <c r="I157" s="74">
        <f t="shared" si="389"/>
        <v>15919</v>
      </c>
      <c r="J157" s="75">
        <v>8702</v>
      </c>
      <c r="K157" s="75"/>
      <c r="L157" s="75"/>
      <c r="M157" s="75"/>
      <c r="N157" s="75">
        <v>0</v>
      </c>
      <c r="O157" s="75">
        <v>7217</v>
      </c>
      <c r="P157" s="74">
        <f t="shared" si="390"/>
        <v>0</v>
      </c>
      <c r="Q157" s="75"/>
      <c r="R157" s="75"/>
      <c r="S157" s="75"/>
      <c r="T157" s="75">
        <v>5812</v>
      </c>
      <c r="U157" s="74">
        <f t="shared" si="403"/>
        <v>0</v>
      </c>
      <c r="V157" s="75">
        <v>0</v>
      </c>
      <c r="W157" s="75">
        <v>0</v>
      </c>
      <c r="X157" s="75">
        <v>0</v>
      </c>
      <c r="Y157" s="75">
        <v>0</v>
      </c>
      <c r="Z157" s="75">
        <v>0</v>
      </c>
      <c r="AA157" s="75">
        <v>0</v>
      </c>
      <c r="AB157" s="75">
        <v>0</v>
      </c>
      <c r="AC157" s="75">
        <v>0</v>
      </c>
      <c r="AD157" s="74">
        <f>SUM(AE157:AY157)</f>
        <v>110000</v>
      </c>
      <c r="AE157" s="74">
        <v>0</v>
      </c>
      <c r="AF157" s="74">
        <v>0</v>
      </c>
      <c r="AG157" s="75">
        <v>0</v>
      </c>
      <c r="AH157" s="75">
        <v>0</v>
      </c>
      <c r="AI157" s="75">
        <v>0</v>
      </c>
      <c r="AJ157" s="75">
        <v>0</v>
      </c>
      <c r="AK157" s="75">
        <v>0</v>
      </c>
      <c r="AL157" s="75">
        <v>0</v>
      </c>
      <c r="AM157" s="75">
        <v>0</v>
      </c>
      <c r="AN157" s="75">
        <v>0</v>
      </c>
      <c r="AO157" s="75">
        <v>0</v>
      </c>
      <c r="AP157" s="75">
        <v>0</v>
      </c>
      <c r="AQ157" s="75">
        <v>0</v>
      </c>
      <c r="AR157" s="75">
        <v>0</v>
      </c>
      <c r="AS157" s="75">
        <v>0</v>
      </c>
      <c r="AT157" s="75">
        <v>0</v>
      </c>
      <c r="AU157" s="75">
        <v>0</v>
      </c>
      <c r="AV157" s="75">
        <v>0</v>
      </c>
      <c r="AW157" s="75">
        <v>0</v>
      </c>
      <c r="AX157" s="75">
        <v>0</v>
      </c>
      <c r="AY157" s="75">
        <v>110000</v>
      </c>
      <c r="AZ157" s="75"/>
      <c r="BA157" s="75"/>
      <c r="BB157" s="75"/>
      <c r="BC157" s="74">
        <f>SUM(BD157+BH157+BL157+BN157+BQ157)</f>
        <v>0</v>
      </c>
      <c r="BD157" s="74">
        <f t="shared" si="404"/>
        <v>0</v>
      </c>
      <c r="BE157" s="74">
        <v>0</v>
      </c>
      <c r="BF157" s="74">
        <v>0</v>
      </c>
      <c r="BG157" s="74">
        <v>0</v>
      </c>
      <c r="BH157" s="74">
        <f t="shared" si="405"/>
        <v>0</v>
      </c>
      <c r="BI157" s="74">
        <v>0</v>
      </c>
      <c r="BJ157" s="74">
        <v>0</v>
      </c>
      <c r="BK157" s="74">
        <v>0</v>
      </c>
      <c r="BL157" s="74">
        <v>0</v>
      </c>
      <c r="BM157" s="74">
        <v>0</v>
      </c>
      <c r="BN157" s="74">
        <f t="shared" si="393"/>
        <v>0</v>
      </c>
      <c r="BO157" s="74">
        <v>0</v>
      </c>
      <c r="BP157" s="74">
        <v>0</v>
      </c>
      <c r="BQ157" s="74">
        <f t="shared" si="406"/>
        <v>0</v>
      </c>
      <c r="BR157" s="74">
        <v>0</v>
      </c>
      <c r="BS157" s="74">
        <v>0</v>
      </c>
      <c r="BT157" s="74">
        <v>0</v>
      </c>
      <c r="BU157" s="74">
        <v>0</v>
      </c>
      <c r="BV157" s="74">
        <v>0</v>
      </c>
      <c r="BW157" s="74">
        <v>0</v>
      </c>
      <c r="BX157" s="74">
        <v>0</v>
      </c>
      <c r="BY157" s="74">
        <v>0</v>
      </c>
      <c r="BZ157" s="74">
        <v>0</v>
      </c>
      <c r="CA157" s="74">
        <v>0</v>
      </c>
      <c r="CB157" s="74">
        <v>0</v>
      </c>
      <c r="CC157" s="74">
        <f>SUM(CD157+CU157)</f>
        <v>0</v>
      </c>
      <c r="CD157" s="74">
        <f>SUM(CE157+CH157+CN157)</f>
        <v>0</v>
      </c>
      <c r="CE157" s="74">
        <f t="shared" si="394"/>
        <v>0</v>
      </c>
      <c r="CF157" s="74">
        <v>0</v>
      </c>
      <c r="CG157" s="75">
        <v>0</v>
      </c>
      <c r="CH157" s="74">
        <f t="shared" si="407"/>
        <v>0</v>
      </c>
      <c r="CI157" s="74">
        <v>0</v>
      </c>
      <c r="CJ157" s="74">
        <v>0</v>
      </c>
      <c r="CK157" s="74">
        <v>0</v>
      </c>
      <c r="CL157" s="74">
        <v>0</v>
      </c>
      <c r="CM157" s="74">
        <v>0</v>
      </c>
      <c r="CN157" s="74">
        <f>SUM(CO157:CQ157)</f>
        <v>0</v>
      </c>
      <c r="CO157" s="74">
        <v>0</v>
      </c>
      <c r="CP157" s="74">
        <v>0</v>
      </c>
      <c r="CQ157" s="74"/>
      <c r="CR157" s="74"/>
      <c r="CS157" s="74"/>
      <c r="CT157" s="74"/>
      <c r="CU157" s="74">
        <v>0</v>
      </c>
      <c r="CV157" s="74"/>
      <c r="CW157" s="74"/>
      <c r="CX157" s="74"/>
      <c r="CY157" s="74"/>
      <c r="CZ157" s="74">
        <f t="shared" si="396"/>
        <v>0</v>
      </c>
      <c r="DA157" s="74">
        <f t="shared" si="397"/>
        <v>0</v>
      </c>
      <c r="DB157" s="74">
        <v>0</v>
      </c>
      <c r="DC157" s="77">
        <v>0</v>
      </c>
    </row>
    <row r="158" spans="1:108" s="58" customFormat="1" ht="15.6" x14ac:dyDescent="0.3">
      <c r="A158" s="94" t="s">
        <v>1</v>
      </c>
      <c r="B158" s="21" t="s">
        <v>68</v>
      </c>
      <c r="C158" s="22" t="s">
        <v>438</v>
      </c>
      <c r="D158" s="19">
        <f>SUM(E158+CC158+CZ158)</f>
        <v>269292</v>
      </c>
      <c r="E158" s="19">
        <f>SUM(F158+BC158)</f>
        <v>266389</v>
      </c>
      <c r="F158" s="19">
        <f t="shared" si="402"/>
        <v>266389</v>
      </c>
      <c r="G158" s="19">
        <v>210616</v>
      </c>
      <c r="H158" s="19">
        <v>52655</v>
      </c>
      <c r="I158" s="19">
        <f>SUM(J158:O158)</f>
        <v>3118</v>
      </c>
      <c r="J158" s="23"/>
      <c r="K158" s="23"/>
      <c r="L158" s="23"/>
      <c r="M158" s="23"/>
      <c r="N158" s="23">
        <v>0</v>
      </c>
      <c r="O158" s="23">
        <v>3118</v>
      </c>
      <c r="P158" s="19">
        <f>SUM(Q158:R158)</f>
        <v>0</v>
      </c>
      <c r="Q158" s="23">
        <v>0</v>
      </c>
      <c r="R158" s="23">
        <v>0</v>
      </c>
      <c r="S158" s="23">
        <v>0</v>
      </c>
      <c r="T158" s="23">
        <v>0</v>
      </c>
      <c r="U158" s="19">
        <f t="shared" si="403"/>
        <v>0</v>
      </c>
      <c r="V158" s="23">
        <v>0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3">
        <v>0</v>
      </c>
      <c r="AC158" s="23">
        <v>0</v>
      </c>
      <c r="AD158" s="19">
        <f>SUM(AE158:AY158)</f>
        <v>0</v>
      </c>
      <c r="AE158" s="19">
        <v>0</v>
      </c>
      <c r="AF158" s="19">
        <v>0</v>
      </c>
      <c r="AG158" s="23">
        <v>0</v>
      </c>
      <c r="AH158" s="23">
        <v>0</v>
      </c>
      <c r="AI158" s="23">
        <v>0</v>
      </c>
      <c r="AJ158" s="23">
        <v>0</v>
      </c>
      <c r="AK158" s="23">
        <v>0</v>
      </c>
      <c r="AL158" s="23">
        <v>0</v>
      </c>
      <c r="AM158" s="23">
        <v>0</v>
      </c>
      <c r="AN158" s="23">
        <v>0</v>
      </c>
      <c r="AO158" s="23">
        <v>0</v>
      </c>
      <c r="AP158" s="23">
        <v>0</v>
      </c>
      <c r="AQ158" s="23">
        <v>0</v>
      </c>
      <c r="AR158" s="23">
        <v>0</v>
      </c>
      <c r="AS158" s="23">
        <v>0</v>
      </c>
      <c r="AT158" s="23">
        <v>0</v>
      </c>
      <c r="AU158" s="23">
        <v>0</v>
      </c>
      <c r="AV158" s="23">
        <v>0</v>
      </c>
      <c r="AW158" s="23">
        <v>0</v>
      </c>
      <c r="AX158" s="23">
        <v>0</v>
      </c>
      <c r="AY158" s="23">
        <v>0</v>
      </c>
      <c r="AZ158" s="23"/>
      <c r="BA158" s="23"/>
      <c r="BB158" s="23"/>
      <c r="BC158" s="19">
        <f>SUM(BD158+BH158+BL158+BN158+BQ158)</f>
        <v>0</v>
      </c>
      <c r="BD158" s="19">
        <f>SUM(BE158:BG158)</f>
        <v>0</v>
      </c>
      <c r="BE158" s="19">
        <v>0</v>
      </c>
      <c r="BF158" s="19">
        <v>0</v>
      </c>
      <c r="BG158" s="19">
        <v>0</v>
      </c>
      <c r="BH158" s="19">
        <f t="shared" si="405"/>
        <v>0</v>
      </c>
      <c r="BI158" s="19">
        <v>0</v>
      </c>
      <c r="BJ158" s="19">
        <v>0</v>
      </c>
      <c r="BK158" s="19">
        <v>0</v>
      </c>
      <c r="BL158" s="19">
        <v>0</v>
      </c>
      <c r="BM158" s="19">
        <v>0</v>
      </c>
      <c r="BN158" s="19">
        <f>SUM(BO158)</f>
        <v>0</v>
      </c>
      <c r="BO158" s="19">
        <v>0</v>
      </c>
      <c r="BP158" s="19">
        <v>0</v>
      </c>
      <c r="BQ158" s="19">
        <f t="shared" si="406"/>
        <v>0</v>
      </c>
      <c r="BR158" s="19">
        <v>0</v>
      </c>
      <c r="BS158" s="19">
        <v>0</v>
      </c>
      <c r="BT158" s="19">
        <v>0</v>
      </c>
      <c r="BU158" s="19">
        <v>0</v>
      </c>
      <c r="BV158" s="19">
        <v>0</v>
      </c>
      <c r="BW158" s="19">
        <v>0</v>
      </c>
      <c r="BX158" s="19">
        <v>0</v>
      </c>
      <c r="BY158" s="19">
        <v>0</v>
      </c>
      <c r="BZ158" s="19">
        <v>0</v>
      </c>
      <c r="CA158" s="19">
        <v>0</v>
      </c>
      <c r="CB158" s="19">
        <v>0</v>
      </c>
      <c r="CC158" s="19">
        <f>SUM(CD158+CU158)</f>
        <v>2903</v>
      </c>
      <c r="CD158" s="19">
        <f>SUM(CE158+CH158+CN158)</f>
        <v>2903</v>
      </c>
      <c r="CE158" s="19">
        <f>SUM(CF158:CG158)</f>
        <v>2903</v>
      </c>
      <c r="CF158" s="19">
        <v>0</v>
      </c>
      <c r="CG158" s="23">
        <v>2903</v>
      </c>
      <c r="CH158" s="19">
        <f t="shared" si="407"/>
        <v>0</v>
      </c>
      <c r="CI158" s="19">
        <v>0</v>
      </c>
      <c r="CJ158" s="19">
        <v>0</v>
      </c>
      <c r="CK158" s="19">
        <v>0</v>
      </c>
      <c r="CL158" s="19">
        <v>0</v>
      </c>
      <c r="CM158" s="19">
        <v>0</v>
      </c>
      <c r="CN158" s="19">
        <f>SUM(CO158:CQ158)</f>
        <v>0</v>
      </c>
      <c r="CO158" s="19">
        <v>0</v>
      </c>
      <c r="CP158" s="19">
        <v>0</v>
      </c>
      <c r="CQ158" s="19"/>
      <c r="CR158" s="19"/>
      <c r="CS158" s="19"/>
      <c r="CT158" s="19"/>
      <c r="CU158" s="19">
        <v>0</v>
      </c>
      <c r="CV158" s="74"/>
      <c r="CW158" s="74"/>
      <c r="CX158" s="74"/>
      <c r="CY158" s="74"/>
      <c r="CZ158" s="19">
        <f>SUM(DA158)</f>
        <v>0</v>
      </c>
      <c r="DA158" s="19">
        <f>SUM(DB158:DC158)</f>
        <v>0</v>
      </c>
      <c r="DB158" s="19">
        <v>0</v>
      </c>
      <c r="DC158" s="20">
        <v>0</v>
      </c>
      <c r="DD158" s="52"/>
    </row>
    <row r="159" spans="1:108" s="58" customFormat="1" ht="31.2" x14ac:dyDescent="0.3">
      <c r="A159" s="94" t="s">
        <v>1</v>
      </c>
      <c r="B159" s="21" t="s">
        <v>68</v>
      </c>
      <c r="C159" s="22" t="s">
        <v>465</v>
      </c>
      <c r="D159" s="19">
        <f>SUM(E159+CC159+CZ159)</f>
        <v>273851</v>
      </c>
      <c r="E159" s="19">
        <f>SUM(F159+BC159)</f>
        <v>273851</v>
      </c>
      <c r="F159" s="19">
        <f t="shared" si="402"/>
        <v>273851</v>
      </c>
      <c r="G159" s="19">
        <v>0</v>
      </c>
      <c r="H159" s="19">
        <v>0</v>
      </c>
      <c r="I159" s="19">
        <f t="shared" ref="I159" si="408">SUM(J159:O159)</f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19">
        <f t="shared" ref="P159" si="409">SUM(Q159:R159)</f>
        <v>0</v>
      </c>
      <c r="Q159" s="23">
        <v>0</v>
      </c>
      <c r="R159" s="23">
        <v>0</v>
      </c>
      <c r="S159" s="23">
        <v>0</v>
      </c>
      <c r="T159" s="23">
        <v>0</v>
      </c>
      <c r="U159" s="19">
        <f t="shared" si="403"/>
        <v>0</v>
      </c>
      <c r="V159" s="23">
        <v>0</v>
      </c>
      <c r="W159" s="23">
        <v>0</v>
      </c>
      <c r="X159" s="23">
        <v>0</v>
      </c>
      <c r="Y159" s="23">
        <v>0</v>
      </c>
      <c r="Z159" s="23">
        <v>0</v>
      </c>
      <c r="AA159" s="23">
        <v>0</v>
      </c>
      <c r="AB159" s="23">
        <v>0</v>
      </c>
      <c r="AC159" s="23">
        <v>0</v>
      </c>
      <c r="AD159" s="19">
        <f>SUM(AE159:AY159)</f>
        <v>273851</v>
      </c>
      <c r="AE159" s="19">
        <v>0</v>
      </c>
      <c r="AF159" s="19">
        <v>0</v>
      </c>
      <c r="AG159" s="23">
        <v>0</v>
      </c>
      <c r="AH159" s="23">
        <v>0</v>
      </c>
      <c r="AI159" s="23">
        <v>0</v>
      </c>
      <c r="AJ159" s="23">
        <v>0</v>
      </c>
      <c r="AK159" s="23">
        <v>0</v>
      </c>
      <c r="AL159" s="23">
        <v>0</v>
      </c>
      <c r="AM159" s="23">
        <v>0</v>
      </c>
      <c r="AN159" s="23">
        <v>0</v>
      </c>
      <c r="AO159" s="23">
        <v>0</v>
      </c>
      <c r="AP159" s="23">
        <v>0</v>
      </c>
      <c r="AQ159" s="23">
        <v>0</v>
      </c>
      <c r="AR159" s="23">
        <v>0</v>
      </c>
      <c r="AS159" s="23">
        <v>0</v>
      </c>
      <c r="AT159" s="23">
        <v>0</v>
      </c>
      <c r="AU159" s="23">
        <v>0</v>
      </c>
      <c r="AV159" s="23">
        <v>0</v>
      </c>
      <c r="AW159" s="23">
        <v>0</v>
      </c>
      <c r="AX159" s="23">
        <v>0</v>
      </c>
      <c r="AY159" s="23">
        <v>273851</v>
      </c>
      <c r="AZ159" s="23"/>
      <c r="BA159" s="23"/>
      <c r="BB159" s="23"/>
      <c r="BC159" s="19">
        <f>SUM(BD159+BH159+BL159+BN159+BQ159)</f>
        <v>0</v>
      </c>
      <c r="BD159" s="19">
        <f t="shared" si="404"/>
        <v>0</v>
      </c>
      <c r="BE159" s="19">
        <v>0</v>
      </c>
      <c r="BF159" s="19">
        <v>0</v>
      </c>
      <c r="BG159" s="19">
        <v>0</v>
      </c>
      <c r="BH159" s="19">
        <f t="shared" si="405"/>
        <v>0</v>
      </c>
      <c r="BI159" s="19">
        <v>0</v>
      </c>
      <c r="BJ159" s="19">
        <v>0</v>
      </c>
      <c r="BK159" s="19">
        <v>0</v>
      </c>
      <c r="BL159" s="19">
        <v>0</v>
      </c>
      <c r="BM159" s="19">
        <v>0</v>
      </c>
      <c r="BN159" s="19">
        <f t="shared" ref="BN159" si="410">SUM(BO159)</f>
        <v>0</v>
      </c>
      <c r="BO159" s="19">
        <v>0</v>
      </c>
      <c r="BP159" s="19">
        <v>0</v>
      </c>
      <c r="BQ159" s="19">
        <f t="shared" si="406"/>
        <v>0</v>
      </c>
      <c r="BR159" s="19">
        <v>0</v>
      </c>
      <c r="BS159" s="19">
        <v>0</v>
      </c>
      <c r="BT159" s="19">
        <v>0</v>
      </c>
      <c r="BU159" s="19">
        <v>0</v>
      </c>
      <c r="BV159" s="19">
        <v>0</v>
      </c>
      <c r="BW159" s="19">
        <v>0</v>
      </c>
      <c r="BX159" s="19">
        <v>0</v>
      </c>
      <c r="BY159" s="19">
        <v>0</v>
      </c>
      <c r="BZ159" s="19">
        <v>0</v>
      </c>
      <c r="CA159" s="19">
        <v>0</v>
      </c>
      <c r="CB159" s="19">
        <v>0</v>
      </c>
      <c r="CC159" s="19">
        <f>SUM(CD159+CU159)</f>
        <v>0</v>
      </c>
      <c r="CD159" s="19">
        <f>SUM(CE159+CH159+CN159)</f>
        <v>0</v>
      </c>
      <c r="CE159" s="19">
        <f t="shared" ref="CE159" si="411">SUM(CF159:CG159)</f>
        <v>0</v>
      </c>
      <c r="CF159" s="19">
        <v>0</v>
      </c>
      <c r="CG159" s="23">
        <v>0</v>
      </c>
      <c r="CH159" s="19">
        <f t="shared" si="407"/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f>SUM(CO159:CQ159)</f>
        <v>0</v>
      </c>
      <c r="CO159" s="19">
        <v>0</v>
      </c>
      <c r="CP159" s="19">
        <v>0</v>
      </c>
      <c r="CQ159" s="19"/>
      <c r="CR159" s="19"/>
      <c r="CS159" s="19"/>
      <c r="CT159" s="19"/>
      <c r="CU159" s="19">
        <v>0</v>
      </c>
      <c r="CV159" s="74"/>
      <c r="CW159" s="74"/>
      <c r="CX159" s="74"/>
      <c r="CY159" s="74"/>
      <c r="CZ159" s="19">
        <f t="shared" ref="CZ159" si="412">SUM(DA159)</f>
        <v>0</v>
      </c>
      <c r="DA159" s="19">
        <f t="shared" ref="DA159" si="413">SUM(DB159:DC159)</f>
        <v>0</v>
      </c>
      <c r="DB159" s="19">
        <v>0</v>
      </c>
      <c r="DC159" s="20">
        <v>0</v>
      </c>
      <c r="DD159" s="52"/>
    </row>
    <row r="160" spans="1:108" ht="31.2" x14ac:dyDescent="0.3">
      <c r="A160" s="95" t="s">
        <v>1</v>
      </c>
      <c r="B160" s="25" t="s">
        <v>1</v>
      </c>
      <c r="C160" s="26" t="s">
        <v>221</v>
      </c>
      <c r="D160" s="27">
        <f t="shared" ref="D160:F160" si="414">SUM(D161+D164+D167)</f>
        <v>43330402</v>
      </c>
      <c r="E160" s="27">
        <f t="shared" si="414"/>
        <v>43325734</v>
      </c>
      <c r="F160" s="27">
        <f t="shared" si="414"/>
        <v>43325734</v>
      </c>
      <c r="G160" s="27">
        <f>SUM(G161+G164+G167)</f>
        <v>28183481</v>
      </c>
      <c r="H160" s="27">
        <f t="shared" ref="H160:BW160" si="415">SUM(H161+H164+H167)</f>
        <v>6776312</v>
      </c>
      <c r="I160" s="27">
        <f t="shared" si="415"/>
        <v>583466</v>
      </c>
      <c r="J160" s="27">
        <f t="shared" si="415"/>
        <v>0</v>
      </c>
      <c r="K160" s="27">
        <f t="shared" si="415"/>
        <v>0</v>
      </c>
      <c r="L160" s="27">
        <f t="shared" si="415"/>
        <v>0</v>
      </c>
      <c r="M160" s="27">
        <f t="shared" si="415"/>
        <v>0</v>
      </c>
      <c r="N160" s="27">
        <f t="shared" si="415"/>
        <v>583466</v>
      </c>
      <c r="O160" s="27">
        <f t="shared" si="415"/>
        <v>0</v>
      </c>
      <c r="P160" s="27">
        <f t="shared" si="415"/>
        <v>0</v>
      </c>
      <c r="Q160" s="27">
        <f t="shared" si="415"/>
        <v>0</v>
      </c>
      <c r="R160" s="27">
        <f t="shared" si="415"/>
        <v>0</v>
      </c>
      <c r="S160" s="27">
        <f t="shared" si="415"/>
        <v>0</v>
      </c>
      <c r="T160" s="27">
        <f t="shared" si="415"/>
        <v>146589</v>
      </c>
      <c r="U160" s="27">
        <f t="shared" si="415"/>
        <v>438943</v>
      </c>
      <c r="V160" s="27">
        <f t="shared" si="415"/>
        <v>1413</v>
      </c>
      <c r="W160" s="27">
        <f t="shared" si="415"/>
        <v>5482</v>
      </c>
      <c r="X160" s="27">
        <f t="shared" si="415"/>
        <v>354916</v>
      </c>
      <c r="Y160" s="27">
        <f t="shared" si="415"/>
        <v>464</v>
      </c>
      <c r="Z160" s="27">
        <f t="shared" si="415"/>
        <v>0</v>
      </c>
      <c r="AA160" s="27">
        <f t="shared" si="415"/>
        <v>76668</v>
      </c>
      <c r="AB160" s="27">
        <f t="shared" si="415"/>
        <v>0</v>
      </c>
      <c r="AC160" s="27">
        <f t="shared" si="415"/>
        <v>0</v>
      </c>
      <c r="AD160" s="27">
        <f t="shared" si="415"/>
        <v>7196943</v>
      </c>
      <c r="AE160" s="27">
        <f t="shared" si="415"/>
        <v>0</v>
      </c>
      <c r="AF160" s="27">
        <f t="shared" si="415"/>
        <v>0</v>
      </c>
      <c r="AG160" s="27">
        <f t="shared" si="415"/>
        <v>0</v>
      </c>
      <c r="AH160" s="27">
        <f t="shared" si="415"/>
        <v>0</v>
      </c>
      <c r="AI160" s="27">
        <f t="shared" si="415"/>
        <v>0</v>
      </c>
      <c r="AJ160" s="27">
        <f t="shared" si="415"/>
        <v>0</v>
      </c>
      <c r="AK160" s="27">
        <f t="shared" si="415"/>
        <v>0</v>
      </c>
      <c r="AL160" s="27">
        <f t="shared" si="415"/>
        <v>0</v>
      </c>
      <c r="AM160" s="27">
        <f t="shared" si="415"/>
        <v>2050169</v>
      </c>
      <c r="AN160" s="27">
        <f t="shared" si="415"/>
        <v>0</v>
      </c>
      <c r="AO160" s="27">
        <f t="shared" si="415"/>
        <v>0</v>
      </c>
      <c r="AP160" s="27">
        <f t="shared" si="415"/>
        <v>0</v>
      </c>
      <c r="AQ160" s="27">
        <f t="shared" si="415"/>
        <v>50804</v>
      </c>
      <c r="AR160" s="27">
        <f t="shared" si="415"/>
        <v>0</v>
      </c>
      <c r="AS160" s="27">
        <f t="shared" si="415"/>
        <v>0</v>
      </c>
      <c r="AT160" s="27">
        <f t="shared" si="415"/>
        <v>0</v>
      </c>
      <c r="AU160" s="27">
        <f t="shared" si="415"/>
        <v>0</v>
      </c>
      <c r="AV160" s="27">
        <f t="shared" si="415"/>
        <v>0</v>
      </c>
      <c r="AW160" s="27">
        <f t="shared" si="415"/>
        <v>0</v>
      </c>
      <c r="AX160" s="27">
        <f t="shared" si="415"/>
        <v>0</v>
      </c>
      <c r="AY160" s="27">
        <f t="shared" si="415"/>
        <v>5095970</v>
      </c>
      <c r="AZ160" s="27"/>
      <c r="BA160" s="27"/>
      <c r="BB160" s="27"/>
      <c r="BC160" s="27">
        <f t="shared" si="415"/>
        <v>0</v>
      </c>
      <c r="BD160" s="27">
        <f t="shared" si="415"/>
        <v>0</v>
      </c>
      <c r="BE160" s="27">
        <f t="shared" si="415"/>
        <v>0</v>
      </c>
      <c r="BF160" s="27">
        <f t="shared" si="415"/>
        <v>0</v>
      </c>
      <c r="BG160" s="27">
        <f t="shared" si="415"/>
        <v>0</v>
      </c>
      <c r="BH160" s="27">
        <f t="shared" si="415"/>
        <v>0</v>
      </c>
      <c r="BI160" s="27">
        <f t="shared" si="415"/>
        <v>0</v>
      </c>
      <c r="BJ160" s="27">
        <f t="shared" ref="BJ160" si="416">SUM(BJ161+BJ164+BJ167)</f>
        <v>0</v>
      </c>
      <c r="BK160" s="27">
        <f t="shared" si="415"/>
        <v>0</v>
      </c>
      <c r="BL160" s="27">
        <f t="shared" si="415"/>
        <v>0</v>
      </c>
      <c r="BM160" s="27">
        <f t="shared" ref="BM160" si="417">SUM(BM161+BM164+BM167)</f>
        <v>0</v>
      </c>
      <c r="BN160" s="27">
        <f t="shared" si="415"/>
        <v>0</v>
      </c>
      <c r="BO160" s="27">
        <f t="shared" si="415"/>
        <v>0</v>
      </c>
      <c r="BP160" s="27">
        <f t="shared" si="415"/>
        <v>0</v>
      </c>
      <c r="BQ160" s="27">
        <f t="shared" si="415"/>
        <v>0</v>
      </c>
      <c r="BR160" s="27">
        <f t="shared" si="415"/>
        <v>0</v>
      </c>
      <c r="BS160" s="27">
        <f t="shared" si="415"/>
        <v>0</v>
      </c>
      <c r="BT160" s="27">
        <f t="shared" si="415"/>
        <v>0</v>
      </c>
      <c r="BU160" s="27">
        <f t="shared" si="415"/>
        <v>0</v>
      </c>
      <c r="BV160" s="27">
        <f t="shared" si="415"/>
        <v>0</v>
      </c>
      <c r="BW160" s="27">
        <f t="shared" si="415"/>
        <v>0</v>
      </c>
      <c r="BX160" s="27">
        <f t="shared" ref="BX160:DC160" si="418">SUM(BX161+BX164+BX167)</f>
        <v>0</v>
      </c>
      <c r="BY160" s="27">
        <f t="shared" si="418"/>
        <v>0</v>
      </c>
      <c r="BZ160" s="27">
        <f t="shared" si="418"/>
        <v>0</v>
      </c>
      <c r="CA160" s="27">
        <f t="shared" si="418"/>
        <v>0</v>
      </c>
      <c r="CB160" s="27">
        <f t="shared" si="418"/>
        <v>0</v>
      </c>
      <c r="CC160" s="27">
        <f t="shared" si="418"/>
        <v>4668</v>
      </c>
      <c r="CD160" s="27">
        <f t="shared" si="418"/>
        <v>4668</v>
      </c>
      <c r="CE160" s="27">
        <f t="shared" si="418"/>
        <v>4668</v>
      </c>
      <c r="CF160" s="27">
        <f t="shared" si="418"/>
        <v>0</v>
      </c>
      <c r="CG160" s="27">
        <f t="shared" si="418"/>
        <v>4668</v>
      </c>
      <c r="CH160" s="27">
        <f t="shared" si="418"/>
        <v>0</v>
      </c>
      <c r="CI160" s="27">
        <f t="shared" si="418"/>
        <v>0</v>
      </c>
      <c r="CJ160" s="27">
        <f t="shared" si="418"/>
        <v>0</v>
      </c>
      <c r="CK160" s="27">
        <f t="shared" si="418"/>
        <v>0</v>
      </c>
      <c r="CL160" s="27">
        <f t="shared" si="418"/>
        <v>0</v>
      </c>
      <c r="CM160" s="27">
        <f t="shared" si="418"/>
        <v>0</v>
      </c>
      <c r="CN160" s="27">
        <f t="shared" si="418"/>
        <v>0</v>
      </c>
      <c r="CO160" s="27">
        <f t="shared" si="418"/>
        <v>0</v>
      </c>
      <c r="CP160" s="27">
        <f t="shared" si="418"/>
        <v>0</v>
      </c>
      <c r="CQ160" s="27">
        <f t="shared" si="418"/>
        <v>0</v>
      </c>
      <c r="CR160" s="27"/>
      <c r="CS160" s="27"/>
      <c r="CT160" s="27"/>
      <c r="CU160" s="27">
        <f t="shared" si="418"/>
        <v>0</v>
      </c>
      <c r="CV160" s="27">
        <f t="shared" si="418"/>
        <v>0</v>
      </c>
      <c r="CW160" s="27">
        <f t="shared" si="418"/>
        <v>0</v>
      </c>
      <c r="CX160" s="27">
        <f t="shared" si="418"/>
        <v>0</v>
      </c>
      <c r="CY160" s="27">
        <f t="shared" ref="CY160" si="419">SUM(CY161+CY164+CY167)</f>
        <v>0</v>
      </c>
      <c r="CZ160" s="27">
        <f t="shared" si="418"/>
        <v>0</v>
      </c>
      <c r="DA160" s="27">
        <f t="shared" si="418"/>
        <v>0</v>
      </c>
      <c r="DB160" s="27">
        <f t="shared" si="418"/>
        <v>0</v>
      </c>
      <c r="DC160" s="60">
        <f t="shared" si="418"/>
        <v>0</v>
      </c>
      <c r="DD160" s="57"/>
    </row>
    <row r="161" spans="1:108" ht="15.6" x14ac:dyDescent="0.3">
      <c r="A161" s="93" t="s">
        <v>222</v>
      </c>
      <c r="B161" s="16" t="s">
        <v>1</v>
      </c>
      <c r="C161" s="17" t="s">
        <v>223</v>
      </c>
      <c r="D161" s="18">
        <f t="shared" ref="D161:AR161" si="420">SUM(D162:D163)</f>
        <v>33619470</v>
      </c>
      <c r="E161" s="18">
        <f t="shared" si="420"/>
        <v>33619470</v>
      </c>
      <c r="F161" s="18">
        <f t="shared" si="420"/>
        <v>33619470</v>
      </c>
      <c r="G161" s="18">
        <f t="shared" si="420"/>
        <v>22052896</v>
      </c>
      <c r="H161" s="18">
        <f t="shared" si="420"/>
        <v>5319449</v>
      </c>
      <c r="I161" s="18">
        <f t="shared" si="420"/>
        <v>551974</v>
      </c>
      <c r="J161" s="18">
        <f t="shared" si="420"/>
        <v>0</v>
      </c>
      <c r="K161" s="18">
        <f t="shared" si="420"/>
        <v>0</v>
      </c>
      <c r="L161" s="18">
        <f t="shared" si="420"/>
        <v>0</v>
      </c>
      <c r="M161" s="18">
        <f t="shared" si="420"/>
        <v>0</v>
      </c>
      <c r="N161" s="18">
        <f t="shared" si="420"/>
        <v>551974</v>
      </c>
      <c r="O161" s="18">
        <f t="shared" si="420"/>
        <v>0</v>
      </c>
      <c r="P161" s="18">
        <f t="shared" si="420"/>
        <v>0</v>
      </c>
      <c r="Q161" s="18">
        <f t="shared" si="420"/>
        <v>0</v>
      </c>
      <c r="R161" s="18">
        <f t="shared" si="420"/>
        <v>0</v>
      </c>
      <c r="S161" s="18">
        <f t="shared" si="420"/>
        <v>0</v>
      </c>
      <c r="T161" s="18">
        <f t="shared" si="420"/>
        <v>122463</v>
      </c>
      <c r="U161" s="18">
        <f t="shared" si="420"/>
        <v>425914</v>
      </c>
      <c r="V161" s="18">
        <f t="shared" si="420"/>
        <v>0</v>
      </c>
      <c r="W161" s="18">
        <f t="shared" si="420"/>
        <v>0</v>
      </c>
      <c r="X161" s="18">
        <f t="shared" si="420"/>
        <v>349246</v>
      </c>
      <c r="Y161" s="18">
        <f t="shared" si="420"/>
        <v>0</v>
      </c>
      <c r="Z161" s="18">
        <f t="shared" si="420"/>
        <v>0</v>
      </c>
      <c r="AA161" s="18">
        <f t="shared" si="420"/>
        <v>76668</v>
      </c>
      <c r="AB161" s="18">
        <f t="shared" si="420"/>
        <v>0</v>
      </c>
      <c r="AC161" s="18">
        <f t="shared" si="420"/>
        <v>0</v>
      </c>
      <c r="AD161" s="18">
        <f t="shared" si="420"/>
        <v>5146774</v>
      </c>
      <c r="AE161" s="18">
        <f t="shared" si="420"/>
        <v>0</v>
      </c>
      <c r="AF161" s="18">
        <f t="shared" si="420"/>
        <v>0</v>
      </c>
      <c r="AG161" s="18">
        <f t="shared" si="420"/>
        <v>0</v>
      </c>
      <c r="AH161" s="18">
        <f t="shared" si="420"/>
        <v>0</v>
      </c>
      <c r="AI161" s="18">
        <f t="shared" si="420"/>
        <v>0</v>
      </c>
      <c r="AJ161" s="18">
        <f t="shared" si="420"/>
        <v>0</v>
      </c>
      <c r="AK161" s="18">
        <f t="shared" si="420"/>
        <v>0</v>
      </c>
      <c r="AL161" s="18">
        <f t="shared" si="420"/>
        <v>0</v>
      </c>
      <c r="AM161" s="18">
        <f t="shared" si="420"/>
        <v>0</v>
      </c>
      <c r="AN161" s="18">
        <f t="shared" si="420"/>
        <v>0</v>
      </c>
      <c r="AO161" s="18">
        <f t="shared" si="420"/>
        <v>0</v>
      </c>
      <c r="AP161" s="18">
        <f t="shared" si="420"/>
        <v>0</v>
      </c>
      <c r="AQ161" s="18">
        <f t="shared" si="420"/>
        <v>50804</v>
      </c>
      <c r="AR161" s="18">
        <f t="shared" si="420"/>
        <v>0</v>
      </c>
      <c r="AS161" s="18"/>
      <c r="AT161" s="18"/>
      <c r="AU161" s="18">
        <f>SUM(AU162:AU163)</f>
        <v>0</v>
      </c>
      <c r="AV161" s="18">
        <f>SUM(AV162:AV163)</f>
        <v>0</v>
      </c>
      <c r="AW161" s="18">
        <f>SUM(AW162:AW163)</f>
        <v>0</v>
      </c>
      <c r="AX161" s="18"/>
      <c r="AY161" s="18">
        <f t="shared" ref="AY161:CP161" si="421">SUM(AY162:AY163)</f>
        <v>5095970</v>
      </c>
      <c r="AZ161" s="18">
        <f t="shared" si="421"/>
        <v>0</v>
      </c>
      <c r="BA161" s="18">
        <f t="shared" si="421"/>
        <v>0</v>
      </c>
      <c r="BB161" s="18">
        <f t="shared" si="421"/>
        <v>0</v>
      </c>
      <c r="BC161" s="18">
        <f t="shared" si="421"/>
        <v>0</v>
      </c>
      <c r="BD161" s="18">
        <f t="shared" si="421"/>
        <v>0</v>
      </c>
      <c r="BE161" s="18">
        <f t="shared" si="421"/>
        <v>0</v>
      </c>
      <c r="BF161" s="18">
        <f t="shared" si="421"/>
        <v>0</v>
      </c>
      <c r="BG161" s="18">
        <f t="shared" si="421"/>
        <v>0</v>
      </c>
      <c r="BH161" s="18">
        <f t="shared" si="421"/>
        <v>0</v>
      </c>
      <c r="BI161" s="18">
        <f t="shared" si="421"/>
        <v>0</v>
      </c>
      <c r="BJ161" s="18">
        <f t="shared" ref="BJ161" si="422">SUM(BJ162:BJ163)</f>
        <v>0</v>
      </c>
      <c r="BK161" s="18">
        <f t="shared" si="421"/>
        <v>0</v>
      </c>
      <c r="BL161" s="18">
        <f t="shared" si="421"/>
        <v>0</v>
      </c>
      <c r="BM161" s="18">
        <f t="shared" ref="BM161" si="423">SUM(BM162:BM163)</f>
        <v>0</v>
      </c>
      <c r="BN161" s="18">
        <f t="shared" si="421"/>
        <v>0</v>
      </c>
      <c r="BO161" s="18">
        <f t="shared" si="421"/>
        <v>0</v>
      </c>
      <c r="BP161" s="18">
        <f t="shared" si="421"/>
        <v>0</v>
      </c>
      <c r="BQ161" s="18">
        <f t="shared" si="421"/>
        <v>0</v>
      </c>
      <c r="BR161" s="18">
        <f t="shared" si="421"/>
        <v>0</v>
      </c>
      <c r="BS161" s="18">
        <f t="shared" si="421"/>
        <v>0</v>
      </c>
      <c r="BT161" s="18">
        <f t="shared" si="421"/>
        <v>0</v>
      </c>
      <c r="BU161" s="18">
        <f t="shared" si="421"/>
        <v>0</v>
      </c>
      <c r="BV161" s="18">
        <f t="shared" si="421"/>
        <v>0</v>
      </c>
      <c r="BW161" s="18">
        <f t="shared" si="421"/>
        <v>0</v>
      </c>
      <c r="BX161" s="18">
        <f t="shared" si="421"/>
        <v>0</v>
      </c>
      <c r="BY161" s="18">
        <f t="shared" si="421"/>
        <v>0</v>
      </c>
      <c r="BZ161" s="18">
        <f t="shared" si="421"/>
        <v>0</v>
      </c>
      <c r="CA161" s="18">
        <f t="shared" si="421"/>
        <v>0</v>
      </c>
      <c r="CB161" s="18">
        <f t="shared" si="421"/>
        <v>0</v>
      </c>
      <c r="CC161" s="18">
        <f t="shared" si="421"/>
        <v>0</v>
      </c>
      <c r="CD161" s="18">
        <f t="shared" si="421"/>
        <v>0</v>
      </c>
      <c r="CE161" s="18">
        <f t="shared" si="421"/>
        <v>0</v>
      </c>
      <c r="CF161" s="18">
        <f t="shared" si="421"/>
        <v>0</v>
      </c>
      <c r="CG161" s="18">
        <f t="shared" si="421"/>
        <v>0</v>
      </c>
      <c r="CH161" s="18">
        <f t="shared" si="421"/>
        <v>0</v>
      </c>
      <c r="CI161" s="18">
        <f t="shared" si="421"/>
        <v>0</v>
      </c>
      <c r="CJ161" s="18">
        <f t="shared" si="421"/>
        <v>0</v>
      </c>
      <c r="CK161" s="18">
        <f t="shared" si="421"/>
        <v>0</v>
      </c>
      <c r="CL161" s="18">
        <f t="shared" si="421"/>
        <v>0</v>
      </c>
      <c r="CM161" s="18">
        <f t="shared" ref="CM161" si="424">SUM(CM162:CM163)</f>
        <v>0</v>
      </c>
      <c r="CN161" s="18">
        <f t="shared" si="421"/>
        <v>0</v>
      </c>
      <c r="CO161" s="18">
        <f t="shared" si="421"/>
        <v>0</v>
      </c>
      <c r="CP161" s="18">
        <f t="shared" si="421"/>
        <v>0</v>
      </c>
      <c r="CQ161" s="18"/>
      <c r="CR161" s="18"/>
      <c r="CS161" s="18"/>
      <c r="CT161" s="18"/>
      <c r="CU161" s="18">
        <f t="shared" ref="CU161:DC161" si="425">SUM(CU162:CU163)</f>
        <v>0</v>
      </c>
      <c r="CV161" s="73"/>
      <c r="CW161" s="73"/>
      <c r="CX161" s="73"/>
      <c r="CY161" s="73"/>
      <c r="CZ161" s="18">
        <f t="shared" si="425"/>
        <v>0</v>
      </c>
      <c r="DA161" s="18">
        <f t="shared" si="425"/>
        <v>0</v>
      </c>
      <c r="DB161" s="18">
        <f t="shared" si="425"/>
        <v>0</v>
      </c>
      <c r="DC161" s="46">
        <f t="shared" si="425"/>
        <v>0</v>
      </c>
      <c r="DD161" s="57"/>
    </row>
    <row r="162" spans="1:108" s="88" customFormat="1" ht="31.2" x14ac:dyDescent="0.3">
      <c r="A162" s="96"/>
      <c r="B162" s="89" t="s">
        <v>76</v>
      </c>
      <c r="C162" s="90" t="s">
        <v>224</v>
      </c>
      <c r="D162" s="74">
        <f>SUM(E162+CC162+CZ162)</f>
        <v>28523500</v>
      </c>
      <c r="E162" s="74">
        <f>SUM(F162+BC162)</f>
        <v>28523500</v>
      </c>
      <c r="F162" s="74">
        <f t="shared" ref="F162:F163" si="426">SUM(G162+H162+I162+P162+S162+T162+U162+AD162)</f>
        <v>28523500</v>
      </c>
      <c r="G162" s="74">
        <v>22052896</v>
      </c>
      <c r="H162" s="74">
        <v>5319449</v>
      </c>
      <c r="I162" s="74">
        <f t="shared" ref="I162" si="427">SUM(J162:O162)</f>
        <v>551974</v>
      </c>
      <c r="J162" s="75">
        <v>0</v>
      </c>
      <c r="K162" s="75">
        <v>0</v>
      </c>
      <c r="L162" s="75">
        <v>0</v>
      </c>
      <c r="M162" s="75">
        <v>0</v>
      </c>
      <c r="N162" s="75">
        <f>557595-5621</f>
        <v>551974</v>
      </c>
      <c r="O162" s="75"/>
      <c r="P162" s="74">
        <f t="shared" ref="P162" si="428">SUM(Q162:R162)</f>
        <v>0</v>
      </c>
      <c r="Q162" s="74">
        <v>0</v>
      </c>
      <c r="R162" s="75">
        <f>28347-28347</f>
        <v>0</v>
      </c>
      <c r="S162" s="75">
        <v>0</v>
      </c>
      <c r="T162" s="75">
        <v>122463</v>
      </c>
      <c r="U162" s="74">
        <f t="shared" ref="U162" si="429">SUM(V162:AC162)</f>
        <v>425914</v>
      </c>
      <c r="V162" s="75">
        <v>0</v>
      </c>
      <c r="W162" s="75">
        <v>0</v>
      </c>
      <c r="X162" s="75">
        <f>211856+137390</f>
        <v>349246</v>
      </c>
      <c r="Y162" s="75">
        <v>0</v>
      </c>
      <c r="Z162" s="75">
        <v>0</v>
      </c>
      <c r="AA162" s="75">
        <v>76668</v>
      </c>
      <c r="AB162" s="75">
        <v>0</v>
      </c>
      <c r="AC162" s="75">
        <v>0</v>
      </c>
      <c r="AD162" s="74">
        <f>SUM(AE162:AY162)</f>
        <v>50804</v>
      </c>
      <c r="AE162" s="74">
        <v>0</v>
      </c>
      <c r="AF162" s="74">
        <v>0</v>
      </c>
      <c r="AG162" s="75">
        <v>0</v>
      </c>
      <c r="AH162" s="75">
        <v>0</v>
      </c>
      <c r="AI162" s="75">
        <v>0</v>
      </c>
      <c r="AJ162" s="75">
        <v>0</v>
      </c>
      <c r="AK162" s="75">
        <v>0</v>
      </c>
      <c r="AL162" s="75">
        <v>0</v>
      </c>
      <c r="AM162" s="75">
        <v>0</v>
      </c>
      <c r="AN162" s="75">
        <v>0</v>
      </c>
      <c r="AO162" s="75">
        <v>0</v>
      </c>
      <c r="AP162" s="75">
        <v>0</v>
      </c>
      <c r="AQ162" s="75">
        <f>45183+5621</f>
        <v>50804</v>
      </c>
      <c r="AR162" s="75">
        <v>0</v>
      </c>
      <c r="AS162" s="75">
        <v>0</v>
      </c>
      <c r="AT162" s="75">
        <v>0</v>
      </c>
      <c r="AU162" s="75">
        <v>0</v>
      </c>
      <c r="AV162" s="75">
        <v>0</v>
      </c>
      <c r="AW162" s="75">
        <v>0</v>
      </c>
      <c r="AX162" s="75">
        <v>0</v>
      </c>
      <c r="AY162" s="75">
        <v>0</v>
      </c>
      <c r="AZ162" s="75"/>
      <c r="BA162" s="75"/>
      <c r="BB162" s="75"/>
      <c r="BC162" s="74">
        <f>SUM(BD162+BH162+BL162+BN162+BQ162)</f>
        <v>0</v>
      </c>
      <c r="BD162" s="74">
        <f>SUM(BE162:BG162)</f>
        <v>0</v>
      </c>
      <c r="BE162" s="74">
        <v>0</v>
      </c>
      <c r="BF162" s="74">
        <v>0</v>
      </c>
      <c r="BG162" s="74">
        <v>0</v>
      </c>
      <c r="BH162" s="74">
        <f t="shared" ref="BH162:BH163" si="430">SUM(BI162:BK162)</f>
        <v>0</v>
      </c>
      <c r="BI162" s="74">
        <v>0</v>
      </c>
      <c r="BJ162" s="74">
        <v>0</v>
      </c>
      <c r="BK162" s="74">
        <v>0</v>
      </c>
      <c r="BL162" s="74">
        <v>0</v>
      </c>
      <c r="BM162" s="74">
        <v>0</v>
      </c>
      <c r="BN162" s="74">
        <f t="shared" ref="BN162" si="431">SUM(BO162)</f>
        <v>0</v>
      </c>
      <c r="BO162" s="74">
        <v>0</v>
      </c>
      <c r="BP162" s="74">
        <v>0</v>
      </c>
      <c r="BQ162" s="74">
        <f>SUM(BR162:CB162)</f>
        <v>0</v>
      </c>
      <c r="BR162" s="74">
        <v>0</v>
      </c>
      <c r="BS162" s="74">
        <v>0</v>
      </c>
      <c r="BT162" s="74">
        <v>0</v>
      </c>
      <c r="BU162" s="74">
        <v>0</v>
      </c>
      <c r="BV162" s="74">
        <v>0</v>
      </c>
      <c r="BW162" s="74">
        <v>0</v>
      </c>
      <c r="BX162" s="74">
        <v>0</v>
      </c>
      <c r="BY162" s="74">
        <v>0</v>
      </c>
      <c r="BZ162" s="74">
        <v>0</v>
      </c>
      <c r="CA162" s="74">
        <v>0</v>
      </c>
      <c r="CB162" s="74">
        <v>0</v>
      </c>
      <c r="CC162" s="74">
        <f>SUM(CD162+CU162)</f>
        <v>0</v>
      </c>
      <c r="CD162" s="74">
        <f>SUM(CE162+CH162+CN162)</f>
        <v>0</v>
      </c>
      <c r="CE162" s="74">
        <f t="shared" ref="CE162" si="432">SUM(CF162:CG162)</f>
        <v>0</v>
      </c>
      <c r="CF162" s="74">
        <v>0</v>
      </c>
      <c r="CG162" s="75"/>
      <c r="CH162" s="74">
        <f>SUM(CI162:CM162)</f>
        <v>0</v>
      </c>
      <c r="CI162" s="74">
        <v>0</v>
      </c>
      <c r="CJ162" s="74">
        <v>0</v>
      </c>
      <c r="CK162" s="74">
        <v>0</v>
      </c>
      <c r="CL162" s="74">
        <v>0</v>
      </c>
      <c r="CM162" s="74">
        <v>0</v>
      </c>
      <c r="CN162" s="74">
        <f>SUM(CO162:CQ162)</f>
        <v>0</v>
      </c>
      <c r="CO162" s="74">
        <v>0</v>
      </c>
      <c r="CP162" s="74">
        <v>0</v>
      </c>
      <c r="CQ162" s="74"/>
      <c r="CR162" s="74"/>
      <c r="CS162" s="74"/>
      <c r="CT162" s="74"/>
      <c r="CU162" s="74">
        <v>0</v>
      </c>
      <c r="CV162" s="74"/>
      <c r="CW162" s="74"/>
      <c r="CX162" s="74"/>
      <c r="CY162" s="74"/>
      <c r="CZ162" s="74">
        <f t="shared" ref="CZ162" si="433">SUM(DA162)</f>
        <v>0</v>
      </c>
      <c r="DA162" s="74">
        <f t="shared" ref="DA162" si="434">SUM(DB162:DC162)</f>
        <v>0</v>
      </c>
      <c r="DB162" s="74">
        <v>0</v>
      </c>
      <c r="DC162" s="77">
        <v>0</v>
      </c>
      <c r="DD162" s="78"/>
    </row>
    <row r="163" spans="1:108" ht="31.2" x14ac:dyDescent="0.3">
      <c r="A163" s="94" t="s">
        <v>1</v>
      </c>
      <c r="B163" s="33" t="s">
        <v>76</v>
      </c>
      <c r="C163" s="32" t="s">
        <v>225</v>
      </c>
      <c r="D163" s="19">
        <f>SUM(E163+CC163+CZ163)</f>
        <v>5095970</v>
      </c>
      <c r="E163" s="19">
        <f>SUM(F163+BC163)</f>
        <v>5095970</v>
      </c>
      <c r="F163" s="19">
        <f t="shared" si="426"/>
        <v>5095970</v>
      </c>
      <c r="G163" s="19"/>
      <c r="H163" s="19"/>
      <c r="I163" s="19">
        <f t="shared" si="389"/>
        <v>0</v>
      </c>
      <c r="J163" s="23">
        <v>0</v>
      </c>
      <c r="K163" s="23">
        <v>0</v>
      </c>
      <c r="L163" s="23">
        <v>0</v>
      </c>
      <c r="M163" s="23">
        <v>0</v>
      </c>
      <c r="N163" s="23"/>
      <c r="O163" s="23"/>
      <c r="P163" s="19">
        <f t="shared" si="390"/>
        <v>0</v>
      </c>
      <c r="Q163" s="19">
        <v>0</v>
      </c>
      <c r="R163" s="23">
        <v>0</v>
      </c>
      <c r="S163" s="23">
        <v>0</v>
      </c>
      <c r="T163" s="23">
        <v>0</v>
      </c>
      <c r="U163" s="19">
        <f t="shared" ref="U163" si="435">SUM(V163:AC163)</f>
        <v>0</v>
      </c>
      <c r="V163" s="23">
        <v>0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3">
        <v>0</v>
      </c>
      <c r="AC163" s="23">
        <v>0</v>
      </c>
      <c r="AD163" s="19">
        <f>SUM(AE163:AY163)</f>
        <v>5095970</v>
      </c>
      <c r="AE163" s="19">
        <v>0</v>
      </c>
      <c r="AF163" s="19">
        <v>0</v>
      </c>
      <c r="AG163" s="23">
        <v>0</v>
      </c>
      <c r="AH163" s="23">
        <v>0</v>
      </c>
      <c r="AI163" s="23">
        <v>0</v>
      </c>
      <c r="AJ163" s="23">
        <v>0</v>
      </c>
      <c r="AK163" s="23">
        <v>0</v>
      </c>
      <c r="AL163" s="23">
        <v>0</v>
      </c>
      <c r="AM163" s="23">
        <v>0</v>
      </c>
      <c r="AN163" s="23">
        <v>0</v>
      </c>
      <c r="AO163" s="23">
        <v>0</v>
      </c>
      <c r="AP163" s="23">
        <v>0</v>
      </c>
      <c r="AQ163" s="23">
        <v>0</v>
      </c>
      <c r="AR163" s="23">
        <v>0</v>
      </c>
      <c r="AS163" s="23">
        <v>0</v>
      </c>
      <c r="AT163" s="23">
        <v>0</v>
      </c>
      <c r="AU163" s="23">
        <v>0</v>
      </c>
      <c r="AV163" s="23">
        <v>0</v>
      </c>
      <c r="AW163" s="23">
        <v>0</v>
      </c>
      <c r="AX163" s="23">
        <v>0</v>
      </c>
      <c r="AY163" s="23">
        <v>5095970</v>
      </c>
      <c r="AZ163" s="23"/>
      <c r="BA163" s="23"/>
      <c r="BB163" s="23"/>
      <c r="BC163" s="19">
        <f>SUM(BD163+BH163+BL163+BN163+BQ163)</f>
        <v>0</v>
      </c>
      <c r="BD163" s="19">
        <f>SUM(BE163:BG163)</f>
        <v>0</v>
      </c>
      <c r="BE163" s="19">
        <v>0</v>
      </c>
      <c r="BF163" s="19">
        <v>0</v>
      </c>
      <c r="BG163" s="19">
        <v>0</v>
      </c>
      <c r="BH163" s="19">
        <f t="shared" si="430"/>
        <v>0</v>
      </c>
      <c r="BI163" s="19">
        <v>0</v>
      </c>
      <c r="BJ163" s="19">
        <v>0</v>
      </c>
      <c r="BK163" s="19">
        <v>0</v>
      </c>
      <c r="BL163" s="19">
        <v>0</v>
      </c>
      <c r="BM163" s="19">
        <v>0</v>
      </c>
      <c r="BN163" s="19">
        <f t="shared" si="393"/>
        <v>0</v>
      </c>
      <c r="BO163" s="19">
        <v>0</v>
      </c>
      <c r="BP163" s="19">
        <v>0</v>
      </c>
      <c r="BQ163" s="19">
        <f>SUM(BR163:CB163)</f>
        <v>0</v>
      </c>
      <c r="BR163" s="19">
        <v>0</v>
      </c>
      <c r="BS163" s="19">
        <v>0</v>
      </c>
      <c r="BT163" s="19">
        <v>0</v>
      </c>
      <c r="BU163" s="19">
        <v>0</v>
      </c>
      <c r="BV163" s="19">
        <v>0</v>
      </c>
      <c r="BW163" s="19">
        <v>0</v>
      </c>
      <c r="BX163" s="19">
        <v>0</v>
      </c>
      <c r="BY163" s="19">
        <v>0</v>
      </c>
      <c r="BZ163" s="19">
        <v>0</v>
      </c>
      <c r="CA163" s="19">
        <v>0</v>
      </c>
      <c r="CB163" s="19">
        <v>0</v>
      </c>
      <c r="CC163" s="19">
        <f>SUM(CD163+CU163)</f>
        <v>0</v>
      </c>
      <c r="CD163" s="19">
        <f>SUM(CE163+CH163+CN163)</f>
        <v>0</v>
      </c>
      <c r="CE163" s="19">
        <f t="shared" si="394"/>
        <v>0</v>
      </c>
      <c r="CF163" s="19">
        <v>0</v>
      </c>
      <c r="CG163" s="19"/>
      <c r="CH163" s="19">
        <f>SUM(CI163:CM163)</f>
        <v>0</v>
      </c>
      <c r="CI163" s="19">
        <v>0</v>
      </c>
      <c r="CJ163" s="19">
        <v>0</v>
      </c>
      <c r="CK163" s="19">
        <v>0</v>
      </c>
      <c r="CL163" s="19">
        <v>0</v>
      </c>
      <c r="CM163" s="19">
        <v>0</v>
      </c>
      <c r="CN163" s="19">
        <f>SUM(CO163:CQ163)</f>
        <v>0</v>
      </c>
      <c r="CO163" s="19">
        <v>0</v>
      </c>
      <c r="CP163" s="19">
        <v>0</v>
      </c>
      <c r="CQ163" s="19"/>
      <c r="CR163" s="19"/>
      <c r="CS163" s="19"/>
      <c r="CT163" s="19"/>
      <c r="CU163" s="19">
        <v>0</v>
      </c>
      <c r="CV163" s="74"/>
      <c r="CW163" s="74"/>
      <c r="CX163" s="74"/>
      <c r="CY163" s="74"/>
      <c r="CZ163" s="19">
        <f t="shared" si="396"/>
        <v>0</v>
      </c>
      <c r="DA163" s="19">
        <f t="shared" si="397"/>
        <v>0</v>
      </c>
      <c r="DB163" s="19">
        <v>0</v>
      </c>
      <c r="DC163" s="20">
        <v>0</v>
      </c>
      <c r="DD163" s="52"/>
    </row>
    <row r="164" spans="1:108" ht="15.6" x14ac:dyDescent="0.3">
      <c r="A164" s="93" t="s">
        <v>226</v>
      </c>
      <c r="B164" s="16" t="s">
        <v>1</v>
      </c>
      <c r="C164" s="17" t="s">
        <v>227</v>
      </c>
      <c r="D164" s="18">
        <f t="shared" ref="D164:AR164" si="436">SUM(D165:D166)</f>
        <v>9244456</v>
      </c>
      <c r="E164" s="18">
        <f t="shared" si="436"/>
        <v>9244456</v>
      </c>
      <c r="F164" s="18">
        <f t="shared" si="436"/>
        <v>9244456</v>
      </c>
      <c r="G164" s="18">
        <f t="shared" si="436"/>
        <v>5774770</v>
      </c>
      <c r="H164" s="18">
        <f t="shared" si="436"/>
        <v>1372508</v>
      </c>
      <c r="I164" s="18">
        <f t="shared" si="436"/>
        <v>31492</v>
      </c>
      <c r="J164" s="18">
        <f t="shared" si="436"/>
        <v>0</v>
      </c>
      <c r="K164" s="18">
        <f t="shared" si="436"/>
        <v>0</v>
      </c>
      <c r="L164" s="18">
        <f t="shared" si="436"/>
        <v>0</v>
      </c>
      <c r="M164" s="18">
        <f t="shared" si="436"/>
        <v>0</v>
      </c>
      <c r="N164" s="18">
        <f>N165+N166</f>
        <v>31492</v>
      </c>
      <c r="O164" s="18">
        <f>O165+O166</f>
        <v>0</v>
      </c>
      <c r="P164" s="18">
        <f t="shared" si="436"/>
        <v>0</v>
      </c>
      <c r="Q164" s="18">
        <f t="shared" si="436"/>
        <v>0</v>
      </c>
      <c r="R164" s="18">
        <f t="shared" si="436"/>
        <v>0</v>
      </c>
      <c r="S164" s="18">
        <f t="shared" si="436"/>
        <v>0</v>
      </c>
      <c r="T164" s="18">
        <f>T165+T166</f>
        <v>15517</v>
      </c>
      <c r="U164" s="18">
        <f t="shared" si="436"/>
        <v>0</v>
      </c>
      <c r="V164" s="18">
        <f t="shared" si="436"/>
        <v>0</v>
      </c>
      <c r="W164" s="18">
        <f t="shared" si="436"/>
        <v>0</v>
      </c>
      <c r="X164" s="18">
        <f t="shared" si="436"/>
        <v>0</v>
      </c>
      <c r="Y164" s="18">
        <f t="shared" si="436"/>
        <v>0</v>
      </c>
      <c r="Z164" s="18">
        <f t="shared" si="436"/>
        <v>0</v>
      </c>
      <c r="AA164" s="18">
        <f t="shared" si="436"/>
        <v>0</v>
      </c>
      <c r="AB164" s="18">
        <f t="shared" si="436"/>
        <v>0</v>
      </c>
      <c r="AC164" s="18">
        <f t="shared" si="436"/>
        <v>0</v>
      </c>
      <c r="AD164" s="18">
        <f t="shared" si="436"/>
        <v>2050169</v>
      </c>
      <c r="AE164" s="18">
        <f t="shared" si="436"/>
        <v>0</v>
      </c>
      <c r="AF164" s="18">
        <f t="shared" si="436"/>
        <v>0</v>
      </c>
      <c r="AG164" s="18">
        <f t="shared" si="436"/>
        <v>0</v>
      </c>
      <c r="AH164" s="18">
        <f t="shared" si="436"/>
        <v>0</v>
      </c>
      <c r="AI164" s="18">
        <f t="shared" si="436"/>
        <v>0</v>
      </c>
      <c r="AJ164" s="18">
        <f t="shared" si="436"/>
        <v>0</v>
      </c>
      <c r="AK164" s="18">
        <f t="shared" si="436"/>
        <v>0</v>
      </c>
      <c r="AL164" s="18">
        <f t="shared" si="436"/>
        <v>0</v>
      </c>
      <c r="AM164" s="18">
        <f t="shared" si="436"/>
        <v>2050169</v>
      </c>
      <c r="AN164" s="18">
        <f t="shared" si="436"/>
        <v>0</v>
      </c>
      <c r="AO164" s="18">
        <f t="shared" si="436"/>
        <v>0</v>
      </c>
      <c r="AP164" s="18">
        <f t="shared" si="436"/>
        <v>0</v>
      </c>
      <c r="AQ164" s="18">
        <f t="shared" si="436"/>
        <v>0</v>
      </c>
      <c r="AR164" s="18">
        <f t="shared" si="436"/>
        <v>0</v>
      </c>
      <c r="AS164" s="18"/>
      <c r="AT164" s="18"/>
      <c r="AU164" s="18">
        <f>SUM(AU165:AU166)</f>
        <v>0</v>
      </c>
      <c r="AV164" s="18">
        <f>SUM(AV165:AV166)</f>
        <v>0</v>
      </c>
      <c r="AW164" s="18">
        <f>SUM(AW165:AW166)</f>
        <v>0</v>
      </c>
      <c r="AX164" s="18"/>
      <c r="AY164" s="18">
        <f t="shared" ref="AY164:CP164" si="437">SUM(AY165:AY166)</f>
        <v>0</v>
      </c>
      <c r="AZ164" s="18"/>
      <c r="BA164" s="18"/>
      <c r="BB164" s="18"/>
      <c r="BC164" s="18">
        <f t="shared" si="437"/>
        <v>0</v>
      </c>
      <c r="BD164" s="18">
        <f t="shared" si="437"/>
        <v>0</v>
      </c>
      <c r="BE164" s="18">
        <f t="shared" si="437"/>
        <v>0</v>
      </c>
      <c r="BF164" s="18">
        <f t="shared" si="437"/>
        <v>0</v>
      </c>
      <c r="BG164" s="18">
        <f t="shared" si="437"/>
        <v>0</v>
      </c>
      <c r="BH164" s="18">
        <f t="shared" si="437"/>
        <v>0</v>
      </c>
      <c r="BI164" s="18">
        <f t="shared" si="437"/>
        <v>0</v>
      </c>
      <c r="BJ164" s="18">
        <f t="shared" ref="BJ164" si="438">SUM(BJ165:BJ166)</f>
        <v>0</v>
      </c>
      <c r="BK164" s="18">
        <f t="shared" si="437"/>
        <v>0</v>
      </c>
      <c r="BL164" s="18">
        <f t="shared" si="437"/>
        <v>0</v>
      </c>
      <c r="BM164" s="18">
        <f t="shared" ref="BM164" si="439">SUM(BM165:BM166)</f>
        <v>0</v>
      </c>
      <c r="BN164" s="18">
        <f t="shared" si="437"/>
        <v>0</v>
      </c>
      <c r="BO164" s="18">
        <f t="shared" si="437"/>
        <v>0</v>
      </c>
      <c r="BP164" s="18">
        <f t="shared" si="437"/>
        <v>0</v>
      </c>
      <c r="BQ164" s="18">
        <f t="shared" si="437"/>
        <v>0</v>
      </c>
      <c r="BR164" s="18">
        <f t="shared" si="437"/>
        <v>0</v>
      </c>
      <c r="BS164" s="18">
        <f t="shared" si="437"/>
        <v>0</v>
      </c>
      <c r="BT164" s="18">
        <f t="shared" si="437"/>
        <v>0</v>
      </c>
      <c r="BU164" s="18">
        <f t="shared" si="437"/>
        <v>0</v>
      </c>
      <c r="BV164" s="18">
        <f t="shared" si="437"/>
        <v>0</v>
      </c>
      <c r="BW164" s="18">
        <f t="shared" si="437"/>
        <v>0</v>
      </c>
      <c r="BX164" s="18">
        <f t="shared" si="437"/>
        <v>0</v>
      </c>
      <c r="BY164" s="18">
        <f t="shared" si="437"/>
        <v>0</v>
      </c>
      <c r="BZ164" s="18">
        <f t="shared" si="437"/>
        <v>0</v>
      </c>
      <c r="CA164" s="18">
        <f t="shared" si="437"/>
        <v>0</v>
      </c>
      <c r="CB164" s="18">
        <f t="shared" si="437"/>
        <v>0</v>
      </c>
      <c r="CC164" s="18">
        <f t="shared" si="437"/>
        <v>0</v>
      </c>
      <c r="CD164" s="18">
        <f t="shared" si="437"/>
        <v>0</v>
      </c>
      <c r="CE164" s="18">
        <f t="shared" si="437"/>
        <v>0</v>
      </c>
      <c r="CF164" s="18">
        <f t="shared" si="437"/>
        <v>0</v>
      </c>
      <c r="CG164" s="18"/>
      <c r="CH164" s="18">
        <f t="shared" si="437"/>
        <v>0</v>
      </c>
      <c r="CI164" s="18">
        <f t="shared" si="437"/>
        <v>0</v>
      </c>
      <c r="CJ164" s="18">
        <f t="shared" si="437"/>
        <v>0</v>
      </c>
      <c r="CK164" s="18">
        <f t="shared" si="437"/>
        <v>0</v>
      </c>
      <c r="CL164" s="18">
        <f t="shared" si="437"/>
        <v>0</v>
      </c>
      <c r="CM164" s="18">
        <f t="shared" ref="CM164" si="440">SUM(CM165:CM166)</f>
        <v>0</v>
      </c>
      <c r="CN164" s="18">
        <f t="shared" si="437"/>
        <v>0</v>
      </c>
      <c r="CO164" s="18">
        <f t="shared" si="437"/>
        <v>0</v>
      </c>
      <c r="CP164" s="18">
        <f t="shared" si="437"/>
        <v>0</v>
      </c>
      <c r="CQ164" s="18"/>
      <c r="CR164" s="18"/>
      <c r="CS164" s="18"/>
      <c r="CT164" s="18"/>
      <c r="CU164" s="18">
        <f t="shared" ref="CU164:DC164" si="441">SUM(CU165:CU166)</f>
        <v>0</v>
      </c>
      <c r="CV164" s="73"/>
      <c r="CW164" s="73"/>
      <c r="CX164" s="73"/>
      <c r="CY164" s="73"/>
      <c r="CZ164" s="18">
        <f t="shared" si="441"/>
        <v>0</v>
      </c>
      <c r="DA164" s="18">
        <f t="shared" si="441"/>
        <v>0</v>
      </c>
      <c r="DB164" s="18">
        <f t="shared" si="441"/>
        <v>0</v>
      </c>
      <c r="DC164" s="46">
        <f t="shared" si="441"/>
        <v>0</v>
      </c>
      <c r="DD164" s="57"/>
    </row>
    <row r="165" spans="1:108" s="58" customFormat="1" ht="15.6" x14ac:dyDescent="0.3">
      <c r="A165" s="94" t="s">
        <v>1</v>
      </c>
      <c r="B165" s="21" t="s">
        <v>52</v>
      </c>
      <c r="C165" s="22" t="s">
        <v>228</v>
      </c>
      <c r="D165" s="19">
        <f>SUM(E165+CC165+CZ165)</f>
        <v>253462</v>
      </c>
      <c r="E165" s="19">
        <f>SUM(F165+BC165)</f>
        <v>253462</v>
      </c>
      <c r="F165" s="19">
        <f>SUM(G165+H165+I165+P165+S165+T165+U165+AD165)</f>
        <v>253462</v>
      </c>
      <c r="G165" s="19">
        <v>204768</v>
      </c>
      <c r="H165" s="19">
        <v>48694</v>
      </c>
      <c r="I165" s="19">
        <f t="shared" si="389"/>
        <v>0</v>
      </c>
      <c r="J165" s="23">
        <v>0</v>
      </c>
      <c r="K165" s="23">
        <v>0</v>
      </c>
      <c r="L165" s="23">
        <v>0</v>
      </c>
      <c r="M165" s="23">
        <v>0</v>
      </c>
      <c r="N165" s="23"/>
      <c r="O165" s="23"/>
      <c r="P165" s="19">
        <f t="shared" si="390"/>
        <v>0</v>
      </c>
      <c r="Q165" s="19">
        <v>0</v>
      </c>
      <c r="R165" s="23">
        <v>0</v>
      </c>
      <c r="S165" s="23">
        <v>0</v>
      </c>
      <c r="T165" s="23">
        <v>0</v>
      </c>
      <c r="U165" s="19">
        <f t="shared" ref="U165:U166" si="442">SUM(V165:AC165)</f>
        <v>0</v>
      </c>
      <c r="V165" s="23"/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3">
        <v>0</v>
      </c>
      <c r="AC165" s="23">
        <v>0</v>
      </c>
      <c r="AD165" s="19">
        <f>SUM(AE165:AY165)</f>
        <v>0</v>
      </c>
      <c r="AE165" s="19">
        <v>0</v>
      </c>
      <c r="AF165" s="19">
        <v>0</v>
      </c>
      <c r="AG165" s="23">
        <v>0</v>
      </c>
      <c r="AH165" s="23">
        <v>0</v>
      </c>
      <c r="AI165" s="23">
        <v>0</v>
      </c>
      <c r="AJ165" s="23">
        <v>0</v>
      </c>
      <c r="AK165" s="23">
        <v>0</v>
      </c>
      <c r="AL165" s="23">
        <v>0</v>
      </c>
      <c r="AM165" s="23">
        <v>0</v>
      </c>
      <c r="AN165" s="23">
        <v>0</v>
      </c>
      <c r="AO165" s="23">
        <v>0</v>
      </c>
      <c r="AP165" s="23">
        <v>0</v>
      </c>
      <c r="AQ165" s="23">
        <v>0</v>
      </c>
      <c r="AR165" s="23">
        <v>0</v>
      </c>
      <c r="AS165" s="23">
        <v>0</v>
      </c>
      <c r="AT165" s="23">
        <v>0</v>
      </c>
      <c r="AU165" s="23">
        <v>0</v>
      </c>
      <c r="AV165" s="23">
        <v>0</v>
      </c>
      <c r="AW165" s="23">
        <v>0</v>
      </c>
      <c r="AX165" s="23">
        <v>0</v>
      </c>
      <c r="AY165" s="23">
        <v>0</v>
      </c>
      <c r="AZ165" s="23"/>
      <c r="BA165" s="23"/>
      <c r="BB165" s="23"/>
      <c r="BC165" s="19">
        <f>SUM(BD165+BH165+BL165+BN165+BQ165)</f>
        <v>0</v>
      </c>
      <c r="BD165" s="19">
        <f>SUM(BE165:BG165)</f>
        <v>0</v>
      </c>
      <c r="BE165" s="19">
        <v>0</v>
      </c>
      <c r="BF165" s="19">
        <v>0</v>
      </c>
      <c r="BG165" s="19">
        <v>0</v>
      </c>
      <c r="BH165" s="19">
        <f t="shared" ref="BH165:BH166" si="443">SUM(BI165:BK165)</f>
        <v>0</v>
      </c>
      <c r="BI165" s="19">
        <v>0</v>
      </c>
      <c r="BJ165" s="19">
        <v>0</v>
      </c>
      <c r="BK165" s="19">
        <v>0</v>
      </c>
      <c r="BL165" s="19">
        <v>0</v>
      </c>
      <c r="BM165" s="19">
        <v>0</v>
      </c>
      <c r="BN165" s="19">
        <f t="shared" si="393"/>
        <v>0</v>
      </c>
      <c r="BO165" s="19">
        <v>0</v>
      </c>
      <c r="BP165" s="19">
        <v>0</v>
      </c>
      <c r="BQ165" s="19">
        <f>SUM(BR165:CB165)</f>
        <v>0</v>
      </c>
      <c r="BR165" s="19">
        <v>0</v>
      </c>
      <c r="BS165" s="19">
        <v>0</v>
      </c>
      <c r="BT165" s="19">
        <v>0</v>
      </c>
      <c r="BU165" s="19">
        <v>0</v>
      </c>
      <c r="BV165" s="19">
        <v>0</v>
      </c>
      <c r="BW165" s="19">
        <v>0</v>
      </c>
      <c r="BX165" s="19">
        <v>0</v>
      </c>
      <c r="BY165" s="19">
        <v>0</v>
      </c>
      <c r="BZ165" s="19">
        <v>0</v>
      </c>
      <c r="CA165" s="19">
        <v>0</v>
      </c>
      <c r="CB165" s="19">
        <v>0</v>
      </c>
      <c r="CC165" s="19">
        <f>SUM(CD165+CU165)</f>
        <v>0</v>
      </c>
      <c r="CD165" s="19">
        <f>SUM(CE165+CH165+CN165)</f>
        <v>0</v>
      </c>
      <c r="CE165" s="19">
        <f t="shared" si="394"/>
        <v>0</v>
      </c>
      <c r="CF165" s="19">
        <v>0</v>
      </c>
      <c r="CG165" s="23">
        <v>0</v>
      </c>
      <c r="CH165" s="19">
        <f>SUM(CI165:CM165)</f>
        <v>0</v>
      </c>
      <c r="CI165" s="19">
        <v>0</v>
      </c>
      <c r="CJ165" s="19">
        <v>0</v>
      </c>
      <c r="CK165" s="19">
        <v>0</v>
      </c>
      <c r="CL165" s="19">
        <v>0</v>
      </c>
      <c r="CM165" s="19">
        <v>0</v>
      </c>
      <c r="CN165" s="19">
        <f>SUM(CO165:CQ165)</f>
        <v>0</v>
      </c>
      <c r="CO165" s="19">
        <v>0</v>
      </c>
      <c r="CP165" s="19">
        <v>0</v>
      </c>
      <c r="CQ165" s="19"/>
      <c r="CR165" s="19"/>
      <c r="CS165" s="19"/>
      <c r="CT165" s="19"/>
      <c r="CU165" s="19">
        <v>0</v>
      </c>
      <c r="CV165" s="74"/>
      <c r="CW165" s="74"/>
      <c r="CX165" s="74"/>
      <c r="CY165" s="74"/>
      <c r="CZ165" s="19">
        <f t="shared" si="396"/>
        <v>0</v>
      </c>
      <c r="DA165" s="19">
        <f t="shared" si="397"/>
        <v>0</v>
      </c>
      <c r="DB165" s="19">
        <v>0</v>
      </c>
      <c r="DC165" s="20">
        <v>0</v>
      </c>
      <c r="DD165" s="52"/>
    </row>
    <row r="166" spans="1:108" ht="31.2" x14ac:dyDescent="0.3">
      <c r="A166" s="94" t="s">
        <v>1</v>
      </c>
      <c r="B166" s="21" t="s">
        <v>76</v>
      </c>
      <c r="C166" s="22" t="s">
        <v>436</v>
      </c>
      <c r="D166" s="19">
        <f>SUM(E166+CC166+CZ166)</f>
        <v>8990994</v>
      </c>
      <c r="E166" s="19">
        <f>SUM(F166+BC166)</f>
        <v>8990994</v>
      </c>
      <c r="F166" s="19">
        <f>SUM(G166+H166+I166+P166+S166+T166+U166+AD166)</f>
        <v>8990994</v>
      </c>
      <c r="G166" s="19">
        <v>5570002</v>
      </c>
      <c r="H166" s="19">
        <v>1323814</v>
      </c>
      <c r="I166" s="19">
        <f t="shared" si="389"/>
        <v>31492</v>
      </c>
      <c r="J166" s="23">
        <v>0</v>
      </c>
      <c r="K166" s="23">
        <v>0</v>
      </c>
      <c r="L166" s="23">
        <v>0</v>
      </c>
      <c r="M166" s="23">
        <v>0</v>
      </c>
      <c r="N166" s="23">
        <v>31492</v>
      </c>
      <c r="O166" s="23"/>
      <c r="P166" s="19">
        <f t="shared" si="390"/>
        <v>0</v>
      </c>
      <c r="Q166" s="19"/>
      <c r="R166" s="23">
        <v>0</v>
      </c>
      <c r="S166" s="23">
        <v>0</v>
      </c>
      <c r="T166" s="23">
        <v>15517</v>
      </c>
      <c r="U166" s="19">
        <f t="shared" si="442"/>
        <v>0</v>
      </c>
      <c r="V166" s="23"/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19">
        <f>SUM(AE166:AY166)</f>
        <v>2050169</v>
      </c>
      <c r="AE166" s="19">
        <v>0</v>
      </c>
      <c r="AF166" s="19">
        <v>0</v>
      </c>
      <c r="AG166" s="23">
        <v>0</v>
      </c>
      <c r="AH166" s="23">
        <v>0</v>
      </c>
      <c r="AI166" s="23">
        <v>0</v>
      </c>
      <c r="AJ166" s="23">
        <v>0</v>
      </c>
      <c r="AK166" s="23">
        <v>0</v>
      </c>
      <c r="AL166" s="23">
        <v>0</v>
      </c>
      <c r="AM166" s="23">
        <v>2050169</v>
      </c>
      <c r="AN166" s="23">
        <v>0</v>
      </c>
      <c r="AO166" s="23">
        <v>0</v>
      </c>
      <c r="AP166" s="23">
        <v>0</v>
      </c>
      <c r="AQ166" s="23">
        <v>0</v>
      </c>
      <c r="AR166" s="23">
        <v>0</v>
      </c>
      <c r="AS166" s="23">
        <v>0</v>
      </c>
      <c r="AT166" s="23">
        <v>0</v>
      </c>
      <c r="AU166" s="23">
        <v>0</v>
      </c>
      <c r="AV166" s="23">
        <v>0</v>
      </c>
      <c r="AW166" s="23">
        <v>0</v>
      </c>
      <c r="AX166" s="23">
        <v>0</v>
      </c>
      <c r="AY166" s="23">
        <v>0</v>
      </c>
      <c r="AZ166" s="23"/>
      <c r="BA166" s="23"/>
      <c r="BB166" s="23"/>
      <c r="BC166" s="19">
        <f>SUM(BD166+BH166+BL166+BN166+BQ166)</f>
        <v>0</v>
      </c>
      <c r="BD166" s="19">
        <f>SUM(BE166:BG166)</f>
        <v>0</v>
      </c>
      <c r="BE166" s="19">
        <v>0</v>
      </c>
      <c r="BF166" s="19">
        <v>0</v>
      </c>
      <c r="BG166" s="19">
        <v>0</v>
      </c>
      <c r="BH166" s="19">
        <f t="shared" si="443"/>
        <v>0</v>
      </c>
      <c r="BI166" s="19">
        <v>0</v>
      </c>
      <c r="BJ166" s="19">
        <v>0</v>
      </c>
      <c r="BK166" s="19">
        <v>0</v>
      </c>
      <c r="BL166" s="19">
        <v>0</v>
      </c>
      <c r="BM166" s="19">
        <v>0</v>
      </c>
      <c r="BN166" s="19">
        <f t="shared" si="393"/>
        <v>0</v>
      </c>
      <c r="BO166" s="19">
        <v>0</v>
      </c>
      <c r="BP166" s="19">
        <v>0</v>
      </c>
      <c r="BQ166" s="19">
        <f>SUM(BR166:CB166)</f>
        <v>0</v>
      </c>
      <c r="BR166" s="19">
        <v>0</v>
      </c>
      <c r="BS166" s="19">
        <v>0</v>
      </c>
      <c r="BT166" s="19">
        <v>0</v>
      </c>
      <c r="BU166" s="19">
        <v>0</v>
      </c>
      <c r="BV166" s="19">
        <v>0</v>
      </c>
      <c r="BW166" s="19">
        <v>0</v>
      </c>
      <c r="BX166" s="19">
        <v>0</v>
      </c>
      <c r="BY166" s="19">
        <v>0</v>
      </c>
      <c r="BZ166" s="19">
        <v>0</v>
      </c>
      <c r="CA166" s="19">
        <v>0</v>
      </c>
      <c r="CB166" s="19">
        <v>0</v>
      </c>
      <c r="CC166" s="19">
        <f>SUM(CD166+CU166)</f>
        <v>0</v>
      </c>
      <c r="CD166" s="19">
        <f>SUM(CE166+CH166+CN166)</f>
        <v>0</v>
      </c>
      <c r="CE166" s="19">
        <f t="shared" si="394"/>
        <v>0</v>
      </c>
      <c r="CF166" s="19">
        <v>0</v>
      </c>
      <c r="CG166" s="23"/>
      <c r="CH166" s="19">
        <f>SUM(CI166:CM166)</f>
        <v>0</v>
      </c>
      <c r="CI166" s="19">
        <v>0</v>
      </c>
      <c r="CJ166" s="19">
        <v>0</v>
      </c>
      <c r="CK166" s="19"/>
      <c r="CL166" s="19">
        <v>0</v>
      </c>
      <c r="CM166" s="19">
        <v>0</v>
      </c>
      <c r="CN166" s="19">
        <f>SUM(CO166:CQ166)</f>
        <v>0</v>
      </c>
      <c r="CO166" s="19"/>
      <c r="CP166" s="19">
        <v>0</v>
      </c>
      <c r="CQ166" s="19"/>
      <c r="CR166" s="19"/>
      <c r="CS166" s="19"/>
      <c r="CT166" s="19"/>
      <c r="CU166" s="19">
        <v>0</v>
      </c>
      <c r="CV166" s="74"/>
      <c r="CW166" s="74"/>
      <c r="CX166" s="74"/>
      <c r="CY166" s="74"/>
      <c r="CZ166" s="19">
        <f t="shared" si="396"/>
        <v>0</v>
      </c>
      <c r="DA166" s="19">
        <f t="shared" si="397"/>
        <v>0</v>
      </c>
      <c r="DB166" s="19">
        <v>0</v>
      </c>
      <c r="DC166" s="20">
        <v>0</v>
      </c>
      <c r="DD166" s="52"/>
    </row>
    <row r="167" spans="1:108" s="58" customFormat="1" ht="15.6" x14ac:dyDescent="0.3">
      <c r="A167" s="93" t="s">
        <v>504</v>
      </c>
      <c r="B167" s="16" t="s">
        <v>1</v>
      </c>
      <c r="C167" s="17" t="s">
        <v>505</v>
      </c>
      <c r="D167" s="18">
        <f>D168</f>
        <v>466476</v>
      </c>
      <c r="E167" s="18">
        <f t="shared" ref="E167" si="444">E168</f>
        <v>461808</v>
      </c>
      <c r="F167" s="18">
        <f t="shared" ref="F167" si="445">F168</f>
        <v>461808</v>
      </c>
      <c r="G167" s="18">
        <f t="shared" ref="G167" si="446">G168</f>
        <v>355815</v>
      </c>
      <c r="H167" s="18">
        <f t="shared" ref="H167" si="447">H168</f>
        <v>84355</v>
      </c>
      <c r="I167" s="18">
        <f t="shared" ref="I167" si="448">I168</f>
        <v>0</v>
      </c>
      <c r="J167" s="56">
        <f t="shared" ref="J167" si="449">J168</f>
        <v>0</v>
      </c>
      <c r="K167" s="56">
        <f t="shared" ref="K167" si="450">K168</f>
        <v>0</v>
      </c>
      <c r="L167" s="56">
        <f t="shared" ref="L167" si="451">L168</f>
        <v>0</v>
      </c>
      <c r="M167" s="56">
        <f t="shared" ref="M167" si="452">M168</f>
        <v>0</v>
      </c>
      <c r="N167" s="56">
        <f t="shared" ref="N167" si="453">N168</f>
        <v>0</v>
      </c>
      <c r="O167" s="56">
        <f t="shared" ref="O167" si="454">O168</f>
        <v>0</v>
      </c>
      <c r="P167" s="18">
        <f t="shared" ref="P167" si="455">P168</f>
        <v>0</v>
      </c>
      <c r="Q167" s="18">
        <f t="shared" ref="Q167" si="456">Q168</f>
        <v>0</v>
      </c>
      <c r="R167" s="56">
        <f t="shared" ref="R167" si="457">R168</f>
        <v>0</v>
      </c>
      <c r="S167" s="56">
        <f t="shared" ref="S167" si="458">S168</f>
        <v>0</v>
      </c>
      <c r="T167" s="56">
        <f t="shared" ref="T167" si="459">T168</f>
        <v>8609</v>
      </c>
      <c r="U167" s="18">
        <f t="shared" ref="U167" si="460">U168</f>
        <v>13029</v>
      </c>
      <c r="V167" s="56">
        <f>V168</f>
        <v>1413</v>
      </c>
      <c r="W167" s="56">
        <f>W168</f>
        <v>5482</v>
      </c>
      <c r="X167" s="56">
        <f>X168</f>
        <v>5670</v>
      </c>
      <c r="Y167" s="56">
        <f>Y168</f>
        <v>464</v>
      </c>
      <c r="Z167" s="56">
        <f t="shared" ref="Z167" si="461">Z168</f>
        <v>0</v>
      </c>
      <c r="AA167" s="56">
        <f t="shared" ref="AA167" si="462">AA168</f>
        <v>0</v>
      </c>
      <c r="AB167" s="56">
        <f t="shared" ref="AB167" si="463">AB168</f>
        <v>0</v>
      </c>
      <c r="AC167" s="56">
        <f t="shared" ref="AC167" si="464">AC168</f>
        <v>0</v>
      </c>
      <c r="AD167" s="18">
        <f t="shared" ref="AD167" si="465">AD168</f>
        <v>0</v>
      </c>
      <c r="AE167" s="18">
        <f t="shared" ref="AE167" si="466">AE168</f>
        <v>0</v>
      </c>
      <c r="AF167" s="18">
        <f t="shared" ref="AF167" si="467">AF168</f>
        <v>0</v>
      </c>
      <c r="AG167" s="56">
        <f t="shared" ref="AG167" si="468">AG168</f>
        <v>0</v>
      </c>
      <c r="AH167" s="56">
        <f t="shared" ref="AH167" si="469">AH168</f>
        <v>0</v>
      </c>
      <c r="AI167" s="56">
        <f t="shared" ref="AI167" si="470">AI168</f>
        <v>0</v>
      </c>
      <c r="AJ167" s="56">
        <f t="shared" ref="AJ167" si="471">AJ168</f>
        <v>0</v>
      </c>
      <c r="AK167" s="56">
        <f t="shared" ref="AK167" si="472">AK168</f>
        <v>0</v>
      </c>
      <c r="AL167" s="56">
        <f t="shared" ref="AL167" si="473">AL168</f>
        <v>0</v>
      </c>
      <c r="AM167" s="56">
        <f t="shared" ref="AM167" si="474">AM168</f>
        <v>0</v>
      </c>
      <c r="AN167" s="56">
        <f t="shared" ref="AN167" si="475">AN168</f>
        <v>0</v>
      </c>
      <c r="AO167" s="56">
        <f t="shared" ref="AO167" si="476">AO168</f>
        <v>0</v>
      </c>
      <c r="AP167" s="56">
        <f t="shared" ref="AP167" si="477">AP168</f>
        <v>0</v>
      </c>
      <c r="AQ167" s="56">
        <f t="shared" ref="AQ167" si="478">AQ168</f>
        <v>0</v>
      </c>
      <c r="AR167" s="56">
        <f t="shared" ref="AR167" si="479">AR168</f>
        <v>0</v>
      </c>
      <c r="AS167" s="56">
        <f t="shared" ref="AS167" si="480">AS168</f>
        <v>0</v>
      </c>
      <c r="AT167" s="56">
        <f t="shared" ref="AT167" si="481">AT168</f>
        <v>0</v>
      </c>
      <c r="AU167" s="56">
        <f t="shared" ref="AU167" si="482">AU168</f>
        <v>0</v>
      </c>
      <c r="AV167" s="56">
        <f t="shared" ref="AV167" si="483">AV168</f>
        <v>0</v>
      </c>
      <c r="AW167" s="56">
        <f t="shared" ref="AW167" si="484">AW168</f>
        <v>0</v>
      </c>
      <c r="AX167" s="56">
        <f t="shared" ref="AX167" si="485">AX168</f>
        <v>0</v>
      </c>
      <c r="AY167" s="56">
        <f t="shared" ref="AY167" si="486">AY168</f>
        <v>0</v>
      </c>
      <c r="AZ167" s="56"/>
      <c r="BA167" s="56"/>
      <c r="BB167" s="56"/>
      <c r="BC167" s="18">
        <f t="shared" ref="BC167" si="487">BC168</f>
        <v>0</v>
      </c>
      <c r="BD167" s="18">
        <f t="shared" ref="BD167" si="488">BD168</f>
        <v>0</v>
      </c>
      <c r="BE167" s="18">
        <f t="shared" ref="BE167" si="489">BE168</f>
        <v>0</v>
      </c>
      <c r="BF167" s="18">
        <f t="shared" ref="BF167" si="490">BF168</f>
        <v>0</v>
      </c>
      <c r="BG167" s="18">
        <f t="shared" ref="BG167" si="491">BG168</f>
        <v>0</v>
      </c>
      <c r="BH167" s="18">
        <f t="shared" ref="BH167" si="492">BH168</f>
        <v>0</v>
      </c>
      <c r="BI167" s="18">
        <f t="shared" ref="BI167" si="493">BI168</f>
        <v>0</v>
      </c>
      <c r="BJ167" s="18">
        <f t="shared" ref="BJ167:BK167" si="494">BJ168</f>
        <v>0</v>
      </c>
      <c r="BK167" s="18">
        <f t="shared" si="494"/>
        <v>0</v>
      </c>
      <c r="BL167" s="18">
        <f t="shared" ref="BL167" si="495">BL168</f>
        <v>0</v>
      </c>
      <c r="BM167" s="18">
        <f t="shared" ref="BM167:BO167" si="496">BM168</f>
        <v>0</v>
      </c>
      <c r="BN167" s="18">
        <f t="shared" ref="BN167" si="497">BN168</f>
        <v>0</v>
      </c>
      <c r="BO167" s="18">
        <f t="shared" si="496"/>
        <v>0</v>
      </c>
      <c r="BP167" s="18">
        <f t="shared" ref="BP167" si="498">BP168</f>
        <v>0</v>
      </c>
      <c r="BQ167" s="18">
        <f t="shared" ref="BQ167" si="499">BQ168</f>
        <v>0</v>
      </c>
      <c r="BR167" s="18">
        <f t="shared" ref="BR167" si="500">BR168</f>
        <v>0</v>
      </c>
      <c r="BS167" s="18">
        <f t="shared" ref="BS167" si="501">BS168</f>
        <v>0</v>
      </c>
      <c r="BT167" s="18">
        <f t="shared" ref="BT167" si="502">BT168</f>
        <v>0</v>
      </c>
      <c r="BU167" s="18">
        <f t="shared" ref="BU167" si="503">BU168</f>
        <v>0</v>
      </c>
      <c r="BV167" s="18">
        <f t="shared" ref="BV167" si="504">BV168</f>
        <v>0</v>
      </c>
      <c r="BW167" s="18">
        <f t="shared" ref="BW167" si="505">BW168</f>
        <v>0</v>
      </c>
      <c r="BX167" s="18">
        <f t="shared" ref="BX167" si="506">BX168</f>
        <v>0</v>
      </c>
      <c r="BY167" s="18">
        <f t="shared" ref="BY167" si="507">BY168</f>
        <v>0</v>
      </c>
      <c r="BZ167" s="18">
        <f t="shared" ref="BZ167" si="508">BZ168</f>
        <v>0</v>
      </c>
      <c r="CA167" s="18">
        <f t="shared" ref="CA167" si="509">CA168</f>
        <v>0</v>
      </c>
      <c r="CB167" s="18">
        <f t="shared" ref="CB167" si="510">CB168</f>
        <v>0</v>
      </c>
      <c r="CC167" s="18">
        <f t="shared" ref="CC167" si="511">CC168</f>
        <v>4668</v>
      </c>
      <c r="CD167" s="18">
        <f t="shared" ref="CD167" si="512">CD168</f>
        <v>4668</v>
      </c>
      <c r="CE167" s="18">
        <f t="shared" ref="CE167" si="513">CE168</f>
        <v>4668</v>
      </c>
      <c r="CF167" s="18">
        <f t="shared" ref="CF167" si="514">CF168</f>
        <v>0</v>
      </c>
      <c r="CG167" s="18">
        <f t="shared" ref="CG167" si="515">CG168</f>
        <v>4668</v>
      </c>
      <c r="CH167" s="18">
        <f t="shared" ref="CH167" si="516">CH168</f>
        <v>0</v>
      </c>
      <c r="CI167" s="18">
        <f t="shared" ref="CI167" si="517">CI168</f>
        <v>0</v>
      </c>
      <c r="CJ167" s="18">
        <f t="shared" ref="CJ167" si="518">CJ168</f>
        <v>0</v>
      </c>
      <c r="CK167" s="18">
        <f t="shared" ref="CK167" si="519">CK168</f>
        <v>0</v>
      </c>
      <c r="CL167" s="18">
        <f t="shared" ref="CL167" si="520">CL168</f>
        <v>0</v>
      </c>
      <c r="CM167" s="18">
        <f t="shared" ref="CM167" si="521">CM168</f>
        <v>0</v>
      </c>
      <c r="CN167" s="18">
        <f t="shared" ref="CN167" si="522">CN168</f>
        <v>0</v>
      </c>
      <c r="CO167" s="18">
        <f t="shared" ref="CO167" si="523">CO168</f>
        <v>0</v>
      </c>
      <c r="CP167" s="18">
        <f t="shared" ref="CP167" si="524">CP168</f>
        <v>0</v>
      </c>
      <c r="CQ167" s="18">
        <f t="shared" ref="CQ167" si="525">CQ168</f>
        <v>0</v>
      </c>
      <c r="CR167" s="18"/>
      <c r="CS167" s="18"/>
      <c r="CT167" s="18"/>
      <c r="CU167" s="18">
        <f t="shared" ref="CU167" si="526">CU168</f>
        <v>0</v>
      </c>
      <c r="CV167" s="73"/>
      <c r="CW167" s="73"/>
      <c r="CX167" s="73"/>
      <c r="CY167" s="73"/>
      <c r="CZ167" s="18">
        <f t="shared" ref="CZ167" si="527">CZ168</f>
        <v>0</v>
      </c>
      <c r="DA167" s="18">
        <f t="shared" ref="DA167" si="528">DA168</f>
        <v>0</v>
      </c>
      <c r="DB167" s="18">
        <f t="shared" ref="DB167" si="529">DB168</f>
        <v>0</v>
      </c>
      <c r="DC167" s="46">
        <f t="shared" ref="DC167" si="530">DC168</f>
        <v>0</v>
      </c>
      <c r="DD167" s="57"/>
    </row>
    <row r="168" spans="1:108" s="58" customFormat="1" ht="31.2" x14ac:dyDescent="0.3">
      <c r="A168" s="94"/>
      <c r="B168" s="33" t="s">
        <v>60</v>
      </c>
      <c r="C168" s="32" t="s">
        <v>568</v>
      </c>
      <c r="D168" s="19">
        <f>SUM(E168+CC168+CZ168)</f>
        <v>466476</v>
      </c>
      <c r="E168" s="19">
        <f>SUM(F168+BC168)</f>
        <v>461808</v>
      </c>
      <c r="F168" s="19">
        <f>SUM(G168+H168+I168+P168+S168+T168+U168+AD168)</f>
        <v>461808</v>
      </c>
      <c r="G168" s="19">
        <v>355815</v>
      </c>
      <c r="H168" s="19">
        <v>84355</v>
      </c>
      <c r="I168" s="19">
        <f t="shared" ref="I168" si="531">SUM(J168:O168)</f>
        <v>0</v>
      </c>
      <c r="J168" s="23">
        <v>0</v>
      </c>
      <c r="K168" s="23">
        <v>0</v>
      </c>
      <c r="L168" s="23">
        <v>0</v>
      </c>
      <c r="M168" s="23">
        <v>0</v>
      </c>
      <c r="N168" s="23"/>
      <c r="O168" s="23">
        <f>1497-1497</f>
        <v>0</v>
      </c>
      <c r="P168" s="19">
        <f t="shared" ref="P168" si="532">SUM(Q168:R168)</f>
        <v>0</v>
      </c>
      <c r="Q168" s="19"/>
      <c r="R168" s="23">
        <v>0</v>
      </c>
      <c r="S168" s="23">
        <v>0</v>
      </c>
      <c r="T168" s="23">
        <v>8609</v>
      </c>
      <c r="U168" s="19">
        <f>SUM(V168:AC168)</f>
        <v>13029</v>
      </c>
      <c r="V168" s="23">
        <v>1413</v>
      </c>
      <c r="W168" s="23">
        <f>4291+1191</f>
        <v>5482</v>
      </c>
      <c r="X168" s="23">
        <f>4050+1620</f>
        <v>5670</v>
      </c>
      <c r="Y168" s="23">
        <f>323+141</f>
        <v>464</v>
      </c>
      <c r="Z168" s="23">
        <v>0</v>
      </c>
      <c r="AA168" s="23">
        <v>0</v>
      </c>
      <c r="AB168" s="23">
        <v>0</v>
      </c>
      <c r="AC168" s="23">
        <v>0</v>
      </c>
      <c r="AD168" s="19">
        <f>SUM(AE168:AY168)</f>
        <v>0</v>
      </c>
      <c r="AE168" s="19">
        <v>0</v>
      </c>
      <c r="AF168" s="19">
        <v>0</v>
      </c>
      <c r="AG168" s="23">
        <v>0</v>
      </c>
      <c r="AH168" s="23">
        <v>0</v>
      </c>
      <c r="AI168" s="23">
        <v>0</v>
      </c>
      <c r="AJ168" s="23">
        <v>0</v>
      </c>
      <c r="AK168" s="23">
        <v>0</v>
      </c>
      <c r="AL168" s="23">
        <v>0</v>
      </c>
      <c r="AM168" s="23">
        <v>0</v>
      </c>
      <c r="AN168" s="23">
        <v>0</v>
      </c>
      <c r="AO168" s="23">
        <v>0</v>
      </c>
      <c r="AP168" s="23">
        <v>0</v>
      </c>
      <c r="AQ168" s="23">
        <v>0</v>
      </c>
      <c r="AR168" s="23">
        <v>0</v>
      </c>
      <c r="AS168" s="23">
        <v>0</v>
      </c>
      <c r="AT168" s="23">
        <v>0</v>
      </c>
      <c r="AU168" s="23">
        <v>0</v>
      </c>
      <c r="AV168" s="23">
        <v>0</v>
      </c>
      <c r="AW168" s="23">
        <v>0</v>
      </c>
      <c r="AX168" s="23">
        <v>0</v>
      </c>
      <c r="AY168" s="23">
        <v>0</v>
      </c>
      <c r="AZ168" s="23"/>
      <c r="BA168" s="23"/>
      <c r="BB168" s="23"/>
      <c r="BC168" s="19">
        <f>SUM(BD168+BH168+BL168+BN168+BQ168)</f>
        <v>0</v>
      </c>
      <c r="BD168" s="19">
        <f>SUM(BE168:BG168)</f>
        <v>0</v>
      </c>
      <c r="BE168" s="19">
        <v>0</v>
      </c>
      <c r="BF168" s="19">
        <v>0</v>
      </c>
      <c r="BG168" s="19">
        <v>0</v>
      </c>
      <c r="BH168" s="19">
        <f>SUM(BI168:BK168)</f>
        <v>0</v>
      </c>
      <c r="BI168" s="19">
        <v>0</v>
      </c>
      <c r="BJ168" s="19">
        <v>0</v>
      </c>
      <c r="BK168" s="19">
        <v>0</v>
      </c>
      <c r="BL168" s="19">
        <v>0</v>
      </c>
      <c r="BM168" s="19">
        <v>0</v>
      </c>
      <c r="BN168" s="19">
        <f t="shared" ref="BN168" si="533">SUM(BO168)</f>
        <v>0</v>
      </c>
      <c r="BO168" s="19">
        <v>0</v>
      </c>
      <c r="BP168" s="19">
        <v>0</v>
      </c>
      <c r="BQ168" s="19">
        <f>SUM(BR168:CB168)</f>
        <v>0</v>
      </c>
      <c r="BR168" s="19">
        <v>0</v>
      </c>
      <c r="BS168" s="19">
        <v>0</v>
      </c>
      <c r="BT168" s="19">
        <v>0</v>
      </c>
      <c r="BU168" s="19">
        <v>0</v>
      </c>
      <c r="BV168" s="19">
        <v>0</v>
      </c>
      <c r="BW168" s="19">
        <v>0</v>
      </c>
      <c r="BX168" s="19">
        <v>0</v>
      </c>
      <c r="BY168" s="19">
        <v>0</v>
      </c>
      <c r="BZ168" s="19">
        <v>0</v>
      </c>
      <c r="CA168" s="19">
        <v>0</v>
      </c>
      <c r="CB168" s="19">
        <v>0</v>
      </c>
      <c r="CC168" s="19">
        <f>SUM(CD168+CU168)</f>
        <v>4668</v>
      </c>
      <c r="CD168" s="19">
        <f>SUM(CE168+CH168+CN168)</f>
        <v>4668</v>
      </c>
      <c r="CE168" s="19">
        <f t="shared" ref="CE168" si="534">SUM(CF168:CG168)</f>
        <v>4668</v>
      </c>
      <c r="CF168" s="19">
        <v>0</v>
      </c>
      <c r="CG168" s="23">
        <v>4668</v>
      </c>
      <c r="CH168" s="19">
        <f>SUM(CI168:CM168)</f>
        <v>0</v>
      </c>
      <c r="CI168" s="19">
        <v>0</v>
      </c>
      <c r="CJ168" s="19">
        <v>0</v>
      </c>
      <c r="CK168" s="19">
        <v>0</v>
      </c>
      <c r="CL168" s="19">
        <v>0</v>
      </c>
      <c r="CM168" s="19">
        <v>0</v>
      </c>
      <c r="CN168" s="19">
        <f>SUM(CO168:CQ168)</f>
        <v>0</v>
      </c>
      <c r="CO168" s="19"/>
      <c r="CP168" s="19">
        <v>0</v>
      </c>
      <c r="CQ168" s="19"/>
      <c r="CR168" s="19"/>
      <c r="CS168" s="19"/>
      <c r="CT168" s="19"/>
      <c r="CU168" s="19">
        <v>0</v>
      </c>
      <c r="CV168" s="74"/>
      <c r="CW168" s="74"/>
      <c r="CX168" s="74"/>
      <c r="CY168" s="74"/>
      <c r="CZ168" s="19">
        <f t="shared" ref="CZ168" si="535">SUM(DA168)</f>
        <v>0</v>
      </c>
      <c r="DA168" s="19">
        <f t="shared" ref="DA168" si="536">SUM(DB168:DC168)</f>
        <v>0</v>
      </c>
      <c r="DB168" s="19">
        <v>0</v>
      </c>
      <c r="DC168" s="20">
        <v>0</v>
      </c>
      <c r="DD168" s="52"/>
    </row>
    <row r="169" spans="1:108" ht="15.6" x14ac:dyDescent="0.3">
      <c r="A169" s="95" t="s">
        <v>229</v>
      </c>
      <c r="B169" s="25" t="s">
        <v>1</v>
      </c>
      <c r="C169" s="26" t="s">
        <v>230</v>
      </c>
      <c r="D169" s="27">
        <f>SUM(D170+D172+D175+D178+D180)</f>
        <v>992807680</v>
      </c>
      <c r="E169" s="27">
        <f t="shared" ref="E169:BW169" si="537">SUM(E170+E172+E175+E178+E180)</f>
        <v>992753811</v>
      </c>
      <c r="F169" s="27">
        <f t="shared" si="537"/>
        <v>989597040</v>
      </c>
      <c r="G169" s="27">
        <f t="shared" si="537"/>
        <v>574158200</v>
      </c>
      <c r="H169" s="27">
        <f t="shared" si="537"/>
        <v>135395494</v>
      </c>
      <c r="I169" s="27">
        <f t="shared" si="537"/>
        <v>143467130</v>
      </c>
      <c r="J169" s="27">
        <f t="shared" si="537"/>
        <v>104798133</v>
      </c>
      <c r="K169" s="27">
        <f t="shared" si="537"/>
        <v>126268</v>
      </c>
      <c r="L169" s="27">
        <f t="shared" si="537"/>
        <v>22149248</v>
      </c>
      <c r="M169" s="27">
        <f t="shared" si="537"/>
        <v>0</v>
      </c>
      <c r="N169" s="27">
        <f t="shared" si="537"/>
        <v>14515966</v>
      </c>
      <c r="O169" s="27">
        <f t="shared" si="537"/>
        <v>1877515</v>
      </c>
      <c r="P169" s="27">
        <f t="shared" si="537"/>
        <v>6694</v>
      </c>
      <c r="Q169" s="27">
        <f t="shared" si="537"/>
        <v>1310</v>
      </c>
      <c r="R169" s="27">
        <f t="shared" si="537"/>
        <v>5384</v>
      </c>
      <c r="S169" s="27">
        <f t="shared" si="537"/>
        <v>0</v>
      </c>
      <c r="T169" s="27">
        <f t="shared" si="537"/>
        <v>1499052</v>
      </c>
      <c r="U169" s="27">
        <f t="shared" si="537"/>
        <v>55353567</v>
      </c>
      <c r="V169" s="27">
        <f t="shared" si="537"/>
        <v>619979</v>
      </c>
      <c r="W169" s="27">
        <f t="shared" si="537"/>
        <v>24960225</v>
      </c>
      <c r="X169" s="27">
        <f t="shared" si="537"/>
        <v>20027459</v>
      </c>
      <c r="Y169" s="27">
        <f t="shared" si="537"/>
        <v>8251956</v>
      </c>
      <c r="Z169" s="27">
        <f t="shared" si="537"/>
        <v>676624</v>
      </c>
      <c r="AA169" s="27">
        <f t="shared" si="537"/>
        <v>0</v>
      </c>
      <c r="AB169" s="27">
        <f t="shared" si="537"/>
        <v>0</v>
      </c>
      <c r="AC169" s="27">
        <f t="shared" si="537"/>
        <v>817324</v>
      </c>
      <c r="AD169" s="27">
        <f t="shared" si="537"/>
        <v>79716903</v>
      </c>
      <c r="AE169" s="27">
        <f t="shared" si="537"/>
        <v>0</v>
      </c>
      <c r="AF169" s="27">
        <f t="shared" si="537"/>
        <v>0</v>
      </c>
      <c r="AG169" s="27">
        <f t="shared" si="537"/>
        <v>3000000</v>
      </c>
      <c r="AH169" s="27">
        <f t="shared" si="537"/>
        <v>0</v>
      </c>
      <c r="AI169" s="27">
        <f t="shared" si="537"/>
        <v>0</v>
      </c>
      <c r="AJ169" s="27">
        <f t="shared" si="537"/>
        <v>0</v>
      </c>
      <c r="AK169" s="27">
        <f t="shared" si="537"/>
        <v>0</v>
      </c>
      <c r="AL169" s="27">
        <f t="shared" si="537"/>
        <v>0</v>
      </c>
      <c r="AM169" s="27">
        <f t="shared" si="537"/>
        <v>17794</v>
      </c>
      <c r="AN169" s="27">
        <f t="shared" si="537"/>
        <v>0</v>
      </c>
      <c r="AO169" s="27">
        <f t="shared" si="537"/>
        <v>0</v>
      </c>
      <c r="AP169" s="27">
        <f t="shared" si="537"/>
        <v>0</v>
      </c>
      <c r="AQ169" s="27">
        <f t="shared" si="537"/>
        <v>2492609</v>
      </c>
      <c r="AR169" s="27">
        <f t="shared" si="537"/>
        <v>118511</v>
      </c>
      <c r="AS169" s="27">
        <f t="shared" si="537"/>
        <v>0</v>
      </c>
      <c r="AT169" s="27">
        <f t="shared" si="537"/>
        <v>1922587</v>
      </c>
      <c r="AU169" s="27">
        <f t="shared" si="537"/>
        <v>6268746</v>
      </c>
      <c r="AV169" s="27">
        <f t="shared" si="537"/>
        <v>0</v>
      </c>
      <c r="AW169" s="27">
        <f t="shared" si="537"/>
        <v>31476</v>
      </c>
      <c r="AX169" s="27">
        <f t="shared" ref="AX169" si="538">SUM(AX170+AX172+AX175+AX178+AX180)</f>
        <v>27576195</v>
      </c>
      <c r="AY169" s="27">
        <f t="shared" si="537"/>
        <v>38288985</v>
      </c>
      <c r="AZ169" s="27">
        <f t="shared" si="537"/>
        <v>0</v>
      </c>
      <c r="BA169" s="27">
        <f t="shared" si="537"/>
        <v>0</v>
      </c>
      <c r="BB169" s="27">
        <f t="shared" si="537"/>
        <v>0</v>
      </c>
      <c r="BC169" s="27">
        <f t="shared" si="537"/>
        <v>3156771</v>
      </c>
      <c r="BD169" s="27">
        <f t="shared" si="537"/>
        <v>0</v>
      </c>
      <c r="BE169" s="27">
        <f t="shared" si="537"/>
        <v>0</v>
      </c>
      <c r="BF169" s="27">
        <f t="shared" si="537"/>
        <v>0</v>
      </c>
      <c r="BG169" s="27">
        <f t="shared" si="537"/>
        <v>0</v>
      </c>
      <c r="BH169" s="27">
        <f t="shared" si="537"/>
        <v>0</v>
      </c>
      <c r="BI169" s="27">
        <f t="shared" si="537"/>
        <v>0</v>
      </c>
      <c r="BJ169" s="27">
        <f t="shared" ref="BJ169" si="539">SUM(BJ170+BJ172+BJ175+BJ178+BJ180)</f>
        <v>0</v>
      </c>
      <c r="BK169" s="27">
        <f t="shared" si="537"/>
        <v>0</v>
      </c>
      <c r="BL169" s="27">
        <f t="shared" si="537"/>
        <v>0</v>
      </c>
      <c r="BM169" s="27">
        <f t="shared" ref="BM169" si="540">SUM(BM170+BM172+BM175+BM178+BM180)</f>
        <v>0</v>
      </c>
      <c r="BN169" s="27">
        <f t="shared" si="537"/>
        <v>0</v>
      </c>
      <c r="BO169" s="27">
        <f t="shared" si="537"/>
        <v>0</v>
      </c>
      <c r="BP169" s="27">
        <f t="shared" ref="BP169" si="541">SUM(BP170+BP172+BP175+BP178+BP180)</f>
        <v>0</v>
      </c>
      <c r="BQ169" s="27">
        <f t="shared" si="537"/>
        <v>3156771</v>
      </c>
      <c r="BR169" s="27">
        <f t="shared" si="537"/>
        <v>0</v>
      </c>
      <c r="BS169" s="27">
        <f t="shared" si="537"/>
        <v>0</v>
      </c>
      <c r="BT169" s="27">
        <f t="shared" si="537"/>
        <v>0</v>
      </c>
      <c r="BU169" s="27">
        <f t="shared" si="537"/>
        <v>0</v>
      </c>
      <c r="BV169" s="27">
        <f t="shared" si="537"/>
        <v>0</v>
      </c>
      <c r="BW169" s="27">
        <f t="shared" si="537"/>
        <v>0</v>
      </c>
      <c r="BX169" s="27">
        <f t="shared" ref="BX169:DC169" si="542">SUM(BX170+BX172+BX175+BX178+BX180)</f>
        <v>0</v>
      </c>
      <c r="BY169" s="27">
        <f t="shared" si="542"/>
        <v>0</v>
      </c>
      <c r="BZ169" s="27">
        <f t="shared" si="542"/>
        <v>0</v>
      </c>
      <c r="CA169" s="27">
        <f t="shared" si="542"/>
        <v>0</v>
      </c>
      <c r="CB169" s="27">
        <f t="shared" si="542"/>
        <v>3156771</v>
      </c>
      <c r="CC169" s="27">
        <f t="shared" si="542"/>
        <v>53869</v>
      </c>
      <c r="CD169" s="27">
        <f t="shared" si="542"/>
        <v>53869</v>
      </c>
      <c r="CE169" s="27">
        <f t="shared" si="542"/>
        <v>53869</v>
      </c>
      <c r="CF169" s="27">
        <f t="shared" si="542"/>
        <v>0</v>
      </c>
      <c r="CG169" s="27">
        <f t="shared" si="542"/>
        <v>53869</v>
      </c>
      <c r="CH169" s="27">
        <f t="shared" si="542"/>
        <v>0</v>
      </c>
      <c r="CI169" s="27">
        <f t="shared" si="542"/>
        <v>0</v>
      </c>
      <c r="CJ169" s="27">
        <f t="shared" ref="CJ169:CK169" si="543">SUM(CJ170+CJ172+CJ175+CJ178+CJ180)</f>
        <v>0</v>
      </c>
      <c r="CK169" s="27">
        <f t="shared" si="543"/>
        <v>0</v>
      </c>
      <c r="CL169" s="27">
        <f t="shared" si="542"/>
        <v>0</v>
      </c>
      <c r="CM169" s="27">
        <f t="shared" ref="CM169" si="544">SUM(CM170+CM172+CM175+CM178+CM180)</f>
        <v>0</v>
      </c>
      <c r="CN169" s="27">
        <f t="shared" si="542"/>
        <v>0</v>
      </c>
      <c r="CO169" s="27">
        <f t="shared" ref="CO169" si="545">SUM(CO170+CO172+CO175+CO178+CO180)</f>
        <v>0</v>
      </c>
      <c r="CP169" s="27">
        <f t="shared" si="542"/>
        <v>0</v>
      </c>
      <c r="CQ169" s="27">
        <f t="shared" si="542"/>
        <v>0</v>
      </c>
      <c r="CR169" s="27"/>
      <c r="CS169" s="27"/>
      <c r="CT169" s="27"/>
      <c r="CU169" s="27">
        <f t="shared" si="542"/>
        <v>0</v>
      </c>
      <c r="CV169" s="27">
        <f t="shared" si="542"/>
        <v>0</v>
      </c>
      <c r="CW169" s="27">
        <f t="shared" si="542"/>
        <v>0</v>
      </c>
      <c r="CX169" s="27">
        <f t="shared" si="542"/>
        <v>0</v>
      </c>
      <c r="CY169" s="27">
        <f t="shared" ref="CY169" si="546">SUM(CY170+CY172+CY175+CY178+CY180)</f>
        <v>0</v>
      </c>
      <c r="CZ169" s="27">
        <f t="shared" si="542"/>
        <v>0</v>
      </c>
      <c r="DA169" s="27">
        <f t="shared" si="542"/>
        <v>0</v>
      </c>
      <c r="DB169" s="27">
        <f t="shared" si="542"/>
        <v>0</v>
      </c>
      <c r="DC169" s="60">
        <f t="shared" si="542"/>
        <v>0</v>
      </c>
      <c r="DD169" s="57"/>
    </row>
    <row r="170" spans="1:108" s="58" customFormat="1" ht="15.6" x14ac:dyDescent="0.3">
      <c r="A170" s="93" t="s">
        <v>231</v>
      </c>
      <c r="B170" s="16" t="s">
        <v>1</v>
      </c>
      <c r="C170" s="17" t="s">
        <v>232</v>
      </c>
      <c r="D170" s="18">
        <f>SUM(D171)</f>
        <v>757499136</v>
      </c>
      <c r="E170" s="18">
        <f t="shared" ref="E170:BW170" si="547">SUM(E171)</f>
        <v>757499136</v>
      </c>
      <c r="F170" s="18">
        <f t="shared" si="547"/>
        <v>754620773</v>
      </c>
      <c r="G170" s="18">
        <f t="shared" si="547"/>
        <v>435510458</v>
      </c>
      <c r="H170" s="18">
        <f t="shared" si="547"/>
        <v>102917553</v>
      </c>
      <c r="I170" s="18">
        <f t="shared" si="547"/>
        <v>100039604</v>
      </c>
      <c r="J170" s="18">
        <f t="shared" si="547"/>
        <v>69105370</v>
      </c>
      <c r="K170" s="18">
        <f t="shared" si="547"/>
        <v>0</v>
      </c>
      <c r="L170" s="18">
        <f t="shared" si="547"/>
        <v>21350613</v>
      </c>
      <c r="M170" s="18">
        <f t="shared" si="547"/>
        <v>0</v>
      </c>
      <c r="N170" s="18">
        <f t="shared" si="547"/>
        <v>7803292</v>
      </c>
      <c r="O170" s="18">
        <f t="shared" si="547"/>
        <v>1780329</v>
      </c>
      <c r="P170" s="18">
        <f t="shared" si="547"/>
        <v>0</v>
      </c>
      <c r="Q170" s="18">
        <f t="shared" si="547"/>
        <v>0</v>
      </c>
      <c r="R170" s="18">
        <f t="shared" si="547"/>
        <v>0</v>
      </c>
      <c r="S170" s="18">
        <f t="shared" si="547"/>
        <v>0</v>
      </c>
      <c r="T170" s="18">
        <f t="shared" si="547"/>
        <v>928771</v>
      </c>
      <c r="U170" s="18">
        <f t="shared" si="547"/>
        <v>49663822</v>
      </c>
      <c r="V170" s="18">
        <f t="shared" si="547"/>
        <v>591321</v>
      </c>
      <c r="W170" s="18">
        <f t="shared" si="547"/>
        <v>22124518</v>
      </c>
      <c r="X170" s="18">
        <f t="shared" si="547"/>
        <v>17957554</v>
      </c>
      <c r="Y170" s="18">
        <f t="shared" si="547"/>
        <v>7761470</v>
      </c>
      <c r="Z170" s="18">
        <f t="shared" si="547"/>
        <v>670424</v>
      </c>
      <c r="AA170" s="18">
        <f t="shared" si="547"/>
        <v>0</v>
      </c>
      <c r="AB170" s="18">
        <f t="shared" si="547"/>
        <v>0</v>
      </c>
      <c r="AC170" s="18">
        <f t="shared" si="547"/>
        <v>558535</v>
      </c>
      <c r="AD170" s="18">
        <f t="shared" si="547"/>
        <v>65560565</v>
      </c>
      <c r="AE170" s="18">
        <f t="shared" si="547"/>
        <v>0</v>
      </c>
      <c r="AF170" s="18">
        <f t="shared" si="547"/>
        <v>0</v>
      </c>
      <c r="AG170" s="18">
        <f t="shared" si="547"/>
        <v>0</v>
      </c>
      <c r="AH170" s="18">
        <f t="shared" si="547"/>
        <v>0</v>
      </c>
      <c r="AI170" s="18">
        <f t="shared" si="547"/>
        <v>0</v>
      </c>
      <c r="AJ170" s="18">
        <f t="shared" si="547"/>
        <v>0</v>
      </c>
      <c r="AK170" s="18">
        <f t="shared" si="547"/>
        <v>0</v>
      </c>
      <c r="AL170" s="18">
        <f t="shared" si="547"/>
        <v>0</v>
      </c>
      <c r="AM170" s="18">
        <f t="shared" si="547"/>
        <v>0</v>
      </c>
      <c r="AN170" s="18">
        <f t="shared" si="547"/>
        <v>0</v>
      </c>
      <c r="AO170" s="18">
        <f t="shared" si="547"/>
        <v>0</v>
      </c>
      <c r="AP170" s="18">
        <f t="shared" si="547"/>
        <v>0</v>
      </c>
      <c r="AQ170" s="18">
        <f t="shared" si="547"/>
        <v>1979768</v>
      </c>
      <c r="AR170" s="18">
        <f t="shared" si="547"/>
        <v>65516</v>
      </c>
      <c r="AS170" s="18">
        <f t="shared" si="547"/>
        <v>0</v>
      </c>
      <c r="AT170" s="18">
        <f t="shared" si="547"/>
        <v>1031112</v>
      </c>
      <c r="AU170" s="18">
        <f t="shared" si="547"/>
        <v>6032889</v>
      </c>
      <c r="AV170" s="18">
        <f t="shared" si="547"/>
        <v>0</v>
      </c>
      <c r="AW170" s="18">
        <f t="shared" si="547"/>
        <v>0</v>
      </c>
      <c r="AX170" s="18">
        <f t="shared" si="547"/>
        <v>27576195</v>
      </c>
      <c r="AY170" s="18">
        <f t="shared" si="547"/>
        <v>28875085</v>
      </c>
      <c r="AZ170" s="18">
        <f t="shared" si="547"/>
        <v>0</v>
      </c>
      <c r="BA170" s="18">
        <f t="shared" si="547"/>
        <v>0</v>
      </c>
      <c r="BB170" s="18">
        <f t="shared" si="547"/>
        <v>0</v>
      </c>
      <c r="BC170" s="18">
        <f t="shared" si="547"/>
        <v>2878363</v>
      </c>
      <c r="BD170" s="18">
        <f t="shared" si="547"/>
        <v>0</v>
      </c>
      <c r="BE170" s="18">
        <f t="shared" si="547"/>
        <v>0</v>
      </c>
      <c r="BF170" s="18">
        <f t="shared" si="547"/>
        <v>0</v>
      </c>
      <c r="BG170" s="18">
        <f t="shared" si="547"/>
        <v>0</v>
      </c>
      <c r="BH170" s="18">
        <f t="shared" si="547"/>
        <v>0</v>
      </c>
      <c r="BI170" s="18">
        <f t="shared" si="547"/>
        <v>0</v>
      </c>
      <c r="BJ170" s="18">
        <f t="shared" si="547"/>
        <v>0</v>
      </c>
      <c r="BK170" s="18">
        <f t="shared" si="547"/>
        <v>0</v>
      </c>
      <c r="BL170" s="18">
        <f t="shared" si="547"/>
        <v>0</v>
      </c>
      <c r="BM170" s="18">
        <f t="shared" si="547"/>
        <v>0</v>
      </c>
      <c r="BN170" s="18">
        <f t="shared" si="547"/>
        <v>0</v>
      </c>
      <c r="BO170" s="18">
        <f t="shared" si="547"/>
        <v>0</v>
      </c>
      <c r="BP170" s="18">
        <f t="shared" si="547"/>
        <v>0</v>
      </c>
      <c r="BQ170" s="18">
        <f t="shared" si="547"/>
        <v>2878363</v>
      </c>
      <c r="BR170" s="18">
        <f t="shared" si="547"/>
        <v>0</v>
      </c>
      <c r="BS170" s="18">
        <f t="shared" si="547"/>
        <v>0</v>
      </c>
      <c r="BT170" s="18">
        <f t="shared" si="547"/>
        <v>0</v>
      </c>
      <c r="BU170" s="18">
        <f t="shared" si="547"/>
        <v>0</v>
      </c>
      <c r="BV170" s="18">
        <f t="shared" si="547"/>
        <v>0</v>
      </c>
      <c r="BW170" s="18">
        <f t="shared" si="547"/>
        <v>0</v>
      </c>
      <c r="BX170" s="18">
        <f t="shared" ref="BX170:DC170" si="548">SUM(BX171)</f>
        <v>0</v>
      </c>
      <c r="BY170" s="18">
        <f t="shared" si="548"/>
        <v>0</v>
      </c>
      <c r="BZ170" s="18">
        <f t="shared" si="548"/>
        <v>0</v>
      </c>
      <c r="CA170" s="18">
        <f t="shared" si="548"/>
        <v>0</v>
      </c>
      <c r="CB170" s="18">
        <f t="shared" si="548"/>
        <v>2878363</v>
      </c>
      <c r="CC170" s="18">
        <f t="shared" si="548"/>
        <v>0</v>
      </c>
      <c r="CD170" s="18">
        <f t="shared" si="548"/>
        <v>0</v>
      </c>
      <c r="CE170" s="18">
        <f t="shared" si="548"/>
        <v>0</v>
      </c>
      <c r="CF170" s="18">
        <f t="shared" si="548"/>
        <v>0</v>
      </c>
      <c r="CG170" s="18">
        <f t="shared" si="548"/>
        <v>0</v>
      </c>
      <c r="CH170" s="18">
        <f t="shared" si="548"/>
        <v>0</v>
      </c>
      <c r="CI170" s="18">
        <f t="shared" si="548"/>
        <v>0</v>
      </c>
      <c r="CJ170" s="18">
        <f t="shared" si="548"/>
        <v>0</v>
      </c>
      <c r="CK170" s="18">
        <f t="shared" si="548"/>
        <v>0</v>
      </c>
      <c r="CL170" s="18">
        <f t="shared" si="548"/>
        <v>0</v>
      </c>
      <c r="CM170" s="18">
        <f t="shared" si="548"/>
        <v>0</v>
      </c>
      <c r="CN170" s="18">
        <f t="shared" si="548"/>
        <v>0</v>
      </c>
      <c r="CO170" s="18">
        <f t="shared" si="548"/>
        <v>0</v>
      </c>
      <c r="CP170" s="18">
        <f t="shared" si="548"/>
        <v>0</v>
      </c>
      <c r="CQ170" s="18"/>
      <c r="CR170" s="18"/>
      <c r="CS170" s="18"/>
      <c r="CT170" s="18"/>
      <c r="CU170" s="18">
        <f t="shared" si="548"/>
        <v>0</v>
      </c>
      <c r="CV170" s="73"/>
      <c r="CW170" s="73"/>
      <c r="CX170" s="73"/>
      <c r="CY170" s="73"/>
      <c r="CZ170" s="18">
        <f t="shared" si="548"/>
        <v>0</v>
      </c>
      <c r="DA170" s="18">
        <f t="shared" si="548"/>
        <v>0</v>
      </c>
      <c r="DB170" s="18">
        <f t="shared" si="548"/>
        <v>0</v>
      </c>
      <c r="DC170" s="46">
        <f t="shared" si="548"/>
        <v>0</v>
      </c>
      <c r="DD170" s="57"/>
    </row>
    <row r="171" spans="1:108" s="78" customFormat="1" ht="15.6" x14ac:dyDescent="0.3">
      <c r="A171" s="96" t="s">
        <v>1</v>
      </c>
      <c r="B171" s="71" t="s">
        <v>56</v>
      </c>
      <c r="C171" s="72" t="s">
        <v>232</v>
      </c>
      <c r="D171" s="74">
        <f>SUM(E171+CC171+CZ171)</f>
        <v>757499136</v>
      </c>
      <c r="E171" s="74">
        <f>SUM(F171+BC171)</f>
        <v>757499136</v>
      </c>
      <c r="F171" s="74">
        <f>SUM(G171+H171+I171+P171+S171+T171+U171+AD171)</f>
        <v>754620773</v>
      </c>
      <c r="G171" s="74">
        <v>435510458</v>
      </c>
      <c r="H171" s="74">
        <v>102917553</v>
      </c>
      <c r="I171" s="74">
        <f t="shared" si="389"/>
        <v>100039604</v>
      </c>
      <c r="J171" s="75">
        <v>69105370</v>
      </c>
      <c r="K171" s="75"/>
      <c r="L171" s="75">
        <f>25998750-4648137</f>
        <v>21350613</v>
      </c>
      <c r="M171" s="75"/>
      <c r="N171" s="75">
        <v>7803292</v>
      </c>
      <c r="O171" s="75">
        <v>1780329</v>
      </c>
      <c r="P171" s="74">
        <f t="shared" si="390"/>
        <v>0</v>
      </c>
      <c r="Q171" s="74">
        <v>0</v>
      </c>
      <c r="R171" s="74"/>
      <c r="S171" s="74"/>
      <c r="T171" s="75">
        <v>928771</v>
      </c>
      <c r="U171" s="74">
        <f t="shared" ref="U171" si="549">SUM(V171:AC171)</f>
        <v>49663822</v>
      </c>
      <c r="V171" s="75">
        <v>591321</v>
      </c>
      <c r="W171" s="75">
        <f>17165882+4958636</f>
        <v>22124518</v>
      </c>
      <c r="X171" s="75">
        <f>12056949+5900605</f>
        <v>17957554</v>
      </c>
      <c r="Y171" s="75">
        <f>5201511+2559959</f>
        <v>7761470</v>
      </c>
      <c r="Z171" s="75">
        <v>670424</v>
      </c>
      <c r="AA171" s="75">
        <v>0</v>
      </c>
      <c r="AB171" s="75">
        <v>0</v>
      </c>
      <c r="AC171" s="75">
        <f>486499+72036</f>
        <v>558535</v>
      </c>
      <c r="AD171" s="74">
        <f>SUM(AE171:AY171)</f>
        <v>65560565</v>
      </c>
      <c r="AE171" s="74">
        <v>0</v>
      </c>
      <c r="AF171" s="74">
        <v>0</v>
      </c>
      <c r="AG171" s="75">
        <v>0</v>
      </c>
      <c r="AH171" s="75">
        <v>0</v>
      </c>
      <c r="AI171" s="75">
        <v>0</v>
      </c>
      <c r="AJ171" s="75">
        <v>0</v>
      </c>
      <c r="AK171" s="75">
        <v>0</v>
      </c>
      <c r="AL171" s="75">
        <v>0</v>
      </c>
      <c r="AM171" s="75">
        <v>0</v>
      </c>
      <c r="AN171" s="75">
        <v>0</v>
      </c>
      <c r="AO171" s="75">
        <v>0</v>
      </c>
      <c r="AP171" s="75">
        <v>0</v>
      </c>
      <c r="AQ171" s="75">
        <v>1979768</v>
      </c>
      <c r="AR171" s="75">
        <v>65516</v>
      </c>
      <c r="AS171" s="75">
        <v>0</v>
      </c>
      <c r="AT171" s="75">
        <v>1031112</v>
      </c>
      <c r="AU171" s="75">
        <v>6032889</v>
      </c>
      <c r="AV171" s="75">
        <v>0</v>
      </c>
      <c r="AW171" s="75">
        <v>0</v>
      </c>
      <c r="AX171" s="75">
        <v>27576195</v>
      </c>
      <c r="AY171" s="75">
        <f>38770485-6895400-3000000</f>
        <v>28875085</v>
      </c>
      <c r="AZ171" s="75"/>
      <c r="BA171" s="75"/>
      <c r="BB171" s="75"/>
      <c r="BC171" s="74">
        <f>SUM(BD171+BH171+BL171+BN171+BQ171)</f>
        <v>2878363</v>
      </c>
      <c r="BD171" s="74">
        <f>SUM(BE171:BG171)</f>
        <v>0</v>
      </c>
      <c r="BE171" s="74">
        <v>0</v>
      </c>
      <c r="BF171" s="74">
        <v>0</v>
      </c>
      <c r="BG171" s="74">
        <v>0</v>
      </c>
      <c r="BH171" s="74">
        <f>SUM(BI171:BK171)</f>
        <v>0</v>
      </c>
      <c r="BI171" s="74">
        <v>0</v>
      </c>
      <c r="BJ171" s="74">
        <v>0</v>
      </c>
      <c r="BK171" s="74">
        <v>0</v>
      </c>
      <c r="BL171" s="74">
        <v>0</v>
      </c>
      <c r="BM171" s="74">
        <v>0</v>
      </c>
      <c r="BN171" s="74">
        <f t="shared" si="393"/>
        <v>0</v>
      </c>
      <c r="BO171" s="74">
        <v>0</v>
      </c>
      <c r="BP171" s="74">
        <v>0</v>
      </c>
      <c r="BQ171" s="74">
        <f>SUM(BR171:CB171)</f>
        <v>2878363</v>
      </c>
      <c r="BR171" s="74">
        <v>0</v>
      </c>
      <c r="BS171" s="74">
        <v>0</v>
      </c>
      <c r="BT171" s="74">
        <v>0</v>
      </c>
      <c r="BU171" s="74">
        <v>0</v>
      </c>
      <c r="BV171" s="74">
        <v>0</v>
      </c>
      <c r="BW171" s="74">
        <v>0</v>
      </c>
      <c r="BX171" s="74">
        <v>0</v>
      </c>
      <c r="BY171" s="74">
        <v>0</v>
      </c>
      <c r="BZ171" s="74">
        <v>0</v>
      </c>
      <c r="CA171" s="74">
        <v>0</v>
      </c>
      <c r="CB171" s="75">
        <v>2878363</v>
      </c>
      <c r="CC171" s="74">
        <f>SUM(CD171+CU171)</f>
        <v>0</v>
      </c>
      <c r="CD171" s="74">
        <f>SUM(CE171+CH171+CN171)</f>
        <v>0</v>
      </c>
      <c r="CE171" s="74">
        <f t="shared" si="394"/>
        <v>0</v>
      </c>
      <c r="CF171" s="74">
        <v>0</v>
      </c>
      <c r="CG171" s="75"/>
      <c r="CH171" s="74">
        <f>SUM(CI171:CM171)</f>
        <v>0</v>
      </c>
      <c r="CI171" s="74">
        <v>0</v>
      </c>
      <c r="CJ171" s="74"/>
      <c r="CK171" s="74">
        <v>0</v>
      </c>
      <c r="CL171" s="74">
        <v>0</v>
      </c>
      <c r="CM171" s="74">
        <v>0</v>
      </c>
      <c r="CN171" s="74">
        <f>SUM(CO171:CQ171)</f>
        <v>0</v>
      </c>
      <c r="CO171" s="75"/>
      <c r="CP171" s="74">
        <v>0</v>
      </c>
      <c r="CQ171" s="74"/>
      <c r="CR171" s="74"/>
      <c r="CS171" s="74"/>
      <c r="CT171" s="74"/>
      <c r="CU171" s="74">
        <v>0</v>
      </c>
      <c r="CV171" s="74"/>
      <c r="CW171" s="74"/>
      <c r="CX171" s="74"/>
      <c r="CY171" s="74"/>
      <c r="CZ171" s="74">
        <f t="shared" si="396"/>
        <v>0</v>
      </c>
      <c r="DA171" s="74">
        <f t="shared" si="397"/>
        <v>0</v>
      </c>
      <c r="DB171" s="74">
        <v>0</v>
      </c>
      <c r="DC171" s="77">
        <v>0</v>
      </c>
    </row>
    <row r="172" spans="1:108" ht="31.2" x14ac:dyDescent="0.3">
      <c r="A172" s="93" t="s">
        <v>233</v>
      </c>
      <c r="B172" s="16" t="s">
        <v>1</v>
      </c>
      <c r="C172" s="17" t="s">
        <v>234</v>
      </c>
      <c r="D172" s="18">
        <f>SUM(D173:D174)</f>
        <v>163020175</v>
      </c>
      <c r="E172" s="18">
        <f t="shared" ref="E172:BW172" si="550">SUM(E173:E174)</f>
        <v>163020175</v>
      </c>
      <c r="F172" s="18">
        <f t="shared" si="550"/>
        <v>162966128</v>
      </c>
      <c r="G172" s="18">
        <f t="shared" si="550"/>
        <v>117122661</v>
      </c>
      <c r="H172" s="18">
        <f t="shared" si="550"/>
        <v>27504055</v>
      </c>
      <c r="I172" s="18">
        <f t="shared" si="550"/>
        <v>12358403</v>
      </c>
      <c r="J172" s="18">
        <f t="shared" si="550"/>
        <v>6040473</v>
      </c>
      <c r="K172" s="18">
        <f t="shared" si="550"/>
        <v>0</v>
      </c>
      <c r="L172" s="18">
        <f t="shared" si="550"/>
        <v>0</v>
      </c>
      <c r="M172" s="18">
        <f t="shared" si="550"/>
        <v>0</v>
      </c>
      <c r="N172" s="18">
        <f t="shared" si="550"/>
        <v>6274459</v>
      </c>
      <c r="O172" s="18">
        <f t="shared" si="550"/>
        <v>43471</v>
      </c>
      <c r="P172" s="18">
        <f t="shared" si="550"/>
        <v>0</v>
      </c>
      <c r="Q172" s="18">
        <f t="shared" si="550"/>
        <v>0</v>
      </c>
      <c r="R172" s="18">
        <f t="shared" si="550"/>
        <v>0</v>
      </c>
      <c r="S172" s="18">
        <f t="shared" si="550"/>
        <v>0</v>
      </c>
      <c r="T172" s="18">
        <f t="shared" si="550"/>
        <v>406775</v>
      </c>
      <c r="U172" s="18">
        <f t="shared" si="550"/>
        <v>4227640</v>
      </c>
      <c r="V172" s="18">
        <f t="shared" si="550"/>
        <v>0</v>
      </c>
      <c r="W172" s="18">
        <f t="shared" si="550"/>
        <v>2212076</v>
      </c>
      <c r="X172" s="18">
        <f t="shared" si="550"/>
        <v>1564737</v>
      </c>
      <c r="Y172" s="18">
        <f t="shared" si="550"/>
        <v>372538</v>
      </c>
      <c r="Z172" s="18">
        <f t="shared" si="550"/>
        <v>0</v>
      </c>
      <c r="AA172" s="18">
        <f t="shared" si="550"/>
        <v>0</v>
      </c>
      <c r="AB172" s="18">
        <f t="shared" si="550"/>
        <v>0</v>
      </c>
      <c r="AC172" s="18">
        <f t="shared" si="550"/>
        <v>78289</v>
      </c>
      <c r="AD172" s="18">
        <f t="shared" si="550"/>
        <v>1346594</v>
      </c>
      <c r="AE172" s="18">
        <f t="shared" si="550"/>
        <v>0</v>
      </c>
      <c r="AF172" s="18">
        <f t="shared" si="550"/>
        <v>0</v>
      </c>
      <c r="AG172" s="18">
        <f t="shared" si="550"/>
        <v>0</v>
      </c>
      <c r="AH172" s="18">
        <f t="shared" si="550"/>
        <v>0</v>
      </c>
      <c r="AI172" s="18">
        <f t="shared" si="550"/>
        <v>0</v>
      </c>
      <c r="AJ172" s="18">
        <f t="shared" si="550"/>
        <v>0</v>
      </c>
      <c r="AK172" s="18">
        <f t="shared" si="550"/>
        <v>0</v>
      </c>
      <c r="AL172" s="18">
        <f t="shared" si="550"/>
        <v>0</v>
      </c>
      <c r="AM172" s="18">
        <f t="shared" si="550"/>
        <v>17794</v>
      </c>
      <c r="AN172" s="18">
        <f t="shared" si="550"/>
        <v>0</v>
      </c>
      <c r="AO172" s="18">
        <f t="shared" si="550"/>
        <v>0</v>
      </c>
      <c r="AP172" s="18">
        <f t="shared" si="550"/>
        <v>0</v>
      </c>
      <c r="AQ172" s="18">
        <f t="shared" si="550"/>
        <v>468125</v>
      </c>
      <c r="AR172" s="18">
        <f t="shared" si="550"/>
        <v>27600</v>
      </c>
      <c r="AS172" s="18">
        <f t="shared" si="550"/>
        <v>0</v>
      </c>
      <c r="AT172" s="18">
        <f t="shared" si="550"/>
        <v>833075</v>
      </c>
      <c r="AU172" s="18">
        <f t="shared" si="550"/>
        <v>0</v>
      </c>
      <c r="AV172" s="18">
        <f t="shared" si="550"/>
        <v>0</v>
      </c>
      <c r="AW172" s="18">
        <f t="shared" si="550"/>
        <v>0</v>
      </c>
      <c r="AX172" s="18"/>
      <c r="AY172" s="18">
        <f t="shared" si="550"/>
        <v>0</v>
      </c>
      <c r="AZ172" s="18">
        <f t="shared" si="550"/>
        <v>0</v>
      </c>
      <c r="BA172" s="18">
        <f t="shared" si="550"/>
        <v>0</v>
      </c>
      <c r="BB172" s="18">
        <f t="shared" si="550"/>
        <v>0</v>
      </c>
      <c r="BC172" s="18">
        <f t="shared" si="550"/>
        <v>54047</v>
      </c>
      <c r="BD172" s="18">
        <f t="shared" si="550"/>
        <v>0</v>
      </c>
      <c r="BE172" s="18">
        <f t="shared" si="550"/>
        <v>0</v>
      </c>
      <c r="BF172" s="18">
        <f t="shared" si="550"/>
        <v>0</v>
      </c>
      <c r="BG172" s="18">
        <f t="shared" si="550"/>
        <v>0</v>
      </c>
      <c r="BH172" s="18">
        <f t="shared" si="550"/>
        <v>0</v>
      </c>
      <c r="BI172" s="18">
        <f t="shared" si="550"/>
        <v>0</v>
      </c>
      <c r="BJ172" s="18">
        <f t="shared" ref="BJ172" si="551">SUM(BJ173:BJ174)</f>
        <v>0</v>
      </c>
      <c r="BK172" s="18">
        <f t="shared" si="550"/>
        <v>0</v>
      </c>
      <c r="BL172" s="18">
        <f t="shared" si="550"/>
        <v>0</v>
      </c>
      <c r="BM172" s="18">
        <f t="shared" ref="BM172" si="552">SUM(BM173:BM174)</f>
        <v>0</v>
      </c>
      <c r="BN172" s="18">
        <f t="shared" si="550"/>
        <v>0</v>
      </c>
      <c r="BO172" s="18">
        <f t="shared" si="550"/>
        <v>0</v>
      </c>
      <c r="BP172" s="18">
        <f t="shared" ref="BP172" si="553">SUM(BP173:BP174)</f>
        <v>0</v>
      </c>
      <c r="BQ172" s="18">
        <f t="shared" si="550"/>
        <v>54047</v>
      </c>
      <c r="BR172" s="18">
        <f t="shared" si="550"/>
        <v>0</v>
      </c>
      <c r="BS172" s="18">
        <f t="shared" si="550"/>
        <v>0</v>
      </c>
      <c r="BT172" s="18">
        <f t="shared" si="550"/>
        <v>0</v>
      </c>
      <c r="BU172" s="18">
        <f t="shared" si="550"/>
        <v>0</v>
      </c>
      <c r="BV172" s="18">
        <f t="shared" si="550"/>
        <v>0</v>
      </c>
      <c r="BW172" s="18">
        <f t="shared" si="550"/>
        <v>0</v>
      </c>
      <c r="BX172" s="18">
        <f t="shared" ref="BX172:DC172" si="554">SUM(BX173:BX174)</f>
        <v>0</v>
      </c>
      <c r="BY172" s="18">
        <f t="shared" si="554"/>
        <v>0</v>
      </c>
      <c r="BZ172" s="18">
        <f t="shared" si="554"/>
        <v>0</v>
      </c>
      <c r="CA172" s="18">
        <f t="shared" si="554"/>
        <v>0</v>
      </c>
      <c r="CB172" s="18">
        <f t="shared" si="554"/>
        <v>54047</v>
      </c>
      <c r="CC172" s="18">
        <f t="shared" si="554"/>
        <v>0</v>
      </c>
      <c r="CD172" s="18">
        <f t="shared" si="554"/>
        <v>0</v>
      </c>
      <c r="CE172" s="18">
        <f t="shared" si="554"/>
        <v>0</v>
      </c>
      <c r="CF172" s="18">
        <f t="shared" si="554"/>
        <v>0</v>
      </c>
      <c r="CG172" s="18">
        <f t="shared" si="554"/>
        <v>0</v>
      </c>
      <c r="CH172" s="18">
        <f t="shared" si="554"/>
        <v>0</v>
      </c>
      <c r="CI172" s="18">
        <f t="shared" si="554"/>
        <v>0</v>
      </c>
      <c r="CJ172" s="18">
        <f t="shared" ref="CJ172:CK172" si="555">SUM(CJ173:CJ174)</f>
        <v>0</v>
      </c>
      <c r="CK172" s="18">
        <f t="shared" si="555"/>
        <v>0</v>
      </c>
      <c r="CL172" s="18">
        <f t="shared" si="554"/>
        <v>0</v>
      </c>
      <c r="CM172" s="18">
        <f t="shared" ref="CM172" si="556">SUM(CM173:CM174)</f>
        <v>0</v>
      </c>
      <c r="CN172" s="18">
        <f t="shared" si="554"/>
        <v>0</v>
      </c>
      <c r="CO172" s="18">
        <f t="shared" ref="CO172" si="557">SUM(CO173:CO174)</f>
        <v>0</v>
      </c>
      <c r="CP172" s="18">
        <f t="shared" si="554"/>
        <v>0</v>
      </c>
      <c r="CQ172" s="18">
        <f t="shared" si="554"/>
        <v>0</v>
      </c>
      <c r="CR172" s="18"/>
      <c r="CS172" s="18"/>
      <c r="CT172" s="18"/>
      <c r="CU172" s="18">
        <f t="shared" si="554"/>
        <v>0</v>
      </c>
      <c r="CV172" s="73"/>
      <c r="CW172" s="73"/>
      <c r="CX172" s="73"/>
      <c r="CY172" s="73"/>
      <c r="CZ172" s="18">
        <f t="shared" si="554"/>
        <v>0</v>
      </c>
      <c r="DA172" s="18">
        <f t="shared" si="554"/>
        <v>0</v>
      </c>
      <c r="DB172" s="18">
        <f t="shared" si="554"/>
        <v>0</v>
      </c>
      <c r="DC172" s="46">
        <f t="shared" si="554"/>
        <v>0</v>
      </c>
      <c r="DD172" s="57"/>
    </row>
    <row r="173" spans="1:108" s="88" customFormat="1" ht="15.6" x14ac:dyDescent="0.3">
      <c r="A173" s="96" t="s">
        <v>1</v>
      </c>
      <c r="B173" s="71" t="s">
        <v>56</v>
      </c>
      <c r="C173" s="72" t="s">
        <v>235</v>
      </c>
      <c r="D173" s="74">
        <f>SUM(E173+CC173+CZ173)</f>
        <v>111678866</v>
      </c>
      <c r="E173" s="74">
        <f>SUM(F173+BC173)</f>
        <v>111678866</v>
      </c>
      <c r="F173" s="74">
        <f t="shared" ref="F173:F174" si="558">SUM(G173+H173+I173+P173+S173+T173+U173+AD173)</f>
        <v>111678866</v>
      </c>
      <c r="G173" s="74">
        <v>82050547</v>
      </c>
      <c r="H173" s="74">
        <v>19095402</v>
      </c>
      <c r="I173" s="74">
        <f t="shared" si="389"/>
        <v>5394254</v>
      </c>
      <c r="J173" s="75">
        <v>5090658</v>
      </c>
      <c r="K173" s="75"/>
      <c r="L173" s="75"/>
      <c r="M173" s="75"/>
      <c r="N173" s="75">
        <f>397014-93418</f>
        <v>303596</v>
      </c>
      <c r="O173" s="75"/>
      <c r="P173" s="74">
        <f t="shared" si="390"/>
        <v>0</v>
      </c>
      <c r="Q173" s="74">
        <v>0</v>
      </c>
      <c r="R173" s="74"/>
      <c r="S173" s="74"/>
      <c r="T173" s="75">
        <v>347293</v>
      </c>
      <c r="U173" s="74">
        <f t="shared" ref="U173:U174" si="559">SUM(V173:AC173)</f>
        <v>3548293</v>
      </c>
      <c r="V173" s="75">
        <v>0</v>
      </c>
      <c r="W173" s="75">
        <f>1420672+494950</f>
        <v>1915622</v>
      </c>
      <c r="X173" s="75">
        <f>790073+464366</f>
        <v>1254439</v>
      </c>
      <c r="Y173" s="75">
        <f>237472+62471</f>
        <v>299943</v>
      </c>
      <c r="Z173" s="75">
        <v>0</v>
      </c>
      <c r="AA173" s="75">
        <v>0</v>
      </c>
      <c r="AB173" s="75">
        <v>0</v>
      </c>
      <c r="AC173" s="75">
        <f>80572-2283</f>
        <v>78289</v>
      </c>
      <c r="AD173" s="74">
        <f>SUM(AE173:AY173)</f>
        <v>1243077</v>
      </c>
      <c r="AE173" s="74">
        <v>0</v>
      </c>
      <c r="AF173" s="74">
        <v>0</v>
      </c>
      <c r="AG173" s="75">
        <v>0</v>
      </c>
      <c r="AH173" s="75">
        <v>0</v>
      </c>
      <c r="AI173" s="75">
        <v>0</v>
      </c>
      <c r="AJ173" s="75">
        <v>0</v>
      </c>
      <c r="AK173" s="75">
        <v>0</v>
      </c>
      <c r="AL173" s="75">
        <v>0</v>
      </c>
      <c r="AM173" s="75">
        <v>0</v>
      </c>
      <c r="AN173" s="75">
        <v>0</v>
      </c>
      <c r="AO173" s="75">
        <v>0</v>
      </c>
      <c r="AP173" s="75">
        <v>0</v>
      </c>
      <c r="AQ173" s="75">
        <v>410002</v>
      </c>
      <c r="AR173" s="75">
        <v>0</v>
      </c>
      <c r="AS173" s="75">
        <v>0</v>
      </c>
      <c r="AT173" s="75">
        <v>833075</v>
      </c>
      <c r="AU173" s="75">
        <v>0</v>
      </c>
      <c r="AV173" s="75">
        <v>0</v>
      </c>
      <c r="AW173" s="75">
        <v>0</v>
      </c>
      <c r="AX173" s="75">
        <v>0</v>
      </c>
      <c r="AY173" s="75">
        <f>2500000-2500000</f>
        <v>0</v>
      </c>
      <c r="AZ173" s="75"/>
      <c r="BA173" s="75"/>
      <c r="BB173" s="75"/>
      <c r="BC173" s="74">
        <f>SUM(BD173+BH173+BL173+BN173+BQ173)</f>
        <v>0</v>
      </c>
      <c r="BD173" s="74">
        <f>SUM(BE173:BG173)</f>
        <v>0</v>
      </c>
      <c r="BE173" s="74">
        <v>0</v>
      </c>
      <c r="BF173" s="74">
        <v>0</v>
      </c>
      <c r="BG173" s="74">
        <v>0</v>
      </c>
      <c r="BH173" s="74">
        <f t="shared" ref="BH173:BH174" si="560">SUM(BI173:BK173)</f>
        <v>0</v>
      </c>
      <c r="BI173" s="74">
        <v>0</v>
      </c>
      <c r="BJ173" s="74">
        <v>0</v>
      </c>
      <c r="BK173" s="74">
        <v>0</v>
      </c>
      <c r="BL173" s="74">
        <v>0</v>
      </c>
      <c r="BM173" s="74">
        <v>0</v>
      </c>
      <c r="BN173" s="74">
        <f t="shared" si="393"/>
        <v>0</v>
      </c>
      <c r="BO173" s="74">
        <v>0</v>
      </c>
      <c r="BP173" s="74">
        <v>0</v>
      </c>
      <c r="BQ173" s="74">
        <f>SUM(BR173:CB173)</f>
        <v>0</v>
      </c>
      <c r="BR173" s="74">
        <v>0</v>
      </c>
      <c r="BS173" s="74">
        <v>0</v>
      </c>
      <c r="BT173" s="74">
        <v>0</v>
      </c>
      <c r="BU173" s="74">
        <v>0</v>
      </c>
      <c r="BV173" s="74">
        <v>0</v>
      </c>
      <c r="BW173" s="74">
        <v>0</v>
      </c>
      <c r="BX173" s="74">
        <v>0</v>
      </c>
      <c r="BY173" s="74">
        <v>0</v>
      </c>
      <c r="BZ173" s="74">
        <v>0</v>
      </c>
      <c r="CA173" s="74">
        <v>0</v>
      </c>
      <c r="CB173" s="75">
        <v>0</v>
      </c>
      <c r="CC173" s="74">
        <f>SUM(CD173+CU173)</f>
        <v>0</v>
      </c>
      <c r="CD173" s="74">
        <f>SUM(CE173+CH173+CN173)</f>
        <v>0</v>
      </c>
      <c r="CE173" s="74">
        <f t="shared" si="394"/>
        <v>0</v>
      </c>
      <c r="CF173" s="74">
        <v>0</v>
      </c>
      <c r="CG173" s="75"/>
      <c r="CH173" s="74">
        <f>SUM(CI173:CM173)</f>
        <v>0</v>
      </c>
      <c r="CI173" s="74">
        <v>0</v>
      </c>
      <c r="CJ173" s="74">
        <v>0</v>
      </c>
      <c r="CK173" s="74">
        <v>0</v>
      </c>
      <c r="CL173" s="74">
        <v>0</v>
      </c>
      <c r="CM173" s="74">
        <v>0</v>
      </c>
      <c r="CN173" s="74">
        <f>SUM(CO173:CQ173)</f>
        <v>0</v>
      </c>
      <c r="CO173" s="75"/>
      <c r="CP173" s="75">
        <v>0</v>
      </c>
      <c r="CQ173" s="75">
        <v>0</v>
      </c>
      <c r="CR173" s="75"/>
      <c r="CS173" s="75"/>
      <c r="CT173" s="75"/>
      <c r="CU173" s="74">
        <v>0</v>
      </c>
      <c r="CV173" s="74"/>
      <c r="CW173" s="74"/>
      <c r="CX173" s="74"/>
      <c r="CY173" s="74"/>
      <c r="CZ173" s="74">
        <f t="shared" si="396"/>
        <v>0</v>
      </c>
      <c r="DA173" s="74">
        <f t="shared" si="397"/>
        <v>0</v>
      </c>
      <c r="DB173" s="74">
        <v>0</v>
      </c>
      <c r="DC173" s="77">
        <v>0</v>
      </c>
      <c r="DD173" s="78"/>
    </row>
    <row r="174" spans="1:108" s="78" customFormat="1" ht="15.6" x14ac:dyDescent="0.3">
      <c r="A174" s="96" t="s">
        <v>1</v>
      </c>
      <c r="B174" s="71" t="s">
        <v>56</v>
      </c>
      <c r="C174" s="72" t="s">
        <v>236</v>
      </c>
      <c r="D174" s="74">
        <f>SUM(E174+CC174+CZ174)</f>
        <v>51341309</v>
      </c>
      <c r="E174" s="74">
        <f>SUM(F174+BC174)</f>
        <v>51341309</v>
      </c>
      <c r="F174" s="74">
        <f t="shared" si="558"/>
        <v>51287262</v>
      </c>
      <c r="G174" s="74">
        <v>35072114</v>
      </c>
      <c r="H174" s="74">
        <v>8408653</v>
      </c>
      <c r="I174" s="74">
        <f t="shared" si="389"/>
        <v>6964149</v>
      </c>
      <c r="J174" s="75">
        <v>949815</v>
      </c>
      <c r="K174" s="75"/>
      <c r="L174" s="75"/>
      <c r="M174" s="75"/>
      <c r="N174" s="75">
        <v>5970863</v>
      </c>
      <c r="O174" s="75">
        <v>43471</v>
      </c>
      <c r="P174" s="74">
        <f t="shared" si="390"/>
        <v>0</v>
      </c>
      <c r="Q174" s="74">
        <v>0</v>
      </c>
      <c r="R174" s="75"/>
      <c r="S174" s="74"/>
      <c r="T174" s="75">
        <v>59482</v>
      </c>
      <c r="U174" s="74">
        <f t="shared" si="559"/>
        <v>679347</v>
      </c>
      <c r="V174" s="75">
        <v>0</v>
      </c>
      <c r="W174" s="75">
        <f>249196+47258</f>
        <v>296454</v>
      </c>
      <c r="X174" s="75">
        <f>243343+66955</f>
        <v>310298</v>
      </c>
      <c r="Y174" s="75">
        <f>52742+19853</f>
        <v>72595</v>
      </c>
      <c r="Z174" s="75">
        <v>0</v>
      </c>
      <c r="AA174" s="75">
        <v>0</v>
      </c>
      <c r="AB174" s="75">
        <v>0</v>
      </c>
      <c r="AC174" s="75">
        <v>0</v>
      </c>
      <c r="AD174" s="74">
        <f>SUM(AE174:AY174)</f>
        <v>103517</v>
      </c>
      <c r="AE174" s="74">
        <v>0</v>
      </c>
      <c r="AF174" s="74">
        <v>0</v>
      </c>
      <c r="AG174" s="75">
        <v>0</v>
      </c>
      <c r="AH174" s="75">
        <v>0</v>
      </c>
      <c r="AI174" s="75">
        <v>0</v>
      </c>
      <c r="AJ174" s="75">
        <v>0</v>
      </c>
      <c r="AK174" s="75">
        <v>0</v>
      </c>
      <c r="AL174" s="75">
        <v>0</v>
      </c>
      <c r="AM174" s="75">
        <v>17794</v>
      </c>
      <c r="AN174" s="75">
        <v>0</v>
      </c>
      <c r="AO174" s="75">
        <v>0</v>
      </c>
      <c r="AP174" s="75">
        <v>0</v>
      </c>
      <c r="AQ174" s="75">
        <v>58123</v>
      </c>
      <c r="AR174" s="75">
        <v>27600</v>
      </c>
      <c r="AS174" s="75">
        <v>0</v>
      </c>
      <c r="AT174" s="75">
        <v>0</v>
      </c>
      <c r="AU174" s="75">
        <v>0</v>
      </c>
      <c r="AV174" s="75">
        <v>0</v>
      </c>
      <c r="AW174" s="75">
        <v>0</v>
      </c>
      <c r="AX174" s="75">
        <v>0</v>
      </c>
      <c r="AY174" s="75">
        <v>0</v>
      </c>
      <c r="AZ174" s="75"/>
      <c r="BA174" s="75"/>
      <c r="BB174" s="75"/>
      <c r="BC174" s="74">
        <f>SUM(BD174+BH174+BL174+BN174+BQ174)</f>
        <v>54047</v>
      </c>
      <c r="BD174" s="74">
        <f>SUM(BE174:BG174)</f>
        <v>0</v>
      </c>
      <c r="BE174" s="74">
        <v>0</v>
      </c>
      <c r="BF174" s="74">
        <v>0</v>
      </c>
      <c r="BG174" s="74">
        <v>0</v>
      </c>
      <c r="BH174" s="74">
        <f t="shared" si="560"/>
        <v>0</v>
      </c>
      <c r="BI174" s="74">
        <v>0</v>
      </c>
      <c r="BJ174" s="74">
        <v>0</v>
      </c>
      <c r="BK174" s="74">
        <v>0</v>
      </c>
      <c r="BL174" s="74">
        <v>0</v>
      </c>
      <c r="BM174" s="74">
        <v>0</v>
      </c>
      <c r="BN174" s="74">
        <f t="shared" si="393"/>
        <v>0</v>
      </c>
      <c r="BO174" s="74">
        <v>0</v>
      </c>
      <c r="BP174" s="74">
        <v>0</v>
      </c>
      <c r="BQ174" s="74">
        <f>SUM(BR174:CB174)</f>
        <v>54047</v>
      </c>
      <c r="BR174" s="74">
        <v>0</v>
      </c>
      <c r="BS174" s="74">
        <v>0</v>
      </c>
      <c r="BT174" s="74">
        <v>0</v>
      </c>
      <c r="BU174" s="74">
        <v>0</v>
      </c>
      <c r="BV174" s="74">
        <v>0</v>
      </c>
      <c r="BW174" s="74">
        <v>0</v>
      </c>
      <c r="BX174" s="74">
        <v>0</v>
      </c>
      <c r="BY174" s="74">
        <v>0</v>
      </c>
      <c r="BZ174" s="74">
        <v>0</v>
      </c>
      <c r="CA174" s="74">
        <v>0</v>
      </c>
      <c r="CB174" s="75">
        <v>54047</v>
      </c>
      <c r="CC174" s="74">
        <f>SUM(CD174+CU174)</f>
        <v>0</v>
      </c>
      <c r="CD174" s="74">
        <f>SUM(CE174+CH174+CN174)</f>
        <v>0</v>
      </c>
      <c r="CE174" s="74">
        <f t="shared" si="394"/>
        <v>0</v>
      </c>
      <c r="CF174" s="74">
        <v>0</v>
      </c>
      <c r="CG174" s="75"/>
      <c r="CH174" s="74">
        <f>SUM(CI174:CM174)</f>
        <v>0</v>
      </c>
      <c r="CI174" s="74">
        <v>0</v>
      </c>
      <c r="CJ174" s="74">
        <v>0</v>
      </c>
      <c r="CK174" s="74">
        <v>0</v>
      </c>
      <c r="CL174" s="74">
        <v>0</v>
      </c>
      <c r="CM174" s="74">
        <v>0</v>
      </c>
      <c r="CN174" s="74">
        <f>SUM(CO174:CQ174)</f>
        <v>0</v>
      </c>
      <c r="CO174" s="75"/>
      <c r="CP174" s="75">
        <v>0</v>
      </c>
      <c r="CQ174" s="75"/>
      <c r="CR174" s="75"/>
      <c r="CS174" s="75"/>
      <c r="CT174" s="75"/>
      <c r="CU174" s="74">
        <v>0</v>
      </c>
      <c r="CV174" s="74"/>
      <c r="CW174" s="74"/>
      <c r="CX174" s="74"/>
      <c r="CY174" s="74"/>
      <c r="CZ174" s="74">
        <f t="shared" si="396"/>
        <v>0</v>
      </c>
      <c r="DA174" s="74">
        <f t="shared" si="397"/>
        <v>0</v>
      </c>
      <c r="DB174" s="74">
        <v>0</v>
      </c>
      <c r="DC174" s="77">
        <v>0</v>
      </c>
    </row>
    <row r="175" spans="1:108" ht="31.2" x14ac:dyDescent="0.3">
      <c r="A175" s="93" t="s">
        <v>237</v>
      </c>
      <c r="B175" s="16" t="s">
        <v>1</v>
      </c>
      <c r="C175" s="17" t="s">
        <v>238</v>
      </c>
      <c r="D175" s="18">
        <f t="shared" ref="D175:BT175" si="561">SUM(D176:D177)</f>
        <v>26173999</v>
      </c>
      <c r="E175" s="18">
        <f t="shared" si="561"/>
        <v>26120130</v>
      </c>
      <c r="F175" s="18">
        <f t="shared" si="561"/>
        <v>25895769</v>
      </c>
      <c r="G175" s="18">
        <f t="shared" si="561"/>
        <v>17894206</v>
      </c>
      <c r="H175" s="18">
        <f t="shared" si="561"/>
        <v>4104117</v>
      </c>
      <c r="I175" s="18">
        <f t="shared" si="561"/>
        <v>2122285</v>
      </c>
      <c r="J175" s="18">
        <f t="shared" si="561"/>
        <v>798536</v>
      </c>
      <c r="K175" s="18">
        <f t="shared" si="561"/>
        <v>126268</v>
      </c>
      <c r="L175" s="18">
        <f t="shared" si="561"/>
        <v>798635</v>
      </c>
      <c r="M175" s="18">
        <f t="shared" si="561"/>
        <v>0</v>
      </c>
      <c r="N175" s="18">
        <f t="shared" si="561"/>
        <v>359594</v>
      </c>
      <c r="O175" s="18">
        <f t="shared" si="561"/>
        <v>39252</v>
      </c>
      <c r="P175" s="18">
        <f t="shared" si="561"/>
        <v>6694</v>
      </c>
      <c r="Q175" s="18">
        <f t="shared" si="561"/>
        <v>1310</v>
      </c>
      <c r="R175" s="18">
        <f t="shared" si="561"/>
        <v>5384</v>
      </c>
      <c r="S175" s="18">
        <f t="shared" si="561"/>
        <v>0</v>
      </c>
      <c r="T175" s="18">
        <f t="shared" si="561"/>
        <v>127875</v>
      </c>
      <c r="U175" s="18">
        <f t="shared" si="561"/>
        <v>1462105</v>
      </c>
      <c r="V175" s="18">
        <f t="shared" si="561"/>
        <v>28658</v>
      </c>
      <c r="W175" s="18">
        <f t="shared" si="561"/>
        <v>623631</v>
      </c>
      <c r="X175" s="18">
        <f t="shared" si="561"/>
        <v>505168</v>
      </c>
      <c r="Y175" s="18">
        <f t="shared" si="561"/>
        <v>117948</v>
      </c>
      <c r="Z175" s="18">
        <f t="shared" si="561"/>
        <v>6200</v>
      </c>
      <c r="AA175" s="18">
        <f t="shared" si="561"/>
        <v>0</v>
      </c>
      <c r="AB175" s="18">
        <f t="shared" si="561"/>
        <v>0</v>
      </c>
      <c r="AC175" s="18">
        <f t="shared" si="561"/>
        <v>180500</v>
      </c>
      <c r="AD175" s="18">
        <f t="shared" si="561"/>
        <v>178487</v>
      </c>
      <c r="AE175" s="18">
        <f t="shared" si="561"/>
        <v>0</v>
      </c>
      <c r="AF175" s="18">
        <f t="shared" si="561"/>
        <v>0</v>
      </c>
      <c r="AG175" s="18">
        <f t="shared" si="561"/>
        <v>0</v>
      </c>
      <c r="AH175" s="18">
        <f t="shared" si="561"/>
        <v>0</v>
      </c>
      <c r="AI175" s="18">
        <f t="shared" si="561"/>
        <v>0</v>
      </c>
      <c r="AJ175" s="18">
        <f t="shared" si="561"/>
        <v>0</v>
      </c>
      <c r="AK175" s="18">
        <f t="shared" si="561"/>
        <v>0</v>
      </c>
      <c r="AL175" s="18">
        <f t="shared" si="561"/>
        <v>0</v>
      </c>
      <c r="AM175" s="18">
        <f t="shared" si="561"/>
        <v>0</v>
      </c>
      <c r="AN175" s="18">
        <f t="shared" si="561"/>
        <v>0</v>
      </c>
      <c r="AO175" s="18">
        <f t="shared" si="561"/>
        <v>0</v>
      </c>
      <c r="AP175" s="18">
        <f t="shared" si="561"/>
        <v>0</v>
      </c>
      <c r="AQ175" s="18">
        <f t="shared" si="561"/>
        <v>44716</v>
      </c>
      <c r="AR175" s="18">
        <f t="shared" si="561"/>
        <v>25395</v>
      </c>
      <c r="AS175" s="18">
        <f t="shared" si="561"/>
        <v>0</v>
      </c>
      <c r="AT175" s="18">
        <f t="shared" si="561"/>
        <v>58400</v>
      </c>
      <c r="AU175" s="18">
        <f t="shared" si="561"/>
        <v>0</v>
      </c>
      <c r="AV175" s="18">
        <f t="shared" si="561"/>
        <v>0</v>
      </c>
      <c r="AW175" s="18">
        <f t="shared" si="561"/>
        <v>31476</v>
      </c>
      <c r="AX175" s="18"/>
      <c r="AY175" s="18">
        <f t="shared" si="561"/>
        <v>18500</v>
      </c>
      <c r="AZ175" s="18">
        <f t="shared" si="561"/>
        <v>0</v>
      </c>
      <c r="BA175" s="18">
        <f t="shared" si="561"/>
        <v>0</v>
      </c>
      <c r="BB175" s="18">
        <f t="shared" si="561"/>
        <v>0</v>
      </c>
      <c r="BC175" s="18">
        <f t="shared" si="561"/>
        <v>224361</v>
      </c>
      <c r="BD175" s="18">
        <f t="shared" si="561"/>
        <v>0</v>
      </c>
      <c r="BE175" s="18">
        <f t="shared" si="561"/>
        <v>0</v>
      </c>
      <c r="BF175" s="18">
        <f t="shared" si="561"/>
        <v>0</v>
      </c>
      <c r="BG175" s="18">
        <f t="shared" si="561"/>
        <v>0</v>
      </c>
      <c r="BH175" s="18">
        <f t="shared" si="561"/>
        <v>0</v>
      </c>
      <c r="BI175" s="18">
        <f t="shared" si="561"/>
        <v>0</v>
      </c>
      <c r="BJ175" s="18">
        <f t="shared" ref="BJ175" si="562">SUM(BJ176:BJ177)</f>
        <v>0</v>
      </c>
      <c r="BK175" s="18">
        <f t="shared" si="561"/>
        <v>0</v>
      </c>
      <c r="BL175" s="18">
        <f t="shared" si="561"/>
        <v>0</v>
      </c>
      <c r="BM175" s="18">
        <f t="shared" ref="BM175" si="563">SUM(BM176:BM177)</f>
        <v>0</v>
      </c>
      <c r="BN175" s="18">
        <f t="shared" si="561"/>
        <v>0</v>
      </c>
      <c r="BO175" s="18">
        <f t="shared" si="561"/>
        <v>0</v>
      </c>
      <c r="BP175" s="18">
        <f t="shared" ref="BP175" si="564">SUM(BP176:BP177)</f>
        <v>0</v>
      </c>
      <c r="BQ175" s="18">
        <f t="shared" si="561"/>
        <v>224361</v>
      </c>
      <c r="BR175" s="18">
        <f t="shared" si="561"/>
        <v>0</v>
      </c>
      <c r="BS175" s="18">
        <f t="shared" si="561"/>
        <v>0</v>
      </c>
      <c r="BT175" s="18">
        <f t="shared" si="561"/>
        <v>0</v>
      </c>
      <c r="BU175" s="18">
        <f t="shared" ref="BU175:DC175" si="565">SUM(BU176:BU177)</f>
        <v>0</v>
      </c>
      <c r="BV175" s="18">
        <f t="shared" si="565"/>
        <v>0</v>
      </c>
      <c r="BW175" s="18">
        <f t="shared" si="565"/>
        <v>0</v>
      </c>
      <c r="BX175" s="18">
        <f t="shared" si="565"/>
        <v>0</v>
      </c>
      <c r="BY175" s="18">
        <f t="shared" si="565"/>
        <v>0</v>
      </c>
      <c r="BZ175" s="18">
        <f t="shared" si="565"/>
        <v>0</v>
      </c>
      <c r="CA175" s="18">
        <f t="shared" si="565"/>
        <v>0</v>
      </c>
      <c r="CB175" s="18">
        <f t="shared" si="565"/>
        <v>224361</v>
      </c>
      <c r="CC175" s="18">
        <f t="shared" si="565"/>
        <v>53869</v>
      </c>
      <c r="CD175" s="18">
        <f t="shared" si="565"/>
        <v>53869</v>
      </c>
      <c r="CE175" s="18">
        <f t="shared" si="565"/>
        <v>53869</v>
      </c>
      <c r="CF175" s="18">
        <f t="shared" si="565"/>
        <v>0</v>
      </c>
      <c r="CG175" s="18">
        <f t="shared" si="565"/>
        <v>53869</v>
      </c>
      <c r="CH175" s="18">
        <f t="shared" si="565"/>
        <v>0</v>
      </c>
      <c r="CI175" s="18">
        <f t="shared" si="565"/>
        <v>0</v>
      </c>
      <c r="CJ175" s="18">
        <f t="shared" ref="CJ175:CK175" si="566">SUM(CJ176:CJ177)</f>
        <v>0</v>
      </c>
      <c r="CK175" s="18">
        <f t="shared" si="566"/>
        <v>0</v>
      </c>
      <c r="CL175" s="18">
        <f t="shared" si="565"/>
        <v>0</v>
      </c>
      <c r="CM175" s="18">
        <f t="shared" ref="CM175" si="567">SUM(CM176:CM177)</f>
        <v>0</v>
      </c>
      <c r="CN175" s="18">
        <f t="shared" si="565"/>
        <v>0</v>
      </c>
      <c r="CO175" s="18">
        <f t="shared" ref="CO175" si="568">SUM(CO176:CO177)</f>
        <v>0</v>
      </c>
      <c r="CP175" s="18">
        <f t="shared" si="565"/>
        <v>0</v>
      </c>
      <c r="CQ175" s="18"/>
      <c r="CR175" s="18"/>
      <c r="CS175" s="18"/>
      <c r="CT175" s="18"/>
      <c r="CU175" s="18">
        <f t="shared" si="565"/>
        <v>0</v>
      </c>
      <c r="CV175" s="73"/>
      <c r="CW175" s="73"/>
      <c r="CX175" s="73"/>
      <c r="CY175" s="73"/>
      <c r="CZ175" s="18">
        <f t="shared" si="565"/>
        <v>0</v>
      </c>
      <c r="DA175" s="18">
        <f t="shared" si="565"/>
        <v>0</v>
      </c>
      <c r="DB175" s="18">
        <f t="shared" si="565"/>
        <v>0</v>
      </c>
      <c r="DC175" s="46">
        <f t="shared" si="565"/>
        <v>0</v>
      </c>
      <c r="DD175" s="57"/>
    </row>
    <row r="176" spans="1:108" s="88" customFormat="1" ht="15.6" x14ac:dyDescent="0.3">
      <c r="A176" s="96" t="s">
        <v>1</v>
      </c>
      <c r="B176" s="71" t="s">
        <v>54</v>
      </c>
      <c r="C176" s="72" t="s">
        <v>239</v>
      </c>
      <c r="D176" s="74">
        <f>SUM(E176+CC176+CZ176)</f>
        <v>8408245</v>
      </c>
      <c r="E176" s="74">
        <f>SUM(F176+BC176)</f>
        <v>8354376</v>
      </c>
      <c r="F176" s="74">
        <f t="shared" ref="F176:F177" si="569">SUM(G176+H176+I176+P176+S176+T176+U176+AD176)</f>
        <v>8130015</v>
      </c>
      <c r="G176" s="74">
        <v>5081779</v>
      </c>
      <c r="H176" s="74">
        <v>1188393</v>
      </c>
      <c r="I176" s="74">
        <f t="shared" si="389"/>
        <v>1147593</v>
      </c>
      <c r="J176" s="75">
        <v>140543</v>
      </c>
      <c r="K176" s="75">
        <v>126268</v>
      </c>
      <c r="L176" s="75">
        <f>972502-173867</f>
        <v>798635</v>
      </c>
      <c r="M176" s="75">
        <v>0</v>
      </c>
      <c r="N176" s="75">
        <v>42895</v>
      </c>
      <c r="O176" s="75">
        <v>39252</v>
      </c>
      <c r="P176" s="74">
        <f t="shared" si="390"/>
        <v>6694</v>
      </c>
      <c r="Q176" s="74">
        <v>1310</v>
      </c>
      <c r="R176" s="75">
        <v>5384</v>
      </c>
      <c r="S176" s="75">
        <v>0</v>
      </c>
      <c r="T176" s="75">
        <v>3371</v>
      </c>
      <c r="U176" s="74">
        <f t="shared" ref="U176:U177" si="570">SUM(V176:AC176)</f>
        <v>523698</v>
      </c>
      <c r="V176" s="75">
        <v>28658</v>
      </c>
      <c r="W176" s="75">
        <v>0</v>
      </c>
      <c r="X176" s="75">
        <f>208110+26186</f>
        <v>234296</v>
      </c>
      <c r="Y176" s="75">
        <f>75750-1642</f>
        <v>74108</v>
      </c>
      <c r="Z176" s="75">
        <v>6200</v>
      </c>
      <c r="AA176" s="75">
        <v>0</v>
      </c>
      <c r="AB176" s="75">
        <v>0</v>
      </c>
      <c r="AC176" s="75">
        <f>145235+35201</f>
        <v>180436</v>
      </c>
      <c r="AD176" s="74">
        <f>SUM(AE176:AY176)</f>
        <v>178487</v>
      </c>
      <c r="AE176" s="74">
        <v>0</v>
      </c>
      <c r="AF176" s="74">
        <v>0</v>
      </c>
      <c r="AG176" s="75">
        <v>0</v>
      </c>
      <c r="AH176" s="75">
        <v>0</v>
      </c>
      <c r="AI176" s="75">
        <v>0</v>
      </c>
      <c r="AJ176" s="75">
        <v>0</v>
      </c>
      <c r="AK176" s="75">
        <v>0</v>
      </c>
      <c r="AL176" s="75">
        <v>0</v>
      </c>
      <c r="AM176" s="75">
        <v>0</v>
      </c>
      <c r="AN176" s="75">
        <v>0</v>
      </c>
      <c r="AO176" s="75">
        <v>0</v>
      </c>
      <c r="AP176" s="75">
        <v>0</v>
      </c>
      <c r="AQ176" s="75">
        <v>44716</v>
      </c>
      <c r="AR176" s="75">
        <v>25395</v>
      </c>
      <c r="AS176" s="75">
        <v>0</v>
      </c>
      <c r="AT176" s="75">
        <v>58400</v>
      </c>
      <c r="AU176" s="75">
        <v>0</v>
      </c>
      <c r="AV176" s="75">
        <v>0</v>
      </c>
      <c r="AW176" s="75">
        <v>31476</v>
      </c>
      <c r="AX176" s="75">
        <v>0</v>
      </c>
      <c r="AY176" s="75">
        <v>18500</v>
      </c>
      <c r="AZ176" s="75"/>
      <c r="BA176" s="75"/>
      <c r="BB176" s="75"/>
      <c r="BC176" s="74">
        <f>SUM(BD176+BH176+BL176+BN176+BQ176)</f>
        <v>224361</v>
      </c>
      <c r="BD176" s="74">
        <f>SUM(BE176:BG176)</f>
        <v>0</v>
      </c>
      <c r="BE176" s="74">
        <v>0</v>
      </c>
      <c r="BF176" s="74">
        <v>0</v>
      </c>
      <c r="BG176" s="74">
        <v>0</v>
      </c>
      <c r="BH176" s="74">
        <f t="shared" ref="BH176:BH177" si="571">SUM(BI176:BK176)</f>
        <v>0</v>
      </c>
      <c r="BI176" s="74">
        <v>0</v>
      </c>
      <c r="BJ176" s="74">
        <v>0</v>
      </c>
      <c r="BK176" s="74">
        <v>0</v>
      </c>
      <c r="BL176" s="74">
        <v>0</v>
      </c>
      <c r="BM176" s="74">
        <v>0</v>
      </c>
      <c r="BN176" s="74">
        <f t="shared" si="393"/>
        <v>0</v>
      </c>
      <c r="BO176" s="74">
        <v>0</v>
      </c>
      <c r="BP176" s="74">
        <v>0</v>
      </c>
      <c r="BQ176" s="74">
        <f>SUM(BR176:CB176)</f>
        <v>224361</v>
      </c>
      <c r="BR176" s="74">
        <v>0</v>
      </c>
      <c r="BS176" s="74">
        <v>0</v>
      </c>
      <c r="BT176" s="74">
        <v>0</v>
      </c>
      <c r="BU176" s="74">
        <v>0</v>
      </c>
      <c r="BV176" s="74">
        <v>0</v>
      </c>
      <c r="BW176" s="74">
        <v>0</v>
      </c>
      <c r="BX176" s="74">
        <v>0</v>
      </c>
      <c r="BY176" s="74">
        <v>0</v>
      </c>
      <c r="BZ176" s="74">
        <v>0</v>
      </c>
      <c r="CA176" s="74">
        <v>0</v>
      </c>
      <c r="CB176" s="75">
        <v>224361</v>
      </c>
      <c r="CC176" s="74">
        <f>SUM(CD176+CU176)</f>
        <v>53869</v>
      </c>
      <c r="CD176" s="74">
        <f>SUM(CE176+CH176+CN176)</f>
        <v>53869</v>
      </c>
      <c r="CE176" s="74">
        <f t="shared" si="394"/>
        <v>53869</v>
      </c>
      <c r="CF176" s="74">
        <v>0</v>
      </c>
      <c r="CG176" s="74">
        <v>53869</v>
      </c>
      <c r="CH176" s="74">
        <f>SUM(CI176:CM176)</f>
        <v>0</v>
      </c>
      <c r="CI176" s="74">
        <v>0</v>
      </c>
      <c r="CJ176" s="74">
        <v>0</v>
      </c>
      <c r="CK176" s="74">
        <v>0</v>
      </c>
      <c r="CL176" s="74">
        <v>0</v>
      </c>
      <c r="CM176" s="74">
        <v>0</v>
      </c>
      <c r="CN176" s="74">
        <f>SUM(CO176:CQ176)</f>
        <v>0</v>
      </c>
      <c r="CO176" s="74">
        <v>0</v>
      </c>
      <c r="CP176" s="74">
        <v>0</v>
      </c>
      <c r="CQ176" s="74"/>
      <c r="CR176" s="74"/>
      <c r="CS176" s="74"/>
      <c r="CT176" s="74"/>
      <c r="CU176" s="74">
        <v>0</v>
      </c>
      <c r="CV176" s="74"/>
      <c r="CW176" s="74"/>
      <c r="CX176" s="74"/>
      <c r="CY176" s="74"/>
      <c r="CZ176" s="74">
        <f t="shared" si="396"/>
        <v>0</v>
      </c>
      <c r="DA176" s="74">
        <f t="shared" si="397"/>
        <v>0</v>
      </c>
      <c r="DB176" s="74">
        <v>0</v>
      </c>
      <c r="DC176" s="77">
        <v>0</v>
      </c>
      <c r="DD176" s="78"/>
    </row>
    <row r="177" spans="1:108" ht="15.6" x14ac:dyDescent="0.3">
      <c r="A177" s="94" t="s">
        <v>1</v>
      </c>
      <c r="B177" s="21" t="s">
        <v>56</v>
      </c>
      <c r="C177" s="22" t="s">
        <v>240</v>
      </c>
      <c r="D177" s="19">
        <f>SUM(E177+CC177+CZ177)</f>
        <v>17765754</v>
      </c>
      <c r="E177" s="19">
        <f>SUM(F177+BC177)</f>
        <v>17765754</v>
      </c>
      <c r="F177" s="19">
        <f t="shared" si="569"/>
        <v>17765754</v>
      </c>
      <c r="G177" s="19">
        <f>14589327-1776900</f>
        <v>12812427</v>
      </c>
      <c r="H177" s="19">
        <f>3342180-426456</f>
        <v>2915724</v>
      </c>
      <c r="I177" s="19">
        <f t="shared" si="389"/>
        <v>974692</v>
      </c>
      <c r="J177" s="23">
        <v>657993</v>
      </c>
      <c r="K177" s="23">
        <v>0</v>
      </c>
      <c r="L177" s="23">
        <v>0</v>
      </c>
      <c r="M177" s="23">
        <v>0</v>
      </c>
      <c r="N177" s="23">
        <v>316699</v>
      </c>
      <c r="O177" s="23"/>
      <c r="P177" s="19">
        <f t="shared" si="390"/>
        <v>0</v>
      </c>
      <c r="Q177" s="19">
        <v>0</v>
      </c>
      <c r="R177" s="23">
        <v>0</v>
      </c>
      <c r="S177" s="23">
        <v>0</v>
      </c>
      <c r="T177" s="23">
        <v>124504</v>
      </c>
      <c r="U177" s="19">
        <f t="shared" si="570"/>
        <v>938407</v>
      </c>
      <c r="V177" s="23">
        <v>0</v>
      </c>
      <c r="W177" s="23">
        <f>545186+78445</f>
        <v>623631</v>
      </c>
      <c r="X177" s="23">
        <f>256502+14370</f>
        <v>270872</v>
      </c>
      <c r="Y177" s="23">
        <f>47230-3390</f>
        <v>43840</v>
      </c>
      <c r="Z177" s="23">
        <v>0</v>
      </c>
      <c r="AA177" s="23">
        <v>0</v>
      </c>
      <c r="AB177" s="23">
        <v>0</v>
      </c>
      <c r="AC177" s="23">
        <f>0+64</f>
        <v>64</v>
      </c>
      <c r="AD177" s="19">
        <f>SUM(AE177:AY177)</f>
        <v>0</v>
      </c>
      <c r="AE177" s="19">
        <v>0</v>
      </c>
      <c r="AF177" s="19">
        <v>0</v>
      </c>
      <c r="AG177" s="23">
        <v>0</v>
      </c>
      <c r="AH177" s="23">
        <v>0</v>
      </c>
      <c r="AI177" s="23">
        <v>0</v>
      </c>
      <c r="AJ177" s="23">
        <v>0</v>
      </c>
      <c r="AK177" s="23">
        <v>0</v>
      </c>
      <c r="AL177" s="23">
        <v>0</v>
      </c>
      <c r="AM177" s="23">
        <v>0</v>
      </c>
      <c r="AN177" s="23">
        <v>0</v>
      </c>
      <c r="AO177" s="23">
        <v>0</v>
      </c>
      <c r="AP177" s="23">
        <v>0</v>
      </c>
      <c r="AQ177" s="23">
        <v>0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23"/>
      <c r="BA177" s="23"/>
      <c r="BB177" s="23"/>
      <c r="BC177" s="19">
        <f>SUM(BD177+BH177+BL177+BN177+BQ177)</f>
        <v>0</v>
      </c>
      <c r="BD177" s="19">
        <f>SUM(BE177:BG177)</f>
        <v>0</v>
      </c>
      <c r="BE177" s="19">
        <v>0</v>
      </c>
      <c r="BF177" s="19">
        <v>0</v>
      </c>
      <c r="BG177" s="19">
        <v>0</v>
      </c>
      <c r="BH177" s="19">
        <f t="shared" si="571"/>
        <v>0</v>
      </c>
      <c r="BI177" s="19">
        <v>0</v>
      </c>
      <c r="BJ177" s="19">
        <v>0</v>
      </c>
      <c r="BK177" s="19">
        <v>0</v>
      </c>
      <c r="BL177" s="19">
        <v>0</v>
      </c>
      <c r="BM177" s="19">
        <v>0</v>
      </c>
      <c r="BN177" s="19">
        <f t="shared" si="393"/>
        <v>0</v>
      </c>
      <c r="BO177" s="19">
        <v>0</v>
      </c>
      <c r="BP177" s="19">
        <v>0</v>
      </c>
      <c r="BQ177" s="19">
        <f>SUM(BR177:CB177)</f>
        <v>0</v>
      </c>
      <c r="BR177" s="19">
        <v>0</v>
      </c>
      <c r="BS177" s="19">
        <v>0</v>
      </c>
      <c r="BT177" s="19">
        <v>0</v>
      </c>
      <c r="BU177" s="19">
        <v>0</v>
      </c>
      <c r="BV177" s="19">
        <v>0</v>
      </c>
      <c r="BW177" s="19">
        <v>0</v>
      </c>
      <c r="BX177" s="19">
        <v>0</v>
      </c>
      <c r="BY177" s="19">
        <v>0</v>
      </c>
      <c r="BZ177" s="19">
        <v>0</v>
      </c>
      <c r="CA177" s="19">
        <v>0</v>
      </c>
      <c r="CB177" s="19">
        <v>0</v>
      </c>
      <c r="CC177" s="19">
        <f>SUM(CD177+CU177)</f>
        <v>0</v>
      </c>
      <c r="CD177" s="19">
        <f>SUM(CE177+CH177+CN177)</f>
        <v>0</v>
      </c>
      <c r="CE177" s="19">
        <f t="shared" si="394"/>
        <v>0</v>
      </c>
      <c r="CF177" s="19">
        <v>0</v>
      </c>
      <c r="CG177" s="19"/>
      <c r="CH177" s="19">
        <f>SUM(CI177:CM177)</f>
        <v>0</v>
      </c>
      <c r="CI177" s="19">
        <v>0</v>
      </c>
      <c r="CJ177" s="19">
        <v>0</v>
      </c>
      <c r="CK177" s="19">
        <v>0</v>
      </c>
      <c r="CL177" s="19">
        <v>0</v>
      </c>
      <c r="CM177" s="19">
        <v>0</v>
      </c>
      <c r="CN177" s="19">
        <f>SUM(CO177:CQ177)</f>
        <v>0</v>
      </c>
      <c r="CO177" s="19">
        <v>0</v>
      </c>
      <c r="CP177" s="19">
        <v>0</v>
      </c>
      <c r="CQ177" s="19"/>
      <c r="CR177" s="19"/>
      <c r="CS177" s="19"/>
      <c r="CT177" s="19"/>
      <c r="CU177" s="19">
        <v>0</v>
      </c>
      <c r="CV177" s="74"/>
      <c r="CW177" s="74"/>
      <c r="CX177" s="74"/>
      <c r="CY177" s="74"/>
      <c r="CZ177" s="19">
        <f t="shared" si="396"/>
        <v>0</v>
      </c>
      <c r="DA177" s="19">
        <f t="shared" si="397"/>
        <v>0</v>
      </c>
      <c r="DB177" s="19">
        <v>0</v>
      </c>
      <c r="DC177" s="20">
        <v>0</v>
      </c>
      <c r="DD177" s="52"/>
    </row>
    <row r="178" spans="1:108" s="58" customFormat="1" ht="46.8" x14ac:dyDescent="0.3">
      <c r="A178" s="93" t="s">
        <v>241</v>
      </c>
      <c r="B178" s="16" t="s">
        <v>1</v>
      </c>
      <c r="C178" s="17" t="s">
        <v>597</v>
      </c>
      <c r="D178" s="18">
        <f>SUM(D179)</f>
        <v>29089611</v>
      </c>
      <c r="E178" s="18">
        <f t="shared" ref="E178:BW178" si="572">SUM(E179)</f>
        <v>29089611</v>
      </c>
      <c r="F178" s="18">
        <f t="shared" si="572"/>
        <v>29089611</v>
      </c>
      <c r="G178" s="18">
        <f t="shared" si="572"/>
        <v>0</v>
      </c>
      <c r="H178" s="18">
        <f t="shared" si="572"/>
        <v>0</v>
      </c>
      <c r="I178" s="18">
        <f t="shared" si="572"/>
        <v>28853754</v>
      </c>
      <c r="J178" s="18">
        <f t="shared" si="572"/>
        <v>28853754</v>
      </c>
      <c r="K178" s="18">
        <f t="shared" si="572"/>
        <v>0</v>
      </c>
      <c r="L178" s="18">
        <f t="shared" si="572"/>
        <v>0</v>
      </c>
      <c r="M178" s="18">
        <f t="shared" si="572"/>
        <v>0</v>
      </c>
      <c r="N178" s="18">
        <f t="shared" si="572"/>
        <v>0</v>
      </c>
      <c r="O178" s="18">
        <f t="shared" si="572"/>
        <v>0</v>
      </c>
      <c r="P178" s="18">
        <f t="shared" si="572"/>
        <v>0</v>
      </c>
      <c r="Q178" s="18">
        <f t="shared" si="572"/>
        <v>0</v>
      </c>
      <c r="R178" s="18">
        <f t="shared" si="572"/>
        <v>0</v>
      </c>
      <c r="S178" s="18">
        <f t="shared" si="572"/>
        <v>0</v>
      </c>
      <c r="T178" s="18">
        <f t="shared" si="572"/>
        <v>0</v>
      </c>
      <c r="U178" s="18">
        <f t="shared" si="572"/>
        <v>0</v>
      </c>
      <c r="V178" s="18">
        <f t="shared" si="572"/>
        <v>0</v>
      </c>
      <c r="W178" s="18">
        <f t="shared" si="572"/>
        <v>0</v>
      </c>
      <c r="X178" s="18">
        <f t="shared" si="572"/>
        <v>0</v>
      </c>
      <c r="Y178" s="18">
        <f t="shared" si="572"/>
        <v>0</v>
      </c>
      <c r="Z178" s="18">
        <f t="shared" si="572"/>
        <v>0</v>
      </c>
      <c r="AA178" s="18">
        <f t="shared" si="572"/>
        <v>0</v>
      </c>
      <c r="AB178" s="18">
        <f t="shared" si="572"/>
        <v>0</v>
      </c>
      <c r="AC178" s="18">
        <f t="shared" si="572"/>
        <v>0</v>
      </c>
      <c r="AD178" s="18">
        <f t="shared" si="572"/>
        <v>235857</v>
      </c>
      <c r="AE178" s="18">
        <f t="shared" si="572"/>
        <v>0</v>
      </c>
      <c r="AF178" s="18">
        <f t="shared" si="572"/>
        <v>0</v>
      </c>
      <c r="AG178" s="18">
        <f t="shared" si="572"/>
        <v>0</v>
      </c>
      <c r="AH178" s="18">
        <f t="shared" si="572"/>
        <v>0</v>
      </c>
      <c r="AI178" s="18">
        <f t="shared" si="572"/>
        <v>0</v>
      </c>
      <c r="AJ178" s="18">
        <f t="shared" si="572"/>
        <v>0</v>
      </c>
      <c r="AK178" s="18">
        <f t="shared" si="572"/>
        <v>0</v>
      </c>
      <c r="AL178" s="18">
        <f t="shared" si="572"/>
        <v>0</v>
      </c>
      <c r="AM178" s="18">
        <f t="shared" si="572"/>
        <v>0</v>
      </c>
      <c r="AN178" s="18">
        <f t="shared" si="572"/>
        <v>0</v>
      </c>
      <c r="AO178" s="18">
        <f t="shared" si="572"/>
        <v>0</v>
      </c>
      <c r="AP178" s="18">
        <f t="shared" si="572"/>
        <v>0</v>
      </c>
      <c r="AQ178" s="18">
        <f t="shared" si="572"/>
        <v>0</v>
      </c>
      <c r="AR178" s="18">
        <f t="shared" si="572"/>
        <v>0</v>
      </c>
      <c r="AS178" s="18"/>
      <c r="AT178" s="18"/>
      <c r="AU178" s="18">
        <f t="shared" si="572"/>
        <v>235857</v>
      </c>
      <c r="AV178" s="18">
        <f t="shared" si="572"/>
        <v>0</v>
      </c>
      <c r="AW178" s="18">
        <f t="shared" si="572"/>
        <v>0</v>
      </c>
      <c r="AX178" s="18"/>
      <c r="AY178" s="18">
        <f t="shared" si="572"/>
        <v>0</v>
      </c>
      <c r="AZ178" s="18"/>
      <c r="BA178" s="18"/>
      <c r="BB178" s="18"/>
      <c r="BC178" s="18">
        <f t="shared" si="572"/>
        <v>0</v>
      </c>
      <c r="BD178" s="18">
        <f t="shared" si="572"/>
        <v>0</v>
      </c>
      <c r="BE178" s="18">
        <f t="shared" si="572"/>
        <v>0</v>
      </c>
      <c r="BF178" s="18">
        <f t="shared" si="572"/>
        <v>0</v>
      </c>
      <c r="BG178" s="18">
        <f t="shared" si="572"/>
        <v>0</v>
      </c>
      <c r="BH178" s="18">
        <f t="shared" si="572"/>
        <v>0</v>
      </c>
      <c r="BI178" s="18">
        <f t="shared" si="572"/>
        <v>0</v>
      </c>
      <c r="BJ178" s="18">
        <f t="shared" si="572"/>
        <v>0</v>
      </c>
      <c r="BK178" s="18">
        <f t="shared" si="572"/>
        <v>0</v>
      </c>
      <c r="BL178" s="18">
        <f t="shared" si="572"/>
        <v>0</v>
      </c>
      <c r="BM178" s="18">
        <f t="shared" si="572"/>
        <v>0</v>
      </c>
      <c r="BN178" s="18">
        <f t="shared" si="572"/>
        <v>0</v>
      </c>
      <c r="BO178" s="18">
        <f t="shared" si="572"/>
        <v>0</v>
      </c>
      <c r="BP178" s="18">
        <f t="shared" si="572"/>
        <v>0</v>
      </c>
      <c r="BQ178" s="18">
        <f t="shared" si="572"/>
        <v>0</v>
      </c>
      <c r="BR178" s="18">
        <f t="shared" si="572"/>
        <v>0</v>
      </c>
      <c r="BS178" s="18">
        <f t="shared" si="572"/>
        <v>0</v>
      </c>
      <c r="BT178" s="18">
        <f t="shared" si="572"/>
        <v>0</v>
      </c>
      <c r="BU178" s="18">
        <f t="shared" si="572"/>
        <v>0</v>
      </c>
      <c r="BV178" s="18">
        <f t="shared" si="572"/>
        <v>0</v>
      </c>
      <c r="BW178" s="18">
        <f t="shared" si="572"/>
        <v>0</v>
      </c>
      <c r="BX178" s="18">
        <f t="shared" ref="BX178:DC178" si="573">SUM(BX179)</f>
        <v>0</v>
      </c>
      <c r="BY178" s="18">
        <f t="shared" si="573"/>
        <v>0</v>
      </c>
      <c r="BZ178" s="18">
        <f t="shared" si="573"/>
        <v>0</v>
      </c>
      <c r="CA178" s="18">
        <f t="shared" si="573"/>
        <v>0</v>
      </c>
      <c r="CB178" s="18">
        <f t="shared" si="573"/>
        <v>0</v>
      </c>
      <c r="CC178" s="18">
        <f t="shared" si="573"/>
        <v>0</v>
      </c>
      <c r="CD178" s="18">
        <f t="shared" si="573"/>
        <v>0</v>
      </c>
      <c r="CE178" s="18">
        <f t="shared" si="573"/>
        <v>0</v>
      </c>
      <c r="CF178" s="18">
        <f t="shared" si="573"/>
        <v>0</v>
      </c>
      <c r="CG178" s="18">
        <f t="shared" si="573"/>
        <v>0</v>
      </c>
      <c r="CH178" s="18">
        <f t="shared" si="573"/>
        <v>0</v>
      </c>
      <c r="CI178" s="18">
        <f t="shared" si="573"/>
        <v>0</v>
      </c>
      <c r="CJ178" s="18">
        <f t="shared" si="573"/>
        <v>0</v>
      </c>
      <c r="CK178" s="18">
        <f t="shared" si="573"/>
        <v>0</v>
      </c>
      <c r="CL178" s="18">
        <f t="shared" si="573"/>
        <v>0</v>
      </c>
      <c r="CM178" s="18">
        <f t="shared" si="573"/>
        <v>0</v>
      </c>
      <c r="CN178" s="18">
        <f t="shared" si="573"/>
        <v>0</v>
      </c>
      <c r="CO178" s="18">
        <f t="shared" si="573"/>
        <v>0</v>
      </c>
      <c r="CP178" s="18">
        <f t="shared" si="573"/>
        <v>0</v>
      </c>
      <c r="CQ178" s="18"/>
      <c r="CR178" s="18"/>
      <c r="CS178" s="18"/>
      <c r="CT178" s="18"/>
      <c r="CU178" s="18">
        <f t="shared" si="573"/>
        <v>0</v>
      </c>
      <c r="CV178" s="73"/>
      <c r="CW178" s="73"/>
      <c r="CX178" s="73"/>
      <c r="CY178" s="73"/>
      <c r="CZ178" s="18">
        <f t="shared" si="573"/>
        <v>0</v>
      </c>
      <c r="DA178" s="18">
        <f t="shared" si="573"/>
        <v>0</v>
      </c>
      <c r="DB178" s="18">
        <f t="shared" si="573"/>
        <v>0</v>
      </c>
      <c r="DC178" s="46">
        <f t="shared" si="573"/>
        <v>0</v>
      </c>
      <c r="DD178" s="57"/>
    </row>
    <row r="179" spans="1:108" ht="31.2" x14ac:dyDescent="0.3">
      <c r="A179" s="94" t="s">
        <v>1</v>
      </c>
      <c r="B179" s="21" t="s">
        <v>56</v>
      </c>
      <c r="C179" s="22" t="s">
        <v>467</v>
      </c>
      <c r="D179" s="19">
        <f>SUM(E179+CC179+CZ179)</f>
        <v>29089611</v>
      </c>
      <c r="E179" s="19">
        <f>SUM(F179+BC179)</f>
        <v>29089611</v>
      </c>
      <c r="F179" s="19">
        <f>SUM(G179+H179+I179+P179+S179+T179+U179+AD179)</f>
        <v>29089611</v>
      </c>
      <c r="G179" s="19">
        <v>0</v>
      </c>
      <c r="H179" s="19">
        <v>0</v>
      </c>
      <c r="I179" s="19">
        <f t="shared" si="389"/>
        <v>28853754</v>
      </c>
      <c r="J179" s="23">
        <v>28853754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f t="shared" si="390"/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f t="shared" ref="U179" si="574">SUM(V179:AC179)</f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f>SUM(AE179:AY179)</f>
        <v>235857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19">
        <v>0</v>
      </c>
      <c r="AQ179" s="19">
        <v>0</v>
      </c>
      <c r="AR179" s="19">
        <v>0</v>
      </c>
      <c r="AS179" s="19">
        <v>0</v>
      </c>
      <c r="AT179" s="19">
        <v>0</v>
      </c>
      <c r="AU179" s="23">
        <v>235857</v>
      </c>
      <c r="AV179" s="19">
        <v>0</v>
      </c>
      <c r="AW179" s="19">
        <v>0</v>
      </c>
      <c r="AX179" s="19">
        <v>0</v>
      </c>
      <c r="AY179" s="24"/>
      <c r="AZ179" s="24"/>
      <c r="BA179" s="24"/>
      <c r="BB179" s="24"/>
      <c r="BC179" s="19">
        <f>SUM(BD179+BH179+BL179+BN179+BQ179)</f>
        <v>0</v>
      </c>
      <c r="BD179" s="19">
        <f>SUM(BE179:BG179)</f>
        <v>0</v>
      </c>
      <c r="BE179" s="19">
        <v>0</v>
      </c>
      <c r="BF179" s="19">
        <v>0</v>
      </c>
      <c r="BG179" s="19">
        <v>0</v>
      </c>
      <c r="BH179" s="19">
        <f>SUM(BI179:BK179)</f>
        <v>0</v>
      </c>
      <c r="BI179" s="19">
        <v>0</v>
      </c>
      <c r="BJ179" s="19">
        <v>0</v>
      </c>
      <c r="BK179" s="19">
        <v>0</v>
      </c>
      <c r="BL179" s="19">
        <v>0</v>
      </c>
      <c r="BM179" s="19">
        <v>0</v>
      </c>
      <c r="BN179" s="19">
        <f t="shared" si="393"/>
        <v>0</v>
      </c>
      <c r="BO179" s="19">
        <v>0</v>
      </c>
      <c r="BP179" s="19">
        <v>0</v>
      </c>
      <c r="BQ179" s="19">
        <f>SUM(BR179:CB179)</f>
        <v>0</v>
      </c>
      <c r="BR179" s="19">
        <v>0</v>
      </c>
      <c r="BS179" s="19">
        <v>0</v>
      </c>
      <c r="BT179" s="19">
        <v>0</v>
      </c>
      <c r="BU179" s="19">
        <v>0</v>
      </c>
      <c r="BV179" s="19">
        <v>0</v>
      </c>
      <c r="BW179" s="19">
        <v>0</v>
      </c>
      <c r="BX179" s="19">
        <v>0</v>
      </c>
      <c r="BY179" s="19">
        <v>0</v>
      </c>
      <c r="BZ179" s="19">
        <v>0</v>
      </c>
      <c r="CA179" s="19">
        <v>0</v>
      </c>
      <c r="CB179" s="19">
        <v>0</v>
      </c>
      <c r="CC179" s="19">
        <f>SUM(CD179+CU179)</f>
        <v>0</v>
      </c>
      <c r="CD179" s="19">
        <f>SUM(CE179+CH179+CN179)</f>
        <v>0</v>
      </c>
      <c r="CE179" s="19">
        <f t="shared" si="394"/>
        <v>0</v>
      </c>
      <c r="CF179" s="19">
        <v>0</v>
      </c>
      <c r="CG179" s="19">
        <v>0</v>
      </c>
      <c r="CH179" s="19">
        <f>SUM(CI179:CM179)</f>
        <v>0</v>
      </c>
      <c r="CI179" s="19">
        <v>0</v>
      </c>
      <c r="CJ179" s="19">
        <v>0</v>
      </c>
      <c r="CK179" s="19">
        <v>0</v>
      </c>
      <c r="CL179" s="19">
        <v>0</v>
      </c>
      <c r="CM179" s="19">
        <v>0</v>
      </c>
      <c r="CN179" s="19">
        <f>SUM(CO179:CQ179)</f>
        <v>0</v>
      </c>
      <c r="CO179" s="19">
        <v>0</v>
      </c>
      <c r="CP179" s="19">
        <v>0</v>
      </c>
      <c r="CQ179" s="19"/>
      <c r="CR179" s="19"/>
      <c r="CS179" s="19"/>
      <c r="CT179" s="19"/>
      <c r="CU179" s="19">
        <v>0</v>
      </c>
      <c r="CV179" s="74"/>
      <c r="CW179" s="74"/>
      <c r="CX179" s="74"/>
      <c r="CY179" s="74"/>
      <c r="CZ179" s="19">
        <f t="shared" si="396"/>
        <v>0</v>
      </c>
      <c r="DA179" s="19">
        <f t="shared" si="397"/>
        <v>0</v>
      </c>
      <c r="DB179" s="19">
        <v>0</v>
      </c>
      <c r="DC179" s="20">
        <v>0</v>
      </c>
      <c r="DD179" s="52"/>
    </row>
    <row r="180" spans="1:108" s="58" customFormat="1" ht="31.2" x14ac:dyDescent="0.3">
      <c r="A180" s="93" t="s">
        <v>242</v>
      </c>
      <c r="B180" s="16" t="s">
        <v>1</v>
      </c>
      <c r="C180" s="17" t="s">
        <v>569</v>
      </c>
      <c r="D180" s="18">
        <f t="shared" ref="D180:AI180" si="575">SUM(D181:D185)</f>
        <v>17024759</v>
      </c>
      <c r="E180" s="18">
        <f t="shared" si="575"/>
        <v>17024759</v>
      </c>
      <c r="F180" s="18">
        <f t="shared" si="575"/>
        <v>17024759</v>
      </c>
      <c r="G180" s="18">
        <f t="shared" si="575"/>
        <v>3630875</v>
      </c>
      <c r="H180" s="18">
        <f t="shared" si="575"/>
        <v>869769</v>
      </c>
      <c r="I180" s="18">
        <f t="shared" si="575"/>
        <v>93084</v>
      </c>
      <c r="J180" s="18">
        <f t="shared" si="575"/>
        <v>0</v>
      </c>
      <c r="K180" s="18">
        <f t="shared" si="575"/>
        <v>0</v>
      </c>
      <c r="L180" s="18">
        <f t="shared" si="575"/>
        <v>0</v>
      </c>
      <c r="M180" s="18">
        <f t="shared" si="575"/>
        <v>0</v>
      </c>
      <c r="N180" s="18">
        <f t="shared" si="575"/>
        <v>78621</v>
      </c>
      <c r="O180" s="18">
        <f t="shared" si="575"/>
        <v>14463</v>
      </c>
      <c r="P180" s="18">
        <f t="shared" si="575"/>
        <v>0</v>
      </c>
      <c r="Q180" s="18">
        <f t="shared" si="575"/>
        <v>0</v>
      </c>
      <c r="R180" s="18">
        <f t="shared" si="575"/>
        <v>0</v>
      </c>
      <c r="S180" s="18">
        <f t="shared" si="575"/>
        <v>0</v>
      </c>
      <c r="T180" s="18">
        <f t="shared" si="575"/>
        <v>35631</v>
      </c>
      <c r="U180" s="18">
        <f t="shared" si="575"/>
        <v>0</v>
      </c>
      <c r="V180" s="18">
        <f t="shared" si="575"/>
        <v>0</v>
      </c>
      <c r="W180" s="18">
        <f t="shared" si="575"/>
        <v>0</v>
      </c>
      <c r="X180" s="18">
        <f t="shared" si="575"/>
        <v>0</v>
      </c>
      <c r="Y180" s="18">
        <f t="shared" si="575"/>
        <v>0</v>
      </c>
      <c r="Z180" s="18">
        <f t="shared" si="575"/>
        <v>0</v>
      </c>
      <c r="AA180" s="18">
        <f t="shared" si="575"/>
        <v>0</v>
      </c>
      <c r="AB180" s="18">
        <f t="shared" si="575"/>
        <v>0</v>
      </c>
      <c r="AC180" s="18">
        <f t="shared" si="575"/>
        <v>0</v>
      </c>
      <c r="AD180" s="18">
        <f t="shared" si="575"/>
        <v>12395400</v>
      </c>
      <c r="AE180" s="18">
        <f t="shared" si="575"/>
        <v>0</v>
      </c>
      <c r="AF180" s="18">
        <f t="shared" si="575"/>
        <v>0</v>
      </c>
      <c r="AG180" s="18">
        <f t="shared" si="575"/>
        <v>3000000</v>
      </c>
      <c r="AH180" s="18">
        <f t="shared" si="575"/>
        <v>0</v>
      </c>
      <c r="AI180" s="18">
        <f t="shared" si="575"/>
        <v>0</v>
      </c>
      <c r="AJ180" s="18">
        <f t="shared" ref="AJ180:BO180" si="576">SUM(AJ181:AJ185)</f>
        <v>0</v>
      </c>
      <c r="AK180" s="18">
        <f t="shared" si="576"/>
        <v>0</v>
      </c>
      <c r="AL180" s="18">
        <f t="shared" si="576"/>
        <v>0</v>
      </c>
      <c r="AM180" s="18">
        <f t="shared" si="576"/>
        <v>0</v>
      </c>
      <c r="AN180" s="18">
        <f t="shared" si="576"/>
        <v>0</v>
      </c>
      <c r="AO180" s="18">
        <f t="shared" si="576"/>
        <v>0</v>
      </c>
      <c r="AP180" s="18">
        <f t="shared" si="576"/>
        <v>0</v>
      </c>
      <c r="AQ180" s="18">
        <f t="shared" si="576"/>
        <v>0</v>
      </c>
      <c r="AR180" s="18">
        <f t="shared" si="576"/>
        <v>0</v>
      </c>
      <c r="AS180" s="18">
        <f t="shared" si="576"/>
        <v>0</v>
      </c>
      <c r="AT180" s="18">
        <f t="shared" si="576"/>
        <v>0</v>
      </c>
      <c r="AU180" s="18">
        <f t="shared" si="576"/>
        <v>0</v>
      </c>
      <c r="AV180" s="18">
        <f t="shared" si="576"/>
        <v>0</v>
      </c>
      <c r="AW180" s="18">
        <f t="shared" si="576"/>
        <v>0</v>
      </c>
      <c r="AX180" s="18">
        <f t="shared" si="576"/>
        <v>0</v>
      </c>
      <c r="AY180" s="18">
        <f t="shared" si="576"/>
        <v>9395400</v>
      </c>
      <c r="AZ180" s="18">
        <f t="shared" si="576"/>
        <v>0</v>
      </c>
      <c r="BA180" s="18">
        <f t="shared" si="576"/>
        <v>0</v>
      </c>
      <c r="BB180" s="18">
        <f t="shared" si="576"/>
        <v>0</v>
      </c>
      <c r="BC180" s="18">
        <f t="shared" si="576"/>
        <v>0</v>
      </c>
      <c r="BD180" s="18">
        <f t="shared" si="576"/>
        <v>0</v>
      </c>
      <c r="BE180" s="18">
        <f t="shared" si="576"/>
        <v>0</v>
      </c>
      <c r="BF180" s="18">
        <f t="shared" si="576"/>
        <v>0</v>
      </c>
      <c r="BG180" s="18">
        <f t="shared" si="576"/>
        <v>0</v>
      </c>
      <c r="BH180" s="18">
        <f t="shared" si="576"/>
        <v>0</v>
      </c>
      <c r="BI180" s="18">
        <f t="shared" si="576"/>
        <v>0</v>
      </c>
      <c r="BJ180" s="18">
        <f t="shared" si="576"/>
        <v>0</v>
      </c>
      <c r="BK180" s="18">
        <f t="shared" si="576"/>
        <v>0</v>
      </c>
      <c r="BL180" s="18">
        <f t="shared" si="576"/>
        <v>0</v>
      </c>
      <c r="BM180" s="18">
        <f t="shared" si="576"/>
        <v>0</v>
      </c>
      <c r="BN180" s="18">
        <f t="shared" si="576"/>
        <v>0</v>
      </c>
      <c r="BO180" s="18">
        <f t="shared" si="576"/>
        <v>0</v>
      </c>
      <c r="BP180" s="18">
        <f t="shared" ref="BP180:CU180" si="577">SUM(BP181:BP185)</f>
        <v>0</v>
      </c>
      <c r="BQ180" s="18">
        <f t="shared" si="577"/>
        <v>0</v>
      </c>
      <c r="BR180" s="18">
        <f t="shared" si="577"/>
        <v>0</v>
      </c>
      <c r="BS180" s="18">
        <f t="shared" si="577"/>
        <v>0</v>
      </c>
      <c r="BT180" s="18">
        <f t="shared" si="577"/>
        <v>0</v>
      </c>
      <c r="BU180" s="18">
        <f t="shared" si="577"/>
        <v>0</v>
      </c>
      <c r="BV180" s="18">
        <f t="shared" si="577"/>
        <v>0</v>
      </c>
      <c r="BW180" s="18">
        <f t="shared" si="577"/>
        <v>0</v>
      </c>
      <c r="BX180" s="18">
        <f t="shared" si="577"/>
        <v>0</v>
      </c>
      <c r="BY180" s="18">
        <f t="shared" si="577"/>
        <v>0</v>
      </c>
      <c r="BZ180" s="18">
        <f t="shared" si="577"/>
        <v>0</v>
      </c>
      <c r="CA180" s="18">
        <f t="shared" si="577"/>
        <v>0</v>
      </c>
      <c r="CB180" s="18">
        <f t="shared" si="577"/>
        <v>0</v>
      </c>
      <c r="CC180" s="18">
        <f t="shared" si="577"/>
        <v>0</v>
      </c>
      <c r="CD180" s="18">
        <f t="shared" si="577"/>
        <v>0</v>
      </c>
      <c r="CE180" s="18">
        <f t="shared" si="577"/>
        <v>0</v>
      </c>
      <c r="CF180" s="18">
        <f t="shared" si="577"/>
        <v>0</v>
      </c>
      <c r="CG180" s="18">
        <f t="shared" si="577"/>
        <v>0</v>
      </c>
      <c r="CH180" s="18">
        <f t="shared" si="577"/>
        <v>0</v>
      </c>
      <c r="CI180" s="18">
        <f t="shared" si="577"/>
        <v>0</v>
      </c>
      <c r="CJ180" s="18">
        <f t="shared" si="577"/>
        <v>0</v>
      </c>
      <c r="CK180" s="18">
        <f t="shared" si="577"/>
        <v>0</v>
      </c>
      <c r="CL180" s="18">
        <f t="shared" si="577"/>
        <v>0</v>
      </c>
      <c r="CM180" s="18">
        <f t="shared" si="577"/>
        <v>0</v>
      </c>
      <c r="CN180" s="18">
        <f t="shared" si="577"/>
        <v>0</v>
      </c>
      <c r="CO180" s="18">
        <f t="shared" si="577"/>
        <v>0</v>
      </c>
      <c r="CP180" s="18">
        <f t="shared" si="577"/>
        <v>0</v>
      </c>
      <c r="CQ180" s="18">
        <f t="shared" si="577"/>
        <v>0</v>
      </c>
      <c r="CR180" s="18">
        <f t="shared" si="577"/>
        <v>0</v>
      </c>
      <c r="CS180" s="18">
        <f t="shared" si="577"/>
        <v>0</v>
      </c>
      <c r="CT180" s="18">
        <f t="shared" si="577"/>
        <v>0</v>
      </c>
      <c r="CU180" s="18">
        <f t="shared" si="577"/>
        <v>0</v>
      </c>
      <c r="CV180" s="73">
        <f t="shared" ref="CV180:CX180" si="578">SUM(CV181:CV185)</f>
        <v>0</v>
      </c>
      <c r="CW180" s="73">
        <f t="shared" si="578"/>
        <v>0</v>
      </c>
      <c r="CX180" s="73">
        <f t="shared" si="578"/>
        <v>0</v>
      </c>
      <c r="CY180" s="73">
        <f t="shared" ref="CY180" si="579">SUM(CY181:CY185)</f>
        <v>0</v>
      </c>
      <c r="CZ180" s="18">
        <f t="shared" ref="CZ180:DC180" si="580">SUM(CZ181)</f>
        <v>0</v>
      </c>
      <c r="DA180" s="18">
        <f t="shared" si="580"/>
        <v>0</v>
      </c>
      <c r="DB180" s="18">
        <f t="shared" si="580"/>
        <v>0</v>
      </c>
      <c r="DC180" s="46">
        <f t="shared" si="580"/>
        <v>0</v>
      </c>
      <c r="DD180" s="57"/>
    </row>
    <row r="181" spans="1:108" s="88" customFormat="1" ht="31.2" x14ac:dyDescent="0.3">
      <c r="A181" s="94" t="s">
        <v>1</v>
      </c>
      <c r="B181" s="21" t="s">
        <v>56</v>
      </c>
      <c r="C181" s="22" t="s">
        <v>243</v>
      </c>
      <c r="D181" s="19">
        <f>SUM(E181+CC181+CZ181)</f>
        <v>4629359</v>
      </c>
      <c r="E181" s="19">
        <f>SUM(F181+BC181)</f>
        <v>4629359</v>
      </c>
      <c r="F181" s="19">
        <f>SUM(G181+H181+I181+P181+S181+T181+U181+AD181)</f>
        <v>4629359</v>
      </c>
      <c r="G181" s="19">
        <v>3630875</v>
      </c>
      <c r="H181" s="19">
        <v>869769</v>
      </c>
      <c r="I181" s="19">
        <f t="shared" si="389"/>
        <v>93084</v>
      </c>
      <c r="J181" s="23"/>
      <c r="K181" s="23"/>
      <c r="L181" s="23"/>
      <c r="M181" s="23"/>
      <c r="N181" s="23">
        <v>78621</v>
      </c>
      <c r="O181" s="23">
        <v>14463</v>
      </c>
      <c r="P181" s="19">
        <f t="shared" si="390"/>
        <v>0</v>
      </c>
      <c r="Q181" s="19">
        <v>0</v>
      </c>
      <c r="R181" s="19">
        <v>0</v>
      </c>
      <c r="S181" s="19">
        <v>0</v>
      </c>
      <c r="T181" s="23">
        <v>35631</v>
      </c>
      <c r="U181" s="19">
        <f t="shared" ref="U181" si="581">SUM(V181:AC181)</f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f>SUM(AE181:AY181)</f>
        <v>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  <c r="AJ181" s="23"/>
      <c r="AK181" s="23"/>
      <c r="AL181" s="23"/>
      <c r="AM181" s="23"/>
      <c r="AN181" s="23">
        <v>0</v>
      </c>
      <c r="AO181" s="23">
        <v>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/>
      <c r="AZ181" s="23"/>
      <c r="BA181" s="23"/>
      <c r="BB181" s="23"/>
      <c r="BC181" s="19">
        <f>SUM(BD181+BH181+BL181+BN181+BQ181)</f>
        <v>0</v>
      </c>
      <c r="BD181" s="19">
        <f>SUM(BE181:BG181)</f>
        <v>0</v>
      </c>
      <c r="BE181" s="19">
        <v>0</v>
      </c>
      <c r="BF181" s="19">
        <v>0</v>
      </c>
      <c r="BG181" s="19">
        <v>0</v>
      </c>
      <c r="BH181" s="19">
        <f>SUM(BI181:BK181)</f>
        <v>0</v>
      </c>
      <c r="BI181" s="19">
        <v>0</v>
      </c>
      <c r="BJ181" s="19">
        <v>0</v>
      </c>
      <c r="BK181" s="19">
        <v>0</v>
      </c>
      <c r="BL181" s="19">
        <v>0</v>
      </c>
      <c r="BM181" s="19">
        <v>0</v>
      </c>
      <c r="BN181" s="19">
        <f t="shared" si="393"/>
        <v>0</v>
      </c>
      <c r="BO181" s="19">
        <v>0</v>
      </c>
      <c r="BP181" s="19">
        <v>0</v>
      </c>
      <c r="BQ181" s="19">
        <f>SUM(BR181:CB181)</f>
        <v>0</v>
      </c>
      <c r="BR181" s="19">
        <v>0</v>
      </c>
      <c r="BS181" s="19">
        <v>0</v>
      </c>
      <c r="BT181" s="19">
        <v>0</v>
      </c>
      <c r="BU181" s="19">
        <v>0</v>
      </c>
      <c r="BV181" s="19">
        <v>0</v>
      </c>
      <c r="BW181" s="19">
        <v>0</v>
      </c>
      <c r="BX181" s="19">
        <v>0</v>
      </c>
      <c r="BY181" s="19">
        <v>0</v>
      </c>
      <c r="BZ181" s="19">
        <v>0</v>
      </c>
      <c r="CA181" s="19">
        <v>0</v>
      </c>
      <c r="CB181" s="19">
        <v>0</v>
      </c>
      <c r="CC181" s="19">
        <f>SUM(CD181+CU181)</f>
        <v>0</v>
      </c>
      <c r="CD181" s="19">
        <f>SUM(CE181+CH181+CN181)</f>
        <v>0</v>
      </c>
      <c r="CE181" s="19">
        <f t="shared" si="394"/>
        <v>0</v>
      </c>
      <c r="CF181" s="19">
        <v>0</v>
      </c>
      <c r="CG181" s="23"/>
      <c r="CH181" s="19">
        <f>SUM(CI181:CM181)</f>
        <v>0</v>
      </c>
      <c r="CI181" s="19">
        <v>0</v>
      </c>
      <c r="CJ181" s="19">
        <v>0</v>
      </c>
      <c r="CK181" s="19">
        <v>0</v>
      </c>
      <c r="CL181" s="19">
        <v>0</v>
      </c>
      <c r="CM181" s="19">
        <v>0</v>
      </c>
      <c r="CN181" s="19">
        <f>SUM(CO181:CQ181)</f>
        <v>0</v>
      </c>
      <c r="CO181" s="19">
        <v>0</v>
      </c>
      <c r="CP181" s="19">
        <v>0</v>
      </c>
      <c r="CQ181" s="19"/>
      <c r="CR181" s="19"/>
      <c r="CS181" s="19"/>
      <c r="CT181" s="19"/>
      <c r="CU181" s="19">
        <v>0</v>
      </c>
      <c r="CV181" s="74"/>
      <c r="CW181" s="74"/>
      <c r="CX181" s="74"/>
      <c r="CY181" s="74"/>
      <c r="CZ181" s="19">
        <f t="shared" si="396"/>
        <v>0</v>
      </c>
      <c r="DA181" s="19">
        <f t="shared" si="397"/>
        <v>0</v>
      </c>
      <c r="DB181" s="19">
        <v>0</v>
      </c>
      <c r="DC181" s="20">
        <v>0</v>
      </c>
      <c r="DD181" s="52"/>
    </row>
    <row r="182" spans="1:108" s="88" customFormat="1" ht="15.75" customHeight="1" x14ac:dyDescent="0.3">
      <c r="A182" s="94" t="s">
        <v>1</v>
      </c>
      <c r="B182" s="21" t="s">
        <v>56</v>
      </c>
      <c r="C182" s="22" t="s">
        <v>611</v>
      </c>
      <c r="D182" s="19">
        <f t="shared" ref="D182:D184" si="582">SUM(E182+CC182+CZ182)</f>
        <v>2000000</v>
      </c>
      <c r="E182" s="19">
        <f t="shared" ref="E182:E184" si="583">SUM(F182+BC182)</f>
        <v>2000000</v>
      </c>
      <c r="F182" s="19">
        <f t="shared" ref="F182:F184" si="584">SUM(G182+H182+I182+P182+S182+T182+U182+AD182)</f>
        <v>2000000</v>
      </c>
      <c r="G182" s="19"/>
      <c r="H182" s="19"/>
      <c r="I182" s="19">
        <f t="shared" si="389"/>
        <v>0</v>
      </c>
      <c r="J182" s="23"/>
      <c r="K182" s="23"/>
      <c r="L182" s="23"/>
      <c r="M182" s="23"/>
      <c r="N182" s="23"/>
      <c r="O182" s="23"/>
      <c r="P182" s="19">
        <f t="shared" ref="P182:P185" si="585">SUM(Q182:R182)</f>
        <v>0</v>
      </c>
      <c r="Q182" s="19">
        <v>0</v>
      </c>
      <c r="R182" s="19">
        <v>0</v>
      </c>
      <c r="S182" s="19">
        <v>0</v>
      </c>
      <c r="T182" s="23"/>
      <c r="U182" s="19">
        <f t="shared" ref="U182:U184" si="586">SUM(V182:AC182)</f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f t="shared" ref="AD182:AD185" si="587">SUM(AE182:AY182)</f>
        <v>2000000</v>
      </c>
      <c r="AE182" s="19">
        <v>0</v>
      </c>
      <c r="AF182" s="19">
        <v>0</v>
      </c>
      <c r="AG182" s="19">
        <v>0</v>
      </c>
      <c r="AH182" s="19">
        <v>0</v>
      </c>
      <c r="AI182" s="19">
        <v>0</v>
      </c>
      <c r="AJ182" s="23"/>
      <c r="AK182" s="23"/>
      <c r="AL182" s="23"/>
      <c r="AM182" s="23"/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2000000</v>
      </c>
      <c r="AZ182" s="23"/>
      <c r="BA182" s="23"/>
      <c r="BB182" s="23"/>
      <c r="BC182" s="19">
        <f t="shared" ref="BC182:BC185" si="588">SUM(BD182+BH182+BL182+BN182+BQ182)</f>
        <v>0</v>
      </c>
      <c r="BD182" s="19">
        <f t="shared" ref="BD182:BD184" si="589">SUM(BE182:BG182)</f>
        <v>0</v>
      </c>
      <c r="BE182" s="19">
        <v>0</v>
      </c>
      <c r="BF182" s="19">
        <v>0</v>
      </c>
      <c r="BG182" s="19">
        <v>0</v>
      </c>
      <c r="BH182" s="19">
        <f t="shared" ref="BH182:BH184" si="590">SUM(BI182:BK182)</f>
        <v>0</v>
      </c>
      <c r="BI182" s="19">
        <v>0</v>
      </c>
      <c r="BJ182" s="19">
        <v>0</v>
      </c>
      <c r="BK182" s="19">
        <v>0</v>
      </c>
      <c r="BL182" s="19">
        <v>0</v>
      </c>
      <c r="BM182" s="19">
        <v>0</v>
      </c>
      <c r="BN182" s="19">
        <f t="shared" ref="BN182:BN185" si="591">SUM(BO182)</f>
        <v>0</v>
      </c>
      <c r="BO182" s="19">
        <v>0</v>
      </c>
      <c r="BP182" s="19">
        <v>0</v>
      </c>
      <c r="BQ182" s="19">
        <f t="shared" ref="BQ182:BQ185" si="592">SUM(BR182:CB182)</f>
        <v>0</v>
      </c>
      <c r="BR182" s="19">
        <v>0</v>
      </c>
      <c r="BS182" s="19">
        <v>0</v>
      </c>
      <c r="BT182" s="19">
        <v>0</v>
      </c>
      <c r="BU182" s="19">
        <v>0</v>
      </c>
      <c r="BV182" s="19">
        <v>0</v>
      </c>
      <c r="BW182" s="19">
        <v>0</v>
      </c>
      <c r="BX182" s="19">
        <v>0</v>
      </c>
      <c r="BY182" s="19">
        <v>0</v>
      </c>
      <c r="BZ182" s="19">
        <v>0</v>
      </c>
      <c r="CA182" s="19">
        <v>0</v>
      </c>
      <c r="CB182" s="19">
        <v>0</v>
      </c>
      <c r="CC182" s="19">
        <f t="shared" ref="CC182:CC185" si="593">SUM(CD182+CU182)</f>
        <v>0</v>
      </c>
      <c r="CD182" s="19">
        <f t="shared" ref="CD182:CD185" si="594">SUM(CE182+CH182+CN182)</f>
        <v>0</v>
      </c>
      <c r="CE182" s="19">
        <f t="shared" ref="CE182:CE184" si="595">SUM(CF182:CG182)</f>
        <v>0</v>
      </c>
      <c r="CF182" s="19">
        <v>0</v>
      </c>
      <c r="CG182" s="23"/>
      <c r="CH182" s="19">
        <f t="shared" ref="CH182:CH184" si="596">SUM(CI182:CM182)</f>
        <v>0</v>
      </c>
      <c r="CI182" s="19">
        <v>0</v>
      </c>
      <c r="CJ182" s="19">
        <v>0</v>
      </c>
      <c r="CK182" s="19">
        <v>0</v>
      </c>
      <c r="CL182" s="19">
        <v>0</v>
      </c>
      <c r="CM182" s="19">
        <v>0</v>
      </c>
      <c r="CN182" s="19">
        <f t="shared" ref="CN182:CN185" si="597">SUM(CO182:CQ182)</f>
        <v>0</v>
      </c>
      <c r="CO182" s="19">
        <v>0</v>
      </c>
      <c r="CP182" s="19">
        <v>0</v>
      </c>
      <c r="CQ182" s="19"/>
      <c r="CR182" s="19"/>
      <c r="CS182" s="19"/>
      <c r="CT182" s="19"/>
      <c r="CU182" s="19">
        <v>0</v>
      </c>
      <c r="CV182" s="74"/>
      <c r="CW182" s="74"/>
      <c r="CX182" s="74"/>
      <c r="CY182" s="74"/>
      <c r="CZ182" s="19">
        <f t="shared" ref="CZ182:CZ184" si="598">SUM(DA182)</f>
        <v>0</v>
      </c>
      <c r="DA182" s="19">
        <f t="shared" ref="DA182:DA185" si="599">SUM(DB182:DC182)</f>
        <v>0</v>
      </c>
      <c r="DB182" s="19">
        <v>0</v>
      </c>
      <c r="DC182" s="20">
        <v>0</v>
      </c>
      <c r="DD182" s="52"/>
    </row>
    <row r="183" spans="1:108" s="88" customFormat="1" ht="31.2" x14ac:dyDescent="0.3">
      <c r="A183" s="96" t="s">
        <v>1</v>
      </c>
      <c r="B183" s="71" t="s">
        <v>56</v>
      </c>
      <c r="C183" s="72" t="s">
        <v>612</v>
      </c>
      <c r="D183" s="74">
        <f t="shared" ref="D183" si="600">SUM(E183+CC183+CZ183)</f>
        <v>2500000</v>
      </c>
      <c r="E183" s="74">
        <f t="shared" ref="E183" si="601">SUM(F183+BC183)</f>
        <v>2500000</v>
      </c>
      <c r="F183" s="74">
        <f t="shared" ref="F183" si="602">SUM(G183+H183+I183+P183+S183+T183+U183+AD183)</f>
        <v>2500000</v>
      </c>
      <c r="G183" s="74"/>
      <c r="H183" s="74"/>
      <c r="I183" s="74">
        <f t="shared" ref="I183" si="603">SUM(J183:O183)</f>
        <v>0</v>
      </c>
      <c r="J183" s="75"/>
      <c r="K183" s="75"/>
      <c r="L183" s="75"/>
      <c r="M183" s="75"/>
      <c r="N183" s="75"/>
      <c r="O183" s="75"/>
      <c r="P183" s="74">
        <f t="shared" ref="P183" si="604">SUM(Q183:R183)</f>
        <v>0</v>
      </c>
      <c r="Q183" s="74">
        <v>0</v>
      </c>
      <c r="R183" s="74">
        <v>0</v>
      </c>
      <c r="S183" s="74">
        <v>0</v>
      </c>
      <c r="T183" s="75"/>
      <c r="U183" s="74">
        <f t="shared" ref="U183" si="605">SUM(V183:AC183)</f>
        <v>0</v>
      </c>
      <c r="V183" s="74">
        <v>0</v>
      </c>
      <c r="W183" s="74">
        <v>0</v>
      </c>
      <c r="X183" s="74">
        <v>0</v>
      </c>
      <c r="Y183" s="74">
        <v>0</v>
      </c>
      <c r="Z183" s="74">
        <v>0</v>
      </c>
      <c r="AA183" s="74">
        <v>0</v>
      </c>
      <c r="AB183" s="74">
        <v>0</v>
      </c>
      <c r="AC183" s="74">
        <v>0</v>
      </c>
      <c r="AD183" s="74">
        <f t="shared" ref="AD183" si="606">SUM(AE183:AY183)</f>
        <v>2500000</v>
      </c>
      <c r="AE183" s="74">
        <v>0</v>
      </c>
      <c r="AF183" s="74">
        <v>0</v>
      </c>
      <c r="AG183" s="74">
        <v>0</v>
      </c>
      <c r="AH183" s="74">
        <v>0</v>
      </c>
      <c r="AI183" s="74">
        <v>0</v>
      </c>
      <c r="AJ183" s="75"/>
      <c r="AK183" s="75"/>
      <c r="AL183" s="75"/>
      <c r="AM183" s="75"/>
      <c r="AN183" s="75">
        <v>0</v>
      </c>
      <c r="AO183" s="75">
        <v>0</v>
      </c>
      <c r="AP183" s="75">
        <v>0</v>
      </c>
      <c r="AQ183" s="75">
        <v>0</v>
      </c>
      <c r="AR183" s="75">
        <v>0</v>
      </c>
      <c r="AS183" s="75">
        <v>0</v>
      </c>
      <c r="AT183" s="75">
        <v>0</v>
      </c>
      <c r="AU183" s="75">
        <v>0</v>
      </c>
      <c r="AV183" s="75">
        <v>0</v>
      </c>
      <c r="AW183" s="75">
        <v>0</v>
      </c>
      <c r="AX183" s="75">
        <v>0</v>
      </c>
      <c r="AY183" s="75">
        <v>2500000</v>
      </c>
      <c r="AZ183" s="75"/>
      <c r="BA183" s="75"/>
      <c r="BB183" s="75"/>
      <c r="BC183" s="74">
        <f t="shared" ref="BC183" si="607">SUM(BD183+BH183+BL183+BN183+BQ183)</f>
        <v>0</v>
      </c>
      <c r="BD183" s="74">
        <f t="shared" ref="BD183" si="608">SUM(BE183:BG183)</f>
        <v>0</v>
      </c>
      <c r="BE183" s="74">
        <v>0</v>
      </c>
      <c r="BF183" s="74">
        <v>0</v>
      </c>
      <c r="BG183" s="74">
        <v>0</v>
      </c>
      <c r="BH183" s="74">
        <f t="shared" ref="BH183" si="609">SUM(BI183:BK183)</f>
        <v>0</v>
      </c>
      <c r="BI183" s="74">
        <v>0</v>
      </c>
      <c r="BJ183" s="74">
        <v>0</v>
      </c>
      <c r="BK183" s="74">
        <v>0</v>
      </c>
      <c r="BL183" s="74">
        <v>0</v>
      </c>
      <c r="BM183" s="74">
        <v>0</v>
      </c>
      <c r="BN183" s="74">
        <f t="shared" ref="BN183" si="610">SUM(BO183)</f>
        <v>0</v>
      </c>
      <c r="BO183" s="74">
        <v>0</v>
      </c>
      <c r="BP183" s="74">
        <v>0</v>
      </c>
      <c r="BQ183" s="74">
        <f t="shared" ref="BQ183" si="611">SUM(BR183:CB183)</f>
        <v>0</v>
      </c>
      <c r="BR183" s="74">
        <v>0</v>
      </c>
      <c r="BS183" s="74">
        <v>0</v>
      </c>
      <c r="BT183" s="74">
        <v>0</v>
      </c>
      <c r="BU183" s="74">
        <v>0</v>
      </c>
      <c r="BV183" s="74">
        <v>0</v>
      </c>
      <c r="BW183" s="74">
        <v>0</v>
      </c>
      <c r="BX183" s="74">
        <v>0</v>
      </c>
      <c r="BY183" s="74">
        <v>0</v>
      </c>
      <c r="BZ183" s="74">
        <v>0</v>
      </c>
      <c r="CA183" s="74">
        <v>0</v>
      </c>
      <c r="CB183" s="74">
        <v>0</v>
      </c>
      <c r="CC183" s="74">
        <f t="shared" ref="CC183" si="612">SUM(CD183+CU183)</f>
        <v>0</v>
      </c>
      <c r="CD183" s="74">
        <f t="shared" ref="CD183" si="613">SUM(CE183+CH183+CN183)</f>
        <v>0</v>
      </c>
      <c r="CE183" s="74">
        <f t="shared" ref="CE183" si="614">SUM(CF183:CG183)</f>
        <v>0</v>
      </c>
      <c r="CF183" s="74">
        <v>0</v>
      </c>
      <c r="CG183" s="75"/>
      <c r="CH183" s="74">
        <f t="shared" ref="CH183" si="615">SUM(CI183:CM183)</f>
        <v>0</v>
      </c>
      <c r="CI183" s="74">
        <v>0</v>
      </c>
      <c r="CJ183" s="74">
        <v>0</v>
      </c>
      <c r="CK183" s="74">
        <v>0</v>
      </c>
      <c r="CL183" s="74">
        <v>0</v>
      </c>
      <c r="CM183" s="74">
        <v>0</v>
      </c>
      <c r="CN183" s="74">
        <f t="shared" ref="CN183" si="616">SUM(CO183:CQ183)</f>
        <v>0</v>
      </c>
      <c r="CO183" s="74">
        <v>0</v>
      </c>
      <c r="CP183" s="74">
        <v>0</v>
      </c>
      <c r="CQ183" s="74"/>
      <c r="CR183" s="74"/>
      <c r="CS183" s="74"/>
      <c r="CT183" s="74"/>
      <c r="CU183" s="74">
        <v>0</v>
      </c>
      <c r="CV183" s="74"/>
      <c r="CW183" s="74"/>
      <c r="CX183" s="74"/>
      <c r="CY183" s="74"/>
      <c r="CZ183" s="74">
        <f t="shared" ref="CZ183" si="617">SUM(DA183)</f>
        <v>0</v>
      </c>
      <c r="DA183" s="74">
        <f t="shared" ref="DA183" si="618">SUM(DB183:DC183)</f>
        <v>0</v>
      </c>
      <c r="DB183" s="74">
        <v>0</v>
      </c>
      <c r="DC183" s="77">
        <v>0</v>
      </c>
      <c r="DD183" s="78"/>
    </row>
    <row r="184" spans="1:108" s="88" customFormat="1" ht="15.6" x14ac:dyDescent="0.3">
      <c r="A184" s="96" t="s">
        <v>1</v>
      </c>
      <c r="B184" s="71" t="s">
        <v>56</v>
      </c>
      <c r="C184" s="72" t="s">
        <v>613</v>
      </c>
      <c r="D184" s="74">
        <f t="shared" si="582"/>
        <v>4895400</v>
      </c>
      <c r="E184" s="74">
        <f t="shared" si="583"/>
        <v>4895400</v>
      </c>
      <c r="F184" s="74">
        <f t="shared" si="584"/>
        <v>4895400</v>
      </c>
      <c r="G184" s="74"/>
      <c r="H184" s="74"/>
      <c r="I184" s="74">
        <f t="shared" si="389"/>
        <v>0</v>
      </c>
      <c r="J184" s="75"/>
      <c r="K184" s="75"/>
      <c r="L184" s="75"/>
      <c r="M184" s="75"/>
      <c r="N184" s="75"/>
      <c r="O184" s="75"/>
      <c r="P184" s="74">
        <f t="shared" si="585"/>
        <v>0</v>
      </c>
      <c r="Q184" s="74">
        <v>0</v>
      </c>
      <c r="R184" s="74">
        <v>0</v>
      </c>
      <c r="S184" s="74">
        <v>0</v>
      </c>
      <c r="T184" s="75"/>
      <c r="U184" s="74">
        <f t="shared" si="586"/>
        <v>0</v>
      </c>
      <c r="V184" s="74">
        <v>0</v>
      </c>
      <c r="W184" s="74">
        <v>0</v>
      </c>
      <c r="X184" s="74">
        <v>0</v>
      </c>
      <c r="Y184" s="74">
        <v>0</v>
      </c>
      <c r="Z184" s="74">
        <v>0</v>
      </c>
      <c r="AA184" s="74">
        <v>0</v>
      </c>
      <c r="AB184" s="74">
        <v>0</v>
      </c>
      <c r="AC184" s="74">
        <v>0</v>
      </c>
      <c r="AD184" s="74">
        <f t="shared" si="587"/>
        <v>4895400</v>
      </c>
      <c r="AE184" s="74">
        <v>0</v>
      </c>
      <c r="AF184" s="74">
        <v>0</v>
      </c>
      <c r="AG184" s="74">
        <v>0</v>
      </c>
      <c r="AH184" s="74">
        <v>0</v>
      </c>
      <c r="AI184" s="74">
        <v>0</v>
      </c>
      <c r="AJ184" s="75"/>
      <c r="AK184" s="75"/>
      <c r="AL184" s="75"/>
      <c r="AM184" s="75"/>
      <c r="AN184" s="75">
        <v>0</v>
      </c>
      <c r="AO184" s="75">
        <v>0</v>
      </c>
      <c r="AP184" s="75">
        <v>0</v>
      </c>
      <c r="AQ184" s="75">
        <v>0</v>
      </c>
      <c r="AR184" s="75">
        <v>0</v>
      </c>
      <c r="AS184" s="75">
        <v>0</v>
      </c>
      <c r="AT184" s="75">
        <v>0</v>
      </c>
      <c r="AU184" s="75">
        <v>0</v>
      </c>
      <c r="AV184" s="75">
        <v>0</v>
      </c>
      <c r="AW184" s="75">
        <v>0</v>
      </c>
      <c r="AX184" s="75">
        <v>0</v>
      </c>
      <c r="AY184" s="75">
        <v>4895400</v>
      </c>
      <c r="AZ184" s="75"/>
      <c r="BA184" s="75"/>
      <c r="BB184" s="75"/>
      <c r="BC184" s="74">
        <f t="shared" si="588"/>
        <v>0</v>
      </c>
      <c r="BD184" s="74">
        <f t="shared" si="589"/>
        <v>0</v>
      </c>
      <c r="BE184" s="74">
        <v>0</v>
      </c>
      <c r="BF184" s="74">
        <v>0</v>
      </c>
      <c r="BG184" s="74">
        <v>0</v>
      </c>
      <c r="BH184" s="74">
        <f t="shared" si="590"/>
        <v>0</v>
      </c>
      <c r="BI184" s="74">
        <v>0</v>
      </c>
      <c r="BJ184" s="74">
        <v>0</v>
      </c>
      <c r="BK184" s="74">
        <v>0</v>
      </c>
      <c r="BL184" s="74">
        <v>0</v>
      </c>
      <c r="BM184" s="74">
        <v>0</v>
      </c>
      <c r="BN184" s="74">
        <f t="shared" si="591"/>
        <v>0</v>
      </c>
      <c r="BO184" s="74">
        <v>0</v>
      </c>
      <c r="BP184" s="74">
        <v>0</v>
      </c>
      <c r="BQ184" s="74">
        <f t="shared" si="592"/>
        <v>0</v>
      </c>
      <c r="BR184" s="74">
        <v>0</v>
      </c>
      <c r="BS184" s="74">
        <v>0</v>
      </c>
      <c r="BT184" s="74">
        <v>0</v>
      </c>
      <c r="BU184" s="74">
        <v>0</v>
      </c>
      <c r="BV184" s="74">
        <v>0</v>
      </c>
      <c r="BW184" s="74">
        <v>0</v>
      </c>
      <c r="BX184" s="74">
        <v>0</v>
      </c>
      <c r="BY184" s="74">
        <v>0</v>
      </c>
      <c r="BZ184" s="74">
        <v>0</v>
      </c>
      <c r="CA184" s="74">
        <v>0</v>
      </c>
      <c r="CB184" s="74">
        <v>0</v>
      </c>
      <c r="CC184" s="74">
        <f t="shared" si="593"/>
        <v>0</v>
      </c>
      <c r="CD184" s="74">
        <f t="shared" si="594"/>
        <v>0</v>
      </c>
      <c r="CE184" s="74">
        <f t="shared" si="595"/>
        <v>0</v>
      </c>
      <c r="CF184" s="74">
        <v>0</v>
      </c>
      <c r="CG184" s="75"/>
      <c r="CH184" s="74">
        <f t="shared" si="596"/>
        <v>0</v>
      </c>
      <c r="CI184" s="74">
        <v>0</v>
      </c>
      <c r="CJ184" s="74">
        <v>0</v>
      </c>
      <c r="CK184" s="74">
        <v>0</v>
      </c>
      <c r="CL184" s="74">
        <v>0</v>
      </c>
      <c r="CM184" s="74">
        <v>0</v>
      </c>
      <c r="CN184" s="74">
        <f t="shared" si="597"/>
        <v>0</v>
      </c>
      <c r="CO184" s="74">
        <v>0</v>
      </c>
      <c r="CP184" s="74">
        <v>0</v>
      </c>
      <c r="CQ184" s="74"/>
      <c r="CR184" s="74"/>
      <c r="CS184" s="74"/>
      <c r="CT184" s="74"/>
      <c r="CU184" s="74">
        <v>0</v>
      </c>
      <c r="CV184" s="74"/>
      <c r="CW184" s="74"/>
      <c r="CX184" s="74"/>
      <c r="CY184" s="74"/>
      <c r="CZ184" s="74">
        <f t="shared" si="598"/>
        <v>0</v>
      </c>
      <c r="DA184" s="74">
        <f t="shared" si="599"/>
        <v>0</v>
      </c>
      <c r="DB184" s="74">
        <v>0</v>
      </c>
      <c r="DC184" s="77">
        <v>0</v>
      </c>
      <c r="DD184" s="78"/>
    </row>
    <row r="185" spans="1:108" ht="46.8" x14ac:dyDescent="0.3">
      <c r="A185" s="96"/>
      <c r="B185" s="89">
        <v>113</v>
      </c>
      <c r="C185" s="90" t="s">
        <v>481</v>
      </c>
      <c r="D185" s="74">
        <f t="shared" ref="D185" si="619">SUM(E185+CC185+CZ185)</f>
        <v>3000000</v>
      </c>
      <c r="E185" s="74">
        <f t="shared" ref="E185" si="620">SUM(F185+BC185)</f>
        <v>3000000</v>
      </c>
      <c r="F185" s="74">
        <f t="shared" ref="F185" si="621">SUM(G185+H185+I185+P185+S185+T185+U185+AD185)</f>
        <v>3000000</v>
      </c>
      <c r="G185" s="74">
        <v>0</v>
      </c>
      <c r="H185" s="74">
        <v>0</v>
      </c>
      <c r="I185" s="19">
        <f t="shared" si="389"/>
        <v>0</v>
      </c>
      <c r="J185" s="75">
        <v>0</v>
      </c>
      <c r="K185" s="75">
        <v>0</v>
      </c>
      <c r="L185" s="75">
        <v>0</v>
      </c>
      <c r="M185" s="75">
        <v>0</v>
      </c>
      <c r="N185" s="75">
        <v>0</v>
      </c>
      <c r="O185" s="75"/>
      <c r="P185" s="74">
        <f t="shared" si="585"/>
        <v>0</v>
      </c>
      <c r="Q185" s="74">
        <v>0</v>
      </c>
      <c r="R185" s="74">
        <v>0</v>
      </c>
      <c r="S185" s="74">
        <v>0</v>
      </c>
      <c r="T185" s="74">
        <v>0</v>
      </c>
      <c r="U185" s="74">
        <f>SUM(V185:AC185)</f>
        <v>0</v>
      </c>
      <c r="V185" s="74">
        <v>0</v>
      </c>
      <c r="W185" s="74">
        <v>0</v>
      </c>
      <c r="X185" s="74">
        <v>0</v>
      </c>
      <c r="Y185" s="74">
        <v>0</v>
      </c>
      <c r="Z185" s="74">
        <v>0</v>
      </c>
      <c r="AA185" s="74">
        <v>0</v>
      </c>
      <c r="AB185" s="74">
        <v>0</v>
      </c>
      <c r="AC185" s="74">
        <v>0</v>
      </c>
      <c r="AD185" s="74">
        <f t="shared" si="587"/>
        <v>3000000</v>
      </c>
      <c r="AE185" s="74">
        <v>0</v>
      </c>
      <c r="AF185" s="74">
        <v>0</v>
      </c>
      <c r="AG185" s="75">
        <v>3000000</v>
      </c>
      <c r="AH185" s="75">
        <v>0</v>
      </c>
      <c r="AI185" s="75">
        <v>0</v>
      </c>
      <c r="AJ185" s="75">
        <v>0</v>
      </c>
      <c r="AK185" s="75">
        <v>0</v>
      </c>
      <c r="AL185" s="75">
        <v>0</v>
      </c>
      <c r="AM185" s="75">
        <v>0</v>
      </c>
      <c r="AN185" s="75">
        <v>0</v>
      </c>
      <c r="AO185" s="75">
        <v>0</v>
      </c>
      <c r="AP185" s="75">
        <v>0</v>
      </c>
      <c r="AQ185" s="75">
        <v>0</v>
      </c>
      <c r="AR185" s="75">
        <v>0</v>
      </c>
      <c r="AS185" s="75">
        <v>0</v>
      </c>
      <c r="AT185" s="75">
        <v>0</v>
      </c>
      <c r="AU185" s="75">
        <v>0</v>
      </c>
      <c r="AV185" s="75">
        <v>0</v>
      </c>
      <c r="AW185" s="75">
        <v>0</v>
      </c>
      <c r="AX185" s="75">
        <v>0</v>
      </c>
      <c r="AY185" s="75">
        <v>0</v>
      </c>
      <c r="AZ185" s="75"/>
      <c r="BA185" s="75"/>
      <c r="BB185" s="75"/>
      <c r="BC185" s="74">
        <f t="shared" si="588"/>
        <v>0</v>
      </c>
      <c r="BD185" s="74">
        <f t="shared" ref="BD185" si="622">SUM(BE185:BG185)</f>
        <v>0</v>
      </c>
      <c r="BE185" s="74">
        <v>0</v>
      </c>
      <c r="BF185" s="74">
        <v>0</v>
      </c>
      <c r="BG185" s="74">
        <v>0</v>
      </c>
      <c r="BH185" s="74">
        <f t="shared" ref="BH185" si="623">SUM(BK185:BK185)</f>
        <v>0</v>
      </c>
      <c r="BI185" s="74">
        <v>0</v>
      </c>
      <c r="BJ185" s="74">
        <v>0</v>
      </c>
      <c r="BK185" s="74">
        <v>0</v>
      </c>
      <c r="BL185" s="74">
        <v>0</v>
      </c>
      <c r="BM185" s="74">
        <v>0</v>
      </c>
      <c r="BN185" s="74">
        <f t="shared" si="591"/>
        <v>0</v>
      </c>
      <c r="BO185" s="74">
        <v>0</v>
      </c>
      <c r="BP185" s="74">
        <v>0</v>
      </c>
      <c r="BQ185" s="74">
        <f t="shared" si="592"/>
        <v>0</v>
      </c>
      <c r="BR185" s="74">
        <v>0</v>
      </c>
      <c r="BS185" s="74">
        <v>0</v>
      </c>
      <c r="BT185" s="74">
        <v>0</v>
      </c>
      <c r="BU185" s="74">
        <v>0</v>
      </c>
      <c r="BV185" s="74">
        <v>0</v>
      </c>
      <c r="BW185" s="74">
        <v>0</v>
      </c>
      <c r="BX185" s="74">
        <v>0</v>
      </c>
      <c r="BY185" s="74">
        <v>0</v>
      </c>
      <c r="BZ185" s="74">
        <v>0</v>
      </c>
      <c r="CA185" s="74">
        <v>0</v>
      </c>
      <c r="CB185" s="74">
        <v>0</v>
      </c>
      <c r="CC185" s="74">
        <f t="shared" si="593"/>
        <v>0</v>
      </c>
      <c r="CD185" s="74">
        <f t="shared" si="594"/>
        <v>0</v>
      </c>
      <c r="CE185" s="74">
        <f t="shared" ref="CE185" si="624">SUM(CF185:CG185)</f>
        <v>0</v>
      </c>
      <c r="CF185" s="74">
        <v>0</v>
      </c>
      <c r="CG185" s="74"/>
      <c r="CH185" s="74">
        <f t="shared" ref="CH185" si="625">SUM(CI185:CM185)</f>
        <v>0</v>
      </c>
      <c r="CI185" s="74">
        <v>0</v>
      </c>
      <c r="CJ185" s="74">
        <v>0</v>
      </c>
      <c r="CK185" s="74">
        <v>0</v>
      </c>
      <c r="CL185" s="74">
        <v>0</v>
      </c>
      <c r="CM185" s="74">
        <v>0</v>
      </c>
      <c r="CN185" s="74">
        <f t="shared" si="597"/>
        <v>0</v>
      </c>
      <c r="CO185" s="74">
        <v>0</v>
      </c>
      <c r="CP185" s="74">
        <v>0</v>
      </c>
      <c r="CQ185" s="74"/>
      <c r="CR185" s="74"/>
      <c r="CS185" s="74"/>
      <c r="CT185" s="74"/>
      <c r="CU185" s="74">
        <v>0</v>
      </c>
      <c r="CV185" s="74"/>
      <c r="CW185" s="74"/>
      <c r="CX185" s="74"/>
      <c r="CY185" s="74"/>
      <c r="CZ185" s="74">
        <f t="shared" ref="CZ185" si="626">SUM(DA185)</f>
        <v>0</v>
      </c>
      <c r="DA185" s="74">
        <f t="shared" si="599"/>
        <v>0</v>
      </c>
      <c r="DB185" s="74">
        <v>0</v>
      </c>
      <c r="DC185" s="77">
        <v>0</v>
      </c>
      <c r="DD185" s="78"/>
    </row>
    <row r="186" spans="1:108" s="58" customFormat="1" ht="15.6" x14ac:dyDescent="0.3">
      <c r="A186" s="95" t="s">
        <v>244</v>
      </c>
      <c r="B186" s="25" t="s">
        <v>1</v>
      </c>
      <c r="C186" s="26" t="s">
        <v>245</v>
      </c>
      <c r="D186" s="27">
        <f t="shared" ref="D186:AR186" si="627">SUM(D187+D188+D189+D193+D195+D197+D199+D201+D209)</f>
        <v>807700551</v>
      </c>
      <c r="E186" s="27">
        <f t="shared" si="627"/>
        <v>807011479</v>
      </c>
      <c r="F186" s="27">
        <f t="shared" si="627"/>
        <v>289965120</v>
      </c>
      <c r="G186" s="27">
        <f t="shared" si="627"/>
        <v>24961909</v>
      </c>
      <c r="H186" s="27">
        <f t="shared" si="627"/>
        <v>5494359</v>
      </c>
      <c r="I186" s="27">
        <f t="shared" si="627"/>
        <v>14853093</v>
      </c>
      <c r="J186" s="27">
        <f t="shared" si="627"/>
        <v>1069331</v>
      </c>
      <c r="K186" s="27">
        <f t="shared" si="627"/>
        <v>59068</v>
      </c>
      <c r="L186" s="27">
        <f t="shared" si="627"/>
        <v>10115872</v>
      </c>
      <c r="M186" s="27">
        <f t="shared" si="627"/>
        <v>0</v>
      </c>
      <c r="N186" s="27">
        <f t="shared" si="627"/>
        <v>978756</v>
      </c>
      <c r="O186" s="27">
        <f t="shared" si="627"/>
        <v>2630066</v>
      </c>
      <c r="P186" s="27">
        <f t="shared" si="627"/>
        <v>0</v>
      </c>
      <c r="Q186" s="27">
        <f t="shared" si="627"/>
        <v>0</v>
      </c>
      <c r="R186" s="27">
        <f t="shared" si="627"/>
        <v>0</v>
      </c>
      <c r="S186" s="27">
        <f t="shared" si="627"/>
        <v>0</v>
      </c>
      <c r="T186" s="27">
        <f t="shared" si="627"/>
        <v>130711</v>
      </c>
      <c r="U186" s="27">
        <f t="shared" si="627"/>
        <v>225574369</v>
      </c>
      <c r="V186" s="27">
        <f t="shared" si="627"/>
        <v>164401</v>
      </c>
      <c r="W186" s="27">
        <f t="shared" si="627"/>
        <v>2212146</v>
      </c>
      <c r="X186" s="27">
        <f t="shared" si="627"/>
        <v>1579792</v>
      </c>
      <c r="Y186" s="27">
        <f t="shared" si="627"/>
        <v>1259570</v>
      </c>
      <c r="Z186" s="27">
        <f t="shared" si="627"/>
        <v>83196</v>
      </c>
      <c r="AA186" s="27">
        <f t="shared" si="627"/>
        <v>0</v>
      </c>
      <c r="AB186" s="27">
        <f t="shared" si="627"/>
        <v>220115786</v>
      </c>
      <c r="AC186" s="27">
        <f t="shared" si="627"/>
        <v>159478</v>
      </c>
      <c r="AD186" s="27">
        <f t="shared" si="627"/>
        <v>18950679</v>
      </c>
      <c r="AE186" s="27">
        <f t="shared" si="627"/>
        <v>0</v>
      </c>
      <c r="AF186" s="27">
        <f t="shared" si="627"/>
        <v>0</v>
      </c>
      <c r="AG186" s="27">
        <f t="shared" si="627"/>
        <v>1500</v>
      </c>
      <c r="AH186" s="27">
        <f t="shared" si="627"/>
        <v>54007</v>
      </c>
      <c r="AI186" s="27">
        <f t="shared" si="627"/>
        <v>0</v>
      </c>
      <c r="AJ186" s="27">
        <f t="shared" si="627"/>
        <v>7431</v>
      </c>
      <c r="AK186" s="27">
        <f t="shared" si="627"/>
        <v>0</v>
      </c>
      <c r="AL186" s="27">
        <f t="shared" si="627"/>
        <v>1955</v>
      </c>
      <c r="AM186" s="27">
        <f t="shared" si="627"/>
        <v>0</v>
      </c>
      <c r="AN186" s="27">
        <f t="shared" si="627"/>
        <v>0</v>
      </c>
      <c r="AO186" s="27">
        <f t="shared" si="627"/>
        <v>0</v>
      </c>
      <c r="AP186" s="27">
        <f t="shared" si="627"/>
        <v>0</v>
      </c>
      <c r="AQ186" s="27">
        <f t="shared" si="627"/>
        <v>259138</v>
      </c>
      <c r="AR186" s="27">
        <f t="shared" si="627"/>
        <v>77400</v>
      </c>
      <c r="AS186" s="27"/>
      <c r="AT186" s="27"/>
      <c r="AU186" s="27">
        <f>SUM(AU187+AU188+AU189+AU193+AU195+AU197+AU199+AU201+AU209)</f>
        <v>18133834</v>
      </c>
      <c r="AV186" s="27">
        <f>SUM(AV187+AV188+AV189+AV193+AV195+AV197+AV199+AV201+AV209)</f>
        <v>23367</v>
      </c>
      <c r="AW186" s="27">
        <f>SUM(AW187+AW188+AW189+AW193+AW195+AW197+AW199+AW201+AW209)</f>
        <v>0</v>
      </c>
      <c r="AX186" s="27"/>
      <c r="AY186" s="27">
        <f t="shared" ref="AY186:CP186" si="628">SUM(AY187+AY188+AY189+AY193+AY195+AY197+AY199+AY201+AY209)</f>
        <v>392047</v>
      </c>
      <c r="AZ186" s="27">
        <f t="shared" si="628"/>
        <v>0</v>
      </c>
      <c r="BA186" s="27">
        <f t="shared" si="628"/>
        <v>0</v>
      </c>
      <c r="BB186" s="27">
        <f t="shared" si="628"/>
        <v>0</v>
      </c>
      <c r="BC186" s="27">
        <f t="shared" si="628"/>
        <v>517046359</v>
      </c>
      <c r="BD186" s="27">
        <f t="shared" si="628"/>
        <v>5042516</v>
      </c>
      <c r="BE186" s="27">
        <f t="shared" si="628"/>
        <v>5042516</v>
      </c>
      <c r="BF186" s="27">
        <f t="shared" si="628"/>
        <v>0</v>
      </c>
      <c r="BG186" s="27">
        <f t="shared" si="628"/>
        <v>0</v>
      </c>
      <c r="BH186" s="27">
        <f t="shared" si="628"/>
        <v>0</v>
      </c>
      <c r="BI186" s="27">
        <f t="shared" si="628"/>
        <v>0</v>
      </c>
      <c r="BJ186" s="27">
        <f t="shared" si="628"/>
        <v>0</v>
      </c>
      <c r="BK186" s="27">
        <f t="shared" si="628"/>
        <v>0</v>
      </c>
      <c r="BL186" s="27">
        <f t="shared" si="628"/>
        <v>0</v>
      </c>
      <c r="BM186" s="27">
        <f t="shared" si="628"/>
        <v>0</v>
      </c>
      <c r="BN186" s="27">
        <f t="shared" si="628"/>
        <v>0</v>
      </c>
      <c r="BO186" s="27">
        <f t="shared" si="628"/>
        <v>0</v>
      </c>
      <c r="BP186" s="27">
        <f t="shared" si="628"/>
        <v>0</v>
      </c>
      <c r="BQ186" s="27">
        <f t="shared" si="628"/>
        <v>512003843</v>
      </c>
      <c r="BR186" s="27">
        <f t="shared" si="628"/>
        <v>61568124</v>
      </c>
      <c r="BS186" s="27">
        <f t="shared" si="628"/>
        <v>11052000</v>
      </c>
      <c r="BT186" s="27">
        <f t="shared" si="628"/>
        <v>0</v>
      </c>
      <c r="BU186" s="27">
        <f t="shared" si="628"/>
        <v>16500000</v>
      </c>
      <c r="BV186" s="27">
        <f t="shared" si="628"/>
        <v>10000</v>
      </c>
      <c r="BW186" s="27">
        <f t="shared" si="628"/>
        <v>0</v>
      </c>
      <c r="BX186" s="27">
        <f t="shared" si="628"/>
        <v>177950591</v>
      </c>
      <c r="BY186" s="27">
        <f t="shared" si="628"/>
        <v>2402500</v>
      </c>
      <c r="BZ186" s="27">
        <f t="shared" si="628"/>
        <v>275772</v>
      </c>
      <c r="CA186" s="27">
        <f t="shared" si="628"/>
        <v>190905046</v>
      </c>
      <c r="CB186" s="27">
        <f t="shared" si="628"/>
        <v>51339810</v>
      </c>
      <c r="CC186" s="27">
        <f t="shared" si="628"/>
        <v>689072</v>
      </c>
      <c r="CD186" s="27">
        <f t="shared" si="628"/>
        <v>689072</v>
      </c>
      <c r="CE186" s="27">
        <f t="shared" si="628"/>
        <v>689072</v>
      </c>
      <c r="CF186" s="27">
        <f t="shared" si="628"/>
        <v>0</v>
      </c>
      <c r="CG186" s="27">
        <f t="shared" si="628"/>
        <v>689072</v>
      </c>
      <c r="CH186" s="27">
        <f t="shared" si="628"/>
        <v>0</v>
      </c>
      <c r="CI186" s="27">
        <f t="shared" si="628"/>
        <v>0</v>
      </c>
      <c r="CJ186" s="27">
        <f t="shared" si="628"/>
        <v>0</v>
      </c>
      <c r="CK186" s="27">
        <f t="shared" si="628"/>
        <v>0</v>
      </c>
      <c r="CL186" s="27">
        <f t="shared" si="628"/>
        <v>0</v>
      </c>
      <c r="CM186" s="27">
        <f t="shared" si="628"/>
        <v>0</v>
      </c>
      <c r="CN186" s="27">
        <f t="shared" si="628"/>
        <v>0</v>
      </c>
      <c r="CO186" s="27">
        <f t="shared" si="628"/>
        <v>0</v>
      </c>
      <c r="CP186" s="27">
        <f t="shared" si="628"/>
        <v>0</v>
      </c>
      <c r="CQ186" s="27"/>
      <c r="CR186" s="27"/>
      <c r="CS186" s="27"/>
      <c r="CT186" s="27"/>
      <c r="CU186" s="27">
        <f t="shared" ref="CU186:DC186" si="629">SUM(CU187+CU188+CU189+CU193+CU195+CU197+CU199+CU201+CU209)</f>
        <v>0</v>
      </c>
      <c r="CV186" s="27">
        <f t="shared" si="629"/>
        <v>0</v>
      </c>
      <c r="CW186" s="27">
        <f t="shared" si="629"/>
        <v>0</v>
      </c>
      <c r="CX186" s="27">
        <f t="shared" si="629"/>
        <v>0</v>
      </c>
      <c r="CY186" s="27">
        <f t="shared" ref="CY186" si="630">SUM(CY187+CY188+CY189+CY193+CY195+CY197+CY199+CY201+CY209)</f>
        <v>0</v>
      </c>
      <c r="CZ186" s="27">
        <f t="shared" si="629"/>
        <v>0</v>
      </c>
      <c r="DA186" s="27">
        <f t="shared" si="629"/>
        <v>0</v>
      </c>
      <c r="DB186" s="27">
        <f t="shared" si="629"/>
        <v>0</v>
      </c>
      <c r="DC186" s="60">
        <f t="shared" si="629"/>
        <v>0</v>
      </c>
      <c r="DD186" s="57"/>
    </row>
    <row r="187" spans="1:108" s="58" customFormat="1" ht="15.6" x14ac:dyDescent="0.3">
      <c r="A187" s="98" t="s">
        <v>246</v>
      </c>
      <c r="B187" s="84" t="s">
        <v>1</v>
      </c>
      <c r="C187" s="85" t="s">
        <v>247</v>
      </c>
      <c r="D187" s="73">
        <f>SUM(E187+CC187+CZ187)</f>
        <v>93953077</v>
      </c>
      <c r="E187" s="73">
        <f>SUM(F187+BC187)</f>
        <v>93953077</v>
      </c>
      <c r="F187" s="73">
        <f t="shared" ref="F187:F188" si="631">SUM(G187+H187+I187+P187+S187+T187+U187+AD187)</f>
        <v>0</v>
      </c>
      <c r="G187" s="73">
        <v>0</v>
      </c>
      <c r="H187" s="73">
        <v>0</v>
      </c>
      <c r="I187" s="73">
        <f t="shared" si="389"/>
        <v>0</v>
      </c>
      <c r="J187" s="73">
        <v>0</v>
      </c>
      <c r="K187" s="73">
        <v>0</v>
      </c>
      <c r="L187" s="73">
        <v>0</v>
      </c>
      <c r="M187" s="73">
        <v>0</v>
      </c>
      <c r="N187" s="73">
        <v>0</v>
      </c>
      <c r="O187" s="73">
        <v>0</v>
      </c>
      <c r="P187" s="73">
        <f t="shared" si="390"/>
        <v>0</v>
      </c>
      <c r="Q187" s="73">
        <v>0</v>
      </c>
      <c r="R187" s="73">
        <v>0</v>
      </c>
      <c r="S187" s="73">
        <v>0</v>
      </c>
      <c r="T187" s="73">
        <v>0</v>
      </c>
      <c r="U187" s="73">
        <f t="shared" ref="U187:U188" si="632">SUM(V187:AC187)</f>
        <v>0</v>
      </c>
      <c r="V187" s="73">
        <v>0</v>
      </c>
      <c r="W187" s="73">
        <v>0</v>
      </c>
      <c r="X187" s="73">
        <v>0</v>
      </c>
      <c r="Y187" s="73">
        <v>0</v>
      </c>
      <c r="Z187" s="73">
        <v>0</v>
      </c>
      <c r="AA187" s="73">
        <v>0</v>
      </c>
      <c r="AB187" s="73">
        <v>0</v>
      </c>
      <c r="AC187" s="73">
        <v>0</v>
      </c>
      <c r="AD187" s="73">
        <f>SUM(AE187:AY187)</f>
        <v>0</v>
      </c>
      <c r="AE187" s="73">
        <v>0</v>
      </c>
      <c r="AF187" s="73">
        <v>0</v>
      </c>
      <c r="AG187" s="73">
        <v>0</v>
      </c>
      <c r="AH187" s="73">
        <v>0</v>
      </c>
      <c r="AI187" s="73">
        <v>0</v>
      </c>
      <c r="AJ187" s="73">
        <v>0</v>
      </c>
      <c r="AK187" s="73">
        <v>0</v>
      </c>
      <c r="AL187" s="73">
        <v>0</v>
      </c>
      <c r="AM187" s="73">
        <v>0</v>
      </c>
      <c r="AN187" s="73">
        <v>0</v>
      </c>
      <c r="AO187" s="73">
        <v>0</v>
      </c>
      <c r="AP187" s="73">
        <v>0</v>
      </c>
      <c r="AQ187" s="73">
        <v>0</v>
      </c>
      <c r="AR187" s="73">
        <v>0</v>
      </c>
      <c r="AS187" s="73"/>
      <c r="AT187" s="73"/>
      <c r="AU187" s="73">
        <v>0</v>
      </c>
      <c r="AV187" s="73">
        <v>0</v>
      </c>
      <c r="AW187" s="73">
        <v>0</v>
      </c>
      <c r="AX187" s="73"/>
      <c r="AY187" s="73">
        <v>0</v>
      </c>
      <c r="AZ187" s="73"/>
      <c r="BA187" s="73"/>
      <c r="BB187" s="73"/>
      <c r="BC187" s="73">
        <f>SUM(BD187+BH187+BL187+BN187+BQ187)</f>
        <v>93953077</v>
      </c>
      <c r="BD187" s="73">
        <f>SUM(BE187:BG187)</f>
        <v>0</v>
      </c>
      <c r="BE187" s="73">
        <v>0</v>
      </c>
      <c r="BF187" s="73">
        <v>0</v>
      </c>
      <c r="BG187" s="73">
        <v>0</v>
      </c>
      <c r="BH187" s="73">
        <f>SUM(BK187:BK187)</f>
        <v>0</v>
      </c>
      <c r="BI187" s="73">
        <v>0</v>
      </c>
      <c r="BJ187" s="73">
        <v>0</v>
      </c>
      <c r="BK187" s="73">
        <v>0</v>
      </c>
      <c r="BL187" s="73">
        <v>0</v>
      </c>
      <c r="BM187" s="73">
        <v>0</v>
      </c>
      <c r="BN187" s="73">
        <f t="shared" si="393"/>
        <v>0</v>
      </c>
      <c r="BO187" s="73">
        <v>0</v>
      </c>
      <c r="BP187" s="73">
        <v>0</v>
      </c>
      <c r="BQ187" s="73">
        <f>SUM(BR187:CB187)</f>
        <v>93953077</v>
      </c>
      <c r="BR187" s="86">
        <v>47239012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44345967</v>
      </c>
      <c r="CB187" s="86">
        <f>489698+1878400</f>
        <v>2368098</v>
      </c>
      <c r="CC187" s="73">
        <f>SUM(CD187+CU187)</f>
        <v>0</v>
      </c>
      <c r="CD187" s="73">
        <f>SUM(CE187+CH187+CN187)</f>
        <v>0</v>
      </c>
      <c r="CE187" s="73">
        <f t="shared" si="394"/>
        <v>0</v>
      </c>
      <c r="CF187" s="73">
        <v>0</v>
      </c>
      <c r="CG187" s="73">
        <v>0</v>
      </c>
      <c r="CH187" s="73">
        <f>SUM(CI187:CM187)</f>
        <v>0</v>
      </c>
      <c r="CI187" s="73">
        <v>0</v>
      </c>
      <c r="CJ187" s="73">
        <v>0</v>
      </c>
      <c r="CK187" s="73">
        <v>0</v>
      </c>
      <c r="CL187" s="73">
        <v>0</v>
      </c>
      <c r="CM187" s="73">
        <v>0</v>
      </c>
      <c r="CN187" s="73">
        <f>SUM(CO187:CQ187)</f>
        <v>0</v>
      </c>
      <c r="CO187" s="73">
        <v>0</v>
      </c>
      <c r="CP187" s="73">
        <v>0</v>
      </c>
      <c r="CQ187" s="73"/>
      <c r="CR187" s="73"/>
      <c r="CS187" s="73"/>
      <c r="CT187" s="73"/>
      <c r="CU187" s="73">
        <v>0</v>
      </c>
      <c r="CV187" s="73"/>
      <c r="CW187" s="73"/>
      <c r="CX187" s="73"/>
      <c r="CY187" s="73"/>
      <c r="CZ187" s="73">
        <f t="shared" si="396"/>
        <v>0</v>
      </c>
      <c r="DA187" s="73">
        <f t="shared" si="397"/>
        <v>0</v>
      </c>
      <c r="DB187" s="73">
        <v>0</v>
      </c>
      <c r="DC187" s="87">
        <v>0</v>
      </c>
      <c r="DD187" s="88"/>
    </row>
    <row r="188" spans="1:108" ht="31.2" x14ac:dyDescent="0.3">
      <c r="A188" s="93" t="s">
        <v>248</v>
      </c>
      <c r="B188" s="16" t="s">
        <v>1</v>
      </c>
      <c r="C188" s="17" t="s">
        <v>249</v>
      </c>
      <c r="D188" s="18">
        <f>SUM(E188+CC188+CZ188)</f>
        <v>18254257</v>
      </c>
      <c r="E188" s="18">
        <f>SUM(F188+BC188)</f>
        <v>18254257</v>
      </c>
      <c r="F188" s="18">
        <f t="shared" si="631"/>
        <v>0</v>
      </c>
      <c r="G188" s="18">
        <v>0</v>
      </c>
      <c r="H188" s="18">
        <v>0</v>
      </c>
      <c r="I188" s="18">
        <f t="shared" si="389"/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f t="shared" si="390"/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f t="shared" si="632"/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f>SUM(AE188:AY188)</f>
        <v>0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0</v>
      </c>
      <c r="AR188" s="18">
        <v>0</v>
      </c>
      <c r="AS188" s="18"/>
      <c r="AT188" s="18"/>
      <c r="AU188" s="18">
        <v>0</v>
      </c>
      <c r="AV188" s="18">
        <v>0</v>
      </c>
      <c r="AW188" s="18">
        <v>0</v>
      </c>
      <c r="AX188" s="18"/>
      <c r="AY188" s="18">
        <v>0</v>
      </c>
      <c r="AZ188" s="18"/>
      <c r="BA188" s="18"/>
      <c r="BB188" s="18"/>
      <c r="BC188" s="18">
        <f>SUM(BD188+BH188+BL188+BN188+BQ188)</f>
        <v>18254257</v>
      </c>
      <c r="BD188" s="18">
        <f>SUM(BE188:BG188)</f>
        <v>0</v>
      </c>
      <c r="BE188" s="18">
        <v>0</v>
      </c>
      <c r="BF188" s="18">
        <v>0</v>
      </c>
      <c r="BG188" s="18">
        <v>0</v>
      </c>
      <c r="BH188" s="18">
        <f>SUM(BK188:BK188)</f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18">
        <f t="shared" si="393"/>
        <v>0</v>
      </c>
      <c r="BO188" s="18">
        <v>0</v>
      </c>
      <c r="BP188" s="18">
        <v>0</v>
      </c>
      <c r="BQ188" s="18">
        <f>SUM(BR188:CB188)</f>
        <v>18254257</v>
      </c>
      <c r="BR188" s="56">
        <v>14329112</v>
      </c>
      <c r="BS188" s="56">
        <v>0</v>
      </c>
      <c r="BT188" s="56">
        <v>0</v>
      </c>
      <c r="BU188" s="56">
        <v>0</v>
      </c>
      <c r="BV188" s="56">
        <v>0</v>
      </c>
      <c r="BW188" s="56">
        <v>0</v>
      </c>
      <c r="BX188" s="56">
        <v>0</v>
      </c>
      <c r="BY188" s="56">
        <v>0</v>
      </c>
      <c r="BZ188" s="56">
        <v>0</v>
      </c>
      <c r="CA188" s="56">
        <v>3404430</v>
      </c>
      <c r="CB188" s="56">
        <f>476715+44000</f>
        <v>520715</v>
      </c>
      <c r="CC188" s="18">
        <f>SUM(CD188+CU188)</f>
        <v>0</v>
      </c>
      <c r="CD188" s="18">
        <f>SUM(CE188+CH188+CN188)</f>
        <v>0</v>
      </c>
      <c r="CE188" s="18">
        <f t="shared" si="394"/>
        <v>0</v>
      </c>
      <c r="CF188" s="18">
        <v>0</v>
      </c>
      <c r="CG188" s="18">
        <v>0</v>
      </c>
      <c r="CH188" s="18">
        <f>SUM(CI188:CM188)</f>
        <v>0</v>
      </c>
      <c r="CI188" s="18">
        <v>0</v>
      </c>
      <c r="CJ188" s="18">
        <v>0</v>
      </c>
      <c r="CK188" s="18">
        <v>0</v>
      </c>
      <c r="CL188" s="18">
        <v>0</v>
      </c>
      <c r="CM188" s="18">
        <v>0</v>
      </c>
      <c r="CN188" s="18">
        <f>SUM(CO188:CQ188)</f>
        <v>0</v>
      </c>
      <c r="CO188" s="18">
        <v>0</v>
      </c>
      <c r="CP188" s="18">
        <v>0</v>
      </c>
      <c r="CQ188" s="18"/>
      <c r="CR188" s="18"/>
      <c r="CS188" s="18"/>
      <c r="CT188" s="18"/>
      <c r="CU188" s="18">
        <v>0</v>
      </c>
      <c r="CV188" s="73"/>
      <c r="CW188" s="73"/>
      <c r="CX188" s="73"/>
      <c r="CY188" s="73"/>
      <c r="CZ188" s="18">
        <f t="shared" si="396"/>
        <v>0</v>
      </c>
      <c r="DA188" s="18">
        <f t="shared" si="397"/>
        <v>0</v>
      </c>
      <c r="DB188" s="18">
        <v>0</v>
      </c>
      <c r="DC188" s="46">
        <v>0</v>
      </c>
      <c r="DD188" s="57"/>
    </row>
    <row r="189" spans="1:108" s="78" customFormat="1" ht="15.6" x14ac:dyDescent="0.3">
      <c r="A189" s="93" t="s">
        <v>250</v>
      </c>
      <c r="B189" s="16" t="s">
        <v>1</v>
      </c>
      <c r="C189" s="17" t="s">
        <v>251</v>
      </c>
      <c r="D189" s="18">
        <f>SUM(D190:D192)</f>
        <v>47169678</v>
      </c>
      <c r="E189" s="18">
        <f t="shared" ref="E189:BW189" si="633">SUM(E190:E192)</f>
        <v>46522928</v>
      </c>
      <c r="F189" s="18">
        <f t="shared" si="633"/>
        <v>46522928</v>
      </c>
      <c r="G189" s="18">
        <f>SUM(G190:G192)</f>
        <v>23055112</v>
      </c>
      <c r="H189" s="18">
        <f>SUM(H190:H192)</f>
        <v>5295124</v>
      </c>
      <c r="I189" s="18">
        <f t="shared" si="633"/>
        <v>12148474</v>
      </c>
      <c r="J189" s="18">
        <f t="shared" si="633"/>
        <v>1069331</v>
      </c>
      <c r="K189" s="18">
        <f t="shared" si="633"/>
        <v>59068</v>
      </c>
      <c r="L189" s="18">
        <f t="shared" si="633"/>
        <v>10115872</v>
      </c>
      <c r="M189" s="18">
        <f t="shared" si="633"/>
        <v>0</v>
      </c>
      <c r="N189" s="18">
        <f t="shared" si="633"/>
        <v>536022</v>
      </c>
      <c r="O189" s="18">
        <f t="shared" si="633"/>
        <v>368181</v>
      </c>
      <c r="P189" s="18">
        <f t="shared" si="633"/>
        <v>0</v>
      </c>
      <c r="Q189" s="18">
        <f t="shared" si="633"/>
        <v>0</v>
      </c>
      <c r="R189" s="18">
        <f t="shared" si="633"/>
        <v>0</v>
      </c>
      <c r="S189" s="18">
        <f t="shared" si="633"/>
        <v>0</v>
      </c>
      <c r="T189" s="18">
        <f t="shared" si="633"/>
        <v>58853</v>
      </c>
      <c r="U189" s="18">
        <f t="shared" si="633"/>
        <v>5458583</v>
      </c>
      <c r="V189" s="18">
        <f t="shared" si="633"/>
        <v>164401</v>
      </c>
      <c r="W189" s="18">
        <f t="shared" si="633"/>
        <v>2212146</v>
      </c>
      <c r="X189" s="18">
        <f t="shared" si="633"/>
        <v>1579792</v>
      </c>
      <c r="Y189" s="18">
        <f t="shared" si="633"/>
        <v>1259570</v>
      </c>
      <c r="Z189" s="18">
        <f t="shared" si="633"/>
        <v>83196</v>
      </c>
      <c r="AA189" s="18">
        <f t="shared" si="633"/>
        <v>0</v>
      </c>
      <c r="AB189" s="18">
        <f t="shared" si="633"/>
        <v>0</v>
      </c>
      <c r="AC189" s="18">
        <f t="shared" si="633"/>
        <v>159478</v>
      </c>
      <c r="AD189" s="18">
        <f t="shared" si="633"/>
        <v>506782</v>
      </c>
      <c r="AE189" s="18">
        <f t="shared" si="633"/>
        <v>0</v>
      </c>
      <c r="AF189" s="18">
        <f t="shared" si="633"/>
        <v>0</v>
      </c>
      <c r="AG189" s="18">
        <f t="shared" si="633"/>
        <v>1500</v>
      </c>
      <c r="AH189" s="18">
        <f t="shared" si="633"/>
        <v>54007</v>
      </c>
      <c r="AI189" s="18">
        <f t="shared" si="633"/>
        <v>0</v>
      </c>
      <c r="AJ189" s="18">
        <f t="shared" si="633"/>
        <v>7431</v>
      </c>
      <c r="AK189" s="18">
        <f t="shared" si="633"/>
        <v>0</v>
      </c>
      <c r="AL189" s="18">
        <f t="shared" si="633"/>
        <v>1955</v>
      </c>
      <c r="AM189" s="18">
        <f t="shared" si="633"/>
        <v>0</v>
      </c>
      <c r="AN189" s="18">
        <f t="shared" si="633"/>
        <v>0</v>
      </c>
      <c r="AO189" s="18">
        <f t="shared" si="633"/>
        <v>0</v>
      </c>
      <c r="AP189" s="18">
        <f t="shared" si="633"/>
        <v>0</v>
      </c>
      <c r="AQ189" s="18">
        <f t="shared" si="633"/>
        <v>259138</v>
      </c>
      <c r="AR189" s="18">
        <f t="shared" si="633"/>
        <v>77400</v>
      </c>
      <c r="AS189" s="18"/>
      <c r="AT189" s="18"/>
      <c r="AU189" s="18">
        <f t="shared" si="633"/>
        <v>6304</v>
      </c>
      <c r="AV189" s="18">
        <f t="shared" si="633"/>
        <v>0</v>
      </c>
      <c r="AW189" s="18">
        <f t="shared" si="633"/>
        <v>0</v>
      </c>
      <c r="AX189" s="18"/>
      <c r="AY189" s="18">
        <f t="shared" si="633"/>
        <v>99047</v>
      </c>
      <c r="AZ189" s="18">
        <f t="shared" si="633"/>
        <v>0</v>
      </c>
      <c r="BA189" s="18">
        <f t="shared" si="633"/>
        <v>0</v>
      </c>
      <c r="BB189" s="18">
        <f t="shared" si="633"/>
        <v>0</v>
      </c>
      <c r="BC189" s="18">
        <f t="shared" si="633"/>
        <v>0</v>
      </c>
      <c r="BD189" s="18">
        <f t="shared" si="633"/>
        <v>0</v>
      </c>
      <c r="BE189" s="18">
        <f t="shared" si="633"/>
        <v>0</v>
      </c>
      <c r="BF189" s="18">
        <f t="shared" si="633"/>
        <v>0</v>
      </c>
      <c r="BG189" s="18">
        <f t="shared" si="633"/>
        <v>0</v>
      </c>
      <c r="BH189" s="18">
        <f t="shared" si="633"/>
        <v>0</v>
      </c>
      <c r="BI189" s="18">
        <f t="shared" si="633"/>
        <v>0</v>
      </c>
      <c r="BJ189" s="18">
        <f t="shared" ref="BJ189" si="634">SUM(BJ190:BJ192)</f>
        <v>0</v>
      </c>
      <c r="BK189" s="18">
        <f t="shared" si="633"/>
        <v>0</v>
      </c>
      <c r="BL189" s="18">
        <f t="shared" si="633"/>
        <v>0</v>
      </c>
      <c r="BM189" s="18">
        <f t="shared" ref="BM189" si="635">SUM(BM190:BM192)</f>
        <v>0</v>
      </c>
      <c r="BN189" s="18">
        <f t="shared" si="633"/>
        <v>0</v>
      </c>
      <c r="BO189" s="18">
        <f t="shared" si="633"/>
        <v>0</v>
      </c>
      <c r="BP189" s="18">
        <f t="shared" ref="BP189" si="636">SUM(BP190:BP192)</f>
        <v>0</v>
      </c>
      <c r="BQ189" s="18">
        <f t="shared" si="633"/>
        <v>0</v>
      </c>
      <c r="BR189" s="18">
        <f t="shared" si="633"/>
        <v>0</v>
      </c>
      <c r="BS189" s="18">
        <f t="shared" si="633"/>
        <v>0</v>
      </c>
      <c r="BT189" s="18">
        <f t="shared" si="633"/>
        <v>0</v>
      </c>
      <c r="BU189" s="18">
        <f t="shared" si="633"/>
        <v>0</v>
      </c>
      <c r="BV189" s="18">
        <f t="shared" si="633"/>
        <v>0</v>
      </c>
      <c r="BW189" s="18">
        <f t="shared" si="633"/>
        <v>0</v>
      </c>
      <c r="BX189" s="18">
        <f t="shared" ref="BX189:DC189" si="637">SUM(BX190:BX192)</f>
        <v>0</v>
      </c>
      <c r="BY189" s="18">
        <f t="shared" si="637"/>
        <v>0</v>
      </c>
      <c r="BZ189" s="18">
        <f t="shared" si="637"/>
        <v>0</v>
      </c>
      <c r="CA189" s="18">
        <f t="shared" si="637"/>
        <v>0</v>
      </c>
      <c r="CB189" s="18">
        <f t="shared" si="637"/>
        <v>0</v>
      </c>
      <c r="CC189" s="18">
        <f t="shared" si="637"/>
        <v>646750</v>
      </c>
      <c r="CD189" s="18">
        <f t="shared" si="637"/>
        <v>646750</v>
      </c>
      <c r="CE189" s="18">
        <f t="shared" si="637"/>
        <v>646750</v>
      </c>
      <c r="CF189" s="18">
        <f t="shared" si="637"/>
        <v>0</v>
      </c>
      <c r="CG189" s="18">
        <f t="shared" si="637"/>
        <v>646750</v>
      </c>
      <c r="CH189" s="18">
        <f t="shared" si="637"/>
        <v>0</v>
      </c>
      <c r="CI189" s="18">
        <f t="shared" si="637"/>
        <v>0</v>
      </c>
      <c r="CJ189" s="18">
        <f t="shared" ref="CJ189:CK189" si="638">SUM(CJ190:CJ192)</f>
        <v>0</v>
      </c>
      <c r="CK189" s="18">
        <f t="shared" si="638"/>
        <v>0</v>
      </c>
      <c r="CL189" s="18">
        <f t="shared" si="637"/>
        <v>0</v>
      </c>
      <c r="CM189" s="18">
        <f t="shared" ref="CM189" si="639">SUM(CM190:CM192)</f>
        <v>0</v>
      </c>
      <c r="CN189" s="18">
        <f t="shared" si="637"/>
        <v>0</v>
      </c>
      <c r="CO189" s="18">
        <f t="shared" ref="CO189" si="640">SUM(CO190:CO192)</f>
        <v>0</v>
      </c>
      <c r="CP189" s="18">
        <f t="shared" si="637"/>
        <v>0</v>
      </c>
      <c r="CQ189" s="18"/>
      <c r="CR189" s="18"/>
      <c r="CS189" s="18"/>
      <c r="CT189" s="18"/>
      <c r="CU189" s="18">
        <f t="shared" si="637"/>
        <v>0</v>
      </c>
      <c r="CV189" s="73"/>
      <c r="CW189" s="73"/>
      <c r="CX189" s="73"/>
      <c r="CY189" s="73"/>
      <c r="CZ189" s="18">
        <f t="shared" si="637"/>
        <v>0</v>
      </c>
      <c r="DA189" s="18">
        <f t="shared" si="637"/>
        <v>0</v>
      </c>
      <c r="DB189" s="18">
        <f t="shared" si="637"/>
        <v>0</v>
      </c>
      <c r="DC189" s="46">
        <f t="shared" si="637"/>
        <v>0</v>
      </c>
      <c r="DD189" s="57"/>
    </row>
    <row r="190" spans="1:108" s="78" customFormat="1" ht="15.6" x14ac:dyDescent="0.3">
      <c r="A190" s="96" t="s">
        <v>1</v>
      </c>
      <c r="B190" s="71" t="s">
        <v>54</v>
      </c>
      <c r="C190" s="72" t="s">
        <v>252</v>
      </c>
      <c r="D190" s="74">
        <f>SUM(E190+CC190+CZ190)</f>
        <v>7690653</v>
      </c>
      <c r="E190" s="74">
        <f>SUM(F190+BC190)</f>
        <v>7637723</v>
      </c>
      <c r="F190" s="74">
        <f t="shared" ref="F190:F192" si="641">SUM(G190+H190+I190+P190+S190+T190+U190+AD190)</f>
        <v>7637723</v>
      </c>
      <c r="G190" s="74">
        <v>4307031</v>
      </c>
      <c r="H190" s="74">
        <v>1010042</v>
      </c>
      <c r="I190" s="74">
        <f t="shared" si="389"/>
        <v>1776248</v>
      </c>
      <c r="J190" s="75">
        <v>147480</v>
      </c>
      <c r="K190" s="75">
        <v>30348</v>
      </c>
      <c r="L190" s="75">
        <f>1489294-256462</f>
        <v>1232832</v>
      </c>
      <c r="M190" s="75">
        <v>0</v>
      </c>
      <c r="N190" s="75">
        <v>102274</v>
      </c>
      <c r="O190" s="75">
        <v>263314</v>
      </c>
      <c r="P190" s="74">
        <f t="shared" si="390"/>
        <v>0</v>
      </c>
      <c r="Q190" s="74">
        <v>0</v>
      </c>
      <c r="R190" s="74">
        <v>0</v>
      </c>
      <c r="S190" s="74">
        <v>0</v>
      </c>
      <c r="T190" s="75">
        <v>7149</v>
      </c>
      <c r="U190" s="74">
        <f t="shared" ref="U190:U192" si="642">SUM(V190:AC190)</f>
        <v>480380</v>
      </c>
      <c r="V190" s="75">
        <v>47633</v>
      </c>
      <c r="W190" s="75">
        <f>62457+16863</f>
        <v>79320</v>
      </c>
      <c r="X190" s="75">
        <f>131016+60287</f>
        <v>191303</v>
      </c>
      <c r="Y190" s="75">
        <f>64600+11991</f>
        <v>76591</v>
      </c>
      <c r="Z190" s="75">
        <v>19570</v>
      </c>
      <c r="AA190" s="75">
        <v>0</v>
      </c>
      <c r="AB190" s="75">
        <v>0</v>
      </c>
      <c r="AC190" s="75">
        <f>56382+9581</f>
        <v>65963</v>
      </c>
      <c r="AD190" s="74">
        <f>SUM(AE190:AY190)</f>
        <v>56873</v>
      </c>
      <c r="AE190" s="74">
        <v>0</v>
      </c>
      <c r="AF190" s="74">
        <v>0</v>
      </c>
      <c r="AG190" s="74">
        <v>0</v>
      </c>
      <c r="AH190" s="75">
        <v>4130</v>
      </c>
      <c r="AI190" s="75">
        <v>0</v>
      </c>
      <c r="AJ190" s="75">
        <v>0</v>
      </c>
      <c r="AK190" s="75">
        <v>0</v>
      </c>
      <c r="AL190" s="75">
        <v>101</v>
      </c>
      <c r="AM190" s="75">
        <v>0</v>
      </c>
      <c r="AN190" s="75">
        <v>0</v>
      </c>
      <c r="AO190" s="75">
        <v>0</v>
      </c>
      <c r="AP190" s="75">
        <v>0</v>
      </c>
      <c r="AQ190" s="75">
        <v>40642</v>
      </c>
      <c r="AR190" s="75">
        <v>12000</v>
      </c>
      <c r="AS190" s="75">
        <v>0</v>
      </c>
      <c r="AT190" s="75">
        <v>0</v>
      </c>
      <c r="AU190" s="75">
        <v>0</v>
      </c>
      <c r="AV190" s="75">
        <v>0</v>
      </c>
      <c r="AW190" s="75">
        <v>0</v>
      </c>
      <c r="AX190" s="75">
        <v>0</v>
      </c>
      <c r="AY190" s="75">
        <v>0</v>
      </c>
      <c r="AZ190" s="75"/>
      <c r="BA190" s="75"/>
      <c r="BB190" s="75"/>
      <c r="BC190" s="74">
        <f>SUM(BD190+BH190+BL190+BN190+BQ190)</f>
        <v>0</v>
      </c>
      <c r="BD190" s="74">
        <f>SUM(BE190:BG190)</f>
        <v>0</v>
      </c>
      <c r="BE190" s="74">
        <v>0</v>
      </c>
      <c r="BF190" s="74">
        <v>0</v>
      </c>
      <c r="BG190" s="74">
        <v>0</v>
      </c>
      <c r="BH190" s="74">
        <f>SUM(BK190:BK190)</f>
        <v>0</v>
      </c>
      <c r="BI190" s="74">
        <v>0</v>
      </c>
      <c r="BJ190" s="74">
        <v>0</v>
      </c>
      <c r="BK190" s="74">
        <v>0</v>
      </c>
      <c r="BL190" s="74">
        <v>0</v>
      </c>
      <c r="BM190" s="74">
        <v>0</v>
      </c>
      <c r="BN190" s="74">
        <f t="shared" si="393"/>
        <v>0</v>
      </c>
      <c r="BO190" s="74">
        <v>0</v>
      </c>
      <c r="BP190" s="74">
        <v>0</v>
      </c>
      <c r="BQ190" s="74">
        <f>SUM(BR190:CB190)</f>
        <v>0</v>
      </c>
      <c r="BR190" s="74">
        <v>0</v>
      </c>
      <c r="BS190" s="74">
        <v>0</v>
      </c>
      <c r="BT190" s="74">
        <v>0</v>
      </c>
      <c r="BU190" s="74">
        <v>0</v>
      </c>
      <c r="BV190" s="74">
        <v>0</v>
      </c>
      <c r="BW190" s="74">
        <v>0</v>
      </c>
      <c r="BX190" s="74">
        <v>0</v>
      </c>
      <c r="BY190" s="74">
        <v>0</v>
      </c>
      <c r="BZ190" s="74">
        <v>0</v>
      </c>
      <c r="CA190" s="74">
        <v>0</v>
      </c>
      <c r="CB190" s="74">
        <v>0</v>
      </c>
      <c r="CC190" s="74">
        <f>SUM(CD190+CU190)</f>
        <v>52930</v>
      </c>
      <c r="CD190" s="74">
        <f>SUM(CE190+CH190+CN190)</f>
        <v>52930</v>
      </c>
      <c r="CE190" s="74">
        <f t="shared" si="394"/>
        <v>52930</v>
      </c>
      <c r="CF190" s="74">
        <v>0</v>
      </c>
      <c r="CG190" s="75">
        <v>52930</v>
      </c>
      <c r="CH190" s="74">
        <f t="shared" ref="CH190:CH192" si="643">SUM(CI190:CM190)</f>
        <v>0</v>
      </c>
      <c r="CI190" s="74">
        <v>0</v>
      </c>
      <c r="CJ190" s="74">
        <v>0</v>
      </c>
      <c r="CK190" s="74">
        <v>0</v>
      </c>
      <c r="CL190" s="74">
        <v>0</v>
      </c>
      <c r="CM190" s="74">
        <v>0</v>
      </c>
      <c r="CN190" s="74">
        <f>SUM(CO190:CQ190)</f>
        <v>0</v>
      </c>
      <c r="CO190" s="74">
        <v>0</v>
      </c>
      <c r="CP190" s="74">
        <v>0</v>
      </c>
      <c r="CQ190" s="74"/>
      <c r="CR190" s="74"/>
      <c r="CS190" s="74"/>
      <c r="CT190" s="74"/>
      <c r="CU190" s="74">
        <v>0</v>
      </c>
      <c r="CV190" s="74"/>
      <c r="CW190" s="74"/>
      <c r="CX190" s="74"/>
      <c r="CY190" s="74"/>
      <c r="CZ190" s="74">
        <f t="shared" si="396"/>
        <v>0</v>
      </c>
      <c r="DA190" s="74">
        <f t="shared" si="397"/>
        <v>0</v>
      </c>
      <c r="DB190" s="74">
        <v>0</v>
      </c>
      <c r="DC190" s="77">
        <v>0</v>
      </c>
    </row>
    <row r="191" spans="1:108" s="88" customFormat="1" ht="31.2" x14ac:dyDescent="0.3">
      <c r="A191" s="96" t="s">
        <v>1</v>
      </c>
      <c r="B191" s="71" t="s">
        <v>54</v>
      </c>
      <c r="C191" s="72" t="s">
        <v>253</v>
      </c>
      <c r="D191" s="74">
        <f>SUM(E191+CC191+CZ191)</f>
        <v>38258769</v>
      </c>
      <c r="E191" s="74">
        <f>SUM(F191+BC191)</f>
        <v>37664949</v>
      </c>
      <c r="F191" s="74">
        <f t="shared" si="641"/>
        <v>37664949</v>
      </c>
      <c r="G191" s="74">
        <v>17807341</v>
      </c>
      <c r="H191" s="74">
        <v>4063122</v>
      </c>
      <c r="I191" s="74">
        <f t="shared" si="389"/>
        <v>10336076</v>
      </c>
      <c r="J191" s="75">
        <v>921851</v>
      </c>
      <c r="K191" s="75">
        <v>28720</v>
      </c>
      <c r="L191" s="75">
        <f>9713125-830085</f>
        <v>8883040</v>
      </c>
      <c r="M191" s="75">
        <v>0</v>
      </c>
      <c r="N191" s="75">
        <v>398661</v>
      </c>
      <c r="O191" s="75">
        <v>103804</v>
      </c>
      <c r="P191" s="74">
        <f t="shared" si="390"/>
        <v>0</v>
      </c>
      <c r="Q191" s="74">
        <v>0</v>
      </c>
      <c r="R191" s="74">
        <v>0</v>
      </c>
      <c r="S191" s="74">
        <v>0</v>
      </c>
      <c r="T191" s="75">
        <v>44413</v>
      </c>
      <c r="U191" s="74">
        <f t="shared" si="642"/>
        <v>4964088</v>
      </c>
      <c r="V191" s="75">
        <v>114212</v>
      </c>
      <c r="W191" s="75">
        <f>1721238+406469</f>
        <v>2127707</v>
      </c>
      <c r="X191" s="75">
        <f>963449+419354</f>
        <v>1382803</v>
      </c>
      <c r="Y191" s="75">
        <f>1040288+141937</f>
        <v>1182225</v>
      </c>
      <c r="Z191" s="75">
        <v>63626</v>
      </c>
      <c r="AA191" s="75">
        <v>0</v>
      </c>
      <c r="AB191" s="75">
        <v>0</v>
      </c>
      <c r="AC191" s="75">
        <f>69200+24315</f>
        <v>93515</v>
      </c>
      <c r="AD191" s="74">
        <f>SUM(AE191:AY191)</f>
        <v>449909</v>
      </c>
      <c r="AE191" s="74">
        <v>0</v>
      </c>
      <c r="AF191" s="74">
        <v>0</v>
      </c>
      <c r="AG191" s="74">
        <v>1500</v>
      </c>
      <c r="AH191" s="75">
        <v>49877</v>
      </c>
      <c r="AI191" s="75">
        <v>0</v>
      </c>
      <c r="AJ191" s="75">
        <v>7431</v>
      </c>
      <c r="AK191" s="75">
        <v>0</v>
      </c>
      <c r="AL191" s="75">
        <v>1854</v>
      </c>
      <c r="AM191" s="75">
        <v>0</v>
      </c>
      <c r="AN191" s="75">
        <v>0</v>
      </c>
      <c r="AO191" s="75">
        <v>0</v>
      </c>
      <c r="AP191" s="75">
        <v>0</v>
      </c>
      <c r="AQ191" s="75">
        <v>218496</v>
      </c>
      <c r="AR191" s="75">
        <v>65400</v>
      </c>
      <c r="AS191" s="75">
        <v>0</v>
      </c>
      <c r="AT191" s="75">
        <v>0</v>
      </c>
      <c r="AU191" s="75">
        <v>6304</v>
      </c>
      <c r="AV191" s="75">
        <v>0</v>
      </c>
      <c r="AW191" s="75">
        <v>0</v>
      </c>
      <c r="AX191" s="75">
        <v>0</v>
      </c>
      <c r="AY191" s="75">
        <v>99047</v>
      </c>
      <c r="AZ191" s="75"/>
      <c r="BA191" s="75"/>
      <c r="BB191" s="75"/>
      <c r="BC191" s="74">
        <f>SUM(BD191+BH191+BL191+BN191+BQ191)</f>
        <v>0</v>
      </c>
      <c r="BD191" s="74">
        <f>SUM(BE191:BG191)</f>
        <v>0</v>
      </c>
      <c r="BE191" s="74">
        <v>0</v>
      </c>
      <c r="BF191" s="74">
        <v>0</v>
      </c>
      <c r="BG191" s="74">
        <v>0</v>
      </c>
      <c r="BH191" s="74">
        <f>SUM(BK191:BK191)</f>
        <v>0</v>
      </c>
      <c r="BI191" s="74">
        <v>0</v>
      </c>
      <c r="BJ191" s="74">
        <v>0</v>
      </c>
      <c r="BK191" s="74">
        <v>0</v>
      </c>
      <c r="BL191" s="74">
        <v>0</v>
      </c>
      <c r="BM191" s="74">
        <v>0</v>
      </c>
      <c r="BN191" s="74">
        <f t="shared" si="393"/>
        <v>0</v>
      </c>
      <c r="BO191" s="74">
        <v>0</v>
      </c>
      <c r="BP191" s="74">
        <v>0</v>
      </c>
      <c r="BQ191" s="74">
        <f>SUM(BR191:CB191)</f>
        <v>0</v>
      </c>
      <c r="BR191" s="74">
        <v>0</v>
      </c>
      <c r="BS191" s="74">
        <v>0</v>
      </c>
      <c r="BT191" s="74">
        <v>0</v>
      </c>
      <c r="BU191" s="74">
        <v>0</v>
      </c>
      <c r="BV191" s="74">
        <v>0</v>
      </c>
      <c r="BW191" s="74">
        <v>0</v>
      </c>
      <c r="BX191" s="74">
        <v>0</v>
      </c>
      <c r="BY191" s="74">
        <v>0</v>
      </c>
      <c r="BZ191" s="74">
        <v>0</v>
      </c>
      <c r="CA191" s="74">
        <v>0</v>
      </c>
      <c r="CB191" s="74">
        <v>0</v>
      </c>
      <c r="CC191" s="74">
        <f>SUM(CD191+CU191)</f>
        <v>593820</v>
      </c>
      <c r="CD191" s="74">
        <f>SUM(CE191+CH191+CN191)</f>
        <v>593820</v>
      </c>
      <c r="CE191" s="74">
        <f t="shared" si="394"/>
        <v>593820</v>
      </c>
      <c r="CF191" s="74">
        <v>0</v>
      </c>
      <c r="CG191" s="75">
        <v>593820</v>
      </c>
      <c r="CH191" s="74">
        <f t="shared" si="643"/>
        <v>0</v>
      </c>
      <c r="CI191" s="74">
        <v>0</v>
      </c>
      <c r="CJ191" s="74">
        <v>0</v>
      </c>
      <c r="CK191" s="74">
        <v>0</v>
      </c>
      <c r="CL191" s="74">
        <v>0</v>
      </c>
      <c r="CM191" s="74">
        <v>0</v>
      </c>
      <c r="CN191" s="74">
        <f>SUM(CO191:CQ191)</f>
        <v>0</v>
      </c>
      <c r="CO191" s="74">
        <v>0</v>
      </c>
      <c r="CP191" s="74">
        <v>0</v>
      </c>
      <c r="CQ191" s="74"/>
      <c r="CR191" s="74"/>
      <c r="CS191" s="74"/>
      <c r="CT191" s="74"/>
      <c r="CU191" s="74">
        <v>0</v>
      </c>
      <c r="CV191" s="74"/>
      <c r="CW191" s="74"/>
      <c r="CX191" s="74"/>
      <c r="CY191" s="74"/>
      <c r="CZ191" s="74">
        <f t="shared" si="396"/>
        <v>0</v>
      </c>
      <c r="DA191" s="74">
        <f t="shared" si="397"/>
        <v>0</v>
      </c>
      <c r="DB191" s="74">
        <v>0</v>
      </c>
      <c r="DC191" s="77">
        <v>0</v>
      </c>
      <c r="DD191" s="78"/>
    </row>
    <row r="192" spans="1:108" s="78" customFormat="1" ht="31.2" x14ac:dyDescent="0.3">
      <c r="A192" s="96" t="s">
        <v>1</v>
      </c>
      <c r="B192" s="71" t="s">
        <v>54</v>
      </c>
      <c r="C192" s="72" t="s">
        <v>254</v>
      </c>
      <c r="D192" s="74">
        <f>SUM(E192+CC192+CZ192)</f>
        <v>1220256</v>
      </c>
      <c r="E192" s="74">
        <f>SUM(F192+BC192)</f>
        <v>1220256</v>
      </c>
      <c r="F192" s="74">
        <f t="shared" si="641"/>
        <v>1220256</v>
      </c>
      <c r="G192" s="74">
        <v>940740</v>
      </c>
      <c r="H192" s="74">
        <v>221960</v>
      </c>
      <c r="I192" s="74">
        <f t="shared" si="389"/>
        <v>36150</v>
      </c>
      <c r="J192" s="75"/>
      <c r="K192" s="75"/>
      <c r="L192" s="75"/>
      <c r="M192" s="75"/>
      <c r="N192" s="75">
        <v>35087</v>
      </c>
      <c r="O192" s="75">
        <v>1063</v>
      </c>
      <c r="P192" s="74">
        <f t="shared" si="390"/>
        <v>0</v>
      </c>
      <c r="Q192" s="74">
        <v>0</v>
      </c>
      <c r="R192" s="74">
        <v>0</v>
      </c>
      <c r="S192" s="74">
        <v>0</v>
      </c>
      <c r="T192" s="75">
        <v>7291</v>
      </c>
      <c r="U192" s="74">
        <f t="shared" si="642"/>
        <v>14115</v>
      </c>
      <c r="V192" s="75">
        <v>2556</v>
      </c>
      <c r="W192" s="75">
        <f>3831+1288</f>
        <v>5119</v>
      </c>
      <c r="X192" s="75">
        <f>3618+2068</f>
        <v>5686</v>
      </c>
      <c r="Y192" s="75">
        <f>506+248</f>
        <v>754</v>
      </c>
      <c r="Z192" s="75">
        <v>0</v>
      </c>
      <c r="AA192" s="75">
        <v>0</v>
      </c>
      <c r="AB192" s="75">
        <v>0</v>
      </c>
      <c r="AC192" s="75">
        <v>0</v>
      </c>
      <c r="AD192" s="74">
        <f>SUM(AE192:AY192)</f>
        <v>0</v>
      </c>
      <c r="AE192" s="74">
        <v>0</v>
      </c>
      <c r="AF192" s="74">
        <v>0</v>
      </c>
      <c r="AG192" s="74">
        <v>0</v>
      </c>
      <c r="AH192" s="75">
        <v>0</v>
      </c>
      <c r="AI192" s="75">
        <v>0</v>
      </c>
      <c r="AJ192" s="75">
        <v>0</v>
      </c>
      <c r="AK192" s="75">
        <v>0</v>
      </c>
      <c r="AL192" s="75">
        <v>0</v>
      </c>
      <c r="AM192" s="75">
        <v>0</v>
      </c>
      <c r="AN192" s="75">
        <v>0</v>
      </c>
      <c r="AO192" s="75">
        <v>0</v>
      </c>
      <c r="AP192" s="75">
        <v>0</v>
      </c>
      <c r="AQ192" s="75">
        <v>0</v>
      </c>
      <c r="AR192" s="75">
        <v>0</v>
      </c>
      <c r="AS192" s="75">
        <v>0</v>
      </c>
      <c r="AT192" s="75">
        <v>0</v>
      </c>
      <c r="AU192" s="75">
        <v>0</v>
      </c>
      <c r="AV192" s="75">
        <v>0</v>
      </c>
      <c r="AW192" s="75">
        <v>0</v>
      </c>
      <c r="AX192" s="75">
        <v>0</v>
      </c>
      <c r="AY192" s="75">
        <v>0</v>
      </c>
      <c r="AZ192" s="75"/>
      <c r="BA192" s="75"/>
      <c r="BB192" s="75"/>
      <c r="BC192" s="74">
        <f>SUM(BD192+BH192+BL192+BN192+BQ192)</f>
        <v>0</v>
      </c>
      <c r="BD192" s="74">
        <f>SUM(BE192:BG192)</f>
        <v>0</v>
      </c>
      <c r="BE192" s="74">
        <v>0</v>
      </c>
      <c r="BF192" s="74">
        <v>0</v>
      </c>
      <c r="BG192" s="74">
        <v>0</v>
      </c>
      <c r="BH192" s="74">
        <f>SUM(BK192:BK192)</f>
        <v>0</v>
      </c>
      <c r="BI192" s="74">
        <v>0</v>
      </c>
      <c r="BJ192" s="74">
        <v>0</v>
      </c>
      <c r="BK192" s="74">
        <v>0</v>
      </c>
      <c r="BL192" s="74">
        <v>0</v>
      </c>
      <c r="BM192" s="74">
        <v>0</v>
      </c>
      <c r="BN192" s="74">
        <f t="shared" si="393"/>
        <v>0</v>
      </c>
      <c r="BO192" s="74">
        <v>0</v>
      </c>
      <c r="BP192" s="74">
        <v>0</v>
      </c>
      <c r="BQ192" s="74">
        <f>SUM(BR192:CB192)</f>
        <v>0</v>
      </c>
      <c r="BR192" s="74">
        <v>0</v>
      </c>
      <c r="BS192" s="74">
        <v>0</v>
      </c>
      <c r="BT192" s="74">
        <v>0</v>
      </c>
      <c r="BU192" s="74">
        <v>0</v>
      </c>
      <c r="BV192" s="74">
        <v>0</v>
      </c>
      <c r="BW192" s="74">
        <v>0</v>
      </c>
      <c r="BX192" s="74">
        <v>0</v>
      </c>
      <c r="BY192" s="74">
        <v>0</v>
      </c>
      <c r="BZ192" s="74">
        <v>0</v>
      </c>
      <c r="CA192" s="74">
        <v>0</v>
      </c>
      <c r="CB192" s="74">
        <v>0</v>
      </c>
      <c r="CC192" s="74">
        <f>SUM(CD192+CU192)</f>
        <v>0</v>
      </c>
      <c r="CD192" s="74">
        <f>SUM(CE192+CH192+CN192)</f>
        <v>0</v>
      </c>
      <c r="CE192" s="74">
        <f t="shared" si="394"/>
        <v>0</v>
      </c>
      <c r="CF192" s="74">
        <v>0</v>
      </c>
      <c r="CG192" s="75"/>
      <c r="CH192" s="74">
        <f t="shared" si="643"/>
        <v>0</v>
      </c>
      <c r="CI192" s="74">
        <v>0</v>
      </c>
      <c r="CJ192" s="74">
        <v>0</v>
      </c>
      <c r="CK192" s="74">
        <v>0</v>
      </c>
      <c r="CL192" s="74">
        <v>0</v>
      </c>
      <c r="CM192" s="74">
        <v>0</v>
      </c>
      <c r="CN192" s="74">
        <f>SUM(CO192:CQ192)</f>
        <v>0</v>
      </c>
      <c r="CO192" s="74">
        <v>0</v>
      </c>
      <c r="CP192" s="74">
        <v>0</v>
      </c>
      <c r="CQ192" s="74"/>
      <c r="CR192" s="74"/>
      <c r="CS192" s="74"/>
      <c r="CT192" s="74"/>
      <c r="CU192" s="74">
        <v>0</v>
      </c>
      <c r="CV192" s="74"/>
      <c r="CW192" s="74"/>
      <c r="CX192" s="74"/>
      <c r="CY192" s="74"/>
      <c r="CZ192" s="74">
        <f t="shared" si="396"/>
        <v>0</v>
      </c>
      <c r="DA192" s="74">
        <f t="shared" si="397"/>
        <v>0</v>
      </c>
      <c r="DB192" s="74">
        <v>0</v>
      </c>
      <c r="DC192" s="77">
        <v>0</v>
      </c>
    </row>
    <row r="193" spans="1:108" s="58" customFormat="1" ht="31.2" x14ac:dyDescent="0.3">
      <c r="A193" s="93" t="s">
        <v>255</v>
      </c>
      <c r="B193" s="16" t="s">
        <v>1</v>
      </c>
      <c r="C193" s="17" t="s">
        <v>12</v>
      </c>
      <c r="D193" s="18">
        <f>SUM(D194)</f>
        <v>222558335</v>
      </c>
      <c r="E193" s="18">
        <f t="shared" ref="E193:BW193" si="644">SUM(E194)</f>
        <v>222558335</v>
      </c>
      <c r="F193" s="18">
        <f t="shared" si="644"/>
        <v>0</v>
      </c>
      <c r="G193" s="18">
        <f t="shared" si="644"/>
        <v>0</v>
      </c>
      <c r="H193" s="18">
        <f t="shared" si="644"/>
        <v>0</v>
      </c>
      <c r="I193" s="18">
        <f t="shared" si="644"/>
        <v>0</v>
      </c>
      <c r="J193" s="18">
        <f t="shared" si="644"/>
        <v>0</v>
      </c>
      <c r="K193" s="18">
        <f t="shared" si="644"/>
        <v>0</v>
      </c>
      <c r="L193" s="18">
        <f t="shared" si="644"/>
        <v>0</v>
      </c>
      <c r="M193" s="18">
        <f t="shared" si="644"/>
        <v>0</v>
      </c>
      <c r="N193" s="18">
        <f t="shared" si="644"/>
        <v>0</v>
      </c>
      <c r="O193" s="18">
        <f t="shared" si="644"/>
        <v>0</v>
      </c>
      <c r="P193" s="18">
        <f t="shared" si="644"/>
        <v>0</v>
      </c>
      <c r="Q193" s="18">
        <f t="shared" si="644"/>
        <v>0</v>
      </c>
      <c r="R193" s="18">
        <f t="shared" si="644"/>
        <v>0</v>
      </c>
      <c r="S193" s="18">
        <f t="shared" si="644"/>
        <v>0</v>
      </c>
      <c r="T193" s="18">
        <f t="shared" si="644"/>
        <v>0</v>
      </c>
      <c r="U193" s="18">
        <f t="shared" si="644"/>
        <v>0</v>
      </c>
      <c r="V193" s="18">
        <f t="shared" si="644"/>
        <v>0</v>
      </c>
      <c r="W193" s="18">
        <f t="shared" si="644"/>
        <v>0</v>
      </c>
      <c r="X193" s="18">
        <f t="shared" si="644"/>
        <v>0</v>
      </c>
      <c r="Y193" s="18">
        <f t="shared" si="644"/>
        <v>0</v>
      </c>
      <c r="Z193" s="18">
        <f t="shared" si="644"/>
        <v>0</v>
      </c>
      <c r="AA193" s="18">
        <f t="shared" si="644"/>
        <v>0</v>
      </c>
      <c r="AB193" s="18">
        <f t="shared" si="644"/>
        <v>0</v>
      </c>
      <c r="AC193" s="18">
        <f t="shared" si="644"/>
        <v>0</v>
      </c>
      <c r="AD193" s="18">
        <f t="shared" si="644"/>
        <v>0</v>
      </c>
      <c r="AE193" s="18">
        <f t="shared" si="644"/>
        <v>0</v>
      </c>
      <c r="AF193" s="18">
        <f t="shared" si="644"/>
        <v>0</v>
      </c>
      <c r="AG193" s="18">
        <f t="shared" si="644"/>
        <v>0</v>
      </c>
      <c r="AH193" s="18">
        <f t="shared" si="644"/>
        <v>0</v>
      </c>
      <c r="AI193" s="18">
        <f t="shared" si="644"/>
        <v>0</v>
      </c>
      <c r="AJ193" s="18">
        <f t="shared" si="644"/>
        <v>0</v>
      </c>
      <c r="AK193" s="18">
        <f t="shared" si="644"/>
        <v>0</v>
      </c>
      <c r="AL193" s="18">
        <f t="shared" si="644"/>
        <v>0</v>
      </c>
      <c r="AM193" s="18">
        <f t="shared" si="644"/>
        <v>0</v>
      </c>
      <c r="AN193" s="18">
        <f t="shared" si="644"/>
        <v>0</v>
      </c>
      <c r="AO193" s="18">
        <f t="shared" si="644"/>
        <v>0</v>
      </c>
      <c r="AP193" s="18">
        <f t="shared" si="644"/>
        <v>0</v>
      </c>
      <c r="AQ193" s="18">
        <f t="shared" si="644"/>
        <v>0</v>
      </c>
      <c r="AR193" s="18">
        <f t="shared" si="644"/>
        <v>0</v>
      </c>
      <c r="AS193" s="18"/>
      <c r="AT193" s="18"/>
      <c r="AU193" s="18">
        <f t="shared" si="644"/>
        <v>0</v>
      </c>
      <c r="AV193" s="18">
        <f t="shared" si="644"/>
        <v>0</v>
      </c>
      <c r="AW193" s="18">
        <f t="shared" si="644"/>
        <v>0</v>
      </c>
      <c r="AX193" s="18"/>
      <c r="AY193" s="18">
        <f t="shared" si="644"/>
        <v>0</v>
      </c>
      <c r="AZ193" s="18"/>
      <c r="BA193" s="18"/>
      <c r="BB193" s="18"/>
      <c r="BC193" s="18">
        <f t="shared" si="644"/>
        <v>222558335</v>
      </c>
      <c r="BD193" s="18">
        <f t="shared" si="644"/>
        <v>0</v>
      </c>
      <c r="BE193" s="18">
        <f t="shared" si="644"/>
        <v>0</v>
      </c>
      <c r="BF193" s="18">
        <f t="shared" si="644"/>
        <v>0</v>
      </c>
      <c r="BG193" s="18">
        <f t="shared" si="644"/>
        <v>0</v>
      </c>
      <c r="BH193" s="18">
        <f t="shared" si="644"/>
        <v>0</v>
      </c>
      <c r="BI193" s="18">
        <f t="shared" si="644"/>
        <v>0</v>
      </c>
      <c r="BJ193" s="18">
        <f t="shared" si="644"/>
        <v>0</v>
      </c>
      <c r="BK193" s="18">
        <f t="shared" si="644"/>
        <v>0</v>
      </c>
      <c r="BL193" s="18">
        <f t="shared" si="644"/>
        <v>0</v>
      </c>
      <c r="BM193" s="18">
        <f t="shared" si="644"/>
        <v>0</v>
      </c>
      <c r="BN193" s="18">
        <f t="shared" si="644"/>
        <v>0</v>
      </c>
      <c r="BO193" s="18">
        <f t="shared" si="644"/>
        <v>0</v>
      </c>
      <c r="BP193" s="18">
        <f t="shared" si="644"/>
        <v>0</v>
      </c>
      <c r="BQ193" s="18">
        <f t="shared" si="644"/>
        <v>222558335</v>
      </c>
      <c r="BR193" s="18">
        <f t="shared" si="644"/>
        <v>0</v>
      </c>
      <c r="BS193" s="18">
        <f t="shared" si="644"/>
        <v>0</v>
      </c>
      <c r="BT193" s="18">
        <f t="shared" si="644"/>
        <v>0</v>
      </c>
      <c r="BU193" s="18">
        <f t="shared" si="644"/>
        <v>0</v>
      </c>
      <c r="BV193" s="18">
        <f t="shared" si="644"/>
        <v>0</v>
      </c>
      <c r="BW193" s="18">
        <f t="shared" si="644"/>
        <v>0</v>
      </c>
      <c r="BX193" s="18">
        <f t="shared" ref="BX193:DC193" si="645">SUM(BX194)</f>
        <v>177950591</v>
      </c>
      <c r="BY193" s="18">
        <f t="shared" si="645"/>
        <v>0</v>
      </c>
      <c r="BZ193" s="18">
        <f t="shared" si="645"/>
        <v>0</v>
      </c>
      <c r="CA193" s="18">
        <f t="shared" si="645"/>
        <v>44607744</v>
      </c>
      <c r="CB193" s="18">
        <f t="shared" si="645"/>
        <v>0</v>
      </c>
      <c r="CC193" s="18">
        <f t="shared" si="645"/>
        <v>0</v>
      </c>
      <c r="CD193" s="18">
        <f t="shared" si="645"/>
        <v>0</v>
      </c>
      <c r="CE193" s="18">
        <f t="shared" si="645"/>
        <v>0</v>
      </c>
      <c r="CF193" s="18">
        <f t="shared" si="645"/>
        <v>0</v>
      </c>
      <c r="CG193" s="18">
        <f t="shared" si="645"/>
        <v>0</v>
      </c>
      <c r="CH193" s="18">
        <f t="shared" si="645"/>
        <v>0</v>
      </c>
      <c r="CI193" s="18">
        <f t="shared" si="645"/>
        <v>0</v>
      </c>
      <c r="CJ193" s="18">
        <f t="shared" si="645"/>
        <v>0</v>
      </c>
      <c r="CK193" s="18">
        <f t="shared" si="645"/>
        <v>0</v>
      </c>
      <c r="CL193" s="18">
        <f t="shared" si="645"/>
        <v>0</v>
      </c>
      <c r="CM193" s="18">
        <f t="shared" si="645"/>
        <v>0</v>
      </c>
      <c r="CN193" s="18">
        <f t="shared" si="645"/>
        <v>0</v>
      </c>
      <c r="CO193" s="18">
        <f t="shared" si="645"/>
        <v>0</v>
      </c>
      <c r="CP193" s="18">
        <f t="shared" si="645"/>
        <v>0</v>
      </c>
      <c r="CQ193" s="18"/>
      <c r="CR193" s="18"/>
      <c r="CS193" s="18"/>
      <c r="CT193" s="18"/>
      <c r="CU193" s="18">
        <f t="shared" si="645"/>
        <v>0</v>
      </c>
      <c r="CV193" s="73"/>
      <c r="CW193" s="73"/>
      <c r="CX193" s="73"/>
      <c r="CY193" s="73"/>
      <c r="CZ193" s="18">
        <f t="shared" si="645"/>
        <v>0</v>
      </c>
      <c r="DA193" s="18">
        <f t="shared" si="645"/>
        <v>0</v>
      </c>
      <c r="DB193" s="18">
        <f t="shared" si="645"/>
        <v>0</v>
      </c>
      <c r="DC193" s="46">
        <f t="shared" si="645"/>
        <v>0</v>
      </c>
      <c r="DD193" s="57"/>
    </row>
    <row r="194" spans="1:108" s="78" customFormat="1" ht="31.2" x14ac:dyDescent="0.3">
      <c r="A194" s="96" t="s">
        <v>1</v>
      </c>
      <c r="B194" s="71" t="s">
        <v>54</v>
      </c>
      <c r="C194" s="72" t="s">
        <v>256</v>
      </c>
      <c r="D194" s="74">
        <f>SUM(E194+CC194+CZ194)</f>
        <v>222558335</v>
      </c>
      <c r="E194" s="74">
        <f>SUM(F194+BC194)</f>
        <v>222558335</v>
      </c>
      <c r="F194" s="74">
        <f>SUM(G194+H194+I194+P194+S194+T194+U194+AD194)</f>
        <v>0</v>
      </c>
      <c r="G194" s="74">
        <v>0</v>
      </c>
      <c r="H194" s="74">
        <v>0</v>
      </c>
      <c r="I194" s="74">
        <f t="shared" si="389"/>
        <v>0</v>
      </c>
      <c r="J194" s="74">
        <v>0</v>
      </c>
      <c r="K194" s="74">
        <v>0</v>
      </c>
      <c r="L194" s="74">
        <v>0</v>
      </c>
      <c r="M194" s="74">
        <v>0</v>
      </c>
      <c r="N194" s="74">
        <v>0</v>
      </c>
      <c r="O194" s="74">
        <v>0</v>
      </c>
      <c r="P194" s="74">
        <f t="shared" si="390"/>
        <v>0</v>
      </c>
      <c r="Q194" s="74">
        <v>0</v>
      </c>
      <c r="R194" s="74">
        <v>0</v>
      </c>
      <c r="S194" s="74">
        <v>0</v>
      </c>
      <c r="T194" s="74">
        <v>0</v>
      </c>
      <c r="U194" s="74">
        <f t="shared" ref="U194" si="646">SUM(V194:AC194)</f>
        <v>0</v>
      </c>
      <c r="V194" s="74">
        <v>0</v>
      </c>
      <c r="W194" s="74">
        <v>0</v>
      </c>
      <c r="X194" s="74">
        <v>0</v>
      </c>
      <c r="Y194" s="74">
        <v>0</v>
      </c>
      <c r="Z194" s="74">
        <v>0</v>
      </c>
      <c r="AA194" s="74">
        <v>0</v>
      </c>
      <c r="AB194" s="74">
        <v>0</v>
      </c>
      <c r="AC194" s="74">
        <v>0</v>
      </c>
      <c r="AD194" s="74">
        <f>SUM(AE194:AY194)</f>
        <v>0</v>
      </c>
      <c r="AE194" s="74">
        <v>0</v>
      </c>
      <c r="AF194" s="74">
        <v>0</v>
      </c>
      <c r="AG194" s="74">
        <v>0</v>
      </c>
      <c r="AH194" s="74">
        <v>0</v>
      </c>
      <c r="AI194" s="74">
        <v>0</v>
      </c>
      <c r="AJ194" s="74">
        <v>0</v>
      </c>
      <c r="AK194" s="74">
        <v>0</v>
      </c>
      <c r="AL194" s="74">
        <v>0</v>
      </c>
      <c r="AM194" s="74">
        <v>0</v>
      </c>
      <c r="AN194" s="74">
        <v>0</v>
      </c>
      <c r="AO194" s="74">
        <v>0</v>
      </c>
      <c r="AP194" s="74">
        <v>0</v>
      </c>
      <c r="AQ194" s="74">
        <v>0</v>
      </c>
      <c r="AR194" s="74">
        <v>0</v>
      </c>
      <c r="AS194" s="74"/>
      <c r="AT194" s="74"/>
      <c r="AU194" s="74">
        <v>0</v>
      </c>
      <c r="AV194" s="74">
        <v>0</v>
      </c>
      <c r="AW194" s="74">
        <v>0</v>
      </c>
      <c r="AX194" s="74"/>
      <c r="AY194" s="74">
        <v>0</v>
      </c>
      <c r="AZ194" s="74"/>
      <c r="BA194" s="74"/>
      <c r="BB194" s="74"/>
      <c r="BC194" s="74">
        <f>SUM(BD194+BH194+BL194+BN194+BQ194)</f>
        <v>222558335</v>
      </c>
      <c r="BD194" s="74">
        <f>SUM(BE194:BG194)</f>
        <v>0</v>
      </c>
      <c r="BE194" s="74">
        <v>0</v>
      </c>
      <c r="BF194" s="74">
        <v>0</v>
      </c>
      <c r="BG194" s="74">
        <v>0</v>
      </c>
      <c r="BH194" s="74">
        <f>SUM(BK194:BK194)</f>
        <v>0</v>
      </c>
      <c r="BI194" s="74">
        <v>0</v>
      </c>
      <c r="BJ194" s="74">
        <v>0</v>
      </c>
      <c r="BK194" s="74">
        <v>0</v>
      </c>
      <c r="BL194" s="74">
        <v>0</v>
      </c>
      <c r="BM194" s="74">
        <v>0</v>
      </c>
      <c r="BN194" s="74">
        <f t="shared" si="393"/>
        <v>0</v>
      </c>
      <c r="BO194" s="74">
        <v>0</v>
      </c>
      <c r="BP194" s="74">
        <v>0</v>
      </c>
      <c r="BQ194" s="74">
        <f>SUM(BR194:CB194)</f>
        <v>222558335</v>
      </c>
      <c r="BR194" s="74">
        <v>0</v>
      </c>
      <c r="BS194" s="74">
        <v>0</v>
      </c>
      <c r="BT194" s="74">
        <v>0</v>
      </c>
      <c r="BU194" s="74">
        <v>0</v>
      </c>
      <c r="BV194" s="74">
        <v>0</v>
      </c>
      <c r="BW194" s="74">
        <v>0</v>
      </c>
      <c r="BX194" s="75">
        <f>179385574-1434983</f>
        <v>177950591</v>
      </c>
      <c r="BY194" s="74">
        <v>0</v>
      </c>
      <c r="BZ194" s="74">
        <v>0</v>
      </c>
      <c r="CA194" s="75">
        <f>44791582-183838</f>
        <v>44607744</v>
      </c>
      <c r="CB194" s="74">
        <v>0</v>
      </c>
      <c r="CC194" s="74">
        <f>SUM(CD194+CU194)</f>
        <v>0</v>
      </c>
      <c r="CD194" s="74">
        <f>SUM(CE194+CH194+CN194)</f>
        <v>0</v>
      </c>
      <c r="CE194" s="74">
        <f t="shared" si="394"/>
        <v>0</v>
      </c>
      <c r="CF194" s="74">
        <v>0</v>
      </c>
      <c r="CG194" s="74">
        <v>0</v>
      </c>
      <c r="CH194" s="74">
        <f>SUM(CI194:CM194)</f>
        <v>0</v>
      </c>
      <c r="CI194" s="74">
        <v>0</v>
      </c>
      <c r="CJ194" s="74">
        <v>0</v>
      </c>
      <c r="CK194" s="74">
        <v>0</v>
      </c>
      <c r="CL194" s="74">
        <v>0</v>
      </c>
      <c r="CM194" s="74">
        <v>0</v>
      </c>
      <c r="CN194" s="74">
        <f>SUM(CO194:CQ194)</f>
        <v>0</v>
      </c>
      <c r="CO194" s="74">
        <v>0</v>
      </c>
      <c r="CP194" s="74">
        <v>0</v>
      </c>
      <c r="CQ194" s="74"/>
      <c r="CR194" s="74"/>
      <c r="CS194" s="74"/>
      <c r="CT194" s="74"/>
      <c r="CU194" s="74">
        <v>0</v>
      </c>
      <c r="CV194" s="74"/>
      <c r="CW194" s="74"/>
      <c r="CX194" s="74"/>
      <c r="CY194" s="74"/>
      <c r="CZ194" s="74">
        <f t="shared" si="396"/>
        <v>0</v>
      </c>
      <c r="DA194" s="74">
        <f t="shared" si="397"/>
        <v>0</v>
      </c>
      <c r="DB194" s="74">
        <v>0</v>
      </c>
      <c r="DC194" s="77">
        <v>0</v>
      </c>
    </row>
    <row r="195" spans="1:108" s="58" customFormat="1" ht="31.2" x14ac:dyDescent="0.3">
      <c r="A195" s="93" t="s">
        <v>257</v>
      </c>
      <c r="B195" s="16" t="s">
        <v>1</v>
      </c>
      <c r="C195" s="17" t="s">
        <v>258</v>
      </c>
      <c r="D195" s="18">
        <f t="shared" ref="D195:AJ195" si="647">SUM(D196)</f>
        <v>16500000</v>
      </c>
      <c r="E195" s="18">
        <f t="shared" si="647"/>
        <v>16500000</v>
      </c>
      <c r="F195" s="18">
        <f t="shared" si="647"/>
        <v>0</v>
      </c>
      <c r="G195" s="18">
        <f t="shared" si="647"/>
        <v>0</v>
      </c>
      <c r="H195" s="18">
        <f t="shared" si="647"/>
        <v>0</v>
      </c>
      <c r="I195" s="18">
        <f t="shared" si="647"/>
        <v>0</v>
      </c>
      <c r="J195" s="18">
        <f t="shared" si="647"/>
        <v>0</v>
      </c>
      <c r="K195" s="18">
        <f t="shared" si="647"/>
        <v>0</v>
      </c>
      <c r="L195" s="18">
        <f t="shared" si="647"/>
        <v>0</v>
      </c>
      <c r="M195" s="18">
        <f t="shared" si="647"/>
        <v>0</v>
      </c>
      <c r="N195" s="18">
        <f t="shared" si="647"/>
        <v>0</v>
      </c>
      <c r="O195" s="18">
        <f t="shared" si="647"/>
        <v>0</v>
      </c>
      <c r="P195" s="18">
        <f t="shared" si="647"/>
        <v>0</v>
      </c>
      <c r="Q195" s="18">
        <f t="shared" si="647"/>
        <v>0</v>
      </c>
      <c r="R195" s="18">
        <f t="shared" si="647"/>
        <v>0</v>
      </c>
      <c r="S195" s="18">
        <f t="shared" si="647"/>
        <v>0</v>
      </c>
      <c r="T195" s="18">
        <f t="shared" si="647"/>
        <v>0</v>
      </c>
      <c r="U195" s="18">
        <f t="shared" si="647"/>
        <v>0</v>
      </c>
      <c r="V195" s="18">
        <f t="shared" si="647"/>
        <v>0</v>
      </c>
      <c r="W195" s="18">
        <f t="shared" si="647"/>
        <v>0</v>
      </c>
      <c r="X195" s="18">
        <f t="shared" si="647"/>
        <v>0</v>
      </c>
      <c r="Y195" s="18">
        <f t="shared" si="647"/>
        <v>0</v>
      </c>
      <c r="Z195" s="18">
        <f t="shared" si="647"/>
        <v>0</v>
      </c>
      <c r="AA195" s="18">
        <f t="shared" si="647"/>
        <v>0</v>
      </c>
      <c r="AB195" s="18">
        <f t="shared" si="647"/>
        <v>0</v>
      </c>
      <c r="AC195" s="18">
        <f t="shared" si="647"/>
        <v>0</v>
      </c>
      <c r="AD195" s="18">
        <f t="shared" si="647"/>
        <v>0</v>
      </c>
      <c r="AE195" s="18">
        <f t="shared" si="647"/>
        <v>0</v>
      </c>
      <c r="AF195" s="18">
        <f t="shared" si="647"/>
        <v>0</v>
      </c>
      <c r="AG195" s="18">
        <f t="shared" si="647"/>
        <v>0</v>
      </c>
      <c r="AH195" s="18">
        <f t="shared" si="647"/>
        <v>0</v>
      </c>
      <c r="AI195" s="18">
        <f t="shared" si="647"/>
        <v>0</v>
      </c>
      <c r="AJ195" s="18">
        <f t="shared" si="647"/>
        <v>0</v>
      </c>
      <c r="AK195" s="18">
        <f t="shared" ref="AK195:DC195" si="648">SUM(AK196)</f>
        <v>0</v>
      </c>
      <c r="AL195" s="18">
        <f t="shared" si="648"/>
        <v>0</v>
      </c>
      <c r="AM195" s="18">
        <f t="shared" si="648"/>
        <v>0</v>
      </c>
      <c r="AN195" s="18">
        <f t="shared" si="648"/>
        <v>0</v>
      </c>
      <c r="AO195" s="18">
        <f t="shared" si="648"/>
        <v>0</v>
      </c>
      <c r="AP195" s="18">
        <f t="shared" si="648"/>
        <v>0</v>
      </c>
      <c r="AQ195" s="18">
        <f t="shared" si="648"/>
        <v>0</v>
      </c>
      <c r="AR195" s="18">
        <f t="shared" si="648"/>
        <v>0</v>
      </c>
      <c r="AS195" s="18"/>
      <c r="AT195" s="18"/>
      <c r="AU195" s="18">
        <f t="shared" si="648"/>
        <v>0</v>
      </c>
      <c r="AV195" s="18">
        <f t="shared" si="648"/>
        <v>0</v>
      </c>
      <c r="AW195" s="18">
        <f t="shared" si="648"/>
        <v>0</v>
      </c>
      <c r="AX195" s="18"/>
      <c r="AY195" s="18">
        <f t="shared" si="648"/>
        <v>0</v>
      </c>
      <c r="AZ195" s="18"/>
      <c r="BA195" s="18"/>
      <c r="BB195" s="18"/>
      <c r="BC195" s="18">
        <f t="shared" si="648"/>
        <v>16500000</v>
      </c>
      <c r="BD195" s="18">
        <f t="shared" si="648"/>
        <v>0</v>
      </c>
      <c r="BE195" s="18">
        <f t="shared" si="648"/>
        <v>0</v>
      </c>
      <c r="BF195" s="18">
        <f t="shared" si="648"/>
        <v>0</v>
      </c>
      <c r="BG195" s="18">
        <f t="shared" si="648"/>
        <v>0</v>
      </c>
      <c r="BH195" s="18">
        <f t="shared" si="648"/>
        <v>0</v>
      </c>
      <c r="BI195" s="18">
        <f t="shared" si="648"/>
        <v>0</v>
      </c>
      <c r="BJ195" s="18">
        <f t="shared" si="648"/>
        <v>0</v>
      </c>
      <c r="BK195" s="18">
        <f t="shared" si="648"/>
        <v>0</v>
      </c>
      <c r="BL195" s="18">
        <f t="shared" si="648"/>
        <v>0</v>
      </c>
      <c r="BM195" s="18">
        <f t="shared" si="648"/>
        <v>0</v>
      </c>
      <c r="BN195" s="18">
        <f t="shared" si="648"/>
        <v>0</v>
      </c>
      <c r="BO195" s="18">
        <f t="shared" si="648"/>
        <v>0</v>
      </c>
      <c r="BP195" s="18">
        <f t="shared" si="648"/>
        <v>0</v>
      </c>
      <c r="BQ195" s="18">
        <f t="shared" si="648"/>
        <v>16500000</v>
      </c>
      <c r="BR195" s="18">
        <f t="shared" si="648"/>
        <v>0</v>
      </c>
      <c r="BS195" s="18">
        <f t="shared" si="648"/>
        <v>0</v>
      </c>
      <c r="BT195" s="18">
        <f t="shared" si="648"/>
        <v>0</v>
      </c>
      <c r="BU195" s="18">
        <f t="shared" si="648"/>
        <v>16500000</v>
      </c>
      <c r="BV195" s="18">
        <f t="shared" si="648"/>
        <v>0</v>
      </c>
      <c r="BW195" s="18">
        <f t="shared" si="648"/>
        <v>0</v>
      </c>
      <c r="BX195" s="18">
        <f t="shared" si="648"/>
        <v>0</v>
      </c>
      <c r="BY195" s="18">
        <f t="shared" si="648"/>
        <v>0</v>
      </c>
      <c r="BZ195" s="18">
        <f t="shared" si="648"/>
        <v>0</v>
      </c>
      <c r="CA195" s="18">
        <f t="shared" si="648"/>
        <v>0</v>
      </c>
      <c r="CB195" s="18">
        <f t="shared" si="648"/>
        <v>0</v>
      </c>
      <c r="CC195" s="18">
        <f t="shared" si="648"/>
        <v>0</v>
      </c>
      <c r="CD195" s="18">
        <f t="shared" si="648"/>
        <v>0</v>
      </c>
      <c r="CE195" s="18">
        <f t="shared" si="648"/>
        <v>0</v>
      </c>
      <c r="CF195" s="18">
        <f t="shared" si="648"/>
        <v>0</v>
      </c>
      <c r="CG195" s="18">
        <f t="shared" si="648"/>
        <v>0</v>
      </c>
      <c r="CH195" s="18">
        <f t="shared" si="648"/>
        <v>0</v>
      </c>
      <c r="CI195" s="18">
        <f t="shared" si="648"/>
        <v>0</v>
      </c>
      <c r="CJ195" s="18">
        <f t="shared" si="648"/>
        <v>0</v>
      </c>
      <c r="CK195" s="18">
        <f t="shared" si="648"/>
        <v>0</v>
      </c>
      <c r="CL195" s="18">
        <f t="shared" si="648"/>
        <v>0</v>
      </c>
      <c r="CM195" s="18">
        <f t="shared" si="648"/>
        <v>0</v>
      </c>
      <c r="CN195" s="18">
        <f t="shared" si="648"/>
        <v>0</v>
      </c>
      <c r="CO195" s="18">
        <f t="shared" si="648"/>
        <v>0</v>
      </c>
      <c r="CP195" s="18">
        <f t="shared" si="648"/>
        <v>0</v>
      </c>
      <c r="CQ195" s="18"/>
      <c r="CR195" s="18"/>
      <c r="CS195" s="18"/>
      <c r="CT195" s="18"/>
      <c r="CU195" s="18">
        <f t="shared" si="648"/>
        <v>0</v>
      </c>
      <c r="CV195" s="73"/>
      <c r="CW195" s="73"/>
      <c r="CX195" s="73"/>
      <c r="CY195" s="73"/>
      <c r="CZ195" s="18">
        <f t="shared" si="648"/>
        <v>0</v>
      </c>
      <c r="DA195" s="18">
        <f t="shared" si="648"/>
        <v>0</v>
      </c>
      <c r="DB195" s="18">
        <f t="shared" si="648"/>
        <v>0</v>
      </c>
      <c r="DC195" s="46">
        <f t="shared" si="648"/>
        <v>0</v>
      </c>
      <c r="DD195" s="57"/>
    </row>
    <row r="196" spans="1:108" ht="15.6" x14ac:dyDescent="0.3">
      <c r="A196" s="94" t="s">
        <v>1</v>
      </c>
      <c r="B196" s="21" t="s">
        <v>75</v>
      </c>
      <c r="C196" s="22" t="s">
        <v>32</v>
      </c>
      <c r="D196" s="19">
        <f>SUM(E196+CC196+CZ196)</f>
        <v>16500000</v>
      </c>
      <c r="E196" s="19">
        <f>SUM(F196+BC196)</f>
        <v>16500000</v>
      </c>
      <c r="F196" s="19">
        <f>SUM(G196+H196+I196+P196+S196+T196+U196+AD196)</f>
        <v>0</v>
      </c>
      <c r="G196" s="19">
        <v>0</v>
      </c>
      <c r="H196" s="19">
        <v>0</v>
      </c>
      <c r="I196" s="19">
        <f t="shared" si="389"/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f t="shared" si="390"/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f t="shared" ref="U196" si="649">SUM(V196:AC196)</f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f>SUM(AE196:AY196)</f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0</v>
      </c>
      <c r="AQ196" s="19">
        <v>0</v>
      </c>
      <c r="AR196" s="19">
        <v>0</v>
      </c>
      <c r="AS196" s="19"/>
      <c r="AT196" s="19"/>
      <c r="AU196" s="19">
        <v>0</v>
      </c>
      <c r="AV196" s="19">
        <v>0</v>
      </c>
      <c r="AW196" s="19">
        <v>0</v>
      </c>
      <c r="AX196" s="19"/>
      <c r="AY196" s="19">
        <v>0</v>
      </c>
      <c r="AZ196" s="19"/>
      <c r="BA196" s="19"/>
      <c r="BB196" s="19"/>
      <c r="BC196" s="19">
        <f>SUM(BD196+BH196+BL196+BN196+BQ196)</f>
        <v>16500000</v>
      </c>
      <c r="BD196" s="19">
        <f>SUM(BE196:BG196)</f>
        <v>0</v>
      </c>
      <c r="BE196" s="19">
        <v>0</v>
      </c>
      <c r="BF196" s="19">
        <v>0</v>
      </c>
      <c r="BG196" s="19">
        <v>0</v>
      </c>
      <c r="BH196" s="19">
        <f>SUM(BK196:BK196)</f>
        <v>0</v>
      </c>
      <c r="BI196" s="19">
        <v>0</v>
      </c>
      <c r="BJ196" s="19">
        <v>0</v>
      </c>
      <c r="BK196" s="19">
        <v>0</v>
      </c>
      <c r="BL196" s="19">
        <v>0</v>
      </c>
      <c r="BM196" s="19">
        <v>0</v>
      </c>
      <c r="BN196" s="19">
        <f t="shared" si="393"/>
        <v>0</v>
      </c>
      <c r="BO196" s="19">
        <v>0</v>
      </c>
      <c r="BP196" s="19">
        <v>0</v>
      </c>
      <c r="BQ196" s="19">
        <f>SUM(BR196:CB196)</f>
        <v>16500000</v>
      </c>
      <c r="BR196" s="19">
        <v>0</v>
      </c>
      <c r="BS196" s="19">
        <v>0</v>
      </c>
      <c r="BT196" s="19">
        <v>0</v>
      </c>
      <c r="BU196" s="23">
        <f>23893714-7393714</f>
        <v>16500000</v>
      </c>
      <c r="BV196" s="19">
        <v>0</v>
      </c>
      <c r="BW196" s="19">
        <v>0</v>
      </c>
      <c r="BX196" s="19">
        <v>0</v>
      </c>
      <c r="BY196" s="19">
        <v>0</v>
      </c>
      <c r="BZ196" s="19">
        <v>0</v>
      </c>
      <c r="CA196" s="19">
        <v>0</v>
      </c>
      <c r="CB196" s="19">
        <v>0</v>
      </c>
      <c r="CC196" s="19">
        <f>SUM(CD196+CU196)</f>
        <v>0</v>
      </c>
      <c r="CD196" s="19">
        <f>SUM(CE196+CH196+CN196)</f>
        <v>0</v>
      </c>
      <c r="CE196" s="19">
        <f t="shared" si="394"/>
        <v>0</v>
      </c>
      <c r="CF196" s="19">
        <v>0</v>
      </c>
      <c r="CG196" s="19">
        <v>0</v>
      </c>
      <c r="CH196" s="19">
        <f>SUM(CI196:CM196)</f>
        <v>0</v>
      </c>
      <c r="CI196" s="19">
        <v>0</v>
      </c>
      <c r="CJ196" s="19">
        <v>0</v>
      </c>
      <c r="CK196" s="19">
        <v>0</v>
      </c>
      <c r="CL196" s="19">
        <v>0</v>
      </c>
      <c r="CM196" s="19">
        <v>0</v>
      </c>
      <c r="CN196" s="19">
        <f>SUM(CO196:CQ196)</f>
        <v>0</v>
      </c>
      <c r="CO196" s="19">
        <v>0</v>
      </c>
      <c r="CP196" s="19">
        <v>0</v>
      </c>
      <c r="CQ196" s="19"/>
      <c r="CR196" s="19"/>
      <c r="CS196" s="19"/>
      <c r="CT196" s="19"/>
      <c r="CU196" s="19">
        <v>0</v>
      </c>
      <c r="CV196" s="74"/>
      <c r="CW196" s="74"/>
      <c r="CX196" s="74"/>
      <c r="CY196" s="74"/>
      <c r="CZ196" s="19">
        <f t="shared" si="396"/>
        <v>0</v>
      </c>
      <c r="DA196" s="19">
        <f t="shared" si="397"/>
        <v>0</v>
      </c>
      <c r="DB196" s="19">
        <v>0</v>
      </c>
      <c r="DC196" s="20">
        <v>0</v>
      </c>
      <c r="DD196" s="52"/>
    </row>
    <row r="197" spans="1:108" s="58" customFormat="1" ht="46.8" x14ac:dyDescent="0.3">
      <c r="A197" s="93" t="s">
        <v>259</v>
      </c>
      <c r="B197" s="16" t="s">
        <v>1</v>
      </c>
      <c r="C197" s="17" t="s">
        <v>598</v>
      </c>
      <c r="D197" s="18">
        <f t="shared" ref="D197:AJ197" si="650">SUM(D198)</f>
        <v>10000</v>
      </c>
      <c r="E197" s="18">
        <f t="shared" si="650"/>
        <v>10000</v>
      </c>
      <c r="F197" s="18">
        <f t="shared" si="650"/>
        <v>0</v>
      </c>
      <c r="G197" s="18">
        <f t="shared" si="650"/>
        <v>0</v>
      </c>
      <c r="H197" s="18">
        <f t="shared" si="650"/>
        <v>0</v>
      </c>
      <c r="I197" s="18">
        <f t="shared" si="650"/>
        <v>0</v>
      </c>
      <c r="J197" s="18">
        <f t="shared" si="650"/>
        <v>0</v>
      </c>
      <c r="K197" s="18">
        <f t="shared" si="650"/>
        <v>0</v>
      </c>
      <c r="L197" s="18">
        <f t="shared" si="650"/>
        <v>0</v>
      </c>
      <c r="M197" s="18">
        <f t="shared" si="650"/>
        <v>0</v>
      </c>
      <c r="N197" s="18">
        <f t="shared" si="650"/>
        <v>0</v>
      </c>
      <c r="O197" s="18">
        <f t="shared" si="650"/>
        <v>0</v>
      </c>
      <c r="P197" s="18">
        <f t="shared" si="650"/>
        <v>0</v>
      </c>
      <c r="Q197" s="18">
        <f t="shared" si="650"/>
        <v>0</v>
      </c>
      <c r="R197" s="18">
        <f t="shared" si="650"/>
        <v>0</v>
      </c>
      <c r="S197" s="18">
        <f t="shared" si="650"/>
        <v>0</v>
      </c>
      <c r="T197" s="18">
        <f t="shared" si="650"/>
        <v>0</v>
      </c>
      <c r="U197" s="18">
        <f t="shared" si="650"/>
        <v>0</v>
      </c>
      <c r="V197" s="18">
        <f t="shared" si="650"/>
        <v>0</v>
      </c>
      <c r="W197" s="18">
        <f t="shared" si="650"/>
        <v>0</v>
      </c>
      <c r="X197" s="18">
        <f t="shared" si="650"/>
        <v>0</v>
      </c>
      <c r="Y197" s="18">
        <f t="shared" si="650"/>
        <v>0</v>
      </c>
      <c r="Z197" s="18">
        <f t="shared" si="650"/>
        <v>0</v>
      </c>
      <c r="AA197" s="18">
        <f t="shared" si="650"/>
        <v>0</v>
      </c>
      <c r="AB197" s="18">
        <f t="shared" si="650"/>
        <v>0</v>
      </c>
      <c r="AC197" s="18">
        <f t="shared" si="650"/>
        <v>0</v>
      </c>
      <c r="AD197" s="18">
        <f t="shared" si="650"/>
        <v>0</v>
      </c>
      <c r="AE197" s="18">
        <f t="shared" si="650"/>
        <v>0</v>
      </c>
      <c r="AF197" s="18">
        <f t="shared" si="650"/>
        <v>0</v>
      </c>
      <c r="AG197" s="18">
        <f t="shared" si="650"/>
        <v>0</v>
      </c>
      <c r="AH197" s="18">
        <f t="shared" si="650"/>
        <v>0</v>
      </c>
      <c r="AI197" s="18">
        <f t="shared" si="650"/>
        <v>0</v>
      </c>
      <c r="AJ197" s="18">
        <f t="shared" si="650"/>
        <v>0</v>
      </c>
      <c r="AK197" s="18">
        <f t="shared" ref="AK197:DC197" si="651">SUM(AK198)</f>
        <v>0</v>
      </c>
      <c r="AL197" s="18">
        <f t="shared" si="651"/>
        <v>0</v>
      </c>
      <c r="AM197" s="18">
        <f t="shared" si="651"/>
        <v>0</v>
      </c>
      <c r="AN197" s="18">
        <f t="shared" si="651"/>
        <v>0</v>
      </c>
      <c r="AO197" s="18">
        <f t="shared" si="651"/>
        <v>0</v>
      </c>
      <c r="AP197" s="18">
        <f t="shared" si="651"/>
        <v>0</v>
      </c>
      <c r="AQ197" s="18">
        <f t="shared" si="651"/>
        <v>0</v>
      </c>
      <c r="AR197" s="18">
        <f t="shared" si="651"/>
        <v>0</v>
      </c>
      <c r="AS197" s="18"/>
      <c r="AT197" s="18"/>
      <c r="AU197" s="18">
        <f t="shared" si="651"/>
        <v>0</v>
      </c>
      <c r="AV197" s="18">
        <f t="shared" si="651"/>
        <v>0</v>
      </c>
      <c r="AW197" s="18">
        <f t="shared" si="651"/>
        <v>0</v>
      </c>
      <c r="AX197" s="18"/>
      <c r="AY197" s="18">
        <f t="shared" si="651"/>
        <v>0</v>
      </c>
      <c r="AZ197" s="18"/>
      <c r="BA197" s="18"/>
      <c r="BB197" s="18"/>
      <c r="BC197" s="18">
        <f t="shared" si="651"/>
        <v>10000</v>
      </c>
      <c r="BD197" s="18">
        <f t="shared" si="651"/>
        <v>0</v>
      </c>
      <c r="BE197" s="18">
        <f t="shared" si="651"/>
        <v>0</v>
      </c>
      <c r="BF197" s="18">
        <f t="shared" si="651"/>
        <v>0</v>
      </c>
      <c r="BG197" s="18">
        <f t="shared" si="651"/>
        <v>0</v>
      </c>
      <c r="BH197" s="18">
        <f t="shared" si="651"/>
        <v>0</v>
      </c>
      <c r="BI197" s="18">
        <f t="shared" si="651"/>
        <v>0</v>
      </c>
      <c r="BJ197" s="18">
        <f t="shared" si="651"/>
        <v>0</v>
      </c>
      <c r="BK197" s="18">
        <f t="shared" si="651"/>
        <v>0</v>
      </c>
      <c r="BL197" s="18">
        <f t="shared" si="651"/>
        <v>0</v>
      </c>
      <c r="BM197" s="18">
        <f t="shared" si="651"/>
        <v>0</v>
      </c>
      <c r="BN197" s="18">
        <f t="shared" si="651"/>
        <v>0</v>
      </c>
      <c r="BO197" s="18">
        <f t="shared" si="651"/>
        <v>0</v>
      </c>
      <c r="BP197" s="18">
        <f t="shared" si="651"/>
        <v>0</v>
      </c>
      <c r="BQ197" s="18">
        <f t="shared" si="651"/>
        <v>10000</v>
      </c>
      <c r="BR197" s="18">
        <f t="shared" si="651"/>
        <v>0</v>
      </c>
      <c r="BS197" s="18">
        <f t="shared" si="651"/>
        <v>0</v>
      </c>
      <c r="BT197" s="18">
        <f t="shared" si="651"/>
        <v>0</v>
      </c>
      <c r="BU197" s="18">
        <f t="shared" si="651"/>
        <v>0</v>
      </c>
      <c r="BV197" s="18">
        <f t="shared" si="651"/>
        <v>10000</v>
      </c>
      <c r="BW197" s="18">
        <f t="shared" si="651"/>
        <v>0</v>
      </c>
      <c r="BX197" s="18">
        <f t="shared" si="651"/>
        <v>0</v>
      </c>
      <c r="BY197" s="18">
        <f t="shared" si="651"/>
        <v>0</v>
      </c>
      <c r="BZ197" s="18">
        <f t="shared" si="651"/>
        <v>0</v>
      </c>
      <c r="CA197" s="18">
        <f t="shared" si="651"/>
        <v>0</v>
      </c>
      <c r="CB197" s="18">
        <f t="shared" si="651"/>
        <v>0</v>
      </c>
      <c r="CC197" s="18">
        <f t="shared" si="651"/>
        <v>0</v>
      </c>
      <c r="CD197" s="18">
        <f t="shared" si="651"/>
        <v>0</v>
      </c>
      <c r="CE197" s="18">
        <f t="shared" si="651"/>
        <v>0</v>
      </c>
      <c r="CF197" s="18">
        <f t="shared" si="651"/>
        <v>0</v>
      </c>
      <c r="CG197" s="18">
        <f t="shared" si="651"/>
        <v>0</v>
      </c>
      <c r="CH197" s="18">
        <f t="shared" si="651"/>
        <v>0</v>
      </c>
      <c r="CI197" s="18">
        <f t="shared" si="651"/>
        <v>0</v>
      </c>
      <c r="CJ197" s="18">
        <f t="shared" si="651"/>
        <v>0</v>
      </c>
      <c r="CK197" s="18">
        <f t="shared" si="651"/>
        <v>0</v>
      </c>
      <c r="CL197" s="18">
        <f t="shared" si="651"/>
        <v>0</v>
      </c>
      <c r="CM197" s="18">
        <f t="shared" si="651"/>
        <v>0</v>
      </c>
      <c r="CN197" s="18">
        <f t="shared" si="651"/>
        <v>0</v>
      </c>
      <c r="CO197" s="18">
        <f t="shared" si="651"/>
        <v>0</v>
      </c>
      <c r="CP197" s="18">
        <f t="shared" si="651"/>
        <v>0</v>
      </c>
      <c r="CQ197" s="18"/>
      <c r="CR197" s="18"/>
      <c r="CS197" s="18"/>
      <c r="CT197" s="18"/>
      <c r="CU197" s="18">
        <f t="shared" si="651"/>
        <v>0</v>
      </c>
      <c r="CV197" s="73"/>
      <c r="CW197" s="73"/>
      <c r="CX197" s="73"/>
      <c r="CY197" s="73"/>
      <c r="CZ197" s="18">
        <f t="shared" si="651"/>
        <v>0</v>
      </c>
      <c r="DA197" s="18">
        <f t="shared" si="651"/>
        <v>0</v>
      </c>
      <c r="DB197" s="18">
        <f t="shared" si="651"/>
        <v>0</v>
      </c>
      <c r="DC197" s="46">
        <f t="shared" si="651"/>
        <v>0</v>
      </c>
      <c r="DD197" s="57"/>
    </row>
    <row r="198" spans="1:108" ht="15.6" x14ac:dyDescent="0.3">
      <c r="A198" s="94" t="s">
        <v>1</v>
      </c>
      <c r="B198" s="21" t="s">
        <v>75</v>
      </c>
      <c r="C198" s="22" t="s">
        <v>260</v>
      </c>
      <c r="D198" s="19">
        <f>SUM(E198+CC198+CZ198)</f>
        <v>10000</v>
      </c>
      <c r="E198" s="19">
        <f>SUM(F198+BC198)</f>
        <v>10000</v>
      </c>
      <c r="F198" s="19">
        <f>SUM(G198+H198+I198+P198+S198+T198+U198+AD198)</f>
        <v>0</v>
      </c>
      <c r="G198" s="19">
        <v>0</v>
      </c>
      <c r="H198" s="19">
        <v>0</v>
      </c>
      <c r="I198" s="19">
        <f t="shared" si="389"/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f t="shared" si="390"/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f t="shared" ref="U198" si="652">SUM(V198:AC198)</f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f>SUM(AE198:AY198)</f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0</v>
      </c>
      <c r="AL198" s="19">
        <v>0</v>
      </c>
      <c r="AM198" s="19">
        <v>0</v>
      </c>
      <c r="AN198" s="19">
        <v>0</v>
      </c>
      <c r="AO198" s="19">
        <v>0</v>
      </c>
      <c r="AP198" s="19">
        <v>0</v>
      </c>
      <c r="AQ198" s="19">
        <v>0</v>
      </c>
      <c r="AR198" s="19">
        <v>0</v>
      </c>
      <c r="AS198" s="19"/>
      <c r="AT198" s="19"/>
      <c r="AU198" s="19">
        <v>0</v>
      </c>
      <c r="AV198" s="19">
        <v>0</v>
      </c>
      <c r="AW198" s="19">
        <v>0</v>
      </c>
      <c r="AX198" s="19"/>
      <c r="AY198" s="19">
        <v>0</v>
      </c>
      <c r="AZ198" s="19"/>
      <c r="BA198" s="19"/>
      <c r="BB198" s="19"/>
      <c r="BC198" s="19">
        <f>SUM(BD198+BH198+BL198+BN198+BQ198)</f>
        <v>10000</v>
      </c>
      <c r="BD198" s="19">
        <f>SUM(BE198:BG198)</f>
        <v>0</v>
      </c>
      <c r="BE198" s="19">
        <v>0</v>
      </c>
      <c r="BF198" s="19">
        <v>0</v>
      </c>
      <c r="BG198" s="19">
        <v>0</v>
      </c>
      <c r="BH198" s="19">
        <f>SUM(BK198:BK198)</f>
        <v>0</v>
      </c>
      <c r="BI198" s="19">
        <v>0</v>
      </c>
      <c r="BJ198" s="19">
        <v>0</v>
      </c>
      <c r="BK198" s="19">
        <v>0</v>
      </c>
      <c r="BL198" s="19">
        <v>0</v>
      </c>
      <c r="BM198" s="19">
        <v>0</v>
      </c>
      <c r="BN198" s="19">
        <f t="shared" si="393"/>
        <v>0</v>
      </c>
      <c r="BO198" s="19">
        <v>0</v>
      </c>
      <c r="BP198" s="19">
        <v>0</v>
      </c>
      <c r="BQ198" s="19">
        <f>SUM(BR198:CB198)</f>
        <v>10000</v>
      </c>
      <c r="BR198" s="19">
        <v>0</v>
      </c>
      <c r="BS198" s="19">
        <v>0</v>
      </c>
      <c r="BT198" s="19">
        <v>0</v>
      </c>
      <c r="BU198" s="19">
        <v>0</v>
      </c>
      <c r="BV198" s="19">
        <v>10000</v>
      </c>
      <c r="BW198" s="19">
        <v>0</v>
      </c>
      <c r="BX198" s="19">
        <v>0</v>
      </c>
      <c r="BY198" s="19">
        <v>0</v>
      </c>
      <c r="BZ198" s="19">
        <v>0</v>
      </c>
      <c r="CA198" s="19">
        <v>0</v>
      </c>
      <c r="CB198" s="19">
        <v>0</v>
      </c>
      <c r="CC198" s="19">
        <f>SUM(CD198+CU198)</f>
        <v>0</v>
      </c>
      <c r="CD198" s="19">
        <f>SUM(CE198+CH198+CN198)</f>
        <v>0</v>
      </c>
      <c r="CE198" s="19">
        <f t="shared" si="394"/>
        <v>0</v>
      </c>
      <c r="CF198" s="19">
        <v>0</v>
      </c>
      <c r="CG198" s="19">
        <v>0</v>
      </c>
      <c r="CH198" s="19">
        <f>SUM(CI198:CM198)</f>
        <v>0</v>
      </c>
      <c r="CI198" s="19">
        <v>0</v>
      </c>
      <c r="CJ198" s="19">
        <v>0</v>
      </c>
      <c r="CK198" s="19">
        <v>0</v>
      </c>
      <c r="CL198" s="19">
        <v>0</v>
      </c>
      <c r="CM198" s="19">
        <v>0</v>
      </c>
      <c r="CN198" s="19">
        <f>SUM(CO198:CQ198)</f>
        <v>0</v>
      </c>
      <c r="CO198" s="19">
        <v>0</v>
      </c>
      <c r="CP198" s="19">
        <v>0</v>
      </c>
      <c r="CQ198" s="19"/>
      <c r="CR198" s="19"/>
      <c r="CS198" s="19"/>
      <c r="CT198" s="19"/>
      <c r="CU198" s="19">
        <v>0</v>
      </c>
      <c r="CV198" s="74"/>
      <c r="CW198" s="74"/>
      <c r="CX198" s="74"/>
      <c r="CY198" s="74"/>
      <c r="CZ198" s="19">
        <f t="shared" si="396"/>
        <v>0</v>
      </c>
      <c r="DA198" s="19">
        <f t="shared" si="397"/>
        <v>0</v>
      </c>
      <c r="DB198" s="19">
        <v>0</v>
      </c>
      <c r="DC198" s="20">
        <v>0</v>
      </c>
      <c r="DD198" s="52"/>
    </row>
    <row r="199" spans="1:108" s="58" customFormat="1" ht="31.2" x14ac:dyDescent="0.3">
      <c r="A199" s="93" t="s">
        <v>261</v>
      </c>
      <c r="B199" s="16" t="s">
        <v>1</v>
      </c>
      <c r="C199" s="17" t="s">
        <v>600</v>
      </c>
      <c r="D199" s="18">
        <f t="shared" ref="D199:AJ199" si="653">SUM(D200)</f>
        <v>11052000</v>
      </c>
      <c r="E199" s="18">
        <f t="shared" si="653"/>
        <v>11052000</v>
      </c>
      <c r="F199" s="18">
        <f t="shared" si="653"/>
        <v>0</v>
      </c>
      <c r="G199" s="18">
        <f t="shared" si="653"/>
        <v>0</v>
      </c>
      <c r="H199" s="18">
        <f t="shared" si="653"/>
        <v>0</v>
      </c>
      <c r="I199" s="18">
        <f t="shared" si="653"/>
        <v>0</v>
      </c>
      <c r="J199" s="18">
        <f t="shared" si="653"/>
        <v>0</v>
      </c>
      <c r="K199" s="18">
        <f t="shared" si="653"/>
        <v>0</v>
      </c>
      <c r="L199" s="18">
        <f t="shared" si="653"/>
        <v>0</v>
      </c>
      <c r="M199" s="18">
        <f t="shared" si="653"/>
        <v>0</v>
      </c>
      <c r="N199" s="18">
        <f t="shared" si="653"/>
        <v>0</v>
      </c>
      <c r="O199" s="18">
        <f t="shared" si="653"/>
        <v>0</v>
      </c>
      <c r="P199" s="18">
        <f t="shared" si="653"/>
        <v>0</v>
      </c>
      <c r="Q199" s="18">
        <f t="shared" si="653"/>
        <v>0</v>
      </c>
      <c r="R199" s="18">
        <f t="shared" si="653"/>
        <v>0</v>
      </c>
      <c r="S199" s="18">
        <f t="shared" si="653"/>
        <v>0</v>
      </c>
      <c r="T199" s="18">
        <f t="shared" si="653"/>
        <v>0</v>
      </c>
      <c r="U199" s="18">
        <f t="shared" si="653"/>
        <v>0</v>
      </c>
      <c r="V199" s="18">
        <f t="shared" si="653"/>
        <v>0</v>
      </c>
      <c r="W199" s="18">
        <f t="shared" si="653"/>
        <v>0</v>
      </c>
      <c r="X199" s="18">
        <f t="shared" si="653"/>
        <v>0</v>
      </c>
      <c r="Y199" s="18">
        <f t="shared" si="653"/>
        <v>0</v>
      </c>
      <c r="Z199" s="18">
        <f t="shared" si="653"/>
        <v>0</v>
      </c>
      <c r="AA199" s="18">
        <f t="shared" si="653"/>
        <v>0</v>
      </c>
      <c r="AB199" s="18">
        <f t="shared" si="653"/>
        <v>0</v>
      </c>
      <c r="AC199" s="18">
        <f t="shared" si="653"/>
        <v>0</v>
      </c>
      <c r="AD199" s="18">
        <f t="shared" si="653"/>
        <v>0</v>
      </c>
      <c r="AE199" s="18">
        <f t="shared" si="653"/>
        <v>0</v>
      </c>
      <c r="AF199" s="18">
        <f t="shared" si="653"/>
        <v>0</v>
      </c>
      <c r="AG199" s="18">
        <f t="shared" si="653"/>
        <v>0</v>
      </c>
      <c r="AH199" s="18">
        <f t="shared" si="653"/>
        <v>0</v>
      </c>
      <c r="AI199" s="18">
        <f t="shared" si="653"/>
        <v>0</v>
      </c>
      <c r="AJ199" s="18">
        <f t="shared" si="653"/>
        <v>0</v>
      </c>
      <c r="AK199" s="18">
        <f t="shared" ref="AK199:DC199" si="654">SUM(AK200)</f>
        <v>0</v>
      </c>
      <c r="AL199" s="18">
        <f t="shared" si="654"/>
        <v>0</v>
      </c>
      <c r="AM199" s="18">
        <f t="shared" si="654"/>
        <v>0</v>
      </c>
      <c r="AN199" s="18">
        <f t="shared" si="654"/>
        <v>0</v>
      </c>
      <c r="AO199" s="18">
        <f t="shared" si="654"/>
        <v>0</v>
      </c>
      <c r="AP199" s="18">
        <f t="shared" si="654"/>
        <v>0</v>
      </c>
      <c r="AQ199" s="18">
        <f t="shared" si="654"/>
        <v>0</v>
      </c>
      <c r="AR199" s="18">
        <f t="shared" si="654"/>
        <v>0</v>
      </c>
      <c r="AS199" s="18"/>
      <c r="AT199" s="18"/>
      <c r="AU199" s="18">
        <f t="shared" si="654"/>
        <v>0</v>
      </c>
      <c r="AV199" s="18">
        <f t="shared" si="654"/>
        <v>0</v>
      </c>
      <c r="AW199" s="18">
        <f t="shared" si="654"/>
        <v>0</v>
      </c>
      <c r="AX199" s="18"/>
      <c r="AY199" s="18">
        <f t="shared" si="654"/>
        <v>0</v>
      </c>
      <c r="AZ199" s="18"/>
      <c r="BA199" s="18"/>
      <c r="BB199" s="18"/>
      <c r="BC199" s="18">
        <f t="shared" si="654"/>
        <v>11052000</v>
      </c>
      <c r="BD199" s="18">
        <f t="shared" si="654"/>
        <v>0</v>
      </c>
      <c r="BE199" s="18">
        <f t="shared" si="654"/>
        <v>0</v>
      </c>
      <c r="BF199" s="18">
        <f t="shared" si="654"/>
        <v>0</v>
      </c>
      <c r="BG199" s="18">
        <f t="shared" si="654"/>
        <v>0</v>
      </c>
      <c r="BH199" s="18">
        <f t="shared" si="654"/>
        <v>0</v>
      </c>
      <c r="BI199" s="18">
        <f t="shared" si="654"/>
        <v>0</v>
      </c>
      <c r="BJ199" s="18">
        <f t="shared" si="654"/>
        <v>0</v>
      </c>
      <c r="BK199" s="18">
        <f t="shared" si="654"/>
        <v>0</v>
      </c>
      <c r="BL199" s="18">
        <f t="shared" si="654"/>
        <v>0</v>
      </c>
      <c r="BM199" s="18">
        <f t="shared" si="654"/>
        <v>0</v>
      </c>
      <c r="BN199" s="18">
        <f t="shared" si="654"/>
        <v>0</v>
      </c>
      <c r="BO199" s="18">
        <f t="shared" si="654"/>
        <v>0</v>
      </c>
      <c r="BP199" s="18">
        <f t="shared" si="654"/>
        <v>0</v>
      </c>
      <c r="BQ199" s="18">
        <f t="shared" si="654"/>
        <v>11052000</v>
      </c>
      <c r="BR199" s="18">
        <f t="shared" si="654"/>
        <v>0</v>
      </c>
      <c r="BS199" s="18">
        <f t="shared" si="654"/>
        <v>11052000</v>
      </c>
      <c r="BT199" s="18">
        <f t="shared" si="654"/>
        <v>0</v>
      </c>
      <c r="BU199" s="18">
        <f t="shared" si="654"/>
        <v>0</v>
      </c>
      <c r="BV199" s="18">
        <f t="shared" si="654"/>
        <v>0</v>
      </c>
      <c r="BW199" s="18">
        <f t="shared" si="654"/>
        <v>0</v>
      </c>
      <c r="BX199" s="18">
        <f t="shared" si="654"/>
        <v>0</v>
      </c>
      <c r="BY199" s="18">
        <f t="shared" si="654"/>
        <v>0</v>
      </c>
      <c r="BZ199" s="18">
        <f t="shared" si="654"/>
        <v>0</v>
      </c>
      <c r="CA199" s="18">
        <f t="shared" si="654"/>
        <v>0</v>
      </c>
      <c r="CB199" s="18">
        <f t="shared" si="654"/>
        <v>0</v>
      </c>
      <c r="CC199" s="18">
        <f t="shared" si="654"/>
        <v>0</v>
      </c>
      <c r="CD199" s="18">
        <f t="shared" si="654"/>
        <v>0</v>
      </c>
      <c r="CE199" s="18">
        <f t="shared" si="654"/>
        <v>0</v>
      </c>
      <c r="CF199" s="18">
        <f t="shared" si="654"/>
        <v>0</v>
      </c>
      <c r="CG199" s="18">
        <f t="shared" si="654"/>
        <v>0</v>
      </c>
      <c r="CH199" s="18">
        <f t="shared" si="654"/>
        <v>0</v>
      </c>
      <c r="CI199" s="18">
        <f t="shared" si="654"/>
        <v>0</v>
      </c>
      <c r="CJ199" s="18">
        <f t="shared" si="654"/>
        <v>0</v>
      </c>
      <c r="CK199" s="18">
        <f t="shared" si="654"/>
        <v>0</v>
      </c>
      <c r="CL199" s="18">
        <f t="shared" si="654"/>
        <v>0</v>
      </c>
      <c r="CM199" s="18">
        <f t="shared" si="654"/>
        <v>0</v>
      </c>
      <c r="CN199" s="18">
        <f t="shared" si="654"/>
        <v>0</v>
      </c>
      <c r="CO199" s="18">
        <f t="shared" si="654"/>
        <v>0</v>
      </c>
      <c r="CP199" s="18">
        <f t="shared" si="654"/>
        <v>0</v>
      </c>
      <c r="CQ199" s="18"/>
      <c r="CR199" s="18"/>
      <c r="CS199" s="18"/>
      <c r="CT199" s="18"/>
      <c r="CU199" s="18">
        <f t="shared" si="654"/>
        <v>0</v>
      </c>
      <c r="CV199" s="73"/>
      <c r="CW199" s="73"/>
      <c r="CX199" s="73"/>
      <c r="CY199" s="73"/>
      <c r="CZ199" s="18">
        <f t="shared" si="654"/>
        <v>0</v>
      </c>
      <c r="DA199" s="18">
        <f t="shared" si="654"/>
        <v>0</v>
      </c>
      <c r="DB199" s="18">
        <f t="shared" si="654"/>
        <v>0</v>
      </c>
      <c r="DC199" s="46">
        <f t="shared" si="654"/>
        <v>0</v>
      </c>
      <c r="DD199" s="57"/>
    </row>
    <row r="200" spans="1:108" ht="15.6" x14ac:dyDescent="0.3">
      <c r="A200" s="94" t="s">
        <v>1</v>
      </c>
      <c r="B200" s="21" t="s">
        <v>54</v>
      </c>
      <c r="C200" s="22" t="s">
        <v>262</v>
      </c>
      <c r="D200" s="19">
        <f>SUM(E200+CC200+CZ200)</f>
        <v>11052000</v>
      </c>
      <c r="E200" s="19">
        <f>SUM(F200+BC200)</f>
        <v>11052000</v>
      </c>
      <c r="F200" s="19">
        <f>SUM(G200+H200+I200+P200+S200+T200+U200+AD200)</f>
        <v>0</v>
      </c>
      <c r="G200" s="19">
        <v>0</v>
      </c>
      <c r="H200" s="19">
        <v>0</v>
      </c>
      <c r="I200" s="19">
        <f t="shared" si="389"/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f t="shared" si="390"/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f t="shared" ref="U200" si="655">SUM(V200:AC200)</f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f>SUM(AE200:AY200)</f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/>
      <c r="AT200" s="19"/>
      <c r="AU200" s="19">
        <v>0</v>
      </c>
      <c r="AV200" s="19">
        <v>0</v>
      </c>
      <c r="AW200" s="19">
        <v>0</v>
      </c>
      <c r="AX200" s="19"/>
      <c r="AY200" s="19">
        <v>0</v>
      </c>
      <c r="AZ200" s="19"/>
      <c r="BA200" s="19"/>
      <c r="BB200" s="19"/>
      <c r="BC200" s="19">
        <f>SUM(BD200+BH200+BL200+BN200+BQ200)</f>
        <v>11052000</v>
      </c>
      <c r="BD200" s="19">
        <f>SUM(BE200:BG200)</f>
        <v>0</v>
      </c>
      <c r="BE200" s="19">
        <v>0</v>
      </c>
      <c r="BF200" s="19">
        <v>0</v>
      </c>
      <c r="BG200" s="19">
        <v>0</v>
      </c>
      <c r="BH200" s="19">
        <f>SUM(BK200:BK200)</f>
        <v>0</v>
      </c>
      <c r="BI200" s="19">
        <v>0</v>
      </c>
      <c r="BJ200" s="19">
        <v>0</v>
      </c>
      <c r="BK200" s="19">
        <v>0</v>
      </c>
      <c r="BL200" s="19">
        <v>0</v>
      </c>
      <c r="BM200" s="19">
        <v>0</v>
      </c>
      <c r="BN200" s="19">
        <f t="shared" si="393"/>
        <v>0</v>
      </c>
      <c r="BO200" s="19">
        <v>0</v>
      </c>
      <c r="BP200" s="19">
        <v>0</v>
      </c>
      <c r="BQ200" s="19">
        <f>SUM(BR200:CB200)</f>
        <v>11052000</v>
      </c>
      <c r="BR200" s="19">
        <v>0</v>
      </c>
      <c r="BS200" s="23">
        <v>11052000</v>
      </c>
      <c r="BT200" s="19">
        <v>0</v>
      </c>
      <c r="BU200" s="19">
        <v>0</v>
      </c>
      <c r="BV200" s="19">
        <v>0</v>
      </c>
      <c r="BW200" s="19">
        <v>0</v>
      </c>
      <c r="BX200" s="19">
        <v>0</v>
      </c>
      <c r="BY200" s="19">
        <v>0</v>
      </c>
      <c r="BZ200" s="19">
        <v>0</v>
      </c>
      <c r="CA200" s="19">
        <v>0</v>
      </c>
      <c r="CB200" s="19">
        <v>0</v>
      </c>
      <c r="CC200" s="19">
        <f>SUM(CD200+CU200)</f>
        <v>0</v>
      </c>
      <c r="CD200" s="19">
        <f>SUM(CE200+CH200+CN200)</f>
        <v>0</v>
      </c>
      <c r="CE200" s="19">
        <f t="shared" si="394"/>
        <v>0</v>
      </c>
      <c r="CF200" s="19">
        <v>0</v>
      </c>
      <c r="CG200" s="19">
        <v>0</v>
      </c>
      <c r="CH200" s="19">
        <f>SUM(CI200:CM200)</f>
        <v>0</v>
      </c>
      <c r="CI200" s="19">
        <v>0</v>
      </c>
      <c r="CJ200" s="19">
        <v>0</v>
      </c>
      <c r="CK200" s="19">
        <v>0</v>
      </c>
      <c r="CL200" s="19">
        <v>0</v>
      </c>
      <c r="CM200" s="19">
        <v>0</v>
      </c>
      <c r="CN200" s="19">
        <f>SUM(CO200:CQ200)</f>
        <v>0</v>
      </c>
      <c r="CO200" s="19">
        <v>0</v>
      </c>
      <c r="CP200" s="19">
        <v>0</v>
      </c>
      <c r="CQ200" s="19"/>
      <c r="CR200" s="19"/>
      <c r="CS200" s="19"/>
      <c r="CT200" s="19"/>
      <c r="CU200" s="19">
        <v>0</v>
      </c>
      <c r="CV200" s="74"/>
      <c r="CW200" s="74"/>
      <c r="CX200" s="74"/>
      <c r="CY200" s="74"/>
      <c r="CZ200" s="19">
        <f t="shared" si="396"/>
        <v>0</v>
      </c>
      <c r="DA200" s="19">
        <f t="shared" si="397"/>
        <v>0</v>
      </c>
      <c r="DB200" s="19">
        <v>0</v>
      </c>
      <c r="DC200" s="20">
        <v>0</v>
      </c>
      <c r="DD200" s="52"/>
    </row>
    <row r="201" spans="1:108" ht="62.4" x14ac:dyDescent="0.3">
      <c r="A201" s="93" t="s">
        <v>263</v>
      </c>
      <c r="B201" s="16" t="s">
        <v>1</v>
      </c>
      <c r="C201" s="17" t="s">
        <v>599</v>
      </c>
      <c r="D201" s="18">
        <f t="shared" ref="D201:AR201" si="656">SUM(D202:D208)</f>
        <v>173044902</v>
      </c>
      <c r="E201" s="18">
        <f t="shared" si="656"/>
        <v>173002580</v>
      </c>
      <c r="F201" s="18">
        <f t="shared" si="656"/>
        <v>23326406</v>
      </c>
      <c r="G201" s="18">
        <f t="shared" si="656"/>
        <v>1906797</v>
      </c>
      <c r="H201" s="18">
        <f t="shared" si="656"/>
        <v>199235</v>
      </c>
      <c r="I201" s="18">
        <f t="shared" si="656"/>
        <v>2704619</v>
      </c>
      <c r="J201" s="18">
        <f t="shared" si="656"/>
        <v>0</v>
      </c>
      <c r="K201" s="18">
        <f t="shared" si="656"/>
        <v>0</v>
      </c>
      <c r="L201" s="18">
        <f t="shared" si="656"/>
        <v>0</v>
      </c>
      <c r="M201" s="18">
        <f t="shared" si="656"/>
        <v>0</v>
      </c>
      <c r="N201" s="18">
        <f t="shared" si="656"/>
        <v>442734</v>
      </c>
      <c r="O201" s="18">
        <f t="shared" si="656"/>
        <v>2261885</v>
      </c>
      <c r="P201" s="18">
        <f t="shared" si="656"/>
        <v>0</v>
      </c>
      <c r="Q201" s="18">
        <f t="shared" si="656"/>
        <v>0</v>
      </c>
      <c r="R201" s="18">
        <f t="shared" si="656"/>
        <v>0</v>
      </c>
      <c r="S201" s="18">
        <f t="shared" si="656"/>
        <v>0</v>
      </c>
      <c r="T201" s="18">
        <f t="shared" si="656"/>
        <v>71858</v>
      </c>
      <c r="U201" s="18">
        <f t="shared" si="656"/>
        <v>0</v>
      </c>
      <c r="V201" s="18">
        <f t="shared" si="656"/>
        <v>0</v>
      </c>
      <c r="W201" s="18">
        <f t="shared" si="656"/>
        <v>0</v>
      </c>
      <c r="X201" s="18">
        <f t="shared" si="656"/>
        <v>0</v>
      </c>
      <c r="Y201" s="18">
        <f t="shared" si="656"/>
        <v>0</v>
      </c>
      <c r="Z201" s="18">
        <f t="shared" si="656"/>
        <v>0</v>
      </c>
      <c r="AA201" s="18">
        <f t="shared" si="656"/>
        <v>0</v>
      </c>
      <c r="AB201" s="18">
        <f t="shared" si="656"/>
        <v>0</v>
      </c>
      <c r="AC201" s="18">
        <f t="shared" si="656"/>
        <v>0</v>
      </c>
      <c r="AD201" s="18">
        <f t="shared" si="656"/>
        <v>18443897</v>
      </c>
      <c r="AE201" s="18">
        <f t="shared" si="656"/>
        <v>0</v>
      </c>
      <c r="AF201" s="18">
        <f t="shared" si="656"/>
        <v>0</v>
      </c>
      <c r="AG201" s="18">
        <f t="shared" si="656"/>
        <v>0</v>
      </c>
      <c r="AH201" s="18">
        <f t="shared" si="656"/>
        <v>0</v>
      </c>
      <c r="AI201" s="18">
        <f t="shared" si="656"/>
        <v>0</v>
      </c>
      <c r="AJ201" s="18">
        <f t="shared" si="656"/>
        <v>0</v>
      </c>
      <c r="AK201" s="18">
        <f t="shared" si="656"/>
        <v>0</v>
      </c>
      <c r="AL201" s="18">
        <f t="shared" si="656"/>
        <v>0</v>
      </c>
      <c r="AM201" s="18">
        <f t="shared" si="656"/>
        <v>0</v>
      </c>
      <c r="AN201" s="18">
        <f t="shared" si="656"/>
        <v>0</v>
      </c>
      <c r="AO201" s="18">
        <f t="shared" si="656"/>
        <v>0</v>
      </c>
      <c r="AP201" s="18">
        <f t="shared" si="656"/>
        <v>0</v>
      </c>
      <c r="AQ201" s="18">
        <f t="shared" si="656"/>
        <v>0</v>
      </c>
      <c r="AR201" s="18">
        <f t="shared" si="656"/>
        <v>0</v>
      </c>
      <c r="AS201" s="18"/>
      <c r="AT201" s="18"/>
      <c r="AU201" s="18">
        <f>SUM(AU202:AU208)</f>
        <v>18127530</v>
      </c>
      <c r="AV201" s="18">
        <f>SUM(AV202:AV208)</f>
        <v>23367</v>
      </c>
      <c r="AW201" s="18">
        <f>SUM(AW202:AW208)</f>
        <v>0</v>
      </c>
      <c r="AX201" s="18"/>
      <c r="AY201" s="18">
        <f t="shared" ref="AY201:CP201" si="657">SUM(AY202:AY208)</f>
        <v>293000</v>
      </c>
      <c r="AZ201" s="18">
        <f t="shared" si="657"/>
        <v>0</v>
      </c>
      <c r="BA201" s="18">
        <f t="shared" si="657"/>
        <v>0</v>
      </c>
      <c r="BB201" s="18">
        <f t="shared" si="657"/>
        <v>0</v>
      </c>
      <c r="BC201" s="18">
        <f t="shared" si="657"/>
        <v>149676174</v>
      </c>
      <c r="BD201" s="18">
        <f t="shared" si="657"/>
        <v>0</v>
      </c>
      <c r="BE201" s="18">
        <f t="shared" si="657"/>
        <v>0</v>
      </c>
      <c r="BF201" s="18">
        <f t="shared" si="657"/>
        <v>0</v>
      </c>
      <c r="BG201" s="18">
        <f t="shared" si="657"/>
        <v>0</v>
      </c>
      <c r="BH201" s="18">
        <f t="shared" si="657"/>
        <v>0</v>
      </c>
      <c r="BI201" s="18">
        <f t="shared" si="657"/>
        <v>0</v>
      </c>
      <c r="BJ201" s="18">
        <f t="shared" si="657"/>
        <v>0</v>
      </c>
      <c r="BK201" s="18">
        <f t="shared" si="657"/>
        <v>0</v>
      </c>
      <c r="BL201" s="18">
        <f t="shared" si="657"/>
        <v>0</v>
      </c>
      <c r="BM201" s="18">
        <f t="shared" si="657"/>
        <v>0</v>
      </c>
      <c r="BN201" s="18">
        <f t="shared" si="657"/>
        <v>0</v>
      </c>
      <c r="BO201" s="18">
        <f t="shared" si="657"/>
        <v>0</v>
      </c>
      <c r="BP201" s="18">
        <f t="shared" si="657"/>
        <v>0</v>
      </c>
      <c r="BQ201" s="18">
        <f t="shared" si="657"/>
        <v>149676174</v>
      </c>
      <c r="BR201" s="18">
        <f t="shared" si="657"/>
        <v>0</v>
      </c>
      <c r="BS201" s="18">
        <f t="shared" si="657"/>
        <v>0</v>
      </c>
      <c r="BT201" s="18">
        <f t="shared" si="657"/>
        <v>0</v>
      </c>
      <c r="BU201" s="18">
        <f t="shared" si="657"/>
        <v>0</v>
      </c>
      <c r="BV201" s="18">
        <f t="shared" si="657"/>
        <v>0</v>
      </c>
      <c r="BW201" s="18">
        <f t="shared" si="657"/>
        <v>0</v>
      </c>
      <c r="BX201" s="18">
        <f t="shared" si="657"/>
        <v>0</v>
      </c>
      <c r="BY201" s="18">
        <f t="shared" si="657"/>
        <v>2402500</v>
      </c>
      <c r="BZ201" s="18">
        <f t="shared" si="657"/>
        <v>275772</v>
      </c>
      <c r="CA201" s="18">
        <f t="shared" si="657"/>
        <v>98546905</v>
      </c>
      <c r="CB201" s="18">
        <f t="shared" si="657"/>
        <v>48450997</v>
      </c>
      <c r="CC201" s="18">
        <f t="shared" si="657"/>
        <v>42322</v>
      </c>
      <c r="CD201" s="18">
        <f t="shared" si="657"/>
        <v>42322</v>
      </c>
      <c r="CE201" s="18">
        <f t="shared" si="657"/>
        <v>42322</v>
      </c>
      <c r="CF201" s="18">
        <f t="shared" si="657"/>
        <v>0</v>
      </c>
      <c r="CG201" s="18">
        <f t="shared" si="657"/>
        <v>42322</v>
      </c>
      <c r="CH201" s="18">
        <f t="shared" si="657"/>
        <v>0</v>
      </c>
      <c r="CI201" s="18">
        <f t="shared" si="657"/>
        <v>0</v>
      </c>
      <c r="CJ201" s="18">
        <f t="shared" si="657"/>
        <v>0</v>
      </c>
      <c r="CK201" s="18">
        <f t="shared" si="657"/>
        <v>0</v>
      </c>
      <c r="CL201" s="18">
        <f t="shared" si="657"/>
        <v>0</v>
      </c>
      <c r="CM201" s="18">
        <f t="shared" si="657"/>
        <v>0</v>
      </c>
      <c r="CN201" s="18">
        <f t="shared" si="657"/>
        <v>0</v>
      </c>
      <c r="CO201" s="18">
        <f t="shared" si="657"/>
        <v>0</v>
      </c>
      <c r="CP201" s="18">
        <f t="shared" si="657"/>
        <v>0</v>
      </c>
      <c r="CQ201" s="18"/>
      <c r="CR201" s="18"/>
      <c r="CS201" s="18"/>
      <c r="CT201" s="18"/>
      <c r="CU201" s="18">
        <f>SUM(CU202:CU208)</f>
        <v>0</v>
      </c>
      <c r="CV201" s="73"/>
      <c r="CW201" s="73"/>
      <c r="CX201" s="73"/>
      <c r="CY201" s="73"/>
      <c r="CZ201" s="18">
        <f>SUM(CZ202:CZ208)</f>
        <v>0</v>
      </c>
      <c r="DA201" s="18">
        <f>SUM(DA202:DA208)</f>
        <v>0</v>
      </c>
      <c r="DB201" s="18">
        <f>SUM(DB202:DB208)</f>
        <v>0</v>
      </c>
      <c r="DC201" s="46">
        <f>SUM(DC202:DC208)</f>
        <v>0</v>
      </c>
      <c r="DD201" s="57"/>
    </row>
    <row r="202" spans="1:108" ht="31.2" x14ac:dyDescent="0.3">
      <c r="A202" s="94" t="s">
        <v>1</v>
      </c>
      <c r="B202" s="21" t="s">
        <v>46</v>
      </c>
      <c r="C202" s="22" t="s">
        <v>471</v>
      </c>
      <c r="D202" s="19">
        <f t="shared" ref="D202:D208" si="658">SUM(E202+CC202+CZ202)</f>
        <v>1223400</v>
      </c>
      <c r="E202" s="19">
        <f t="shared" ref="E202:E208" si="659">SUM(F202+BC202)</f>
        <v>1223400</v>
      </c>
      <c r="F202" s="19">
        <f t="shared" ref="F202:F208" si="660">SUM(G202+H202+I202+P202+S202+T202+U202+AD202)</f>
        <v>809167</v>
      </c>
      <c r="G202" s="19">
        <v>532230</v>
      </c>
      <c r="H202" s="19">
        <v>129208</v>
      </c>
      <c r="I202" s="19">
        <f t="shared" si="389"/>
        <v>147704</v>
      </c>
      <c r="J202" s="23">
        <v>0</v>
      </c>
      <c r="K202" s="23">
        <v>0</v>
      </c>
      <c r="L202" s="23">
        <v>0</v>
      </c>
      <c r="M202" s="23">
        <v>0</v>
      </c>
      <c r="N202" s="23">
        <v>147704</v>
      </c>
      <c r="O202" s="23">
        <v>0</v>
      </c>
      <c r="P202" s="19">
        <f t="shared" si="390"/>
        <v>0</v>
      </c>
      <c r="Q202" s="23">
        <v>0</v>
      </c>
      <c r="R202" s="23">
        <v>0</v>
      </c>
      <c r="S202" s="23">
        <v>0</v>
      </c>
      <c r="T202" s="23">
        <v>25</v>
      </c>
      <c r="U202" s="19">
        <f t="shared" ref="U202:U208" si="661">SUM(V202:AC202)</f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f t="shared" ref="AD202:AD208" si="662">SUM(AE202:AY202)</f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0</v>
      </c>
      <c r="AJ202" s="19">
        <v>0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0</v>
      </c>
      <c r="AQ202" s="19">
        <v>0</v>
      </c>
      <c r="AR202" s="19">
        <v>0</v>
      </c>
      <c r="AS202" s="19">
        <v>0</v>
      </c>
      <c r="AT202" s="19">
        <v>0</v>
      </c>
      <c r="AU202" s="19">
        <v>0</v>
      </c>
      <c r="AV202" s="23">
        <v>0</v>
      </c>
      <c r="AW202" s="23">
        <v>0</v>
      </c>
      <c r="AX202" s="23">
        <v>0</v>
      </c>
      <c r="AY202" s="23">
        <v>0</v>
      </c>
      <c r="AZ202" s="23"/>
      <c r="BA202" s="23"/>
      <c r="BB202" s="23"/>
      <c r="BC202" s="19">
        <f t="shared" ref="BC202:BC208" si="663">SUM(BD202+BH202+BL202+BN202+BQ202)</f>
        <v>414233</v>
      </c>
      <c r="BD202" s="19">
        <f t="shared" ref="BD202:BD208" si="664">SUM(BE202:BG202)</f>
        <v>0</v>
      </c>
      <c r="BE202" s="19">
        <v>0</v>
      </c>
      <c r="BF202" s="19">
        <v>0</v>
      </c>
      <c r="BG202" s="19">
        <v>0</v>
      </c>
      <c r="BH202" s="19">
        <f t="shared" ref="BH202:BH208" si="665">SUM(BK202:BK202)</f>
        <v>0</v>
      </c>
      <c r="BI202" s="19">
        <v>0</v>
      </c>
      <c r="BJ202" s="19">
        <v>0</v>
      </c>
      <c r="BK202" s="19">
        <v>0</v>
      </c>
      <c r="BL202" s="19">
        <v>0</v>
      </c>
      <c r="BM202" s="19">
        <v>0</v>
      </c>
      <c r="BN202" s="19">
        <f t="shared" si="393"/>
        <v>0</v>
      </c>
      <c r="BO202" s="19">
        <v>0</v>
      </c>
      <c r="BP202" s="19">
        <v>0</v>
      </c>
      <c r="BQ202" s="19">
        <f t="shared" ref="BQ202:BQ208" si="666">SUM(BR202:CB202)</f>
        <v>414233</v>
      </c>
      <c r="BR202" s="19">
        <v>0</v>
      </c>
      <c r="BS202" s="19">
        <v>0</v>
      </c>
      <c r="BT202" s="19">
        <v>0</v>
      </c>
      <c r="BU202" s="19">
        <v>0</v>
      </c>
      <c r="BV202" s="19">
        <v>0</v>
      </c>
      <c r="BW202" s="19">
        <v>0</v>
      </c>
      <c r="BX202" s="19">
        <v>0</v>
      </c>
      <c r="BY202" s="19">
        <v>0</v>
      </c>
      <c r="BZ202" s="23">
        <v>0</v>
      </c>
      <c r="CA202" s="23">
        <v>414233</v>
      </c>
      <c r="CB202" s="23">
        <v>0</v>
      </c>
      <c r="CC202" s="19">
        <f t="shared" ref="CC202:CC208" si="667">SUM(CD202+CU202)</f>
        <v>0</v>
      </c>
      <c r="CD202" s="19">
        <f t="shared" ref="CD202:CD208" si="668">SUM(CE202+CH202+CN202)</f>
        <v>0</v>
      </c>
      <c r="CE202" s="19">
        <f t="shared" si="394"/>
        <v>0</v>
      </c>
      <c r="CF202" s="19">
        <v>0</v>
      </c>
      <c r="CG202" s="19">
        <v>0</v>
      </c>
      <c r="CH202" s="19">
        <f t="shared" ref="CH202:CH208" si="669">SUM(CI202:CM202)</f>
        <v>0</v>
      </c>
      <c r="CI202" s="19">
        <v>0</v>
      </c>
      <c r="CJ202" s="19">
        <v>0</v>
      </c>
      <c r="CK202" s="19">
        <v>0</v>
      </c>
      <c r="CL202" s="19">
        <v>0</v>
      </c>
      <c r="CM202" s="19">
        <v>0</v>
      </c>
      <c r="CN202" s="19">
        <f t="shared" ref="CN202:CN208" si="670">SUM(CO202:CQ202)</f>
        <v>0</v>
      </c>
      <c r="CO202" s="19">
        <v>0</v>
      </c>
      <c r="CP202" s="19">
        <v>0</v>
      </c>
      <c r="CQ202" s="19"/>
      <c r="CR202" s="19"/>
      <c r="CS202" s="19"/>
      <c r="CT202" s="19"/>
      <c r="CU202" s="19">
        <v>0</v>
      </c>
      <c r="CV202" s="74"/>
      <c r="CW202" s="74"/>
      <c r="CX202" s="74"/>
      <c r="CY202" s="74"/>
      <c r="CZ202" s="19">
        <f t="shared" si="396"/>
        <v>0</v>
      </c>
      <c r="DA202" s="19">
        <f t="shared" si="397"/>
        <v>0</v>
      </c>
      <c r="DB202" s="19">
        <v>0</v>
      </c>
      <c r="DC202" s="20">
        <v>0</v>
      </c>
      <c r="DD202" s="52"/>
    </row>
    <row r="203" spans="1:108" ht="31.2" x14ac:dyDescent="0.3">
      <c r="A203" s="94" t="s">
        <v>1</v>
      </c>
      <c r="B203" s="21" t="s">
        <v>43</v>
      </c>
      <c r="C203" s="22" t="s">
        <v>468</v>
      </c>
      <c r="D203" s="19">
        <f t="shared" si="658"/>
        <v>1771500</v>
      </c>
      <c r="E203" s="19">
        <f t="shared" si="659"/>
        <v>1729178</v>
      </c>
      <c r="F203" s="19">
        <f t="shared" si="660"/>
        <v>971336</v>
      </c>
      <c r="G203" s="19">
        <v>534446</v>
      </c>
      <c r="H203" s="19">
        <v>70027</v>
      </c>
      <c r="I203" s="19">
        <f t="shared" si="389"/>
        <v>295030</v>
      </c>
      <c r="J203" s="23">
        <v>0</v>
      </c>
      <c r="K203" s="23">
        <v>0</v>
      </c>
      <c r="L203" s="23">
        <v>0</v>
      </c>
      <c r="M203" s="23">
        <v>0</v>
      </c>
      <c r="N203" s="23">
        <v>295030</v>
      </c>
      <c r="O203" s="23">
        <v>0</v>
      </c>
      <c r="P203" s="19">
        <f t="shared" si="390"/>
        <v>0</v>
      </c>
      <c r="Q203" s="23">
        <v>0</v>
      </c>
      <c r="R203" s="23">
        <v>0</v>
      </c>
      <c r="S203" s="23">
        <v>0</v>
      </c>
      <c r="T203" s="23">
        <v>71833</v>
      </c>
      <c r="U203" s="19">
        <f t="shared" si="661"/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f t="shared" si="662"/>
        <v>0</v>
      </c>
      <c r="AE203" s="19">
        <v>0</v>
      </c>
      <c r="AF203" s="19">
        <v>0</v>
      </c>
      <c r="AG203" s="19">
        <v>0</v>
      </c>
      <c r="AH203" s="19">
        <v>0</v>
      </c>
      <c r="AI203" s="19">
        <v>0</v>
      </c>
      <c r="AJ203" s="19">
        <v>0</v>
      </c>
      <c r="AK203" s="19">
        <v>0</v>
      </c>
      <c r="AL203" s="19">
        <v>0</v>
      </c>
      <c r="AM203" s="19">
        <v>0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  <c r="AS203" s="19">
        <v>0</v>
      </c>
      <c r="AT203" s="19">
        <v>0</v>
      </c>
      <c r="AU203" s="19">
        <v>0</v>
      </c>
      <c r="AV203" s="23">
        <v>0</v>
      </c>
      <c r="AW203" s="23">
        <v>0</v>
      </c>
      <c r="AX203" s="23">
        <v>0</v>
      </c>
      <c r="AY203" s="23">
        <v>0</v>
      </c>
      <c r="AZ203" s="23"/>
      <c r="BA203" s="23"/>
      <c r="BB203" s="23"/>
      <c r="BC203" s="19">
        <f t="shared" si="663"/>
        <v>757842</v>
      </c>
      <c r="BD203" s="19">
        <f t="shared" si="664"/>
        <v>0</v>
      </c>
      <c r="BE203" s="19">
        <v>0</v>
      </c>
      <c r="BF203" s="19">
        <v>0</v>
      </c>
      <c r="BG203" s="19">
        <v>0</v>
      </c>
      <c r="BH203" s="19">
        <f t="shared" si="665"/>
        <v>0</v>
      </c>
      <c r="BI203" s="19">
        <v>0</v>
      </c>
      <c r="BJ203" s="19">
        <v>0</v>
      </c>
      <c r="BK203" s="19">
        <v>0</v>
      </c>
      <c r="BL203" s="19">
        <v>0</v>
      </c>
      <c r="BM203" s="19">
        <v>0</v>
      </c>
      <c r="BN203" s="19">
        <f t="shared" si="393"/>
        <v>0</v>
      </c>
      <c r="BO203" s="19">
        <v>0</v>
      </c>
      <c r="BP203" s="19">
        <v>0</v>
      </c>
      <c r="BQ203" s="19">
        <f t="shared" si="666"/>
        <v>757842</v>
      </c>
      <c r="BR203" s="19">
        <v>0</v>
      </c>
      <c r="BS203" s="19">
        <v>0</v>
      </c>
      <c r="BT203" s="19">
        <v>0</v>
      </c>
      <c r="BU203" s="19">
        <v>0</v>
      </c>
      <c r="BV203" s="19">
        <v>0</v>
      </c>
      <c r="BW203" s="19">
        <v>0</v>
      </c>
      <c r="BX203" s="19">
        <v>0</v>
      </c>
      <c r="BY203" s="19">
        <v>0</v>
      </c>
      <c r="BZ203" s="23">
        <v>0</v>
      </c>
      <c r="CA203" s="23">
        <v>757842</v>
      </c>
      <c r="CB203" s="23">
        <v>0</v>
      </c>
      <c r="CC203" s="19">
        <f t="shared" si="667"/>
        <v>42322</v>
      </c>
      <c r="CD203" s="19">
        <f t="shared" si="668"/>
        <v>42322</v>
      </c>
      <c r="CE203" s="19">
        <f t="shared" si="394"/>
        <v>42322</v>
      </c>
      <c r="CF203" s="19">
        <v>0</v>
      </c>
      <c r="CG203" s="23">
        <v>42322</v>
      </c>
      <c r="CH203" s="19">
        <f t="shared" si="669"/>
        <v>0</v>
      </c>
      <c r="CI203" s="19">
        <v>0</v>
      </c>
      <c r="CJ203" s="19">
        <v>0</v>
      </c>
      <c r="CK203" s="19">
        <v>0</v>
      </c>
      <c r="CL203" s="19">
        <v>0</v>
      </c>
      <c r="CM203" s="19">
        <v>0</v>
      </c>
      <c r="CN203" s="19">
        <f t="shared" si="670"/>
        <v>0</v>
      </c>
      <c r="CO203" s="19">
        <v>0</v>
      </c>
      <c r="CP203" s="19">
        <v>0</v>
      </c>
      <c r="CQ203" s="19"/>
      <c r="CR203" s="19"/>
      <c r="CS203" s="19"/>
      <c r="CT203" s="19"/>
      <c r="CU203" s="19">
        <v>0</v>
      </c>
      <c r="CV203" s="74"/>
      <c r="CW203" s="74"/>
      <c r="CX203" s="74"/>
      <c r="CY203" s="74"/>
      <c r="CZ203" s="19">
        <f t="shared" si="396"/>
        <v>0</v>
      </c>
      <c r="DA203" s="19">
        <f t="shared" si="397"/>
        <v>0</v>
      </c>
      <c r="DB203" s="19">
        <v>0</v>
      </c>
      <c r="DC203" s="20">
        <v>0</v>
      </c>
      <c r="DD203" s="52"/>
    </row>
    <row r="204" spans="1:108" ht="31.2" x14ac:dyDescent="0.3">
      <c r="A204" s="94" t="s">
        <v>1</v>
      </c>
      <c r="B204" s="21" t="s">
        <v>54</v>
      </c>
      <c r="C204" s="22" t="s">
        <v>469</v>
      </c>
      <c r="D204" s="19">
        <f t="shared" si="658"/>
        <v>82775213</v>
      </c>
      <c r="E204" s="19">
        <f t="shared" si="659"/>
        <v>82775213</v>
      </c>
      <c r="F204" s="19">
        <f t="shared" si="660"/>
        <v>20682415</v>
      </c>
      <c r="G204" s="19">
        <v>0</v>
      </c>
      <c r="H204" s="19">
        <v>0</v>
      </c>
      <c r="I204" s="19">
        <f>SUM(J204:O204)</f>
        <v>2261885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2261885</v>
      </c>
      <c r="P204" s="19">
        <f>SUM(Q204:R204)</f>
        <v>0</v>
      </c>
      <c r="Q204" s="23">
        <v>0</v>
      </c>
      <c r="R204" s="23">
        <v>0</v>
      </c>
      <c r="S204" s="23">
        <v>0</v>
      </c>
      <c r="T204" s="23">
        <v>0</v>
      </c>
      <c r="U204" s="19">
        <f t="shared" si="661"/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f t="shared" si="662"/>
        <v>18420530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19">
        <v>0</v>
      </c>
      <c r="AK204" s="19">
        <v>0</v>
      </c>
      <c r="AL204" s="19">
        <v>0</v>
      </c>
      <c r="AM204" s="19">
        <v>0</v>
      </c>
      <c r="AN204" s="19">
        <v>0</v>
      </c>
      <c r="AO204" s="19">
        <v>0</v>
      </c>
      <c r="AP204" s="19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18127530</v>
      </c>
      <c r="AV204" s="23">
        <v>0</v>
      </c>
      <c r="AW204" s="23">
        <v>0</v>
      </c>
      <c r="AX204" s="23">
        <v>0</v>
      </c>
      <c r="AY204" s="23">
        <v>293000</v>
      </c>
      <c r="AZ204" s="23"/>
      <c r="BA204" s="23"/>
      <c r="BB204" s="23"/>
      <c r="BC204" s="19">
        <f t="shared" si="663"/>
        <v>62092798</v>
      </c>
      <c r="BD204" s="19">
        <f t="shared" si="664"/>
        <v>0</v>
      </c>
      <c r="BE204" s="19">
        <v>0</v>
      </c>
      <c r="BF204" s="19">
        <v>0</v>
      </c>
      <c r="BG204" s="19">
        <v>0</v>
      </c>
      <c r="BH204" s="19">
        <f t="shared" si="665"/>
        <v>0</v>
      </c>
      <c r="BI204" s="19">
        <v>0</v>
      </c>
      <c r="BJ204" s="19">
        <v>0</v>
      </c>
      <c r="BK204" s="19">
        <v>0</v>
      </c>
      <c r="BL204" s="19">
        <v>0</v>
      </c>
      <c r="BM204" s="19">
        <v>0</v>
      </c>
      <c r="BN204" s="19">
        <f>SUM(BO204)</f>
        <v>0</v>
      </c>
      <c r="BO204" s="19">
        <v>0</v>
      </c>
      <c r="BP204" s="19">
        <v>0</v>
      </c>
      <c r="BQ204" s="19">
        <f t="shared" si="666"/>
        <v>62092798</v>
      </c>
      <c r="BR204" s="19">
        <v>0</v>
      </c>
      <c r="BS204" s="19">
        <v>0</v>
      </c>
      <c r="BT204" s="19">
        <v>0</v>
      </c>
      <c r="BU204" s="19">
        <v>0</v>
      </c>
      <c r="BV204" s="19">
        <v>0</v>
      </c>
      <c r="BW204" s="19">
        <v>0</v>
      </c>
      <c r="BX204" s="19">
        <v>0</v>
      </c>
      <c r="BY204" s="19">
        <v>2402500</v>
      </c>
      <c r="BZ204" s="23">
        <v>275772</v>
      </c>
      <c r="CA204" s="23">
        <f>11616544-41259</f>
        <v>11575285</v>
      </c>
      <c r="CB204" s="23">
        <f>22806208-21397-2922570+27977000</f>
        <v>47839241</v>
      </c>
      <c r="CC204" s="19">
        <f t="shared" si="667"/>
        <v>0</v>
      </c>
      <c r="CD204" s="19">
        <f t="shared" si="668"/>
        <v>0</v>
      </c>
      <c r="CE204" s="19">
        <f>SUM(CF204:CG204)</f>
        <v>0</v>
      </c>
      <c r="CF204" s="19">
        <v>0</v>
      </c>
      <c r="CG204" s="19"/>
      <c r="CH204" s="19">
        <f t="shared" si="669"/>
        <v>0</v>
      </c>
      <c r="CI204" s="19">
        <v>0</v>
      </c>
      <c r="CJ204" s="19">
        <v>0</v>
      </c>
      <c r="CK204" s="19">
        <v>0</v>
      </c>
      <c r="CL204" s="19">
        <v>0</v>
      </c>
      <c r="CM204" s="19">
        <v>0</v>
      </c>
      <c r="CN204" s="19">
        <f t="shared" si="670"/>
        <v>0</v>
      </c>
      <c r="CO204" s="19">
        <v>0</v>
      </c>
      <c r="CP204" s="19">
        <v>0</v>
      </c>
      <c r="CQ204" s="19"/>
      <c r="CR204" s="19"/>
      <c r="CS204" s="19"/>
      <c r="CT204" s="19"/>
      <c r="CU204" s="19">
        <v>0</v>
      </c>
      <c r="CV204" s="74"/>
      <c r="CW204" s="74"/>
      <c r="CX204" s="74"/>
      <c r="CY204" s="74"/>
      <c r="CZ204" s="19">
        <f>SUM(DA204)</f>
        <v>0</v>
      </c>
      <c r="DA204" s="19">
        <f>SUM(DB204:DC204)</f>
        <v>0</v>
      </c>
      <c r="DB204" s="19">
        <v>0</v>
      </c>
      <c r="DC204" s="20">
        <v>0</v>
      </c>
      <c r="DD204" s="52"/>
    </row>
    <row r="205" spans="1:108" s="58" customFormat="1" ht="15.6" x14ac:dyDescent="0.3">
      <c r="A205" s="94" t="s">
        <v>1</v>
      </c>
      <c r="B205" s="21" t="s">
        <v>54</v>
      </c>
      <c r="C205" s="22" t="s">
        <v>265</v>
      </c>
      <c r="D205" s="19">
        <f t="shared" si="658"/>
        <v>305381</v>
      </c>
      <c r="E205" s="19">
        <f t="shared" si="659"/>
        <v>305381</v>
      </c>
      <c r="F205" s="19">
        <f t="shared" si="660"/>
        <v>0</v>
      </c>
      <c r="G205" s="19">
        <v>0</v>
      </c>
      <c r="H205" s="19">
        <v>0</v>
      </c>
      <c r="I205" s="19">
        <f>SUM(J205:O205)</f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19">
        <f>SUM(Q205:R205)</f>
        <v>0</v>
      </c>
      <c r="Q205" s="23">
        <v>0</v>
      </c>
      <c r="R205" s="23">
        <v>0</v>
      </c>
      <c r="S205" s="23">
        <v>0</v>
      </c>
      <c r="T205" s="23">
        <v>0</v>
      </c>
      <c r="U205" s="19">
        <f>SUM(V205:AC205)</f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f>SUM(AE205:AY205)</f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19">
        <v>0</v>
      </c>
      <c r="AK205" s="19">
        <v>0</v>
      </c>
      <c r="AL205" s="19">
        <v>0</v>
      </c>
      <c r="AM205" s="19">
        <v>0</v>
      </c>
      <c r="AN205" s="19">
        <v>0</v>
      </c>
      <c r="AO205" s="19">
        <v>0</v>
      </c>
      <c r="AP205" s="19">
        <v>0</v>
      </c>
      <c r="AQ205" s="19">
        <v>0</v>
      </c>
      <c r="AR205" s="19">
        <v>0</v>
      </c>
      <c r="AS205" s="19">
        <v>0</v>
      </c>
      <c r="AT205" s="19">
        <v>0</v>
      </c>
      <c r="AU205" s="19">
        <v>0</v>
      </c>
      <c r="AV205" s="23"/>
      <c r="AW205" s="23">
        <v>0</v>
      </c>
      <c r="AX205" s="23">
        <v>0</v>
      </c>
      <c r="AY205" s="23">
        <v>0</v>
      </c>
      <c r="AZ205" s="23"/>
      <c r="BA205" s="23"/>
      <c r="BB205" s="23"/>
      <c r="BC205" s="19">
        <f>SUM(BD205+BH205+BL205+BN205+BQ205)</f>
        <v>305381</v>
      </c>
      <c r="BD205" s="19">
        <f>SUM(BE205:BG205)</f>
        <v>0</v>
      </c>
      <c r="BE205" s="19">
        <v>0</v>
      </c>
      <c r="BF205" s="19">
        <v>0</v>
      </c>
      <c r="BG205" s="19">
        <v>0</v>
      </c>
      <c r="BH205" s="19">
        <f>SUM(BK205:BK205)</f>
        <v>0</v>
      </c>
      <c r="BI205" s="19">
        <v>0</v>
      </c>
      <c r="BJ205" s="19">
        <v>0</v>
      </c>
      <c r="BK205" s="19">
        <v>0</v>
      </c>
      <c r="BL205" s="19">
        <v>0</v>
      </c>
      <c r="BM205" s="19">
        <v>0</v>
      </c>
      <c r="BN205" s="19">
        <f>SUM(BO205)</f>
        <v>0</v>
      </c>
      <c r="BO205" s="19">
        <v>0</v>
      </c>
      <c r="BP205" s="19">
        <v>0</v>
      </c>
      <c r="BQ205" s="19">
        <f>SUM(BR205:CB205)</f>
        <v>305381</v>
      </c>
      <c r="BR205" s="19">
        <v>0</v>
      </c>
      <c r="BS205" s="19">
        <v>0</v>
      </c>
      <c r="BT205" s="19">
        <v>0</v>
      </c>
      <c r="BU205" s="19">
        <v>0</v>
      </c>
      <c r="BV205" s="19">
        <v>0</v>
      </c>
      <c r="BW205" s="19">
        <v>0</v>
      </c>
      <c r="BX205" s="19">
        <v>0</v>
      </c>
      <c r="BY205" s="19"/>
      <c r="BZ205" s="23"/>
      <c r="CA205" s="23"/>
      <c r="CB205" s="23">
        <f>305382-1</f>
        <v>305381</v>
      </c>
      <c r="CC205" s="19">
        <f>SUM(CD205+CU205)</f>
        <v>0</v>
      </c>
      <c r="CD205" s="19">
        <f>SUM(CE205+CH205+CN205)</f>
        <v>0</v>
      </c>
      <c r="CE205" s="19">
        <f>SUM(CF205:CG205)</f>
        <v>0</v>
      </c>
      <c r="CF205" s="19">
        <v>0</v>
      </c>
      <c r="CG205" s="19">
        <v>0</v>
      </c>
      <c r="CH205" s="19">
        <f>SUM(CI205:CM205)</f>
        <v>0</v>
      </c>
      <c r="CI205" s="19">
        <v>0</v>
      </c>
      <c r="CJ205" s="19">
        <v>0</v>
      </c>
      <c r="CK205" s="19">
        <v>0</v>
      </c>
      <c r="CL205" s="19">
        <v>0</v>
      </c>
      <c r="CM205" s="19">
        <v>0</v>
      </c>
      <c r="CN205" s="19">
        <f>SUM(CO205:CQ205)</f>
        <v>0</v>
      </c>
      <c r="CO205" s="19">
        <v>0</v>
      </c>
      <c r="CP205" s="19">
        <v>0</v>
      </c>
      <c r="CQ205" s="19"/>
      <c r="CR205" s="19"/>
      <c r="CS205" s="19"/>
      <c r="CT205" s="19"/>
      <c r="CU205" s="19">
        <v>0</v>
      </c>
      <c r="CV205" s="74"/>
      <c r="CW205" s="74"/>
      <c r="CX205" s="74"/>
      <c r="CY205" s="74"/>
      <c r="CZ205" s="19">
        <f>SUM(DA205)</f>
        <v>0</v>
      </c>
      <c r="DA205" s="19">
        <f>SUM(DB205:DC205)</f>
        <v>0</v>
      </c>
      <c r="DB205" s="19">
        <v>0</v>
      </c>
      <c r="DC205" s="20">
        <v>0</v>
      </c>
      <c r="DD205" s="52"/>
    </row>
    <row r="206" spans="1:108" ht="15.6" x14ac:dyDescent="0.3">
      <c r="A206" s="94" t="s">
        <v>1</v>
      </c>
      <c r="B206" s="21" t="s">
        <v>54</v>
      </c>
      <c r="C206" s="22" t="s">
        <v>470</v>
      </c>
      <c r="D206" s="19">
        <f t="shared" si="658"/>
        <v>80822128</v>
      </c>
      <c r="E206" s="19">
        <f t="shared" si="659"/>
        <v>80822128</v>
      </c>
      <c r="F206" s="19">
        <f t="shared" si="660"/>
        <v>0</v>
      </c>
      <c r="G206" s="19">
        <v>0</v>
      </c>
      <c r="H206" s="19">
        <v>0</v>
      </c>
      <c r="I206" s="19">
        <f t="shared" si="389"/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19">
        <f t="shared" si="390"/>
        <v>0</v>
      </c>
      <c r="Q206" s="23">
        <v>0</v>
      </c>
      <c r="R206" s="23">
        <v>0</v>
      </c>
      <c r="S206" s="23">
        <v>0</v>
      </c>
      <c r="T206" s="23">
        <v>0</v>
      </c>
      <c r="U206" s="19">
        <f t="shared" si="661"/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f t="shared" si="662"/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23">
        <v>0</v>
      </c>
      <c r="AW206" s="23">
        <v>0</v>
      </c>
      <c r="AX206" s="23">
        <v>0</v>
      </c>
      <c r="AY206" s="23">
        <v>0</v>
      </c>
      <c r="AZ206" s="23"/>
      <c r="BA206" s="23"/>
      <c r="BB206" s="23"/>
      <c r="BC206" s="19">
        <f t="shared" si="663"/>
        <v>80822128</v>
      </c>
      <c r="BD206" s="19">
        <f t="shared" si="664"/>
        <v>0</v>
      </c>
      <c r="BE206" s="19">
        <v>0</v>
      </c>
      <c r="BF206" s="19">
        <v>0</v>
      </c>
      <c r="BG206" s="19">
        <v>0</v>
      </c>
      <c r="BH206" s="19">
        <f t="shared" si="665"/>
        <v>0</v>
      </c>
      <c r="BI206" s="19">
        <v>0</v>
      </c>
      <c r="BJ206" s="19">
        <v>0</v>
      </c>
      <c r="BK206" s="19">
        <v>0</v>
      </c>
      <c r="BL206" s="19">
        <v>0</v>
      </c>
      <c r="BM206" s="19">
        <v>0</v>
      </c>
      <c r="BN206" s="19">
        <f t="shared" si="393"/>
        <v>0</v>
      </c>
      <c r="BO206" s="19">
        <v>0</v>
      </c>
      <c r="BP206" s="19">
        <v>0</v>
      </c>
      <c r="BQ206" s="19">
        <f t="shared" si="666"/>
        <v>80822128</v>
      </c>
      <c r="BR206" s="19">
        <v>0</v>
      </c>
      <c r="BS206" s="19">
        <v>0</v>
      </c>
      <c r="BT206" s="19">
        <v>0</v>
      </c>
      <c r="BU206" s="19">
        <v>0</v>
      </c>
      <c r="BV206" s="19">
        <v>0</v>
      </c>
      <c r="BW206" s="19">
        <v>0</v>
      </c>
      <c r="BX206" s="19">
        <v>0</v>
      </c>
      <c r="BY206" s="19"/>
      <c r="BZ206" s="23"/>
      <c r="CA206" s="23">
        <f>80590725-74972</f>
        <v>80515753</v>
      </c>
      <c r="CB206" s="23">
        <f>612750-306375</f>
        <v>306375</v>
      </c>
      <c r="CC206" s="19">
        <f t="shared" si="667"/>
        <v>0</v>
      </c>
      <c r="CD206" s="19">
        <f t="shared" si="668"/>
        <v>0</v>
      </c>
      <c r="CE206" s="19">
        <f t="shared" si="394"/>
        <v>0</v>
      </c>
      <c r="CF206" s="19">
        <v>0</v>
      </c>
      <c r="CG206" s="19">
        <v>0</v>
      </c>
      <c r="CH206" s="19">
        <f t="shared" si="669"/>
        <v>0</v>
      </c>
      <c r="CI206" s="19">
        <v>0</v>
      </c>
      <c r="CJ206" s="19">
        <v>0</v>
      </c>
      <c r="CK206" s="19">
        <v>0</v>
      </c>
      <c r="CL206" s="19">
        <v>0</v>
      </c>
      <c r="CM206" s="19">
        <v>0</v>
      </c>
      <c r="CN206" s="19">
        <f t="shared" si="670"/>
        <v>0</v>
      </c>
      <c r="CO206" s="19">
        <v>0</v>
      </c>
      <c r="CP206" s="19">
        <v>0</v>
      </c>
      <c r="CQ206" s="19"/>
      <c r="CR206" s="19"/>
      <c r="CS206" s="19"/>
      <c r="CT206" s="19"/>
      <c r="CU206" s="19">
        <v>0</v>
      </c>
      <c r="CV206" s="74"/>
      <c r="CW206" s="74"/>
      <c r="CX206" s="74"/>
      <c r="CY206" s="74"/>
      <c r="CZ206" s="19">
        <f t="shared" si="396"/>
        <v>0</v>
      </c>
      <c r="DA206" s="19">
        <f t="shared" si="397"/>
        <v>0</v>
      </c>
      <c r="DB206" s="19">
        <v>0</v>
      </c>
      <c r="DC206" s="20">
        <v>0</v>
      </c>
      <c r="DD206" s="52"/>
    </row>
    <row r="207" spans="1:108" ht="31.2" x14ac:dyDescent="0.3">
      <c r="A207" s="94" t="s">
        <v>1</v>
      </c>
      <c r="B207" s="21" t="s">
        <v>54</v>
      </c>
      <c r="C207" s="22" t="s">
        <v>264</v>
      </c>
      <c r="D207" s="19">
        <f t="shared" si="658"/>
        <v>5283792</v>
      </c>
      <c r="E207" s="19">
        <f t="shared" si="659"/>
        <v>5283792</v>
      </c>
      <c r="F207" s="19">
        <f t="shared" si="660"/>
        <v>0</v>
      </c>
      <c r="G207" s="19">
        <v>0</v>
      </c>
      <c r="H207" s="19">
        <v>0</v>
      </c>
      <c r="I207" s="19">
        <f>SUM(J207:O207)</f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19">
        <f>SUM(Q207:R207)</f>
        <v>0</v>
      </c>
      <c r="Q207" s="23">
        <v>0</v>
      </c>
      <c r="R207" s="23">
        <v>0</v>
      </c>
      <c r="S207" s="23">
        <v>0</v>
      </c>
      <c r="T207" s="23">
        <v>0</v>
      </c>
      <c r="U207" s="19">
        <f t="shared" si="661"/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f t="shared" si="662"/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9">
        <v>0</v>
      </c>
      <c r="AL207" s="19">
        <v>0</v>
      </c>
      <c r="AM207" s="19">
        <v>0</v>
      </c>
      <c r="AN207" s="19">
        <v>0</v>
      </c>
      <c r="AO207" s="19">
        <v>0</v>
      </c>
      <c r="AP207" s="19">
        <v>0</v>
      </c>
      <c r="AQ207" s="19">
        <v>0</v>
      </c>
      <c r="AR207" s="19">
        <v>0</v>
      </c>
      <c r="AS207" s="19">
        <v>0</v>
      </c>
      <c r="AT207" s="19">
        <v>0</v>
      </c>
      <c r="AU207" s="19">
        <v>0</v>
      </c>
      <c r="AV207" s="23">
        <v>0</v>
      </c>
      <c r="AW207" s="23">
        <v>0</v>
      </c>
      <c r="AX207" s="23">
        <v>0</v>
      </c>
      <c r="AY207" s="23">
        <v>0</v>
      </c>
      <c r="AZ207" s="23"/>
      <c r="BA207" s="23"/>
      <c r="BB207" s="23"/>
      <c r="BC207" s="19">
        <f t="shared" si="663"/>
        <v>5283792</v>
      </c>
      <c r="BD207" s="19">
        <f t="shared" si="664"/>
        <v>0</v>
      </c>
      <c r="BE207" s="19">
        <v>0</v>
      </c>
      <c r="BF207" s="19">
        <v>0</v>
      </c>
      <c r="BG207" s="19">
        <v>0</v>
      </c>
      <c r="BH207" s="19">
        <f t="shared" si="665"/>
        <v>0</v>
      </c>
      <c r="BI207" s="19">
        <v>0</v>
      </c>
      <c r="BJ207" s="19">
        <v>0</v>
      </c>
      <c r="BK207" s="19">
        <v>0</v>
      </c>
      <c r="BL207" s="19">
        <v>0</v>
      </c>
      <c r="BM207" s="19">
        <v>0</v>
      </c>
      <c r="BN207" s="19">
        <f>SUM(BO207)</f>
        <v>0</v>
      </c>
      <c r="BO207" s="19">
        <v>0</v>
      </c>
      <c r="BP207" s="19">
        <v>0</v>
      </c>
      <c r="BQ207" s="19">
        <f t="shared" si="666"/>
        <v>5283792</v>
      </c>
      <c r="BR207" s="19">
        <v>0</v>
      </c>
      <c r="BS207" s="19">
        <v>0</v>
      </c>
      <c r="BT207" s="19">
        <v>0</v>
      </c>
      <c r="BU207" s="19">
        <v>0</v>
      </c>
      <c r="BV207" s="19">
        <v>0</v>
      </c>
      <c r="BW207" s="19">
        <v>0</v>
      </c>
      <c r="BX207" s="19">
        <v>0</v>
      </c>
      <c r="BY207" s="19"/>
      <c r="BZ207" s="23"/>
      <c r="CA207" s="23">
        <f>5284275-483</f>
        <v>5283792</v>
      </c>
      <c r="CB207" s="23">
        <v>0</v>
      </c>
      <c r="CC207" s="19">
        <f t="shared" si="667"/>
        <v>0</v>
      </c>
      <c r="CD207" s="19">
        <f t="shared" si="668"/>
        <v>0</v>
      </c>
      <c r="CE207" s="19">
        <f>SUM(CF207:CG207)</f>
        <v>0</v>
      </c>
      <c r="CF207" s="19">
        <v>0</v>
      </c>
      <c r="CG207" s="19">
        <v>0</v>
      </c>
      <c r="CH207" s="19">
        <f t="shared" si="669"/>
        <v>0</v>
      </c>
      <c r="CI207" s="19">
        <v>0</v>
      </c>
      <c r="CJ207" s="19">
        <v>0</v>
      </c>
      <c r="CK207" s="19">
        <v>0</v>
      </c>
      <c r="CL207" s="19">
        <v>0</v>
      </c>
      <c r="CM207" s="19">
        <v>0</v>
      </c>
      <c r="CN207" s="19">
        <f t="shared" si="670"/>
        <v>0</v>
      </c>
      <c r="CO207" s="19">
        <v>0</v>
      </c>
      <c r="CP207" s="19">
        <v>0</v>
      </c>
      <c r="CQ207" s="19"/>
      <c r="CR207" s="19"/>
      <c r="CS207" s="19"/>
      <c r="CT207" s="19"/>
      <c r="CU207" s="19">
        <v>0</v>
      </c>
      <c r="CV207" s="74"/>
      <c r="CW207" s="74"/>
      <c r="CX207" s="74"/>
      <c r="CY207" s="74"/>
      <c r="CZ207" s="19">
        <f>SUM(DA207)</f>
        <v>0</v>
      </c>
      <c r="DA207" s="19">
        <f>SUM(DB207:DC207)</f>
        <v>0</v>
      </c>
      <c r="DB207" s="19">
        <v>0</v>
      </c>
      <c r="DC207" s="20">
        <v>0</v>
      </c>
      <c r="DD207" s="52"/>
    </row>
    <row r="208" spans="1:108" ht="15.6" x14ac:dyDescent="0.3">
      <c r="A208" s="94" t="s">
        <v>1</v>
      </c>
      <c r="B208" s="21" t="s">
        <v>150</v>
      </c>
      <c r="C208" s="22" t="s">
        <v>151</v>
      </c>
      <c r="D208" s="19">
        <f t="shared" si="658"/>
        <v>863488</v>
      </c>
      <c r="E208" s="19">
        <f t="shared" si="659"/>
        <v>863488</v>
      </c>
      <c r="F208" s="19">
        <f t="shared" si="660"/>
        <v>863488</v>
      </c>
      <c r="G208" s="19">
        <v>840121</v>
      </c>
      <c r="H208" s="19">
        <v>0</v>
      </c>
      <c r="I208" s="19">
        <f t="shared" ref="I208" si="671">SUM(J208:O208)</f>
        <v>0</v>
      </c>
      <c r="J208" s="23">
        <v>0</v>
      </c>
      <c r="K208" s="23">
        <f>7500-7500</f>
        <v>0</v>
      </c>
      <c r="L208" s="23">
        <v>0</v>
      </c>
      <c r="M208" s="23">
        <v>0</v>
      </c>
      <c r="N208" s="23">
        <v>0</v>
      </c>
      <c r="O208" s="23">
        <v>0</v>
      </c>
      <c r="P208" s="19">
        <f t="shared" ref="P208" si="672">SUM(Q208:R208)</f>
        <v>0</v>
      </c>
      <c r="Q208" s="23">
        <v>0</v>
      </c>
      <c r="R208" s="23">
        <v>0</v>
      </c>
      <c r="S208" s="23">
        <v>0</v>
      </c>
      <c r="T208" s="23">
        <v>0</v>
      </c>
      <c r="U208" s="19">
        <f t="shared" si="661"/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f t="shared" si="662"/>
        <v>23367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0</v>
      </c>
      <c r="AL208" s="19">
        <v>0</v>
      </c>
      <c r="AM208" s="19">
        <v>0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23">
        <v>23367</v>
      </c>
      <c r="AW208" s="23">
        <v>0</v>
      </c>
      <c r="AX208" s="23">
        <v>0</v>
      </c>
      <c r="AY208" s="23">
        <v>0</v>
      </c>
      <c r="AZ208" s="23"/>
      <c r="BA208" s="23"/>
      <c r="BB208" s="23"/>
      <c r="BC208" s="19">
        <f t="shared" si="663"/>
        <v>0</v>
      </c>
      <c r="BD208" s="19">
        <f t="shared" si="664"/>
        <v>0</v>
      </c>
      <c r="BE208" s="19">
        <v>0</v>
      </c>
      <c r="BF208" s="19">
        <v>0</v>
      </c>
      <c r="BG208" s="19">
        <v>0</v>
      </c>
      <c r="BH208" s="19">
        <f t="shared" si="665"/>
        <v>0</v>
      </c>
      <c r="BI208" s="19">
        <v>0</v>
      </c>
      <c r="BJ208" s="19">
        <v>0</v>
      </c>
      <c r="BK208" s="19">
        <v>0</v>
      </c>
      <c r="BL208" s="19">
        <v>0</v>
      </c>
      <c r="BM208" s="19">
        <v>0</v>
      </c>
      <c r="BN208" s="19">
        <f t="shared" ref="BN208" si="673">SUM(BO208)</f>
        <v>0</v>
      </c>
      <c r="BO208" s="19">
        <v>0</v>
      </c>
      <c r="BP208" s="19">
        <v>0</v>
      </c>
      <c r="BQ208" s="19">
        <f t="shared" si="666"/>
        <v>0</v>
      </c>
      <c r="BR208" s="19">
        <v>0</v>
      </c>
      <c r="BS208" s="19">
        <v>0</v>
      </c>
      <c r="BT208" s="19">
        <v>0</v>
      </c>
      <c r="BU208" s="19">
        <v>0</v>
      </c>
      <c r="BV208" s="19">
        <v>0</v>
      </c>
      <c r="BW208" s="19">
        <v>0</v>
      </c>
      <c r="BX208" s="19">
        <v>0</v>
      </c>
      <c r="BY208" s="19">
        <v>0</v>
      </c>
      <c r="BZ208" s="23">
        <v>0</v>
      </c>
      <c r="CA208" s="23">
        <v>0</v>
      </c>
      <c r="CB208" s="23">
        <v>0</v>
      </c>
      <c r="CC208" s="19">
        <f t="shared" si="667"/>
        <v>0</v>
      </c>
      <c r="CD208" s="19">
        <f t="shared" si="668"/>
        <v>0</v>
      </c>
      <c r="CE208" s="19">
        <f t="shared" ref="CE208" si="674">SUM(CF208:CG208)</f>
        <v>0</v>
      </c>
      <c r="CF208" s="19">
        <v>0</v>
      </c>
      <c r="CG208" s="19"/>
      <c r="CH208" s="19">
        <f t="shared" si="669"/>
        <v>0</v>
      </c>
      <c r="CI208" s="19">
        <v>0</v>
      </c>
      <c r="CJ208" s="19">
        <v>0</v>
      </c>
      <c r="CK208" s="19">
        <v>0</v>
      </c>
      <c r="CL208" s="19">
        <v>0</v>
      </c>
      <c r="CM208" s="19">
        <v>0</v>
      </c>
      <c r="CN208" s="19">
        <f t="shared" si="670"/>
        <v>0</v>
      </c>
      <c r="CO208" s="19">
        <v>0</v>
      </c>
      <c r="CP208" s="19">
        <v>0</v>
      </c>
      <c r="CQ208" s="19"/>
      <c r="CR208" s="19"/>
      <c r="CS208" s="19"/>
      <c r="CT208" s="19"/>
      <c r="CU208" s="19">
        <v>0</v>
      </c>
      <c r="CV208" s="74"/>
      <c r="CW208" s="74"/>
      <c r="CX208" s="74"/>
      <c r="CY208" s="74"/>
      <c r="CZ208" s="19">
        <f t="shared" ref="CZ208" si="675">SUM(DA208)</f>
        <v>0</v>
      </c>
      <c r="DA208" s="19">
        <f t="shared" ref="DA208" si="676">SUM(DB208:DC208)</f>
        <v>0</v>
      </c>
      <c r="DB208" s="19">
        <v>0</v>
      </c>
      <c r="DC208" s="20">
        <v>0</v>
      </c>
      <c r="DD208" s="52"/>
    </row>
    <row r="209" spans="1:108" ht="31.95" customHeight="1" x14ac:dyDescent="0.3">
      <c r="A209" s="93" t="s">
        <v>267</v>
      </c>
      <c r="B209" s="16" t="s">
        <v>1</v>
      </c>
      <c r="C209" s="17" t="s">
        <v>601</v>
      </c>
      <c r="D209" s="18">
        <f t="shared" ref="D209:BD209" si="677">SUM(D210:D220)</f>
        <v>225158302</v>
      </c>
      <c r="E209" s="18">
        <f t="shared" si="677"/>
        <v>225158302</v>
      </c>
      <c r="F209" s="18">
        <f t="shared" si="677"/>
        <v>220115786</v>
      </c>
      <c r="G209" s="18">
        <f t="shared" si="677"/>
        <v>0</v>
      </c>
      <c r="H209" s="18">
        <f t="shared" si="677"/>
        <v>0</v>
      </c>
      <c r="I209" s="18">
        <f t="shared" si="677"/>
        <v>0</v>
      </c>
      <c r="J209" s="18">
        <f t="shared" si="677"/>
        <v>0</v>
      </c>
      <c r="K209" s="18">
        <f t="shared" si="677"/>
        <v>0</v>
      </c>
      <c r="L209" s="18">
        <f t="shared" si="677"/>
        <v>0</v>
      </c>
      <c r="M209" s="18">
        <f t="shared" si="677"/>
        <v>0</v>
      </c>
      <c r="N209" s="18">
        <f t="shared" si="677"/>
        <v>0</v>
      </c>
      <c r="O209" s="18">
        <f t="shared" si="677"/>
        <v>0</v>
      </c>
      <c r="P209" s="18">
        <f t="shared" si="677"/>
        <v>0</v>
      </c>
      <c r="Q209" s="18">
        <f t="shared" si="677"/>
        <v>0</v>
      </c>
      <c r="R209" s="18">
        <f t="shared" si="677"/>
        <v>0</v>
      </c>
      <c r="S209" s="18">
        <f t="shared" si="677"/>
        <v>0</v>
      </c>
      <c r="T209" s="18">
        <f t="shared" si="677"/>
        <v>0</v>
      </c>
      <c r="U209" s="18">
        <f t="shared" si="677"/>
        <v>220115786</v>
      </c>
      <c r="V209" s="18">
        <f t="shared" si="677"/>
        <v>0</v>
      </c>
      <c r="W209" s="18">
        <f t="shared" si="677"/>
        <v>0</v>
      </c>
      <c r="X209" s="18">
        <f t="shared" si="677"/>
        <v>0</v>
      </c>
      <c r="Y209" s="18">
        <f t="shared" si="677"/>
        <v>0</v>
      </c>
      <c r="Z209" s="18">
        <f t="shared" si="677"/>
        <v>0</v>
      </c>
      <c r="AA209" s="18">
        <f t="shared" si="677"/>
        <v>0</v>
      </c>
      <c r="AB209" s="18">
        <f t="shared" si="677"/>
        <v>220115786</v>
      </c>
      <c r="AC209" s="18">
        <f t="shared" si="677"/>
        <v>0</v>
      </c>
      <c r="AD209" s="18">
        <f t="shared" si="677"/>
        <v>0</v>
      </c>
      <c r="AE209" s="18">
        <f t="shared" si="677"/>
        <v>0</v>
      </c>
      <c r="AF209" s="18">
        <f t="shared" si="677"/>
        <v>0</v>
      </c>
      <c r="AG209" s="18">
        <f t="shared" si="677"/>
        <v>0</v>
      </c>
      <c r="AH209" s="18">
        <f t="shared" si="677"/>
        <v>0</v>
      </c>
      <c r="AI209" s="18">
        <f t="shared" si="677"/>
        <v>0</v>
      </c>
      <c r="AJ209" s="18">
        <f t="shared" si="677"/>
        <v>0</v>
      </c>
      <c r="AK209" s="18">
        <f t="shared" si="677"/>
        <v>0</v>
      </c>
      <c r="AL209" s="18">
        <f t="shared" si="677"/>
        <v>0</v>
      </c>
      <c r="AM209" s="18">
        <f t="shared" si="677"/>
        <v>0</v>
      </c>
      <c r="AN209" s="18">
        <f t="shared" si="677"/>
        <v>0</v>
      </c>
      <c r="AO209" s="18">
        <f t="shared" si="677"/>
        <v>0</v>
      </c>
      <c r="AP209" s="18">
        <f t="shared" si="677"/>
        <v>0</v>
      </c>
      <c r="AQ209" s="18">
        <f t="shared" si="677"/>
        <v>0</v>
      </c>
      <c r="AR209" s="18">
        <f t="shared" si="677"/>
        <v>0</v>
      </c>
      <c r="AS209" s="18">
        <f t="shared" si="677"/>
        <v>0</v>
      </c>
      <c r="AT209" s="18">
        <f t="shared" si="677"/>
        <v>0</v>
      </c>
      <c r="AU209" s="18">
        <f t="shared" si="677"/>
        <v>0</v>
      </c>
      <c r="AV209" s="18">
        <f t="shared" si="677"/>
        <v>0</v>
      </c>
      <c r="AW209" s="18">
        <f t="shared" si="677"/>
        <v>0</v>
      </c>
      <c r="AX209" s="18">
        <f t="shared" si="677"/>
        <v>0</v>
      </c>
      <c r="AY209" s="18">
        <f t="shared" si="677"/>
        <v>0</v>
      </c>
      <c r="AZ209" s="18">
        <f t="shared" si="677"/>
        <v>0</v>
      </c>
      <c r="BA209" s="18">
        <f t="shared" si="677"/>
        <v>0</v>
      </c>
      <c r="BB209" s="18">
        <f t="shared" si="677"/>
        <v>0</v>
      </c>
      <c r="BC209" s="18">
        <f t="shared" si="677"/>
        <v>5042516</v>
      </c>
      <c r="BD209" s="18">
        <f t="shared" si="677"/>
        <v>5042516</v>
      </c>
      <c r="BE209" s="18">
        <f>SUM(BE210:BE220)</f>
        <v>5042516</v>
      </c>
      <c r="BF209" s="18">
        <f t="shared" ref="BF209:CX209" si="678">SUM(BF210:BF220)</f>
        <v>0</v>
      </c>
      <c r="BG209" s="18">
        <f t="shared" si="678"/>
        <v>0</v>
      </c>
      <c r="BH209" s="18">
        <f t="shared" si="678"/>
        <v>0</v>
      </c>
      <c r="BI209" s="18">
        <f t="shared" si="678"/>
        <v>0</v>
      </c>
      <c r="BJ209" s="18">
        <f t="shared" si="678"/>
        <v>0</v>
      </c>
      <c r="BK209" s="18">
        <f t="shared" si="678"/>
        <v>0</v>
      </c>
      <c r="BL209" s="18">
        <f t="shared" si="678"/>
        <v>0</v>
      </c>
      <c r="BM209" s="18">
        <f t="shared" si="678"/>
        <v>0</v>
      </c>
      <c r="BN209" s="18">
        <f t="shared" si="678"/>
        <v>0</v>
      </c>
      <c r="BO209" s="18">
        <f t="shared" si="678"/>
        <v>0</v>
      </c>
      <c r="BP209" s="18">
        <f t="shared" si="678"/>
        <v>0</v>
      </c>
      <c r="BQ209" s="18">
        <f t="shared" si="678"/>
        <v>0</v>
      </c>
      <c r="BR209" s="18">
        <f t="shared" si="678"/>
        <v>0</v>
      </c>
      <c r="BS209" s="18">
        <f t="shared" si="678"/>
        <v>0</v>
      </c>
      <c r="BT209" s="18">
        <f t="shared" si="678"/>
        <v>0</v>
      </c>
      <c r="BU209" s="18">
        <f t="shared" si="678"/>
        <v>0</v>
      </c>
      <c r="BV209" s="18">
        <f t="shared" si="678"/>
        <v>0</v>
      </c>
      <c r="BW209" s="18">
        <f t="shared" si="678"/>
        <v>0</v>
      </c>
      <c r="BX209" s="18">
        <f t="shared" si="678"/>
        <v>0</v>
      </c>
      <c r="BY209" s="18">
        <f t="shared" si="678"/>
        <v>0</v>
      </c>
      <c r="BZ209" s="18">
        <f t="shared" si="678"/>
        <v>0</v>
      </c>
      <c r="CA209" s="18">
        <f t="shared" si="678"/>
        <v>0</v>
      </c>
      <c r="CB209" s="18">
        <f t="shared" si="678"/>
        <v>0</v>
      </c>
      <c r="CC209" s="18">
        <f t="shared" si="678"/>
        <v>0</v>
      </c>
      <c r="CD209" s="18">
        <f t="shared" si="678"/>
        <v>0</v>
      </c>
      <c r="CE209" s="18">
        <f t="shared" si="678"/>
        <v>0</v>
      </c>
      <c r="CF209" s="18">
        <f t="shared" si="678"/>
        <v>0</v>
      </c>
      <c r="CG209" s="18">
        <f t="shared" si="678"/>
        <v>0</v>
      </c>
      <c r="CH209" s="18">
        <f t="shared" si="678"/>
        <v>0</v>
      </c>
      <c r="CI209" s="18">
        <f t="shared" si="678"/>
        <v>0</v>
      </c>
      <c r="CJ209" s="18">
        <f t="shared" si="678"/>
        <v>0</v>
      </c>
      <c r="CK209" s="18">
        <f t="shared" si="678"/>
        <v>0</v>
      </c>
      <c r="CL209" s="18">
        <f t="shared" si="678"/>
        <v>0</v>
      </c>
      <c r="CM209" s="18">
        <f t="shared" si="678"/>
        <v>0</v>
      </c>
      <c r="CN209" s="18">
        <f t="shared" si="678"/>
        <v>0</v>
      </c>
      <c r="CO209" s="18">
        <f t="shared" si="678"/>
        <v>0</v>
      </c>
      <c r="CP209" s="18">
        <f t="shared" si="678"/>
        <v>0</v>
      </c>
      <c r="CQ209" s="18">
        <f t="shared" si="678"/>
        <v>0</v>
      </c>
      <c r="CR209" s="18"/>
      <c r="CS209" s="18"/>
      <c r="CT209" s="18"/>
      <c r="CU209" s="18">
        <f t="shared" si="678"/>
        <v>0</v>
      </c>
      <c r="CV209" s="73">
        <f t="shared" si="678"/>
        <v>0</v>
      </c>
      <c r="CW209" s="73">
        <f t="shared" si="678"/>
        <v>0</v>
      </c>
      <c r="CX209" s="73">
        <f t="shared" si="678"/>
        <v>0</v>
      </c>
      <c r="CY209" s="73">
        <f t="shared" ref="CY209" si="679">SUM(CY210:CY220)</f>
        <v>0</v>
      </c>
      <c r="CZ209" s="18">
        <f t="shared" ref="CZ209:DC209" si="680">SUM(CZ211:CZ220)</f>
        <v>0</v>
      </c>
      <c r="DA209" s="18">
        <f t="shared" si="680"/>
        <v>0</v>
      </c>
      <c r="DB209" s="18">
        <f t="shared" si="680"/>
        <v>0</v>
      </c>
      <c r="DC209" s="46">
        <f t="shared" si="680"/>
        <v>0</v>
      </c>
      <c r="DD209" s="57"/>
    </row>
    <row r="210" spans="1:108" s="58" customFormat="1" ht="31.2" x14ac:dyDescent="0.3">
      <c r="A210" s="94" t="s">
        <v>1</v>
      </c>
      <c r="B210" s="34" t="s">
        <v>52</v>
      </c>
      <c r="C210" s="31" t="s">
        <v>272</v>
      </c>
      <c r="D210" s="19">
        <f t="shared" ref="D210:D220" si="681">SUM(E210+CC210+CZ210)</f>
        <v>5042516</v>
      </c>
      <c r="E210" s="19">
        <f t="shared" ref="E210:E220" si="682">SUM(F210+BC210)</f>
        <v>5042516</v>
      </c>
      <c r="F210" s="19">
        <f t="shared" ref="F210" si="683">SUM(G210+H210+I210+P210+S210+T210+U210+AD210)</f>
        <v>0</v>
      </c>
      <c r="G210" s="19">
        <v>0</v>
      </c>
      <c r="H210" s="19">
        <v>0</v>
      </c>
      <c r="I210" s="19">
        <f t="shared" ref="I210" si="684">SUM(J210:O210)</f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f t="shared" ref="P210" si="685">SUM(Q210:R210)</f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f t="shared" ref="U210" si="686">SUM(V210:AC210)</f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f>SUM(AE210:AY210)</f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0</v>
      </c>
      <c r="AP210" s="19">
        <v>0</v>
      </c>
      <c r="AQ210" s="19">
        <v>0</v>
      </c>
      <c r="AR210" s="19">
        <v>0</v>
      </c>
      <c r="AS210" s="19"/>
      <c r="AT210" s="19"/>
      <c r="AU210" s="19">
        <v>0</v>
      </c>
      <c r="AV210" s="19">
        <v>0</v>
      </c>
      <c r="AW210" s="19">
        <v>0</v>
      </c>
      <c r="AX210" s="19"/>
      <c r="AY210" s="19">
        <v>0</v>
      </c>
      <c r="AZ210" s="19"/>
      <c r="BA210" s="19"/>
      <c r="BB210" s="19"/>
      <c r="BC210" s="19">
        <f>SUM(BD210+BH210+BL210+BN210+BQ210)</f>
        <v>5042516</v>
      </c>
      <c r="BD210" s="19">
        <f>SUM(BE210:BG210)</f>
        <v>5042516</v>
      </c>
      <c r="BE210" s="23">
        <v>5042516</v>
      </c>
      <c r="BF210" s="19">
        <v>0</v>
      </c>
      <c r="BG210" s="19">
        <v>0</v>
      </c>
      <c r="BH210" s="19">
        <f>SUM(BK210:BK210)</f>
        <v>0</v>
      </c>
      <c r="BI210" s="19">
        <v>0</v>
      </c>
      <c r="BJ210" s="19">
        <v>0</v>
      </c>
      <c r="BK210" s="19">
        <v>0</v>
      </c>
      <c r="BL210" s="19"/>
      <c r="BM210" s="19">
        <v>0</v>
      </c>
      <c r="BN210" s="19">
        <f t="shared" ref="BN210" si="687">SUM(BO210)</f>
        <v>0</v>
      </c>
      <c r="BO210" s="19">
        <v>0</v>
      </c>
      <c r="BP210" s="19">
        <v>0</v>
      </c>
      <c r="BQ210" s="19">
        <f>SUM(BR210:CB210)</f>
        <v>0</v>
      </c>
      <c r="BR210" s="19">
        <v>0</v>
      </c>
      <c r="BS210" s="19">
        <v>0</v>
      </c>
      <c r="BT210" s="19">
        <v>0</v>
      </c>
      <c r="BU210" s="19">
        <v>0</v>
      </c>
      <c r="BV210" s="19">
        <v>0</v>
      </c>
      <c r="BW210" s="19">
        <v>0</v>
      </c>
      <c r="BX210" s="19">
        <v>0</v>
      </c>
      <c r="BY210" s="19">
        <v>0</v>
      </c>
      <c r="BZ210" s="19">
        <v>0</v>
      </c>
      <c r="CA210" s="19">
        <v>0</v>
      </c>
      <c r="CB210" s="19">
        <v>0</v>
      </c>
      <c r="CC210" s="19">
        <f>SUM(CD210+CU210)</f>
        <v>0</v>
      </c>
      <c r="CD210" s="19">
        <f>SUM(CE210+CH210+CN210)</f>
        <v>0</v>
      </c>
      <c r="CE210" s="19">
        <f t="shared" ref="CE210" si="688">SUM(CF210:CG210)</f>
        <v>0</v>
      </c>
      <c r="CF210" s="19">
        <v>0</v>
      </c>
      <c r="CG210" s="19">
        <v>0</v>
      </c>
      <c r="CH210" s="19">
        <f>SUM(CI210:CM210)</f>
        <v>0</v>
      </c>
      <c r="CI210" s="19">
        <v>0</v>
      </c>
      <c r="CJ210" s="19">
        <v>0</v>
      </c>
      <c r="CK210" s="19">
        <v>0</v>
      </c>
      <c r="CL210" s="19">
        <v>0</v>
      </c>
      <c r="CM210" s="19">
        <v>0</v>
      </c>
      <c r="CN210" s="19">
        <f>SUM(CO210:CQ210)</f>
        <v>0</v>
      </c>
      <c r="CO210" s="19">
        <v>0</v>
      </c>
      <c r="CP210" s="19">
        <v>0</v>
      </c>
      <c r="CQ210" s="19"/>
      <c r="CR210" s="19"/>
      <c r="CS210" s="19"/>
      <c r="CT210" s="19"/>
      <c r="CU210" s="19">
        <v>0</v>
      </c>
      <c r="CV210" s="74"/>
      <c r="CW210" s="74"/>
      <c r="CX210" s="74"/>
      <c r="CY210" s="74"/>
      <c r="CZ210" s="19">
        <f t="shared" ref="CZ210" si="689">SUM(DA210)</f>
        <v>0</v>
      </c>
      <c r="DA210" s="19">
        <f t="shared" ref="DA210" si="690">SUM(DB210:DC210)</f>
        <v>0</v>
      </c>
      <c r="DB210" s="19">
        <v>0</v>
      </c>
      <c r="DC210" s="20">
        <v>0</v>
      </c>
      <c r="DD210" s="52"/>
    </row>
    <row r="211" spans="1:108" ht="31.2" x14ac:dyDescent="0.3">
      <c r="A211" s="94" t="s">
        <v>1</v>
      </c>
      <c r="B211" s="34" t="s">
        <v>52</v>
      </c>
      <c r="C211" s="31" t="s">
        <v>515</v>
      </c>
      <c r="D211" s="19">
        <f t="shared" si="681"/>
        <v>179011304</v>
      </c>
      <c r="E211" s="19">
        <f t="shared" si="682"/>
        <v>179011304</v>
      </c>
      <c r="F211" s="19">
        <f t="shared" ref="F211:F220" si="691">SUM(G211+H211+I211+P211+S211+T211+U211+AD211)</f>
        <v>179011304</v>
      </c>
      <c r="G211" s="19">
        <v>0</v>
      </c>
      <c r="H211" s="19">
        <v>0</v>
      </c>
      <c r="I211" s="19">
        <f t="shared" ref="I211:I220" si="692">SUM(J211:O211)</f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f t="shared" ref="P211:P220" si="693">SUM(Q211:R211)</f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f t="shared" ref="U211:U220" si="694">SUM(V211:AC211)</f>
        <v>179011304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23">
        <v>179011304</v>
      </c>
      <c r="AC211" s="19">
        <v>0</v>
      </c>
      <c r="AD211" s="19">
        <f t="shared" ref="AD211:AD220" si="695">SUM(AE211:AY211)</f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9">
        <v>0</v>
      </c>
      <c r="AL211" s="19">
        <v>0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/>
      <c r="AT211" s="19"/>
      <c r="AU211" s="19">
        <v>0</v>
      </c>
      <c r="AV211" s="19">
        <v>0</v>
      </c>
      <c r="AW211" s="19">
        <v>0</v>
      </c>
      <c r="AX211" s="19"/>
      <c r="AY211" s="19">
        <v>0</v>
      </c>
      <c r="AZ211" s="19"/>
      <c r="BA211" s="19"/>
      <c r="BB211" s="19"/>
      <c r="BC211" s="19">
        <f t="shared" ref="BC211:BC220" si="696">SUM(BD211+BH211+BL211+BN211+BQ211)</f>
        <v>0</v>
      </c>
      <c r="BD211" s="19">
        <f t="shared" ref="BD211:BD220" si="697">SUM(BE211:BG211)</f>
        <v>0</v>
      </c>
      <c r="BE211" s="19">
        <v>0</v>
      </c>
      <c r="BF211" s="19">
        <v>0</v>
      </c>
      <c r="BG211" s="19">
        <v>0</v>
      </c>
      <c r="BH211" s="19">
        <f t="shared" ref="BH211:BH220" si="698">SUM(BK211:BK211)</f>
        <v>0</v>
      </c>
      <c r="BI211" s="19">
        <v>0</v>
      </c>
      <c r="BJ211" s="19">
        <v>0</v>
      </c>
      <c r="BK211" s="19">
        <v>0</v>
      </c>
      <c r="BL211" s="19">
        <v>0</v>
      </c>
      <c r="BM211" s="19">
        <v>0</v>
      </c>
      <c r="BN211" s="19">
        <f t="shared" ref="BN211:BN220" si="699">SUM(BO211)</f>
        <v>0</v>
      </c>
      <c r="BO211" s="19">
        <v>0</v>
      </c>
      <c r="BP211" s="19">
        <v>0</v>
      </c>
      <c r="BQ211" s="19">
        <f t="shared" ref="BQ211:BQ220" si="700">SUM(BR211:CB211)</f>
        <v>0</v>
      </c>
      <c r="BR211" s="19">
        <v>0</v>
      </c>
      <c r="BS211" s="19">
        <v>0</v>
      </c>
      <c r="BT211" s="19">
        <v>0</v>
      </c>
      <c r="BU211" s="19">
        <v>0</v>
      </c>
      <c r="BV211" s="19">
        <v>0</v>
      </c>
      <c r="BW211" s="19">
        <v>0</v>
      </c>
      <c r="BX211" s="19">
        <v>0</v>
      </c>
      <c r="BY211" s="19">
        <v>0</v>
      </c>
      <c r="BZ211" s="19">
        <v>0</v>
      </c>
      <c r="CA211" s="19">
        <v>0</v>
      </c>
      <c r="CB211" s="19">
        <v>0</v>
      </c>
      <c r="CC211" s="19">
        <f t="shared" ref="CC211:CC220" si="701">SUM(CD211+CU211)</f>
        <v>0</v>
      </c>
      <c r="CD211" s="19">
        <f t="shared" ref="CD211:CD220" si="702">SUM(CE211+CH211+CN211)</f>
        <v>0</v>
      </c>
      <c r="CE211" s="19">
        <f t="shared" ref="CE211:CE220" si="703">SUM(CF211:CG211)</f>
        <v>0</v>
      </c>
      <c r="CF211" s="19">
        <v>0</v>
      </c>
      <c r="CG211" s="19">
        <v>0</v>
      </c>
      <c r="CH211" s="19">
        <f t="shared" ref="CH211:CH220" si="704">SUM(CI211:CM211)</f>
        <v>0</v>
      </c>
      <c r="CI211" s="19">
        <v>0</v>
      </c>
      <c r="CJ211" s="19">
        <v>0</v>
      </c>
      <c r="CK211" s="19">
        <v>0</v>
      </c>
      <c r="CL211" s="19">
        <v>0</v>
      </c>
      <c r="CM211" s="19">
        <v>0</v>
      </c>
      <c r="CN211" s="19">
        <f t="shared" ref="CN211:CN220" si="705">SUM(CO211:CQ211)</f>
        <v>0</v>
      </c>
      <c r="CO211" s="19">
        <v>0</v>
      </c>
      <c r="CP211" s="19">
        <v>0</v>
      </c>
      <c r="CQ211" s="19"/>
      <c r="CR211" s="19"/>
      <c r="CS211" s="19"/>
      <c r="CT211" s="19"/>
      <c r="CU211" s="19">
        <v>0</v>
      </c>
      <c r="CV211" s="74"/>
      <c r="CW211" s="74"/>
      <c r="CX211" s="74"/>
      <c r="CY211" s="74"/>
      <c r="CZ211" s="19">
        <f t="shared" ref="CZ211:CZ220" si="706">SUM(DA211)</f>
        <v>0</v>
      </c>
      <c r="DA211" s="19">
        <f t="shared" ref="DA211:DA220" si="707">SUM(DB211:DC211)</f>
        <v>0</v>
      </c>
      <c r="DB211" s="19">
        <v>0</v>
      </c>
      <c r="DC211" s="20">
        <v>0</v>
      </c>
      <c r="DD211" s="52"/>
    </row>
    <row r="212" spans="1:108" ht="15.6" x14ac:dyDescent="0.3">
      <c r="A212" s="94" t="s">
        <v>1</v>
      </c>
      <c r="B212" s="34" t="s">
        <v>268</v>
      </c>
      <c r="C212" s="31" t="s">
        <v>325</v>
      </c>
      <c r="D212" s="19">
        <f t="shared" si="681"/>
        <v>28239032</v>
      </c>
      <c r="E212" s="19">
        <f t="shared" si="682"/>
        <v>28239032</v>
      </c>
      <c r="F212" s="19">
        <f t="shared" si="691"/>
        <v>28239032</v>
      </c>
      <c r="G212" s="19">
        <v>0</v>
      </c>
      <c r="H212" s="19">
        <v>0</v>
      </c>
      <c r="I212" s="19">
        <f t="shared" si="692"/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f t="shared" si="693"/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f t="shared" si="694"/>
        <v>28239032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23">
        <f>30265019-2025987</f>
        <v>28239032</v>
      </c>
      <c r="AC212" s="19">
        <v>0</v>
      </c>
      <c r="AD212" s="19">
        <f t="shared" si="695"/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0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  <c r="AS212" s="19"/>
      <c r="AT212" s="19"/>
      <c r="AU212" s="19">
        <v>0</v>
      </c>
      <c r="AV212" s="19">
        <v>0</v>
      </c>
      <c r="AW212" s="19">
        <v>0</v>
      </c>
      <c r="AX212" s="19"/>
      <c r="AY212" s="19">
        <v>0</v>
      </c>
      <c r="AZ212" s="19"/>
      <c r="BA212" s="19"/>
      <c r="BB212" s="19"/>
      <c r="BC212" s="19">
        <f t="shared" si="696"/>
        <v>0</v>
      </c>
      <c r="BD212" s="19">
        <f t="shared" si="697"/>
        <v>0</v>
      </c>
      <c r="BE212" s="19">
        <v>0</v>
      </c>
      <c r="BF212" s="19">
        <v>0</v>
      </c>
      <c r="BG212" s="19">
        <v>0</v>
      </c>
      <c r="BH212" s="19">
        <f t="shared" si="698"/>
        <v>0</v>
      </c>
      <c r="BI212" s="19">
        <v>0</v>
      </c>
      <c r="BJ212" s="19">
        <v>0</v>
      </c>
      <c r="BK212" s="19">
        <v>0</v>
      </c>
      <c r="BL212" s="19">
        <v>0</v>
      </c>
      <c r="BM212" s="19">
        <v>0</v>
      </c>
      <c r="BN212" s="19">
        <f t="shared" si="699"/>
        <v>0</v>
      </c>
      <c r="BO212" s="19">
        <v>0</v>
      </c>
      <c r="BP212" s="19">
        <v>0</v>
      </c>
      <c r="BQ212" s="19">
        <f t="shared" si="700"/>
        <v>0</v>
      </c>
      <c r="BR212" s="19">
        <v>0</v>
      </c>
      <c r="BS212" s="19">
        <v>0</v>
      </c>
      <c r="BT212" s="19">
        <v>0</v>
      </c>
      <c r="BU212" s="19">
        <v>0</v>
      </c>
      <c r="BV212" s="19">
        <v>0</v>
      </c>
      <c r="BW212" s="19">
        <v>0</v>
      </c>
      <c r="BX212" s="19">
        <v>0</v>
      </c>
      <c r="BY212" s="19">
        <v>0</v>
      </c>
      <c r="BZ212" s="19">
        <v>0</v>
      </c>
      <c r="CA212" s="19">
        <v>0</v>
      </c>
      <c r="CB212" s="19">
        <v>0</v>
      </c>
      <c r="CC212" s="19">
        <f t="shared" si="701"/>
        <v>0</v>
      </c>
      <c r="CD212" s="19">
        <f t="shared" si="702"/>
        <v>0</v>
      </c>
      <c r="CE212" s="19">
        <f t="shared" si="703"/>
        <v>0</v>
      </c>
      <c r="CF212" s="19">
        <v>0</v>
      </c>
      <c r="CG212" s="19">
        <v>0</v>
      </c>
      <c r="CH212" s="19">
        <f t="shared" si="704"/>
        <v>0</v>
      </c>
      <c r="CI212" s="19">
        <v>0</v>
      </c>
      <c r="CJ212" s="19">
        <v>0</v>
      </c>
      <c r="CK212" s="19">
        <v>0</v>
      </c>
      <c r="CL212" s="19">
        <v>0</v>
      </c>
      <c r="CM212" s="19">
        <v>0</v>
      </c>
      <c r="CN212" s="19">
        <f t="shared" si="705"/>
        <v>0</v>
      </c>
      <c r="CO212" s="19">
        <v>0</v>
      </c>
      <c r="CP212" s="19">
        <v>0</v>
      </c>
      <c r="CQ212" s="19"/>
      <c r="CR212" s="19"/>
      <c r="CS212" s="19"/>
      <c r="CT212" s="19"/>
      <c r="CU212" s="19">
        <v>0</v>
      </c>
      <c r="CV212" s="74"/>
      <c r="CW212" s="74"/>
      <c r="CX212" s="74"/>
      <c r="CY212" s="74"/>
      <c r="CZ212" s="19">
        <f t="shared" si="706"/>
        <v>0</v>
      </c>
      <c r="DA212" s="19">
        <f t="shared" si="707"/>
        <v>0</v>
      </c>
      <c r="DB212" s="19">
        <v>0</v>
      </c>
      <c r="DC212" s="20">
        <v>0</v>
      </c>
      <c r="DD212" s="52"/>
    </row>
    <row r="213" spans="1:108" ht="31.5" customHeight="1" x14ac:dyDescent="0.3">
      <c r="A213" s="94" t="s">
        <v>1</v>
      </c>
      <c r="B213" s="34" t="s">
        <v>268</v>
      </c>
      <c r="C213" s="31" t="s">
        <v>326</v>
      </c>
      <c r="D213" s="19">
        <f t="shared" si="681"/>
        <v>298728</v>
      </c>
      <c r="E213" s="19">
        <f t="shared" si="682"/>
        <v>298728</v>
      </c>
      <c r="F213" s="19">
        <f t="shared" si="691"/>
        <v>298728</v>
      </c>
      <c r="G213" s="19">
        <v>0</v>
      </c>
      <c r="H213" s="19">
        <v>0</v>
      </c>
      <c r="I213" s="19">
        <f t="shared" si="692"/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19">
        <f t="shared" si="693"/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f t="shared" si="694"/>
        <v>298728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23">
        <f>321929-23201</f>
        <v>298728</v>
      </c>
      <c r="AC213" s="19">
        <v>0</v>
      </c>
      <c r="AD213" s="19">
        <f t="shared" si="695"/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  <c r="AS213" s="19"/>
      <c r="AT213" s="19"/>
      <c r="AU213" s="19">
        <v>0</v>
      </c>
      <c r="AV213" s="19">
        <v>0</v>
      </c>
      <c r="AW213" s="19">
        <v>0</v>
      </c>
      <c r="AX213" s="19"/>
      <c r="AY213" s="19">
        <v>0</v>
      </c>
      <c r="AZ213" s="19"/>
      <c r="BA213" s="19"/>
      <c r="BB213" s="19"/>
      <c r="BC213" s="19">
        <f t="shared" si="696"/>
        <v>0</v>
      </c>
      <c r="BD213" s="19">
        <f t="shared" si="697"/>
        <v>0</v>
      </c>
      <c r="BE213" s="19">
        <v>0</v>
      </c>
      <c r="BF213" s="19">
        <v>0</v>
      </c>
      <c r="BG213" s="19">
        <v>0</v>
      </c>
      <c r="BH213" s="19">
        <f t="shared" si="698"/>
        <v>0</v>
      </c>
      <c r="BI213" s="19">
        <v>0</v>
      </c>
      <c r="BJ213" s="19">
        <v>0</v>
      </c>
      <c r="BK213" s="19">
        <v>0</v>
      </c>
      <c r="BL213" s="19">
        <v>0</v>
      </c>
      <c r="BM213" s="19">
        <v>0</v>
      </c>
      <c r="BN213" s="19">
        <f t="shared" si="699"/>
        <v>0</v>
      </c>
      <c r="BO213" s="19">
        <v>0</v>
      </c>
      <c r="BP213" s="19">
        <v>0</v>
      </c>
      <c r="BQ213" s="19">
        <f t="shared" si="700"/>
        <v>0</v>
      </c>
      <c r="BR213" s="19">
        <v>0</v>
      </c>
      <c r="BS213" s="19">
        <v>0</v>
      </c>
      <c r="BT213" s="19">
        <v>0</v>
      </c>
      <c r="BU213" s="19">
        <v>0</v>
      </c>
      <c r="BV213" s="19">
        <v>0</v>
      </c>
      <c r="BW213" s="19">
        <v>0</v>
      </c>
      <c r="BX213" s="19">
        <v>0</v>
      </c>
      <c r="BY213" s="19">
        <v>0</v>
      </c>
      <c r="BZ213" s="19">
        <v>0</v>
      </c>
      <c r="CA213" s="19">
        <v>0</v>
      </c>
      <c r="CB213" s="19">
        <v>0</v>
      </c>
      <c r="CC213" s="19">
        <f t="shared" si="701"/>
        <v>0</v>
      </c>
      <c r="CD213" s="19">
        <f t="shared" si="702"/>
        <v>0</v>
      </c>
      <c r="CE213" s="19">
        <f t="shared" si="703"/>
        <v>0</v>
      </c>
      <c r="CF213" s="19">
        <v>0</v>
      </c>
      <c r="CG213" s="19">
        <v>0</v>
      </c>
      <c r="CH213" s="19">
        <f t="shared" si="704"/>
        <v>0</v>
      </c>
      <c r="CI213" s="19">
        <v>0</v>
      </c>
      <c r="CJ213" s="19">
        <v>0</v>
      </c>
      <c r="CK213" s="19">
        <v>0</v>
      </c>
      <c r="CL213" s="19">
        <v>0</v>
      </c>
      <c r="CM213" s="19">
        <v>0</v>
      </c>
      <c r="CN213" s="19">
        <f t="shared" si="705"/>
        <v>0</v>
      </c>
      <c r="CO213" s="19">
        <v>0</v>
      </c>
      <c r="CP213" s="19">
        <v>0</v>
      </c>
      <c r="CQ213" s="19"/>
      <c r="CR213" s="19"/>
      <c r="CS213" s="19"/>
      <c r="CT213" s="19"/>
      <c r="CU213" s="19">
        <v>0</v>
      </c>
      <c r="CV213" s="74"/>
      <c r="CW213" s="74"/>
      <c r="CX213" s="74"/>
      <c r="CY213" s="74"/>
      <c r="CZ213" s="19">
        <f t="shared" si="706"/>
        <v>0</v>
      </c>
      <c r="DA213" s="19">
        <f t="shared" si="707"/>
        <v>0</v>
      </c>
      <c r="DB213" s="19">
        <v>0</v>
      </c>
      <c r="DC213" s="20">
        <v>0</v>
      </c>
      <c r="DD213" s="52"/>
    </row>
    <row r="214" spans="1:108" ht="31.2" x14ac:dyDescent="0.3">
      <c r="A214" s="94" t="s">
        <v>1</v>
      </c>
      <c r="B214" s="34" t="s">
        <v>268</v>
      </c>
      <c r="C214" s="31" t="s">
        <v>327</v>
      </c>
      <c r="D214" s="19">
        <f t="shared" si="681"/>
        <v>190000</v>
      </c>
      <c r="E214" s="19">
        <f t="shared" si="682"/>
        <v>190000</v>
      </c>
      <c r="F214" s="19">
        <f t="shared" si="691"/>
        <v>190000</v>
      </c>
      <c r="G214" s="19">
        <v>0</v>
      </c>
      <c r="H214" s="19">
        <v>0</v>
      </c>
      <c r="I214" s="19">
        <f t="shared" si="692"/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f t="shared" si="693"/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f t="shared" si="694"/>
        <v>190000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23">
        <f>200911-10911</f>
        <v>190000</v>
      </c>
      <c r="AC214" s="19">
        <v>0</v>
      </c>
      <c r="AD214" s="19">
        <f t="shared" si="695"/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19">
        <v>0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  <c r="AS214" s="19"/>
      <c r="AT214" s="19"/>
      <c r="AU214" s="19">
        <v>0</v>
      </c>
      <c r="AV214" s="19">
        <v>0</v>
      </c>
      <c r="AW214" s="19">
        <v>0</v>
      </c>
      <c r="AX214" s="19"/>
      <c r="AY214" s="19">
        <v>0</v>
      </c>
      <c r="AZ214" s="19"/>
      <c r="BA214" s="19"/>
      <c r="BB214" s="19"/>
      <c r="BC214" s="19">
        <f t="shared" si="696"/>
        <v>0</v>
      </c>
      <c r="BD214" s="19">
        <f t="shared" si="697"/>
        <v>0</v>
      </c>
      <c r="BE214" s="19">
        <v>0</v>
      </c>
      <c r="BF214" s="19">
        <v>0</v>
      </c>
      <c r="BG214" s="19">
        <v>0</v>
      </c>
      <c r="BH214" s="19">
        <f t="shared" si="698"/>
        <v>0</v>
      </c>
      <c r="BI214" s="19">
        <v>0</v>
      </c>
      <c r="BJ214" s="19">
        <v>0</v>
      </c>
      <c r="BK214" s="19">
        <v>0</v>
      </c>
      <c r="BL214" s="19">
        <v>0</v>
      </c>
      <c r="BM214" s="19">
        <v>0</v>
      </c>
      <c r="BN214" s="19">
        <f t="shared" si="699"/>
        <v>0</v>
      </c>
      <c r="BO214" s="19">
        <v>0</v>
      </c>
      <c r="BP214" s="19">
        <v>0</v>
      </c>
      <c r="BQ214" s="19">
        <f t="shared" si="700"/>
        <v>0</v>
      </c>
      <c r="BR214" s="19">
        <v>0</v>
      </c>
      <c r="BS214" s="19">
        <v>0</v>
      </c>
      <c r="BT214" s="19">
        <v>0</v>
      </c>
      <c r="BU214" s="19">
        <v>0</v>
      </c>
      <c r="BV214" s="19">
        <v>0</v>
      </c>
      <c r="BW214" s="19">
        <v>0</v>
      </c>
      <c r="BX214" s="19">
        <v>0</v>
      </c>
      <c r="BY214" s="19">
        <v>0</v>
      </c>
      <c r="BZ214" s="19">
        <v>0</v>
      </c>
      <c r="CA214" s="19">
        <v>0</v>
      </c>
      <c r="CB214" s="19">
        <v>0</v>
      </c>
      <c r="CC214" s="19">
        <f t="shared" si="701"/>
        <v>0</v>
      </c>
      <c r="CD214" s="19">
        <f t="shared" si="702"/>
        <v>0</v>
      </c>
      <c r="CE214" s="19">
        <f t="shared" si="703"/>
        <v>0</v>
      </c>
      <c r="CF214" s="19">
        <v>0</v>
      </c>
      <c r="CG214" s="19">
        <v>0</v>
      </c>
      <c r="CH214" s="19">
        <f t="shared" si="704"/>
        <v>0</v>
      </c>
      <c r="CI214" s="19">
        <v>0</v>
      </c>
      <c r="CJ214" s="19">
        <v>0</v>
      </c>
      <c r="CK214" s="19">
        <v>0</v>
      </c>
      <c r="CL214" s="19">
        <v>0</v>
      </c>
      <c r="CM214" s="19">
        <v>0</v>
      </c>
      <c r="CN214" s="19">
        <f t="shared" si="705"/>
        <v>0</v>
      </c>
      <c r="CO214" s="19">
        <v>0</v>
      </c>
      <c r="CP214" s="19">
        <v>0</v>
      </c>
      <c r="CQ214" s="19"/>
      <c r="CR214" s="19"/>
      <c r="CS214" s="19"/>
      <c r="CT214" s="19"/>
      <c r="CU214" s="19">
        <v>0</v>
      </c>
      <c r="CV214" s="74"/>
      <c r="CW214" s="74"/>
      <c r="CX214" s="74"/>
      <c r="CY214" s="74"/>
      <c r="CZ214" s="19">
        <f t="shared" si="706"/>
        <v>0</v>
      </c>
      <c r="DA214" s="19">
        <f t="shared" si="707"/>
        <v>0</v>
      </c>
      <c r="DB214" s="19">
        <v>0</v>
      </c>
      <c r="DC214" s="20">
        <v>0</v>
      </c>
      <c r="DD214" s="52"/>
    </row>
    <row r="215" spans="1:108" ht="15.6" x14ac:dyDescent="0.3">
      <c r="A215" s="94" t="s">
        <v>1</v>
      </c>
      <c r="B215" s="34" t="s">
        <v>268</v>
      </c>
      <c r="C215" s="31" t="s">
        <v>328</v>
      </c>
      <c r="D215" s="19">
        <f t="shared" si="681"/>
        <v>551100</v>
      </c>
      <c r="E215" s="19">
        <f t="shared" si="682"/>
        <v>551100</v>
      </c>
      <c r="F215" s="19">
        <f t="shared" si="691"/>
        <v>551100</v>
      </c>
      <c r="G215" s="19">
        <v>0</v>
      </c>
      <c r="H215" s="19">
        <v>0</v>
      </c>
      <c r="I215" s="19">
        <f t="shared" si="692"/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f t="shared" si="693"/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f t="shared" si="694"/>
        <v>551100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23">
        <f>580351-29251</f>
        <v>551100</v>
      </c>
      <c r="AC215" s="19">
        <v>0</v>
      </c>
      <c r="AD215" s="19">
        <f t="shared" si="695"/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0</v>
      </c>
      <c r="AM215" s="19">
        <v>0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  <c r="AS215" s="19"/>
      <c r="AT215" s="19"/>
      <c r="AU215" s="19">
        <v>0</v>
      </c>
      <c r="AV215" s="19">
        <v>0</v>
      </c>
      <c r="AW215" s="19">
        <v>0</v>
      </c>
      <c r="AX215" s="19"/>
      <c r="AY215" s="19">
        <v>0</v>
      </c>
      <c r="AZ215" s="19"/>
      <c r="BA215" s="19"/>
      <c r="BB215" s="19"/>
      <c r="BC215" s="19">
        <f t="shared" si="696"/>
        <v>0</v>
      </c>
      <c r="BD215" s="19">
        <f t="shared" si="697"/>
        <v>0</v>
      </c>
      <c r="BE215" s="19">
        <v>0</v>
      </c>
      <c r="BF215" s="19">
        <v>0</v>
      </c>
      <c r="BG215" s="19">
        <v>0</v>
      </c>
      <c r="BH215" s="19">
        <f t="shared" si="698"/>
        <v>0</v>
      </c>
      <c r="BI215" s="19">
        <v>0</v>
      </c>
      <c r="BJ215" s="19">
        <v>0</v>
      </c>
      <c r="BK215" s="19">
        <v>0</v>
      </c>
      <c r="BL215" s="19">
        <v>0</v>
      </c>
      <c r="BM215" s="19">
        <v>0</v>
      </c>
      <c r="BN215" s="19">
        <f t="shared" si="699"/>
        <v>0</v>
      </c>
      <c r="BO215" s="19">
        <v>0</v>
      </c>
      <c r="BP215" s="19">
        <v>0</v>
      </c>
      <c r="BQ215" s="19">
        <f t="shared" si="700"/>
        <v>0</v>
      </c>
      <c r="BR215" s="19">
        <v>0</v>
      </c>
      <c r="BS215" s="19">
        <v>0</v>
      </c>
      <c r="BT215" s="19">
        <v>0</v>
      </c>
      <c r="BU215" s="19">
        <v>0</v>
      </c>
      <c r="BV215" s="19">
        <v>0</v>
      </c>
      <c r="BW215" s="19">
        <v>0</v>
      </c>
      <c r="BX215" s="19">
        <v>0</v>
      </c>
      <c r="BY215" s="19">
        <v>0</v>
      </c>
      <c r="BZ215" s="19">
        <v>0</v>
      </c>
      <c r="CA215" s="19">
        <v>0</v>
      </c>
      <c r="CB215" s="19">
        <v>0</v>
      </c>
      <c r="CC215" s="19">
        <f t="shared" si="701"/>
        <v>0</v>
      </c>
      <c r="CD215" s="19">
        <f t="shared" si="702"/>
        <v>0</v>
      </c>
      <c r="CE215" s="19">
        <f t="shared" si="703"/>
        <v>0</v>
      </c>
      <c r="CF215" s="19">
        <v>0</v>
      </c>
      <c r="CG215" s="19">
        <v>0</v>
      </c>
      <c r="CH215" s="19">
        <f t="shared" si="704"/>
        <v>0</v>
      </c>
      <c r="CI215" s="19">
        <v>0</v>
      </c>
      <c r="CJ215" s="19">
        <v>0</v>
      </c>
      <c r="CK215" s="19">
        <v>0</v>
      </c>
      <c r="CL215" s="19">
        <v>0</v>
      </c>
      <c r="CM215" s="19">
        <v>0</v>
      </c>
      <c r="CN215" s="19">
        <f t="shared" si="705"/>
        <v>0</v>
      </c>
      <c r="CO215" s="19">
        <v>0</v>
      </c>
      <c r="CP215" s="19">
        <v>0</v>
      </c>
      <c r="CQ215" s="19"/>
      <c r="CR215" s="19"/>
      <c r="CS215" s="19"/>
      <c r="CT215" s="19"/>
      <c r="CU215" s="19">
        <v>0</v>
      </c>
      <c r="CV215" s="74"/>
      <c r="CW215" s="74"/>
      <c r="CX215" s="74"/>
      <c r="CY215" s="74"/>
      <c r="CZ215" s="19">
        <f t="shared" si="706"/>
        <v>0</v>
      </c>
      <c r="DA215" s="19">
        <f t="shared" si="707"/>
        <v>0</v>
      </c>
      <c r="DB215" s="19">
        <v>0</v>
      </c>
      <c r="DC215" s="20">
        <v>0</v>
      </c>
      <c r="DD215" s="52"/>
    </row>
    <row r="216" spans="1:108" ht="15.6" x14ac:dyDescent="0.3">
      <c r="A216" s="94" t="s">
        <v>1</v>
      </c>
      <c r="B216" s="34" t="s">
        <v>268</v>
      </c>
      <c r="C216" s="31" t="s">
        <v>329</v>
      </c>
      <c r="D216" s="19">
        <f t="shared" si="681"/>
        <v>192836</v>
      </c>
      <c r="E216" s="19">
        <f t="shared" si="682"/>
        <v>192836</v>
      </c>
      <c r="F216" s="19">
        <f t="shared" si="691"/>
        <v>192836</v>
      </c>
      <c r="G216" s="19">
        <v>0</v>
      </c>
      <c r="H216" s="19">
        <v>0</v>
      </c>
      <c r="I216" s="19">
        <f t="shared" si="692"/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f t="shared" si="693"/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f t="shared" si="694"/>
        <v>192836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23">
        <v>192836</v>
      </c>
      <c r="AC216" s="19">
        <v>0</v>
      </c>
      <c r="AD216" s="19">
        <f t="shared" si="695"/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/>
      <c r="AT216" s="19"/>
      <c r="AU216" s="19">
        <v>0</v>
      </c>
      <c r="AV216" s="19">
        <v>0</v>
      </c>
      <c r="AW216" s="19">
        <v>0</v>
      </c>
      <c r="AX216" s="19"/>
      <c r="AY216" s="19">
        <v>0</v>
      </c>
      <c r="AZ216" s="19"/>
      <c r="BA216" s="19"/>
      <c r="BB216" s="19"/>
      <c r="BC216" s="19">
        <f t="shared" si="696"/>
        <v>0</v>
      </c>
      <c r="BD216" s="19">
        <f t="shared" si="697"/>
        <v>0</v>
      </c>
      <c r="BE216" s="19">
        <v>0</v>
      </c>
      <c r="BF216" s="19">
        <v>0</v>
      </c>
      <c r="BG216" s="19">
        <v>0</v>
      </c>
      <c r="BH216" s="19">
        <f t="shared" si="698"/>
        <v>0</v>
      </c>
      <c r="BI216" s="19">
        <v>0</v>
      </c>
      <c r="BJ216" s="19">
        <v>0</v>
      </c>
      <c r="BK216" s="19">
        <v>0</v>
      </c>
      <c r="BL216" s="19">
        <v>0</v>
      </c>
      <c r="BM216" s="19">
        <v>0</v>
      </c>
      <c r="BN216" s="19">
        <f t="shared" si="699"/>
        <v>0</v>
      </c>
      <c r="BO216" s="19">
        <v>0</v>
      </c>
      <c r="BP216" s="19">
        <v>0</v>
      </c>
      <c r="BQ216" s="19">
        <f t="shared" si="700"/>
        <v>0</v>
      </c>
      <c r="BR216" s="19">
        <v>0</v>
      </c>
      <c r="BS216" s="19">
        <v>0</v>
      </c>
      <c r="BT216" s="19">
        <v>0</v>
      </c>
      <c r="BU216" s="19">
        <v>0</v>
      </c>
      <c r="BV216" s="19">
        <v>0</v>
      </c>
      <c r="BW216" s="19">
        <v>0</v>
      </c>
      <c r="BX216" s="19">
        <v>0</v>
      </c>
      <c r="BY216" s="19">
        <v>0</v>
      </c>
      <c r="BZ216" s="19">
        <v>0</v>
      </c>
      <c r="CA216" s="19">
        <v>0</v>
      </c>
      <c r="CB216" s="19">
        <v>0</v>
      </c>
      <c r="CC216" s="19">
        <f t="shared" si="701"/>
        <v>0</v>
      </c>
      <c r="CD216" s="19">
        <f t="shared" si="702"/>
        <v>0</v>
      </c>
      <c r="CE216" s="19">
        <f t="shared" si="703"/>
        <v>0</v>
      </c>
      <c r="CF216" s="19">
        <v>0</v>
      </c>
      <c r="CG216" s="19">
        <v>0</v>
      </c>
      <c r="CH216" s="19">
        <f t="shared" si="704"/>
        <v>0</v>
      </c>
      <c r="CI216" s="19">
        <v>0</v>
      </c>
      <c r="CJ216" s="19">
        <v>0</v>
      </c>
      <c r="CK216" s="19">
        <v>0</v>
      </c>
      <c r="CL216" s="19">
        <v>0</v>
      </c>
      <c r="CM216" s="19">
        <v>0</v>
      </c>
      <c r="CN216" s="19">
        <f t="shared" si="705"/>
        <v>0</v>
      </c>
      <c r="CO216" s="19">
        <v>0</v>
      </c>
      <c r="CP216" s="19">
        <v>0</v>
      </c>
      <c r="CQ216" s="19"/>
      <c r="CR216" s="19"/>
      <c r="CS216" s="19"/>
      <c r="CT216" s="19"/>
      <c r="CU216" s="19">
        <v>0</v>
      </c>
      <c r="CV216" s="74"/>
      <c r="CW216" s="74"/>
      <c r="CX216" s="74"/>
      <c r="CY216" s="74"/>
      <c r="CZ216" s="19">
        <f t="shared" si="706"/>
        <v>0</v>
      </c>
      <c r="DA216" s="19">
        <f t="shared" si="707"/>
        <v>0</v>
      </c>
      <c r="DB216" s="19">
        <v>0</v>
      </c>
      <c r="DC216" s="20">
        <v>0</v>
      </c>
      <c r="DD216" s="52"/>
    </row>
    <row r="217" spans="1:108" ht="15.6" x14ac:dyDescent="0.3">
      <c r="A217" s="94" t="s">
        <v>1</v>
      </c>
      <c r="B217" s="34" t="s">
        <v>268</v>
      </c>
      <c r="C217" s="31" t="s">
        <v>330</v>
      </c>
      <c r="D217" s="19">
        <f t="shared" si="681"/>
        <v>1018180</v>
      </c>
      <c r="E217" s="19">
        <f t="shared" si="682"/>
        <v>1018180</v>
      </c>
      <c r="F217" s="19">
        <f t="shared" si="691"/>
        <v>1018180</v>
      </c>
      <c r="G217" s="19">
        <v>0</v>
      </c>
      <c r="H217" s="19">
        <v>0</v>
      </c>
      <c r="I217" s="19">
        <f t="shared" si="692"/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f t="shared" si="693"/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f t="shared" si="694"/>
        <v>1018180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23">
        <v>1018180</v>
      </c>
      <c r="AC217" s="19">
        <v>0</v>
      </c>
      <c r="AD217" s="19">
        <f t="shared" si="695"/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/>
      <c r="AT217" s="19"/>
      <c r="AU217" s="19">
        <v>0</v>
      </c>
      <c r="AV217" s="19">
        <v>0</v>
      </c>
      <c r="AW217" s="19">
        <v>0</v>
      </c>
      <c r="AX217" s="19"/>
      <c r="AY217" s="19">
        <v>0</v>
      </c>
      <c r="AZ217" s="19"/>
      <c r="BA217" s="19"/>
      <c r="BB217" s="19"/>
      <c r="BC217" s="19">
        <f t="shared" si="696"/>
        <v>0</v>
      </c>
      <c r="BD217" s="19">
        <f t="shared" si="697"/>
        <v>0</v>
      </c>
      <c r="BE217" s="19">
        <v>0</v>
      </c>
      <c r="BF217" s="19">
        <v>0</v>
      </c>
      <c r="BG217" s="19">
        <v>0</v>
      </c>
      <c r="BH217" s="19">
        <f t="shared" si="698"/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0</v>
      </c>
      <c r="BN217" s="19">
        <f t="shared" si="699"/>
        <v>0</v>
      </c>
      <c r="BO217" s="19">
        <v>0</v>
      </c>
      <c r="BP217" s="19">
        <v>0</v>
      </c>
      <c r="BQ217" s="19">
        <f t="shared" si="700"/>
        <v>0</v>
      </c>
      <c r="BR217" s="19">
        <v>0</v>
      </c>
      <c r="BS217" s="19">
        <v>0</v>
      </c>
      <c r="BT217" s="19">
        <v>0</v>
      </c>
      <c r="BU217" s="19">
        <v>0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f t="shared" si="701"/>
        <v>0</v>
      </c>
      <c r="CD217" s="19">
        <f t="shared" si="702"/>
        <v>0</v>
      </c>
      <c r="CE217" s="19">
        <f t="shared" si="703"/>
        <v>0</v>
      </c>
      <c r="CF217" s="19">
        <v>0</v>
      </c>
      <c r="CG217" s="19">
        <v>0</v>
      </c>
      <c r="CH217" s="19">
        <f t="shared" si="704"/>
        <v>0</v>
      </c>
      <c r="CI217" s="19">
        <v>0</v>
      </c>
      <c r="CJ217" s="19">
        <v>0</v>
      </c>
      <c r="CK217" s="19">
        <v>0</v>
      </c>
      <c r="CL217" s="19">
        <v>0</v>
      </c>
      <c r="CM217" s="19">
        <v>0</v>
      </c>
      <c r="CN217" s="19">
        <f t="shared" si="705"/>
        <v>0</v>
      </c>
      <c r="CO217" s="19">
        <v>0</v>
      </c>
      <c r="CP217" s="19">
        <v>0</v>
      </c>
      <c r="CQ217" s="19"/>
      <c r="CR217" s="19"/>
      <c r="CS217" s="19"/>
      <c r="CT217" s="19"/>
      <c r="CU217" s="19">
        <v>0</v>
      </c>
      <c r="CV217" s="74"/>
      <c r="CW217" s="74"/>
      <c r="CX217" s="74"/>
      <c r="CY217" s="74"/>
      <c r="CZ217" s="19">
        <f t="shared" si="706"/>
        <v>0</v>
      </c>
      <c r="DA217" s="19">
        <f t="shared" si="707"/>
        <v>0</v>
      </c>
      <c r="DB217" s="19">
        <v>0</v>
      </c>
      <c r="DC217" s="20">
        <v>0</v>
      </c>
      <c r="DD217" s="52"/>
    </row>
    <row r="218" spans="1:108" ht="15.6" x14ac:dyDescent="0.3">
      <c r="A218" s="94" t="s">
        <v>1</v>
      </c>
      <c r="B218" s="34" t="s">
        <v>268</v>
      </c>
      <c r="C218" s="31" t="s">
        <v>331</v>
      </c>
      <c r="D218" s="19">
        <f t="shared" si="681"/>
        <v>666770</v>
      </c>
      <c r="E218" s="19">
        <f t="shared" si="682"/>
        <v>666770</v>
      </c>
      <c r="F218" s="19">
        <f t="shared" si="691"/>
        <v>666770</v>
      </c>
      <c r="G218" s="19">
        <v>0</v>
      </c>
      <c r="H218" s="19">
        <v>0</v>
      </c>
      <c r="I218" s="19">
        <f t="shared" si="692"/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f t="shared" si="693"/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f t="shared" si="694"/>
        <v>666770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23">
        <f>708547-41777</f>
        <v>666770</v>
      </c>
      <c r="AC218" s="19">
        <v>0</v>
      </c>
      <c r="AD218" s="19">
        <f t="shared" si="695"/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/>
      <c r="AT218" s="19"/>
      <c r="AU218" s="19">
        <v>0</v>
      </c>
      <c r="AV218" s="19">
        <v>0</v>
      </c>
      <c r="AW218" s="19">
        <v>0</v>
      </c>
      <c r="AX218" s="19"/>
      <c r="AY218" s="19">
        <v>0</v>
      </c>
      <c r="AZ218" s="19"/>
      <c r="BA218" s="19"/>
      <c r="BB218" s="19"/>
      <c r="BC218" s="19">
        <f t="shared" si="696"/>
        <v>0</v>
      </c>
      <c r="BD218" s="19">
        <f t="shared" si="697"/>
        <v>0</v>
      </c>
      <c r="BE218" s="19">
        <v>0</v>
      </c>
      <c r="BF218" s="19">
        <v>0</v>
      </c>
      <c r="BG218" s="19">
        <v>0</v>
      </c>
      <c r="BH218" s="19">
        <f t="shared" si="698"/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0</v>
      </c>
      <c r="BN218" s="19">
        <f t="shared" si="699"/>
        <v>0</v>
      </c>
      <c r="BO218" s="19">
        <v>0</v>
      </c>
      <c r="BP218" s="19">
        <v>0</v>
      </c>
      <c r="BQ218" s="19">
        <f t="shared" si="700"/>
        <v>0</v>
      </c>
      <c r="BR218" s="19">
        <v>0</v>
      </c>
      <c r="BS218" s="19">
        <v>0</v>
      </c>
      <c r="BT218" s="19">
        <v>0</v>
      </c>
      <c r="BU218" s="19">
        <v>0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f t="shared" si="701"/>
        <v>0</v>
      </c>
      <c r="CD218" s="19">
        <f t="shared" si="702"/>
        <v>0</v>
      </c>
      <c r="CE218" s="19">
        <f t="shared" si="703"/>
        <v>0</v>
      </c>
      <c r="CF218" s="19">
        <v>0</v>
      </c>
      <c r="CG218" s="19">
        <v>0</v>
      </c>
      <c r="CH218" s="19">
        <f t="shared" si="704"/>
        <v>0</v>
      </c>
      <c r="CI218" s="19">
        <v>0</v>
      </c>
      <c r="CJ218" s="19">
        <v>0</v>
      </c>
      <c r="CK218" s="19">
        <v>0</v>
      </c>
      <c r="CL218" s="19">
        <v>0</v>
      </c>
      <c r="CM218" s="19">
        <v>0</v>
      </c>
      <c r="CN218" s="19">
        <f t="shared" si="705"/>
        <v>0</v>
      </c>
      <c r="CO218" s="19">
        <v>0</v>
      </c>
      <c r="CP218" s="19">
        <v>0</v>
      </c>
      <c r="CQ218" s="19"/>
      <c r="CR218" s="19"/>
      <c r="CS218" s="19"/>
      <c r="CT218" s="19"/>
      <c r="CU218" s="19">
        <v>0</v>
      </c>
      <c r="CV218" s="74"/>
      <c r="CW218" s="74"/>
      <c r="CX218" s="74"/>
      <c r="CY218" s="74"/>
      <c r="CZ218" s="19">
        <f t="shared" si="706"/>
        <v>0</v>
      </c>
      <c r="DA218" s="19">
        <f t="shared" si="707"/>
        <v>0</v>
      </c>
      <c r="DB218" s="19">
        <v>0</v>
      </c>
      <c r="DC218" s="20">
        <v>0</v>
      </c>
      <c r="DD218" s="52"/>
    </row>
    <row r="219" spans="1:108" s="58" customFormat="1" ht="15.6" x14ac:dyDescent="0.3">
      <c r="A219" s="94"/>
      <c r="B219" s="34" t="s">
        <v>268</v>
      </c>
      <c r="C219" s="31" t="s">
        <v>332</v>
      </c>
      <c r="D219" s="19">
        <f t="shared" si="681"/>
        <v>3262549</v>
      </c>
      <c r="E219" s="19">
        <f t="shared" si="682"/>
        <v>3262549</v>
      </c>
      <c r="F219" s="19">
        <f t="shared" si="691"/>
        <v>3262549</v>
      </c>
      <c r="G219" s="19">
        <v>0</v>
      </c>
      <c r="H219" s="19">
        <v>0</v>
      </c>
      <c r="I219" s="19">
        <f t="shared" ref="I219" si="708">SUM(J219:O219)</f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f t="shared" ref="P219" si="709">SUM(Q219:R219)</f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f t="shared" ref="U219" si="710">SUM(V219:AC219)</f>
        <v>3262549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23">
        <v>3262549</v>
      </c>
      <c r="AC219" s="19">
        <v>0</v>
      </c>
      <c r="AD219" s="19">
        <f t="shared" si="695"/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/>
      <c r="AT219" s="19"/>
      <c r="AU219" s="19">
        <v>0</v>
      </c>
      <c r="AV219" s="19">
        <v>0</v>
      </c>
      <c r="AW219" s="19">
        <v>0</v>
      </c>
      <c r="AX219" s="19"/>
      <c r="AY219" s="19">
        <v>0</v>
      </c>
      <c r="AZ219" s="19"/>
      <c r="BA219" s="19"/>
      <c r="BB219" s="19"/>
      <c r="BC219" s="19">
        <f t="shared" si="696"/>
        <v>0</v>
      </c>
      <c r="BD219" s="19">
        <f t="shared" ref="BD219" si="711">SUM(BE219:BG219)</f>
        <v>0</v>
      </c>
      <c r="BE219" s="19">
        <v>0</v>
      </c>
      <c r="BF219" s="19">
        <v>0</v>
      </c>
      <c r="BG219" s="19">
        <v>0</v>
      </c>
      <c r="BH219" s="19">
        <f t="shared" si="698"/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f t="shared" ref="BN219" si="712">SUM(BO219)</f>
        <v>0</v>
      </c>
      <c r="BO219" s="19">
        <v>0</v>
      </c>
      <c r="BP219" s="19">
        <v>0</v>
      </c>
      <c r="BQ219" s="19">
        <f t="shared" si="700"/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f t="shared" si="701"/>
        <v>0</v>
      </c>
      <c r="CD219" s="19">
        <f t="shared" si="702"/>
        <v>0</v>
      </c>
      <c r="CE219" s="19">
        <f t="shared" ref="CE219" si="713">SUM(CF219:CG219)</f>
        <v>0</v>
      </c>
      <c r="CF219" s="19">
        <v>0</v>
      </c>
      <c r="CG219" s="19">
        <v>0</v>
      </c>
      <c r="CH219" s="19">
        <f t="shared" si="704"/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f t="shared" si="705"/>
        <v>0</v>
      </c>
      <c r="CO219" s="19">
        <v>0</v>
      </c>
      <c r="CP219" s="19">
        <v>0</v>
      </c>
      <c r="CQ219" s="19"/>
      <c r="CR219" s="19"/>
      <c r="CS219" s="19"/>
      <c r="CT219" s="19"/>
      <c r="CU219" s="19">
        <v>0</v>
      </c>
      <c r="CV219" s="74"/>
      <c r="CW219" s="74"/>
      <c r="CX219" s="74"/>
      <c r="CY219" s="74"/>
      <c r="CZ219" s="19">
        <f t="shared" ref="CZ219" si="714">SUM(DA219)</f>
        <v>0</v>
      </c>
      <c r="DA219" s="19">
        <f t="shared" ref="DA219" si="715">SUM(DB219:DC219)</f>
        <v>0</v>
      </c>
      <c r="DB219" s="19">
        <v>0</v>
      </c>
      <c r="DC219" s="20">
        <v>0</v>
      </c>
      <c r="DD219" s="52"/>
    </row>
    <row r="220" spans="1:108" s="58" customFormat="1" ht="46.8" x14ac:dyDescent="0.3">
      <c r="A220" s="94" t="s">
        <v>1</v>
      </c>
      <c r="B220" s="33" t="s">
        <v>76</v>
      </c>
      <c r="C220" s="32" t="s">
        <v>441</v>
      </c>
      <c r="D220" s="19">
        <f t="shared" si="681"/>
        <v>6685287</v>
      </c>
      <c r="E220" s="19">
        <f t="shared" si="682"/>
        <v>6685287</v>
      </c>
      <c r="F220" s="19">
        <f t="shared" si="691"/>
        <v>6685287</v>
      </c>
      <c r="G220" s="19">
        <v>0</v>
      </c>
      <c r="H220" s="19">
        <v>0</v>
      </c>
      <c r="I220" s="19">
        <f t="shared" si="692"/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f t="shared" si="693"/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f t="shared" si="694"/>
        <v>6685287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23">
        <v>6685287</v>
      </c>
      <c r="AC220" s="19">
        <v>0</v>
      </c>
      <c r="AD220" s="19">
        <f t="shared" si="695"/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/>
      <c r="AT220" s="19"/>
      <c r="AU220" s="19">
        <v>0</v>
      </c>
      <c r="AV220" s="19">
        <v>0</v>
      </c>
      <c r="AW220" s="19">
        <v>0</v>
      </c>
      <c r="AX220" s="19"/>
      <c r="AY220" s="19">
        <v>0</v>
      </c>
      <c r="AZ220" s="19"/>
      <c r="BA220" s="19"/>
      <c r="BB220" s="19"/>
      <c r="BC220" s="19">
        <f t="shared" si="696"/>
        <v>0</v>
      </c>
      <c r="BD220" s="19">
        <f t="shared" si="697"/>
        <v>0</v>
      </c>
      <c r="BE220" s="19">
        <v>0</v>
      </c>
      <c r="BF220" s="19">
        <v>0</v>
      </c>
      <c r="BG220" s="19">
        <v>0</v>
      </c>
      <c r="BH220" s="19">
        <f t="shared" si="698"/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f t="shared" si="699"/>
        <v>0</v>
      </c>
      <c r="BO220" s="19">
        <v>0</v>
      </c>
      <c r="BP220" s="19">
        <v>0</v>
      </c>
      <c r="BQ220" s="19">
        <f t="shared" si="700"/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0</v>
      </c>
      <c r="CB220" s="19">
        <v>0</v>
      </c>
      <c r="CC220" s="19">
        <f t="shared" si="701"/>
        <v>0</v>
      </c>
      <c r="CD220" s="19">
        <f t="shared" si="702"/>
        <v>0</v>
      </c>
      <c r="CE220" s="19">
        <f t="shared" si="703"/>
        <v>0</v>
      </c>
      <c r="CF220" s="19">
        <v>0</v>
      </c>
      <c r="CG220" s="19">
        <v>0</v>
      </c>
      <c r="CH220" s="19">
        <f t="shared" si="704"/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f t="shared" si="705"/>
        <v>0</v>
      </c>
      <c r="CO220" s="19">
        <v>0</v>
      </c>
      <c r="CP220" s="19">
        <v>0</v>
      </c>
      <c r="CQ220" s="19"/>
      <c r="CR220" s="19"/>
      <c r="CS220" s="19"/>
      <c r="CT220" s="19"/>
      <c r="CU220" s="19">
        <v>0</v>
      </c>
      <c r="CV220" s="74"/>
      <c r="CW220" s="74"/>
      <c r="CX220" s="74"/>
      <c r="CY220" s="74"/>
      <c r="CZ220" s="19">
        <f t="shared" si="706"/>
        <v>0</v>
      </c>
      <c r="DA220" s="19">
        <f t="shared" si="707"/>
        <v>0</v>
      </c>
      <c r="DB220" s="19">
        <v>0</v>
      </c>
      <c r="DC220" s="20">
        <v>0</v>
      </c>
      <c r="DD220" s="52"/>
    </row>
    <row r="221" spans="1:108" ht="31.2" x14ac:dyDescent="0.3">
      <c r="A221" s="95" t="s">
        <v>630</v>
      </c>
      <c r="B221" s="25" t="s">
        <v>1</v>
      </c>
      <c r="C221" s="26" t="s">
        <v>632</v>
      </c>
      <c r="D221" s="27">
        <f>SUM(D222)</f>
        <v>56713</v>
      </c>
      <c r="E221" s="27">
        <f t="shared" ref="E221:BW221" si="716">SUM(E222)</f>
        <v>0</v>
      </c>
      <c r="F221" s="27">
        <f t="shared" si="716"/>
        <v>0</v>
      </c>
      <c r="G221" s="27">
        <f t="shared" si="716"/>
        <v>0</v>
      </c>
      <c r="H221" s="27">
        <f t="shared" si="716"/>
        <v>0</v>
      </c>
      <c r="I221" s="27">
        <f t="shared" si="716"/>
        <v>0</v>
      </c>
      <c r="J221" s="27">
        <f t="shared" si="716"/>
        <v>0</v>
      </c>
      <c r="K221" s="27">
        <f t="shared" si="716"/>
        <v>0</v>
      </c>
      <c r="L221" s="27">
        <f t="shared" si="716"/>
        <v>0</v>
      </c>
      <c r="M221" s="27">
        <f t="shared" si="716"/>
        <v>0</v>
      </c>
      <c r="N221" s="27">
        <f t="shared" si="716"/>
        <v>0</v>
      </c>
      <c r="O221" s="27">
        <f t="shared" si="716"/>
        <v>0</v>
      </c>
      <c r="P221" s="27">
        <f t="shared" si="716"/>
        <v>0</v>
      </c>
      <c r="Q221" s="27">
        <f t="shared" si="716"/>
        <v>0</v>
      </c>
      <c r="R221" s="27">
        <f t="shared" si="716"/>
        <v>0</v>
      </c>
      <c r="S221" s="27">
        <f t="shared" si="716"/>
        <v>0</v>
      </c>
      <c r="T221" s="27">
        <f t="shared" si="716"/>
        <v>0</v>
      </c>
      <c r="U221" s="27">
        <f t="shared" si="716"/>
        <v>0</v>
      </c>
      <c r="V221" s="27">
        <f t="shared" si="716"/>
        <v>0</v>
      </c>
      <c r="W221" s="27">
        <f t="shared" si="716"/>
        <v>0</v>
      </c>
      <c r="X221" s="27">
        <f t="shared" si="716"/>
        <v>0</v>
      </c>
      <c r="Y221" s="27">
        <f t="shared" si="716"/>
        <v>0</v>
      </c>
      <c r="Z221" s="27">
        <f t="shared" si="716"/>
        <v>0</v>
      </c>
      <c r="AA221" s="27">
        <f t="shared" si="716"/>
        <v>0</v>
      </c>
      <c r="AB221" s="27">
        <f t="shared" si="716"/>
        <v>0</v>
      </c>
      <c r="AC221" s="27">
        <f t="shared" si="716"/>
        <v>0</v>
      </c>
      <c r="AD221" s="27">
        <f t="shared" si="716"/>
        <v>0</v>
      </c>
      <c r="AE221" s="27">
        <f t="shared" si="716"/>
        <v>0</v>
      </c>
      <c r="AF221" s="27">
        <f t="shared" si="716"/>
        <v>0</v>
      </c>
      <c r="AG221" s="27">
        <f t="shared" si="716"/>
        <v>0</v>
      </c>
      <c r="AH221" s="27">
        <f t="shared" si="716"/>
        <v>0</v>
      </c>
      <c r="AI221" s="27">
        <f t="shared" si="716"/>
        <v>0</v>
      </c>
      <c r="AJ221" s="27">
        <f t="shared" si="716"/>
        <v>0</v>
      </c>
      <c r="AK221" s="27">
        <f t="shared" si="716"/>
        <v>0</v>
      </c>
      <c r="AL221" s="27">
        <f t="shared" si="716"/>
        <v>0</v>
      </c>
      <c r="AM221" s="27">
        <f t="shared" si="716"/>
        <v>0</v>
      </c>
      <c r="AN221" s="27">
        <f t="shared" si="716"/>
        <v>0</v>
      </c>
      <c r="AO221" s="27">
        <f t="shared" si="716"/>
        <v>0</v>
      </c>
      <c r="AP221" s="27">
        <f t="shared" si="716"/>
        <v>0</v>
      </c>
      <c r="AQ221" s="27">
        <f t="shared" si="716"/>
        <v>0</v>
      </c>
      <c r="AR221" s="27">
        <f t="shared" si="716"/>
        <v>0</v>
      </c>
      <c r="AS221" s="27"/>
      <c r="AT221" s="27"/>
      <c r="AU221" s="27">
        <f t="shared" si="716"/>
        <v>0</v>
      </c>
      <c r="AV221" s="27">
        <f t="shared" si="716"/>
        <v>0</v>
      </c>
      <c r="AW221" s="27">
        <f t="shared" si="716"/>
        <v>0</v>
      </c>
      <c r="AX221" s="27"/>
      <c r="AY221" s="27">
        <f t="shared" si="716"/>
        <v>0</v>
      </c>
      <c r="AZ221" s="27">
        <f t="shared" si="716"/>
        <v>0</v>
      </c>
      <c r="BA221" s="27">
        <f t="shared" si="716"/>
        <v>0</v>
      </c>
      <c r="BB221" s="27">
        <f t="shared" si="716"/>
        <v>0</v>
      </c>
      <c r="BC221" s="27">
        <f t="shared" si="716"/>
        <v>0</v>
      </c>
      <c r="BD221" s="27">
        <f t="shared" si="716"/>
        <v>0</v>
      </c>
      <c r="BE221" s="27">
        <f t="shared" si="716"/>
        <v>0</v>
      </c>
      <c r="BF221" s="27">
        <f t="shared" si="716"/>
        <v>0</v>
      </c>
      <c r="BG221" s="27">
        <f t="shared" si="716"/>
        <v>0</v>
      </c>
      <c r="BH221" s="27">
        <f t="shared" si="716"/>
        <v>0</v>
      </c>
      <c r="BI221" s="27">
        <f t="shared" si="716"/>
        <v>0</v>
      </c>
      <c r="BJ221" s="27">
        <f t="shared" si="716"/>
        <v>0</v>
      </c>
      <c r="BK221" s="27">
        <f t="shared" si="716"/>
        <v>0</v>
      </c>
      <c r="BL221" s="27">
        <f t="shared" si="716"/>
        <v>0</v>
      </c>
      <c r="BM221" s="27">
        <f t="shared" si="716"/>
        <v>0</v>
      </c>
      <c r="BN221" s="27">
        <f t="shared" si="716"/>
        <v>0</v>
      </c>
      <c r="BO221" s="27">
        <f t="shared" si="716"/>
        <v>0</v>
      </c>
      <c r="BP221" s="27">
        <f t="shared" si="716"/>
        <v>0</v>
      </c>
      <c r="BQ221" s="27">
        <f t="shared" si="716"/>
        <v>0</v>
      </c>
      <c r="BR221" s="27">
        <f t="shared" si="716"/>
        <v>0</v>
      </c>
      <c r="BS221" s="27">
        <f t="shared" si="716"/>
        <v>0</v>
      </c>
      <c r="BT221" s="27">
        <f t="shared" si="716"/>
        <v>0</v>
      </c>
      <c r="BU221" s="27">
        <f t="shared" si="716"/>
        <v>0</v>
      </c>
      <c r="BV221" s="27">
        <f t="shared" si="716"/>
        <v>0</v>
      </c>
      <c r="BW221" s="27">
        <f t="shared" si="716"/>
        <v>0</v>
      </c>
      <c r="BX221" s="27">
        <f t="shared" ref="BX221:DC221" si="717">SUM(BX222)</f>
        <v>0</v>
      </c>
      <c r="BY221" s="27">
        <f t="shared" si="717"/>
        <v>0</v>
      </c>
      <c r="BZ221" s="27">
        <f t="shared" si="717"/>
        <v>0</v>
      </c>
      <c r="CA221" s="27">
        <f t="shared" si="717"/>
        <v>0</v>
      </c>
      <c r="CB221" s="27">
        <f t="shared" si="717"/>
        <v>0</v>
      </c>
      <c r="CC221" s="27">
        <f t="shared" si="717"/>
        <v>0</v>
      </c>
      <c r="CD221" s="27">
        <f t="shared" si="717"/>
        <v>0</v>
      </c>
      <c r="CE221" s="27">
        <f t="shared" si="717"/>
        <v>0</v>
      </c>
      <c r="CF221" s="27">
        <f t="shared" si="717"/>
        <v>0</v>
      </c>
      <c r="CG221" s="27">
        <f t="shared" si="717"/>
        <v>0</v>
      </c>
      <c r="CH221" s="27">
        <f t="shared" si="717"/>
        <v>0</v>
      </c>
      <c r="CI221" s="27">
        <f t="shared" si="717"/>
        <v>0</v>
      </c>
      <c r="CJ221" s="27">
        <f t="shared" si="717"/>
        <v>0</v>
      </c>
      <c r="CK221" s="27">
        <f t="shared" si="717"/>
        <v>0</v>
      </c>
      <c r="CL221" s="27">
        <f t="shared" si="717"/>
        <v>0</v>
      </c>
      <c r="CM221" s="27">
        <f t="shared" si="717"/>
        <v>0</v>
      </c>
      <c r="CN221" s="27">
        <f t="shared" si="717"/>
        <v>0</v>
      </c>
      <c r="CO221" s="27">
        <f t="shared" si="717"/>
        <v>0</v>
      </c>
      <c r="CP221" s="27">
        <f t="shared" si="717"/>
        <v>0</v>
      </c>
      <c r="CQ221" s="27"/>
      <c r="CR221" s="27"/>
      <c r="CS221" s="27"/>
      <c r="CT221" s="27"/>
      <c r="CU221" s="27">
        <f t="shared" si="717"/>
        <v>0</v>
      </c>
      <c r="CV221" s="27">
        <f t="shared" si="717"/>
        <v>0</v>
      </c>
      <c r="CW221" s="27">
        <f t="shared" si="717"/>
        <v>0</v>
      </c>
      <c r="CX221" s="27">
        <f t="shared" si="717"/>
        <v>0</v>
      </c>
      <c r="CY221" s="27">
        <f t="shared" si="717"/>
        <v>0</v>
      </c>
      <c r="CZ221" s="27">
        <f t="shared" si="717"/>
        <v>56713</v>
      </c>
      <c r="DA221" s="27">
        <f t="shared" si="717"/>
        <v>56713</v>
      </c>
      <c r="DB221" s="27">
        <f t="shared" si="717"/>
        <v>56713</v>
      </c>
      <c r="DC221" s="60">
        <f t="shared" si="717"/>
        <v>0</v>
      </c>
      <c r="DD221" s="57"/>
    </row>
    <row r="222" spans="1:108" ht="15.6" x14ac:dyDescent="0.3">
      <c r="A222" s="93" t="s">
        <v>631</v>
      </c>
      <c r="B222" s="16" t="s">
        <v>1</v>
      </c>
      <c r="C222" s="17" t="s">
        <v>633</v>
      </c>
      <c r="D222" s="18">
        <f t="shared" ref="D222:AR222" si="718">SUM(D223:D223)</f>
        <v>56713</v>
      </c>
      <c r="E222" s="18">
        <f t="shared" si="718"/>
        <v>0</v>
      </c>
      <c r="F222" s="18">
        <f t="shared" si="718"/>
        <v>0</v>
      </c>
      <c r="G222" s="18">
        <f t="shared" si="718"/>
        <v>0</v>
      </c>
      <c r="H222" s="18">
        <f t="shared" si="718"/>
        <v>0</v>
      </c>
      <c r="I222" s="18">
        <f t="shared" si="718"/>
        <v>0</v>
      </c>
      <c r="J222" s="18">
        <f t="shared" si="718"/>
        <v>0</v>
      </c>
      <c r="K222" s="18">
        <f t="shared" si="718"/>
        <v>0</v>
      </c>
      <c r="L222" s="18">
        <f t="shared" si="718"/>
        <v>0</v>
      </c>
      <c r="M222" s="18">
        <f t="shared" si="718"/>
        <v>0</v>
      </c>
      <c r="N222" s="18">
        <f t="shared" si="718"/>
        <v>0</v>
      </c>
      <c r="O222" s="18">
        <f t="shared" si="718"/>
        <v>0</v>
      </c>
      <c r="P222" s="18">
        <f t="shared" si="718"/>
        <v>0</v>
      </c>
      <c r="Q222" s="18">
        <f t="shared" si="718"/>
        <v>0</v>
      </c>
      <c r="R222" s="18">
        <f t="shared" si="718"/>
        <v>0</v>
      </c>
      <c r="S222" s="18">
        <f t="shared" si="718"/>
        <v>0</v>
      </c>
      <c r="T222" s="18">
        <f t="shared" si="718"/>
        <v>0</v>
      </c>
      <c r="U222" s="18">
        <f t="shared" si="718"/>
        <v>0</v>
      </c>
      <c r="V222" s="18">
        <f t="shared" si="718"/>
        <v>0</v>
      </c>
      <c r="W222" s="18">
        <f t="shared" si="718"/>
        <v>0</v>
      </c>
      <c r="X222" s="18">
        <f t="shared" si="718"/>
        <v>0</v>
      </c>
      <c r="Y222" s="18">
        <f t="shared" si="718"/>
        <v>0</v>
      </c>
      <c r="Z222" s="18">
        <f t="shared" si="718"/>
        <v>0</v>
      </c>
      <c r="AA222" s="18">
        <f t="shared" si="718"/>
        <v>0</v>
      </c>
      <c r="AB222" s="18">
        <f t="shared" si="718"/>
        <v>0</v>
      </c>
      <c r="AC222" s="18">
        <f t="shared" si="718"/>
        <v>0</v>
      </c>
      <c r="AD222" s="18">
        <f t="shared" si="718"/>
        <v>0</v>
      </c>
      <c r="AE222" s="18">
        <f t="shared" si="718"/>
        <v>0</v>
      </c>
      <c r="AF222" s="18">
        <f t="shared" si="718"/>
        <v>0</v>
      </c>
      <c r="AG222" s="18">
        <f t="shared" si="718"/>
        <v>0</v>
      </c>
      <c r="AH222" s="18">
        <f t="shared" si="718"/>
        <v>0</v>
      </c>
      <c r="AI222" s="18">
        <f t="shared" si="718"/>
        <v>0</v>
      </c>
      <c r="AJ222" s="18">
        <f t="shared" si="718"/>
        <v>0</v>
      </c>
      <c r="AK222" s="18">
        <f t="shared" si="718"/>
        <v>0</v>
      </c>
      <c r="AL222" s="18">
        <f t="shared" si="718"/>
        <v>0</v>
      </c>
      <c r="AM222" s="18">
        <f t="shared" si="718"/>
        <v>0</v>
      </c>
      <c r="AN222" s="18">
        <f t="shared" si="718"/>
        <v>0</v>
      </c>
      <c r="AO222" s="18">
        <f t="shared" si="718"/>
        <v>0</v>
      </c>
      <c r="AP222" s="18">
        <f t="shared" si="718"/>
        <v>0</v>
      </c>
      <c r="AQ222" s="18">
        <f t="shared" si="718"/>
        <v>0</v>
      </c>
      <c r="AR222" s="18">
        <f t="shared" si="718"/>
        <v>0</v>
      </c>
      <c r="AS222" s="18"/>
      <c r="AT222" s="18"/>
      <c r="AU222" s="18">
        <f>SUM(AU223:AU223)</f>
        <v>0</v>
      </c>
      <c r="AV222" s="18">
        <f>SUM(AV223:AV223)</f>
        <v>0</v>
      </c>
      <c r="AW222" s="18">
        <f>SUM(AW223:AW223)</f>
        <v>0</v>
      </c>
      <c r="AX222" s="18"/>
      <c r="AY222" s="18">
        <f>SUM(AY223:AY223)</f>
        <v>0</v>
      </c>
      <c r="AZ222" s="18"/>
      <c r="BA222" s="18"/>
      <c r="BB222" s="18"/>
      <c r="BC222" s="18">
        <f t="shared" ref="BC222:CP222" si="719">SUM(BC223:BC223)</f>
        <v>0</v>
      </c>
      <c r="BD222" s="18">
        <f t="shared" si="719"/>
        <v>0</v>
      </c>
      <c r="BE222" s="18">
        <f t="shared" si="719"/>
        <v>0</v>
      </c>
      <c r="BF222" s="18">
        <f t="shared" si="719"/>
        <v>0</v>
      </c>
      <c r="BG222" s="18">
        <f t="shared" si="719"/>
        <v>0</v>
      </c>
      <c r="BH222" s="18">
        <f t="shared" si="719"/>
        <v>0</v>
      </c>
      <c r="BI222" s="18">
        <f t="shared" si="719"/>
        <v>0</v>
      </c>
      <c r="BJ222" s="18">
        <f t="shared" si="719"/>
        <v>0</v>
      </c>
      <c r="BK222" s="18">
        <f t="shared" si="719"/>
        <v>0</v>
      </c>
      <c r="BL222" s="18">
        <f t="shared" si="719"/>
        <v>0</v>
      </c>
      <c r="BM222" s="18">
        <f t="shared" si="719"/>
        <v>0</v>
      </c>
      <c r="BN222" s="18">
        <f t="shared" si="719"/>
        <v>0</v>
      </c>
      <c r="BO222" s="18">
        <f t="shared" si="719"/>
        <v>0</v>
      </c>
      <c r="BP222" s="18">
        <f t="shared" si="719"/>
        <v>0</v>
      </c>
      <c r="BQ222" s="18">
        <f t="shared" si="719"/>
        <v>0</v>
      </c>
      <c r="BR222" s="18">
        <f t="shared" si="719"/>
        <v>0</v>
      </c>
      <c r="BS222" s="18">
        <f t="shared" si="719"/>
        <v>0</v>
      </c>
      <c r="BT222" s="18">
        <f t="shared" si="719"/>
        <v>0</v>
      </c>
      <c r="BU222" s="18">
        <f t="shared" si="719"/>
        <v>0</v>
      </c>
      <c r="BV222" s="18">
        <f t="shared" si="719"/>
        <v>0</v>
      </c>
      <c r="BW222" s="18">
        <f t="shared" si="719"/>
        <v>0</v>
      </c>
      <c r="BX222" s="18">
        <f t="shared" si="719"/>
        <v>0</v>
      </c>
      <c r="BY222" s="18">
        <f t="shared" si="719"/>
        <v>0</v>
      </c>
      <c r="BZ222" s="18">
        <f t="shared" si="719"/>
        <v>0</v>
      </c>
      <c r="CA222" s="18">
        <f t="shared" si="719"/>
        <v>0</v>
      </c>
      <c r="CB222" s="18">
        <f t="shared" si="719"/>
        <v>0</v>
      </c>
      <c r="CC222" s="18">
        <f t="shared" si="719"/>
        <v>0</v>
      </c>
      <c r="CD222" s="18">
        <f t="shared" si="719"/>
        <v>0</v>
      </c>
      <c r="CE222" s="18">
        <f t="shared" si="719"/>
        <v>0</v>
      </c>
      <c r="CF222" s="18">
        <f t="shared" si="719"/>
        <v>0</v>
      </c>
      <c r="CG222" s="18">
        <f t="shared" si="719"/>
        <v>0</v>
      </c>
      <c r="CH222" s="18">
        <f t="shared" si="719"/>
        <v>0</v>
      </c>
      <c r="CI222" s="18">
        <f t="shared" si="719"/>
        <v>0</v>
      </c>
      <c r="CJ222" s="18">
        <f t="shared" si="719"/>
        <v>0</v>
      </c>
      <c r="CK222" s="18">
        <f t="shared" si="719"/>
        <v>0</v>
      </c>
      <c r="CL222" s="18">
        <f t="shared" si="719"/>
        <v>0</v>
      </c>
      <c r="CM222" s="18">
        <f t="shared" si="719"/>
        <v>0</v>
      </c>
      <c r="CN222" s="18">
        <f t="shared" si="719"/>
        <v>0</v>
      </c>
      <c r="CO222" s="18">
        <f t="shared" si="719"/>
        <v>0</v>
      </c>
      <c r="CP222" s="18">
        <f t="shared" si="719"/>
        <v>0</v>
      </c>
      <c r="CQ222" s="18"/>
      <c r="CR222" s="18"/>
      <c r="CS222" s="18"/>
      <c r="CT222" s="18"/>
      <c r="CU222" s="18">
        <f>SUM(CU223:CU223)</f>
        <v>0</v>
      </c>
      <c r="CV222" s="73"/>
      <c r="CW222" s="73"/>
      <c r="CX222" s="73"/>
      <c r="CY222" s="73"/>
      <c r="CZ222" s="18">
        <f>SUM(CZ223:CZ223)</f>
        <v>56713</v>
      </c>
      <c r="DA222" s="18">
        <f>SUM(DA223:DA223)</f>
        <v>56713</v>
      </c>
      <c r="DB222" s="18">
        <f>SUM(DB223:DB223)</f>
        <v>56713</v>
      </c>
      <c r="DC222" s="46">
        <f>SUM(DC223:DC223)</f>
        <v>0</v>
      </c>
      <c r="DD222" s="57"/>
    </row>
    <row r="223" spans="1:108" s="58" customFormat="1" ht="15.6" x14ac:dyDescent="0.3">
      <c r="A223" s="94" t="s">
        <v>1</v>
      </c>
      <c r="B223" s="34" t="s">
        <v>75</v>
      </c>
      <c r="C223" s="31" t="s">
        <v>633</v>
      </c>
      <c r="D223" s="19">
        <f>SUM(E223+CC223+CZ223)</f>
        <v>56713</v>
      </c>
      <c r="E223" s="19">
        <f>SUM(F223+BC223)</f>
        <v>0</v>
      </c>
      <c r="F223" s="19">
        <f t="shared" ref="F223" si="720">SUM(G223+H223+I223+P223+S223+T223+U223+AD223)</f>
        <v>0</v>
      </c>
      <c r="G223" s="19">
        <v>0</v>
      </c>
      <c r="H223" s="19">
        <v>0</v>
      </c>
      <c r="I223" s="19">
        <f t="shared" ref="I223" si="721">SUM(J223:O223)</f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f t="shared" ref="P223" si="722">SUM(Q223:R223)</f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f t="shared" ref="U223" si="723">SUM(V223:AC223)</f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f>SUM(AE223:AY223)</f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/>
      <c r="AT223" s="19"/>
      <c r="AU223" s="19">
        <v>0</v>
      </c>
      <c r="AV223" s="19">
        <v>0</v>
      </c>
      <c r="AW223" s="19">
        <v>0</v>
      </c>
      <c r="AX223" s="19"/>
      <c r="AY223" s="19">
        <v>0</v>
      </c>
      <c r="AZ223" s="19"/>
      <c r="BA223" s="19"/>
      <c r="BB223" s="19"/>
      <c r="BC223" s="19">
        <f>SUM(BD223+BH223+BL223+BN223+BQ223)</f>
        <v>0</v>
      </c>
      <c r="BD223" s="19">
        <f>SUM(BE223:BG223)</f>
        <v>0</v>
      </c>
      <c r="BE223" s="19"/>
      <c r="BF223" s="19">
        <v>0</v>
      </c>
      <c r="BG223" s="19">
        <v>0</v>
      </c>
      <c r="BH223" s="19">
        <f>SUM(BK223:BK223)</f>
        <v>0</v>
      </c>
      <c r="BI223" s="19">
        <v>0</v>
      </c>
      <c r="BJ223" s="19">
        <v>0</v>
      </c>
      <c r="BK223" s="19">
        <v>0</v>
      </c>
      <c r="BL223" s="23"/>
      <c r="BM223" s="19">
        <v>0</v>
      </c>
      <c r="BN223" s="19">
        <f t="shared" ref="BN223" si="724">SUM(BO223)</f>
        <v>0</v>
      </c>
      <c r="BO223" s="19">
        <v>0</v>
      </c>
      <c r="BP223" s="19">
        <v>0</v>
      </c>
      <c r="BQ223" s="19">
        <f>SUM(BR223:CB223)</f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f>SUM(CD223+CU223)</f>
        <v>0</v>
      </c>
      <c r="CD223" s="19">
        <f>SUM(CE223+CH223+CN223)</f>
        <v>0</v>
      </c>
      <c r="CE223" s="19">
        <f t="shared" ref="CE223" si="725">SUM(CF223:CG223)</f>
        <v>0</v>
      </c>
      <c r="CF223" s="19">
        <v>0</v>
      </c>
      <c r="CG223" s="19">
        <v>0</v>
      </c>
      <c r="CH223" s="19">
        <f>SUM(CI223:CM223)</f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f>SUM(CO223:CQ223)</f>
        <v>0</v>
      </c>
      <c r="CO223" s="19">
        <v>0</v>
      </c>
      <c r="CP223" s="19">
        <v>0</v>
      </c>
      <c r="CQ223" s="19"/>
      <c r="CR223" s="19"/>
      <c r="CS223" s="19"/>
      <c r="CT223" s="19"/>
      <c r="CU223" s="19">
        <v>0</v>
      </c>
      <c r="CV223" s="74"/>
      <c r="CW223" s="74"/>
      <c r="CX223" s="74"/>
      <c r="CY223" s="74"/>
      <c r="CZ223" s="19">
        <f t="shared" ref="CZ223" si="726">SUM(DA223)</f>
        <v>56713</v>
      </c>
      <c r="DA223" s="19">
        <f t="shared" ref="DA223" si="727">SUM(DB223:DC223)</f>
        <v>56713</v>
      </c>
      <c r="DB223" s="19">
        <f>0+105612-105612+56713</f>
        <v>56713</v>
      </c>
      <c r="DC223" s="20">
        <v>0</v>
      </c>
      <c r="DD223" s="52"/>
    </row>
    <row r="224" spans="1:108" ht="31.2" x14ac:dyDescent="0.3">
      <c r="A224" s="95" t="s">
        <v>269</v>
      </c>
      <c r="B224" s="25" t="s">
        <v>1</v>
      </c>
      <c r="C224" s="26" t="s">
        <v>270</v>
      </c>
      <c r="D224" s="27">
        <f>SUM(D225)</f>
        <v>642561622</v>
      </c>
      <c r="E224" s="27">
        <f t="shared" ref="E224:BW224" si="728">SUM(E225)</f>
        <v>642561622</v>
      </c>
      <c r="F224" s="27">
        <f t="shared" si="728"/>
        <v>0</v>
      </c>
      <c r="G224" s="27">
        <f t="shared" si="728"/>
        <v>0</v>
      </c>
      <c r="H224" s="27">
        <f t="shared" si="728"/>
        <v>0</v>
      </c>
      <c r="I224" s="27">
        <f t="shared" si="728"/>
        <v>0</v>
      </c>
      <c r="J224" s="27">
        <f t="shared" si="728"/>
        <v>0</v>
      </c>
      <c r="K224" s="27">
        <f t="shared" si="728"/>
        <v>0</v>
      </c>
      <c r="L224" s="27">
        <f t="shared" si="728"/>
        <v>0</v>
      </c>
      <c r="M224" s="27">
        <f t="shared" si="728"/>
        <v>0</v>
      </c>
      <c r="N224" s="27">
        <f t="shared" si="728"/>
        <v>0</v>
      </c>
      <c r="O224" s="27">
        <f t="shared" si="728"/>
        <v>0</v>
      </c>
      <c r="P224" s="27">
        <f t="shared" si="728"/>
        <v>0</v>
      </c>
      <c r="Q224" s="27">
        <f t="shared" si="728"/>
        <v>0</v>
      </c>
      <c r="R224" s="27">
        <f t="shared" si="728"/>
        <v>0</v>
      </c>
      <c r="S224" s="27">
        <f t="shared" si="728"/>
        <v>0</v>
      </c>
      <c r="T224" s="27">
        <f t="shared" si="728"/>
        <v>0</v>
      </c>
      <c r="U224" s="27">
        <f t="shared" si="728"/>
        <v>0</v>
      </c>
      <c r="V224" s="27">
        <f t="shared" si="728"/>
        <v>0</v>
      </c>
      <c r="W224" s="27">
        <f t="shared" si="728"/>
        <v>0</v>
      </c>
      <c r="X224" s="27">
        <f t="shared" si="728"/>
        <v>0</v>
      </c>
      <c r="Y224" s="27">
        <f t="shared" si="728"/>
        <v>0</v>
      </c>
      <c r="Z224" s="27">
        <f t="shared" si="728"/>
        <v>0</v>
      </c>
      <c r="AA224" s="27">
        <f t="shared" si="728"/>
        <v>0</v>
      </c>
      <c r="AB224" s="27">
        <f t="shared" si="728"/>
        <v>0</v>
      </c>
      <c r="AC224" s="27">
        <f t="shared" si="728"/>
        <v>0</v>
      </c>
      <c r="AD224" s="27">
        <f t="shared" si="728"/>
        <v>0</v>
      </c>
      <c r="AE224" s="27">
        <f t="shared" si="728"/>
        <v>0</v>
      </c>
      <c r="AF224" s="27">
        <f t="shared" si="728"/>
        <v>0</v>
      </c>
      <c r="AG224" s="27">
        <f t="shared" si="728"/>
        <v>0</v>
      </c>
      <c r="AH224" s="27">
        <f t="shared" si="728"/>
        <v>0</v>
      </c>
      <c r="AI224" s="27">
        <f t="shared" si="728"/>
        <v>0</v>
      </c>
      <c r="AJ224" s="27">
        <f t="shared" si="728"/>
        <v>0</v>
      </c>
      <c r="AK224" s="27">
        <f t="shared" si="728"/>
        <v>0</v>
      </c>
      <c r="AL224" s="27">
        <f t="shared" si="728"/>
        <v>0</v>
      </c>
      <c r="AM224" s="27">
        <f t="shared" si="728"/>
        <v>0</v>
      </c>
      <c r="AN224" s="27">
        <f t="shared" si="728"/>
        <v>0</v>
      </c>
      <c r="AO224" s="27">
        <f t="shared" si="728"/>
        <v>0</v>
      </c>
      <c r="AP224" s="27">
        <f t="shared" si="728"/>
        <v>0</v>
      </c>
      <c r="AQ224" s="27">
        <f t="shared" si="728"/>
        <v>0</v>
      </c>
      <c r="AR224" s="27">
        <f t="shared" si="728"/>
        <v>0</v>
      </c>
      <c r="AS224" s="27"/>
      <c r="AT224" s="27"/>
      <c r="AU224" s="27">
        <f t="shared" si="728"/>
        <v>0</v>
      </c>
      <c r="AV224" s="27">
        <f t="shared" si="728"/>
        <v>0</v>
      </c>
      <c r="AW224" s="27">
        <f t="shared" si="728"/>
        <v>0</v>
      </c>
      <c r="AX224" s="27"/>
      <c r="AY224" s="27">
        <f t="shared" si="728"/>
        <v>0</v>
      </c>
      <c r="AZ224" s="27">
        <f t="shared" si="728"/>
        <v>0</v>
      </c>
      <c r="BA224" s="27">
        <f t="shared" si="728"/>
        <v>0</v>
      </c>
      <c r="BB224" s="27">
        <f t="shared" si="728"/>
        <v>0</v>
      </c>
      <c r="BC224" s="27">
        <f t="shared" si="728"/>
        <v>642561622</v>
      </c>
      <c r="BD224" s="27">
        <f t="shared" si="728"/>
        <v>0</v>
      </c>
      <c r="BE224" s="27">
        <f t="shared" si="728"/>
        <v>0</v>
      </c>
      <c r="BF224" s="27">
        <f t="shared" si="728"/>
        <v>0</v>
      </c>
      <c r="BG224" s="27">
        <f t="shared" si="728"/>
        <v>0</v>
      </c>
      <c r="BH224" s="27">
        <f t="shared" si="728"/>
        <v>0</v>
      </c>
      <c r="BI224" s="27">
        <f t="shared" si="728"/>
        <v>0</v>
      </c>
      <c r="BJ224" s="27">
        <f t="shared" si="728"/>
        <v>0</v>
      </c>
      <c r="BK224" s="27">
        <f t="shared" si="728"/>
        <v>0</v>
      </c>
      <c r="BL224" s="27">
        <f t="shared" si="728"/>
        <v>642561622</v>
      </c>
      <c r="BM224" s="27">
        <f t="shared" si="728"/>
        <v>0</v>
      </c>
      <c r="BN224" s="27">
        <f t="shared" si="728"/>
        <v>0</v>
      </c>
      <c r="BO224" s="27">
        <f t="shared" si="728"/>
        <v>0</v>
      </c>
      <c r="BP224" s="27">
        <f t="shared" si="728"/>
        <v>0</v>
      </c>
      <c r="BQ224" s="27">
        <f t="shared" si="728"/>
        <v>0</v>
      </c>
      <c r="BR224" s="27">
        <f t="shared" si="728"/>
        <v>0</v>
      </c>
      <c r="BS224" s="27">
        <f t="shared" si="728"/>
        <v>0</v>
      </c>
      <c r="BT224" s="27">
        <f t="shared" si="728"/>
        <v>0</v>
      </c>
      <c r="BU224" s="27">
        <f t="shared" si="728"/>
        <v>0</v>
      </c>
      <c r="BV224" s="27">
        <f t="shared" si="728"/>
        <v>0</v>
      </c>
      <c r="BW224" s="27">
        <f t="shared" si="728"/>
        <v>0</v>
      </c>
      <c r="BX224" s="27">
        <f t="shared" ref="BX224:DC224" si="729">SUM(BX225)</f>
        <v>0</v>
      </c>
      <c r="BY224" s="27">
        <f t="shared" si="729"/>
        <v>0</v>
      </c>
      <c r="BZ224" s="27">
        <f t="shared" si="729"/>
        <v>0</v>
      </c>
      <c r="CA224" s="27">
        <f t="shared" si="729"/>
        <v>0</v>
      </c>
      <c r="CB224" s="27">
        <f t="shared" si="729"/>
        <v>0</v>
      </c>
      <c r="CC224" s="27">
        <f t="shared" si="729"/>
        <v>0</v>
      </c>
      <c r="CD224" s="27">
        <f t="shared" si="729"/>
        <v>0</v>
      </c>
      <c r="CE224" s="27">
        <f t="shared" si="729"/>
        <v>0</v>
      </c>
      <c r="CF224" s="27">
        <f t="shared" si="729"/>
        <v>0</v>
      </c>
      <c r="CG224" s="27">
        <f t="shared" si="729"/>
        <v>0</v>
      </c>
      <c r="CH224" s="27">
        <f t="shared" si="729"/>
        <v>0</v>
      </c>
      <c r="CI224" s="27">
        <f t="shared" si="729"/>
        <v>0</v>
      </c>
      <c r="CJ224" s="27">
        <f t="shared" si="729"/>
        <v>0</v>
      </c>
      <c r="CK224" s="27">
        <f t="shared" si="729"/>
        <v>0</v>
      </c>
      <c r="CL224" s="27">
        <f t="shared" si="729"/>
        <v>0</v>
      </c>
      <c r="CM224" s="27">
        <f t="shared" si="729"/>
        <v>0</v>
      </c>
      <c r="CN224" s="27">
        <f t="shared" si="729"/>
        <v>0</v>
      </c>
      <c r="CO224" s="27">
        <f t="shared" si="729"/>
        <v>0</v>
      </c>
      <c r="CP224" s="27">
        <f t="shared" si="729"/>
        <v>0</v>
      </c>
      <c r="CQ224" s="27"/>
      <c r="CR224" s="27"/>
      <c r="CS224" s="27"/>
      <c r="CT224" s="27"/>
      <c r="CU224" s="27">
        <f t="shared" si="729"/>
        <v>0</v>
      </c>
      <c r="CV224" s="27">
        <f t="shared" si="729"/>
        <v>0</v>
      </c>
      <c r="CW224" s="27">
        <f t="shared" si="729"/>
        <v>0</v>
      </c>
      <c r="CX224" s="27">
        <f t="shared" si="729"/>
        <v>0</v>
      </c>
      <c r="CY224" s="27">
        <f t="shared" si="729"/>
        <v>0</v>
      </c>
      <c r="CZ224" s="27">
        <f t="shared" si="729"/>
        <v>0</v>
      </c>
      <c r="DA224" s="27">
        <f t="shared" si="729"/>
        <v>0</v>
      </c>
      <c r="DB224" s="27">
        <f t="shared" si="729"/>
        <v>0</v>
      </c>
      <c r="DC224" s="60">
        <f t="shared" si="729"/>
        <v>0</v>
      </c>
      <c r="DD224" s="57"/>
    </row>
    <row r="225" spans="1:108" ht="31.2" x14ac:dyDescent="0.3">
      <c r="A225" s="93" t="s">
        <v>271</v>
      </c>
      <c r="B225" s="16" t="s">
        <v>1</v>
      </c>
      <c r="C225" s="17" t="s">
        <v>458</v>
      </c>
      <c r="D225" s="18">
        <f t="shared" ref="D225:AR225" si="730">SUM(D226:D226)</f>
        <v>642561622</v>
      </c>
      <c r="E225" s="18">
        <f t="shared" si="730"/>
        <v>642561622</v>
      </c>
      <c r="F225" s="18">
        <f t="shared" si="730"/>
        <v>0</v>
      </c>
      <c r="G225" s="18">
        <f t="shared" si="730"/>
        <v>0</v>
      </c>
      <c r="H225" s="18">
        <f t="shared" si="730"/>
        <v>0</v>
      </c>
      <c r="I225" s="18">
        <f t="shared" si="730"/>
        <v>0</v>
      </c>
      <c r="J225" s="18">
        <f t="shared" si="730"/>
        <v>0</v>
      </c>
      <c r="K225" s="18">
        <f t="shared" si="730"/>
        <v>0</v>
      </c>
      <c r="L225" s="18">
        <f t="shared" si="730"/>
        <v>0</v>
      </c>
      <c r="M225" s="18">
        <f t="shared" si="730"/>
        <v>0</v>
      </c>
      <c r="N225" s="18">
        <f t="shared" si="730"/>
        <v>0</v>
      </c>
      <c r="O225" s="18">
        <f t="shared" si="730"/>
        <v>0</v>
      </c>
      <c r="P225" s="18">
        <f t="shared" si="730"/>
        <v>0</v>
      </c>
      <c r="Q225" s="18">
        <f t="shared" si="730"/>
        <v>0</v>
      </c>
      <c r="R225" s="18">
        <f t="shared" si="730"/>
        <v>0</v>
      </c>
      <c r="S225" s="18">
        <f t="shared" si="730"/>
        <v>0</v>
      </c>
      <c r="T225" s="18">
        <f t="shared" si="730"/>
        <v>0</v>
      </c>
      <c r="U225" s="18">
        <f t="shared" si="730"/>
        <v>0</v>
      </c>
      <c r="V225" s="18">
        <f t="shared" si="730"/>
        <v>0</v>
      </c>
      <c r="W225" s="18">
        <f t="shared" si="730"/>
        <v>0</v>
      </c>
      <c r="X225" s="18">
        <f t="shared" si="730"/>
        <v>0</v>
      </c>
      <c r="Y225" s="18">
        <f t="shared" si="730"/>
        <v>0</v>
      </c>
      <c r="Z225" s="18">
        <f t="shared" si="730"/>
        <v>0</v>
      </c>
      <c r="AA225" s="18">
        <f t="shared" si="730"/>
        <v>0</v>
      </c>
      <c r="AB225" s="18">
        <f t="shared" si="730"/>
        <v>0</v>
      </c>
      <c r="AC225" s="18">
        <f t="shared" si="730"/>
        <v>0</v>
      </c>
      <c r="AD225" s="18">
        <f t="shared" si="730"/>
        <v>0</v>
      </c>
      <c r="AE225" s="18">
        <f t="shared" si="730"/>
        <v>0</v>
      </c>
      <c r="AF225" s="18">
        <f t="shared" si="730"/>
        <v>0</v>
      </c>
      <c r="AG225" s="18">
        <f t="shared" si="730"/>
        <v>0</v>
      </c>
      <c r="AH225" s="18">
        <f t="shared" si="730"/>
        <v>0</v>
      </c>
      <c r="AI225" s="18">
        <f t="shared" si="730"/>
        <v>0</v>
      </c>
      <c r="AJ225" s="18">
        <f t="shared" si="730"/>
        <v>0</v>
      </c>
      <c r="AK225" s="18">
        <f t="shared" si="730"/>
        <v>0</v>
      </c>
      <c r="AL225" s="18">
        <f t="shared" si="730"/>
        <v>0</v>
      </c>
      <c r="AM225" s="18">
        <f t="shared" si="730"/>
        <v>0</v>
      </c>
      <c r="AN225" s="18">
        <f t="shared" si="730"/>
        <v>0</v>
      </c>
      <c r="AO225" s="18">
        <f t="shared" si="730"/>
        <v>0</v>
      </c>
      <c r="AP225" s="18">
        <f t="shared" si="730"/>
        <v>0</v>
      </c>
      <c r="AQ225" s="18">
        <f t="shared" si="730"/>
        <v>0</v>
      </c>
      <c r="AR225" s="18">
        <f t="shared" si="730"/>
        <v>0</v>
      </c>
      <c r="AS225" s="18"/>
      <c r="AT225" s="18"/>
      <c r="AU225" s="18">
        <f>SUM(AU226:AU226)</f>
        <v>0</v>
      </c>
      <c r="AV225" s="18">
        <f>SUM(AV226:AV226)</f>
        <v>0</v>
      </c>
      <c r="AW225" s="18">
        <f>SUM(AW226:AW226)</f>
        <v>0</v>
      </c>
      <c r="AX225" s="18"/>
      <c r="AY225" s="18">
        <f>SUM(AY226:AY226)</f>
        <v>0</v>
      </c>
      <c r="AZ225" s="18"/>
      <c r="BA225" s="18"/>
      <c r="BB225" s="18"/>
      <c r="BC225" s="18">
        <f t="shared" ref="BC225:CP225" si="731">SUM(BC226:BC226)</f>
        <v>642561622</v>
      </c>
      <c r="BD225" s="18">
        <f t="shared" si="731"/>
        <v>0</v>
      </c>
      <c r="BE225" s="18">
        <f t="shared" si="731"/>
        <v>0</v>
      </c>
      <c r="BF225" s="18">
        <f t="shared" si="731"/>
        <v>0</v>
      </c>
      <c r="BG225" s="18">
        <f t="shared" si="731"/>
        <v>0</v>
      </c>
      <c r="BH225" s="18">
        <f t="shared" si="731"/>
        <v>0</v>
      </c>
      <c r="BI225" s="18">
        <f t="shared" si="731"/>
        <v>0</v>
      </c>
      <c r="BJ225" s="18">
        <f t="shared" si="731"/>
        <v>0</v>
      </c>
      <c r="BK225" s="18">
        <f t="shared" si="731"/>
        <v>0</v>
      </c>
      <c r="BL225" s="18">
        <f t="shared" si="731"/>
        <v>642561622</v>
      </c>
      <c r="BM225" s="18">
        <f t="shared" si="731"/>
        <v>0</v>
      </c>
      <c r="BN225" s="18">
        <f t="shared" si="731"/>
        <v>0</v>
      </c>
      <c r="BO225" s="18">
        <f t="shared" si="731"/>
        <v>0</v>
      </c>
      <c r="BP225" s="18">
        <f t="shared" si="731"/>
        <v>0</v>
      </c>
      <c r="BQ225" s="18">
        <f t="shared" si="731"/>
        <v>0</v>
      </c>
      <c r="BR225" s="18">
        <f t="shared" si="731"/>
        <v>0</v>
      </c>
      <c r="BS225" s="18">
        <f t="shared" si="731"/>
        <v>0</v>
      </c>
      <c r="BT225" s="18">
        <f t="shared" si="731"/>
        <v>0</v>
      </c>
      <c r="BU225" s="18">
        <f t="shared" si="731"/>
        <v>0</v>
      </c>
      <c r="BV225" s="18">
        <f t="shared" si="731"/>
        <v>0</v>
      </c>
      <c r="BW225" s="18">
        <f t="shared" si="731"/>
        <v>0</v>
      </c>
      <c r="BX225" s="18">
        <f t="shared" si="731"/>
        <v>0</v>
      </c>
      <c r="BY225" s="18">
        <f t="shared" si="731"/>
        <v>0</v>
      </c>
      <c r="BZ225" s="18">
        <f t="shared" si="731"/>
        <v>0</v>
      </c>
      <c r="CA225" s="18">
        <f t="shared" si="731"/>
        <v>0</v>
      </c>
      <c r="CB225" s="18">
        <f t="shared" si="731"/>
        <v>0</v>
      </c>
      <c r="CC225" s="18">
        <f t="shared" si="731"/>
        <v>0</v>
      </c>
      <c r="CD225" s="18">
        <f t="shared" si="731"/>
        <v>0</v>
      </c>
      <c r="CE225" s="18">
        <f t="shared" si="731"/>
        <v>0</v>
      </c>
      <c r="CF225" s="18">
        <f t="shared" si="731"/>
        <v>0</v>
      </c>
      <c r="CG225" s="18">
        <f t="shared" si="731"/>
        <v>0</v>
      </c>
      <c r="CH225" s="18">
        <f t="shared" si="731"/>
        <v>0</v>
      </c>
      <c r="CI225" s="18">
        <f t="shared" si="731"/>
        <v>0</v>
      </c>
      <c r="CJ225" s="18">
        <f t="shared" si="731"/>
        <v>0</v>
      </c>
      <c r="CK225" s="18">
        <f t="shared" si="731"/>
        <v>0</v>
      </c>
      <c r="CL225" s="18">
        <f t="shared" si="731"/>
        <v>0</v>
      </c>
      <c r="CM225" s="18">
        <f t="shared" si="731"/>
        <v>0</v>
      </c>
      <c r="CN225" s="18">
        <f t="shared" si="731"/>
        <v>0</v>
      </c>
      <c r="CO225" s="18">
        <f t="shared" si="731"/>
        <v>0</v>
      </c>
      <c r="CP225" s="18">
        <f t="shared" si="731"/>
        <v>0</v>
      </c>
      <c r="CQ225" s="18"/>
      <c r="CR225" s="18"/>
      <c r="CS225" s="18"/>
      <c r="CT225" s="18"/>
      <c r="CU225" s="18">
        <f>SUM(CU226:CU226)</f>
        <v>0</v>
      </c>
      <c r="CV225" s="73"/>
      <c r="CW225" s="73"/>
      <c r="CX225" s="73"/>
      <c r="CY225" s="73"/>
      <c r="CZ225" s="18">
        <f>SUM(CZ226:CZ226)</f>
        <v>0</v>
      </c>
      <c r="DA225" s="18">
        <f>SUM(DA226:DA226)</f>
        <v>0</v>
      </c>
      <c r="DB225" s="18">
        <f>SUM(DB226:DB226)</f>
        <v>0</v>
      </c>
      <c r="DC225" s="46">
        <f>SUM(DC226:DC226)</f>
        <v>0</v>
      </c>
      <c r="DD225" s="57"/>
    </row>
    <row r="226" spans="1:108" s="58" customFormat="1" ht="31.2" x14ac:dyDescent="0.3">
      <c r="A226" s="94" t="s">
        <v>1</v>
      </c>
      <c r="B226" s="34" t="s">
        <v>75</v>
      </c>
      <c r="C226" s="31" t="s">
        <v>437</v>
      </c>
      <c r="D226" s="19">
        <f>SUM(E226+CC226+CZ226)</f>
        <v>642561622</v>
      </c>
      <c r="E226" s="19">
        <f>SUM(F226+BC226)</f>
        <v>642561622</v>
      </c>
      <c r="F226" s="19">
        <f t="shared" ref="F226" si="732">SUM(G226+H226+I226+P226+S226+T226+U226+AD226)</f>
        <v>0</v>
      </c>
      <c r="G226" s="19">
        <v>0</v>
      </c>
      <c r="H226" s="19">
        <v>0</v>
      </c>
      <c r="I226" s="19">
        <f t="shared" si="389"/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f t="shared" si="390"/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f t="shared" ref="U226" si="733">SUM(V226:AC226)</f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f>SUM(AE226:AY226)</f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  <c r="AS226" s="19"/>
      <c r="AT226" s="19"/>
      <c r="AU226" s="19">
        <v>0</v>
      </c>
      <c r="AV226" s="19">
        <v>0</v>
      </c>
      <c r="AW226" s="19">
        <v>0</v>
      </c>
      <c r="AX226" s="19"/>
      <c r="AY226" s="19">
        <v>0</v>
      </c>
      <c r="AZ226" s="19"/>
      <c r="BA226" s="19"/>
      <c r="BB226" s="19"/>
      <c r="BC226" s="19">
        <f>SUM(BD226+BH226+BL226+BN226+BQ226)</f>
        <v>642561622</v>
      </c>
      <c r="BD226" s="19">
        <f>SUM(BE226:BG226)</f>
        <v>0</v>
      </c>
      <c r="BE226" s="19"/>
      <c r="BF226" s="19">
        <v>0</v>
      </c>
      <c r="BG226" s="19">
        <v>0</v>
      </c>
      <c r="BH226" s="19">
        <f>SUM(BK226:BK226)</f>
        <v>0</v>
      </c>
      <c r="BI226" s="19">
        <v>0</v>
      </c>
      <c r="BJ226" s="19">
        <v>0</v>
      </c>
      <c r="BK226" s="19">
        <v>0</v>
      </c>
      <c r="BL226" s="23">
        <f>612250978+9221206+40845900-1188188-18568274</f>
        <v>642561622</v>
      </c>
      <c r="BM226" s="19">
        <v>0</v>
      </c>
      <c r="BN226" s="19">
        <f t="shared" si="393"/>
        <v>0</v>
      </c>
      <c r="BO226" s="19">
        <v>0</v>
      </c>
      <c r="BP226" s="19">
        <v>0</v>
      </c>
      <c r="BQ226" s="19">
        <f>SUM(BR226:CB226)</f>
        <v>0</v>
      </c>
      <c r="BR226" s="19">
        <v>0</v>
      </c>
      <c r="BS226" s="19">
        <v>0</v>
      </c>
      <c r="BT226" s="19">
        <v>0</v>
      </c>
      <c r="BU226" s="19">
        <v>0</v>
      </c>
      <c r="BV226" s="19">
        <v>0</v>
      </c>
      <c r="BW226" s="19">
        <v>0</v>
      </c>
      <c r="BX226" s="19">
        <v>0</v>
      </c>
      <c r="BY226" s="19">
        <v>0</v>
      </c>
      <c r="BZ226" s="19">
        <v>0</v>
      </c>
      <c r="CA226" s="19">
        <v>0</v>
      </c>
      <c r="CB226" s="19">
        <v>0</v>
      </c>
      <c r="CC226" s="19">
        <f>SUM(CD226+CU226)</f>
        <v>0</v>
      </c>
      <c r="CD226" s="19">
        <f>SUM(CE226+CH226+CN226)</f>
        <v>0</v>
      </c>
      <c r="CE226" s="19">
        <f t="shared" si="394"/>
        <v>0</v>
      </c>
      <c r="CF226" s="19">
        <v>0</v>
      </c>
      <c r="CG226" s="19">
        <v>0</v>
      </c>
      <c r="CH226" s="19">
        <f>SUM(CI226:CM226)</f>
        <v>0</v>
      </c>
      <c r="CI226" s="19">
        <v>0</v>
      </c>
      <c r="CJ226" s="19">
        <v>0</v>
      </c>
      <c r="CK226" s="19">
        <v>0</v>
      </c>
      <c r="CL226" s="19">
        <v>0</v>
      </c>
      <c r="CM226" s="19">
        <v>0</v>
      </c>
      <c r="CN226" s="19">
        <f>SUM(CO226:CQ226)</f>
        <v>0</v>
      </c>
      <c r="CO226" s="19">
        <v>0</v>
      </c>
      <c r="CP226" s="19">
        <v>0</v>
      </c>
      <c r="CQ226" s="19"/>
      <c r="CR226" s="19"/>
      <c r="CS226" s="19"/>
      <c r="CT226" s="19"/>
      <c r="CU226" s="19">
        <v>0</v>
      </c>
      <c r="CV226" s="74"/>
      <c r="CW226" s="74"/>
      <c r="CX226" s="74"/>
      <c r="CY226" s="74"/>
      <c r="CZ226" s="19">
        <f t="shared" si="396"/>
        <v>0</v>
      </c>
      <c r="DA226" s="19">
        <f t="shared" si="397"/>
        <v>0</v>
      </c>
      <c r="DB226" s="19">
        <v>0</v>
      </c>
      <c r="DC226" s="20">
        <v>0</v>
      </c>
      <c r="DD226" s="52"/>
    </row>
    <row r="227" spans="1:108" ht="15.6" x14ac:dyDescent="0.3">
      <c r="A227" s="95" t="s">
        <v>273</v>
      </c>
      <c r="B227" s="25" t="s">
        <v>1</v>
      </c>
      <c r="C227" s="26" t="s">
        <v>274</v>
      </c>
      <c r="D227" s="27">
        <f t="shared" ref="D227:AI227" si="734">SUM(D228+D230+D233+D268+D289+D291)</f>
        <v>460214896</v>
      </c>
      <c r="E227" s="27">
        <f t="shared" si="734"/>
        <v>274998245</v>
      </c>
      <c r="F227" s="27">
        <f t="shared" si="734"/>
        <v>273213352</v>
      </c>
      <c r="G227" s="27">
        <f t="shared" si="734"/>
        <v>116018526</v>
      </c>
      <c r="H227" s="27">
        <f t="shared" si="734"/>
        <v>24150718</v>
      </c>
      <c r="I227" s="27">
        <f t="shared" si="734"/>
        <v>43438153</v>
      </c>
      <c r="J227" s="27">
        <f t="shared" si="734"/>
        <v>12401948</v>
      </c>
      <c r="K227" s="27">
        <f t="shared" si="734"/>
        <v>808004</v>
      </c>
      <c r="L227" s="27">
        <f t="shared" si="734"/>
        <v>2264038</v>
      </c>
      <c r="M227" s="27">
        <f t="shared" si="734"/>
        <v>46000</v>
      </c>
      <c r="N227" s="27">
        <f t="shared" si="734"/>
        <v>7766892</v>
      </c>
      <c r="O227" s="27">
        <f t="shared" si="734"/>
        <v>20151271</v>
      </c>
      <c r="P227" s="27">
        <f t="shared" si="734"/>
        <v>1956907</v>
      </c>
      <c r="Q227" s="27">
        <f t="shared" si="734"/>
        <v>512594</v>
      </c>
      <c r="R227" s="27">
        <f t="shared" si="734"/>
        <v>1444313</v>
      </c>
      <c r="S227" s="27">
        <f t="shared" si="734"/>
        <v>73458</v>
      </c>
      <c r="T227" s="27">
        <f t="shared" si="734"/>
        <v>1736832</v>
      </c>
      <c r="U227" s="27">
        <f t="shared" si="734"/>
        <v>31374373</v>
      </c>
      <c r="V227" s="27">
        <f t="shared" si="734"/>
        <v>4286218</v>
      </c>
      <c r="W227" s="27">
        <f t="shared" si="734"/>
        <v>13998495</v>
      </c>
      <c r="X227" s="27">
        <f t="shared" si="734"/>
        <v>8345329</v>
      </c>
      <c r="Y227" s="27">
        <f t="shared" si="734"/>
        <v>3231913</v>
      </c>
      <c r="Z227" s="27">
        <f t="shared" si="734"/>
        <v>833140</v>
      </c>
      <c r="AA227" s="27">
        <f t="shared" si="734"/>
        <v>75200</v>
      </c>
      <c r="AB227" s="27">
        <f t="shared" si="734"/>
        <v>0</v>
      </c>
      <c r="AC227" s="27">
        <f t="shared" si="734"/>
        <v>604078</v>
      </c>
      <c r="AD227" s="27">
        <f t="shared" si="734"/>
        <v>54464385</v>
      </c>
      <c r="AE227" s="27">
        <f t="shared" si="734"/>
        <v>0</v>
      </c>
      <c r="AF227" s="27">
        <f t="shared" si="734"/>
        <v>0</v>
      </c>
      <c r="AG227" s="27">
        <f t="shared" si="734"/>
        <v>3047346</v>
      </c>
      <c r="AH227" s="27">
        <f t="shared" si="734"/>
        <v>8296105</v>
      </c>
      <c r="AI227" s="27">
        <f t="shared" si="734"/>
        <v>550567</v>
      </c>
      <c r="AJ227" s="27">
        <f t="shared" ref="AJ227:BO227" si="735">SUM(AJ228+AJ230+AJ233+AJ268+AJ289+AJ291)</f>
        <v>438103</v>
      </c>
      <c r="AK227" s="27">
        <f t="shared" si="735"/>
        <v>7700</v>
      </c>
      <c r="AL227" s="27">
        <f t="shared" si="735"/>
        <v>504697</v>
      </c>
      <c r="AM227" s="27">
        <f t="shared" si="735"/>
        <v>3168689</v>
      </c>
      <c r="AN227" s="27">
        <f t="shared" si="735"/>
        <v>21833</v>
      </c>
      <c r="AO227" s="27">
        <f t="shared" si="735"/>
        <v>15600</v>
      </c>
      <c r="AP227" s="27">
        <f t="shared" si="735"/>
        <v>7672240</v>
      </c>
      <c r="AQ227" s="27">
        <f t="shared" si="735"/>
        <v>414878</v>
      </c>
      <c r="AR227" s="27">
        <f t="shared" si="735"/>
        <v>1081482</v>
      </c>
      <c r="AS227" s="27">
        <f t="shared" si="735"/>
        <v>0</v>
      </c>
      <c r="AT227" s="27">
        <f t="shared" si="735"/>
        <v>0</v>
      </c>
      <c r="AU227" s="27">
        <f t="shared" si="735"/>
        <v>0</v>
      </c>
      <c r="AV227" s="27">
        <f t="shared" si="735"/>
        <v>866478</v>
      </c>
      <c r="AW227" s="27">
        <f t="shared" si="735"/>
        <v>463798</v>
      </c>
      <c r="AX227" s="27">
        <f t="shared" si="735"/>
        <v>285000</v>
      </c>
      <c r="AY227" s="27">
        <f t="shared" si="735"/>
        <v>27629869</v>
      </c>
      <c r="AZ227" s="27">
        <f t="shared" si="735"/>
        <v>0</v>
      </c>
      <c r="BA227" s="27">
        <f t="shared" si="735"/>
        <v>0</v>
      </c>
      <c r="BB227" s="27">
        <f t="shared" si="735"/>
        <v>0</v>
      </c>
      <c r="BC227" s="27">
        <f t="shared" si="735"/>
        <v>1784893</v>
      </c>
      <c r="BD227" s="27">
        <f t="shared" si="735"/>
        <v>0</v>
      </c>
      <c r="BE227" s="27">
        <f t="shared" si="735"/>
        <v>0</v>
      </c>
      <c r="BF227" s="27">
        <f t="shared" si="735"/>
        <v>0</v>
      </c>
      <c r="BG227" s="27">
        <f t="shared" si="735"/>
        <v>0</v>
      </c>
      <c r="BH227" s="27">
        <f t="shared" si="735"/>
        <v>0</v>
      </c>
      <c r="BI227" s="27">
        <f t="shared" si="735"/>
        <v>0</v>
      </c>
      <c r="BJ227" s="27">
        <f t="shared" si="735"/>
        <v>0</v>
      </c>
      <c r="BK227" s="27">
        <f t="shared" si="735"/>
        <v>0</v>
      </c>
      <c r="BL227" s="27">
        <f t="shared" si="735"/>
        <v>1367975</v>
      </c>
      <c r="BM227" s="27">
        <f t="shared" si="735"/>
        <v>0</v>
      </c>
      <c r="BN227" s="27">
        <f t="shared" si="735"/>
        <v>0</v>
      </c>
      <c r="BO227" s="27">
        <f t="shared" si="735"/>
        <v>0</v>
      </c>
      <c r="BP227" s="27">
        <f t="shared" ref="BP227:CU227" si="736">SUM(BP228+BP230+BP233+BP268+BP289+BP291)</f>
        <v>0</v>
      </c>
      <c r="BQ227" s="27">
        <f t="shared" si="736"/>
        <v>416918</v>
      </c>
      <c r="BR227" s="27">
        <f t="shared" si="736"/>
        <v>0</v>
      </c>
      <c r="BS227" s="27">
        <f t="shared" si="736"/>
        <v>0</v>
      </c>
      <c r="BT227" s="27">
        <f t="shared" si="736"/>
        <v>0</v>
      </c>
      <c r="BU227" s="27">
        <f t="shared" si="736"/>
        <v>0</v>
      </c>
      <c r="BV227" s="27">
        <f t="shared" si="736"/>
        <v>0</v>
      </c>
      <c r="BW227" s="27">
        <f t="shared" si="736"/>
        <v>0</v>
      </c>
      <c r="BX227" s="27">
        <f t="shared" si="736"/>
        <v>0</v>
      </c>
      <c r="BY227" s="27">
        <f t="shared" si="736"/>
        <v>0</v>
      </c>
      <c r="BZ227" s="27">
        <f t="shared" si="736"/>
        <v>0</v>
      </c>
      <c r="CA227" s="27">
        <f t="shared" si="736"/>
        <v>44519</v>
      </c>
      <c r="CB227" s="27">
        <f t="shared" si="736"/>
        <v>372399</v>
      </c>
      <c r="CC227" s="27">
        <f t="shared" si="736"/>
        <v>90971832</v>
      </c>
      <c r="CD227" s="27">
        <f t="shared" si="736"/>
        <v>8309961</v>
      </c>
      <c r="CE227" s="27">
        <f t="shared" si="736"/>
        <v>7600041</v>
      </c>
      <c r="CF227" s="27">
        <f t="shared" si="736"/>
        <v>104000</v>
      </c>
      <c r="CG227" s="27">
        <f t="shared" si="736"/>
        <v>7496041</v>
      </c>
      <c r="CH227" s="27">
        <f t="shared" si="736"/>
        <v>180000</v>
      </c>
      <c r="CI227" s="27">
        <f t="shared" si="736"/>
        <v>0</v>
      </c>
      <c r="CJ227" s="27">
        <f t="shared" si="736"/>
        <v>0</v>
      </c>
      <c r="CK227" s="27">
        <f t="shared" si="736"/>
        <v>180000</v>
      </c>
      <c r="CL227" s="27">
        <f t="shared" si="736"/>
        <v>0</v>
      </c>
      <c r="CM227" s="27">
        <f t="shared" si="736"/>
        <v>0</v>
      </c>
      <c r="CN227" s="27">
        <f t="shared" si="736"/>
        <v>529920</v>
      </c>
      <c r="CO227" s="27">
        <f t="shared" si="736"/>
        <v>325000</v>
      </c>
      <c r="CP227" s="27">
        <f t="shared" si="736"/>
        <v>204920</v>
      </c>
      <c r="CQ227" s="27">
        <f t="shared" si="736"/>
        <v>0</v>
      </c>
      <c r="CR227" s="27">
        <f t="shared" si="736"/>
        <v>0</v>
      </c>
      <c r="CS227" s="27">
        <f t="shared" si="736"/>
        <v>0</v>
      </c>
      <c r="CT227" s="27">
        <f t="shared" si="736"/>
        <v>0</v>
      </c>
      <c r="CU227" s="27">
        <f t="shared" si="736"/>
        <v>82661871</v>
      </c>
      <c r="CV227" s="27">
        <f t="shared" ref="CV227:DC227" si="737">SUM(CV228+CV230+CV233+CV268+CV289+CV291)</f>
        <v>94244819</v>
      </c>
      <c r="CW227" s="27">
        <f t="shared" si="737"/>
        <v>94244819</v>
      </c>
      <c r="CX227" s="27">
        <f t="shared" si="737"/>
        <v>10914626</v>
      </c>
      <c r="CY227" s="27">
        <f t="shared" ref="CY227" si="738">SUM(CY228+CY230+CY233+CY268+CY289+CY291)</f>
        <v>83330193</v>
      </c>
      <c r="CZ227" s="27">
        <f t="shared" si="737"/>
        <v>0</v>
      </c>
      <c r="DA227" s="27">
        <f t="shared" si="737"/>
        <v>0</v>
      </c>
      <c r="DB227" s="27">
        <f t="shared" si="737"/>
        <v>0</v>
      </c>
      <c r="DC227" s="60">
        <f t="shared" si="737"/>
        <v>0</v>
      </c>
      <c r="DD227" s="57"/>
    </row>
    <row r="228" spans="1:108" s="58" customFormat="1" ht="15.6" x14ac:dyDescent="0.3">
      <c r="A228" s="93" t="s">
        <v>275</v>
      </c>
      <c r="B228" s="16" t="s">
        <v>1</v>
      </c>
      <c r="C228" s="17" t="s">
        <v>276</v>
      </c>
      <c r="D228" s="18">
        <f>SUM(D229)</f>
        <v>18000000</v>
      </c>
      <c r="E228" s="18">
        <f t="shared" ref="E228:BW228" si="739">SUM(E229)</f>
        <v>0</v>
      </c>
      <c r="F228" s="18">
        <f t="shared" si="739"/>
        <v>0</v>
      </c>
      <c r="G228" s="18">
        <f t="shared" si="739"/>
        <v>0</v>
      </c>
      <c r="H228" s="18">
        <f t="shared" si="739"/>
        <v>0</v>
      </c>
      <c r="I228" s="18">
        <f t="shared" si="739"/>
        <v>0</v>
      </c>
      <c r="J228" s="18">
        <f t="shared" si="739"/>
        <v>0</v>
      </c>
      <c r="K228" s="18">
        <f t="shared" si="739"/>
        <v>0</v>
      </c>
      <c r="L228" s="18">
        <f t="shared" si="739"/>
        <v>0</v>
      </c>
      <c r="M228" s="18">
        <f t="shared" si="739"/>
        <v>0</v>
      </c>
      <c r="N228" s="18">
        <f t="shared" si="739"/>
        <v>0</v>
      </c>
      <c r="O228" s="18">
        <f t="shared" si="739"/>
        <v>0</v>
      </c>
      <c r="P228" s="18">
        <f t="shared" si="739"/>
        <v>0</v>
      </c>
      <c r="Q228" s="18">
        <f t="shared" si="739"/>
        <v>0</v>
      </c>
      <c r="R228" s="18">
        <f t="shared" si="739"/>
        <v>0</v>
      </c>
      <c r="S228" s="18">
        <f t="shared" si="739"/>
        <v>0</v>
      </c>
      <c r="T228" s="18">
        <f t="shared" si="739"/>
        <v>0</v>
      </c>
      <c r="U228" s="18">
        <f t="shared" si="739"/>
        <v>0</v>
      </c>
      <c r="V228" s="18">
        <f t="shared" si="739"/>
        <v>0</v>
      </c>
      <c r="W228" s="18">
        <f t="shared" si="739"/>
        <v>0</v>
      </c>
      <c r="X228" s="18">
        <f t="shared" si="739"/>
        <v>0</v>
      </c>
      <c r="Y228" s="18">
        <f t="shared" si="739"/>
        <v>0</v>
      </c>
      <c r="Z228" s="18">
        <f t="shared" si="739"/>
        <v>0</v>
      </c>
      <c r="AA228" s="18">
        <f t="shared" si="739"/>
        <v>0</v>
      </c>
      <c r="AB228" s="18">
        <f t="shared" si="739"/>
        <v>0</v>
      </c>
      <c r="AC228" s="18">
        <f t="shared" si="739"/>
        <v>0</v>
      </c>
      <c r="AD228" s="18">
        <f t="shared" si="739"/>
        <v>0</v>
      </c>
      <c r="AE228" s="18">
        <f t="shared" si="739"/>
        <v>0</v>
      </c>
      <c r="AF228" s="18">
        <f t="shared" si="739"/>
        <v>0</v>
      </c>
      <c r="AG228" s="18">
        <f t="shared" si="739"/>
        <v>0</v>
      </c>
      <c r="AH228" s="18">
        <f t="shared" si="739"/>
        <v>0</v>
      </c>
      <c r="AI228" s="18">
        <f t="shared" si="739"/>
        <v>0</v>
      </c>
      <c r="AJ228" s="18">
        <f t="shared" si="739"/>
        <v>0</v>
      </c>
      <c r="AK228" s="18">
        <f t="shared" si="739"/>
        <v>0</v>
      </c>
      <c r="AL228" s="18">
        <f t="shared" si="739"/>
        <v>0</v>
      </c>
      <c r="AM228" s="18">
        <f t="shared" si="739"/>
        <v>0</v>
      </c>
      <c r="AN228" s="18">
        <f t="shared" si="739"/>
        <v>0</v>
      </c>
      <c r="AO228" s="18">
        <f t="shared" si="739"/>
        <v>0</v>
      </c>
      <c r="AP228" s="18">
        <f t="shared" si="739"/>
        <v>0</v>
      </c>
      <c r="AQ228" s="18">
        <f t="shared" si="739"/>
        <v>0</v>
      </c>
      <c r="AR228" s="18">
        <f t="shared" si="739"/>
        <v>0</v>
      </c>
      <c r="AS228" s="18"/>
      <c r="AT228" s="18"/>
      <c r="AU228" s="18">
        <f t="shared" si="739"/>
        <v>0</v>
      </c>
      <c r="AV228" s="18">
        <f t="shared" si="739"/>
        <v>0</v>
      </c>
      <c r="AW228" s="18">
        <f t="shared" si="739"/>
        <v>0</v>
      </c>
      <c r="AX228" s="18"/>
      <c r="AY228" s="18">
        <f t="shared" si="739"/>
        <v>0</v>
      </c>
      <c r="AZ228" s="18"/>
      <c r="BA228" s="18"/>
      <c r="BB228" s="18"/>
      <c r="BC228" s="18">
        <f t="shared" si="739"/>
        <v>0</v>
      </c>
      <c r="BD228" s="18">
        <f t="shared" si="739"/>
        <v>0</v>
      </c>
      <c r="BE228" s="18">
        <f t="shared" si="739"/>
        <v>0</v>
      </c>
      <c r="BF228" s="18">
        <f t="shared" si="739"/>
        <v>0</v>
      </c>
      <c r="BG228" s="18">
        <f t="shared" si="739"/>
        <v>0</v>
      </c>
      <c r="BH228" s="18">
        <f t="shared" si="739"/>
        <v>0</v>
      </c>
      <c r="BI228" s="18">
        <f t="shared" si="739"/>
        <v>0</v>
      </c>
      <c r="BJ228" s="18">
        <f t="shared" si="739"/>
        <v>0</v>
      </c>
      <c r="BK228" s="18">
        <f t="shared" si="739"/>
        <v>0</v>
      </c>
      <c r="BL228" s="18">
        <f t="shared" si="739"/>
        <v>0</v>
      </c>
      <c r="BM228" s="18">
        <f t="shared" si="739"/>
        <v>0</v>
      </c>
      <c r="BN228" s="18">
        <f t="shared" si="739"/>
        <v>0</v>
      </c>
      <c r="BO228" s="18">
        <f t="shared" si="739"/>
        <v>0</v>
      </c>
      <c r="BP228" s="18">
        <f t="shared" si="739"/>
        <v>0</v>
      </c>
      <c r="BQ228" s="18">
        <f t="shared" si="739"/>
        <v>0</v>
      </c>
      <c r="BR228" s="18">
        <f t="shared" si="739"/>
        <v>0</v>
      </c>
      <c r="BS228" s="18">
        <f t="shared" si="739"/>
        <v>0</v>
      </c>
      <c r="BT228" s="18">
        <f t="shared" si="739"/>
        <v>0</v>
      </c>
      <c r="BU228" s="18">
        <f t="shared" si="739"/>
        <v>0</v>
      </c>
      <c r="BV228" s="18">
        <f t="shared" si="739"/>
        <v>0</v>
      </c>
      <c r="BW228" s="18">
        <f t="shared" si="739"/>
        <v>0</v>
      </c>
      <c r="BX228" s="18">
        <f t="shared" ref="BX228:DC228" si="740">SUM(BX229)</f>
        <v>0</v>
      </c>
      <c r="BY228" s="18">
        <f t="shared" si="740"/>
        <v>0</v>
      </c>
      <c r="BZ228" s="18">
        <f t="shared" si="740"/>
        <v>0</v>
      </c>
      <c r="CA228" s="18">
        <f t="shared" si="740"/>
        <v>0</v>
      </c>
      <c r="CB228" s="18">
        <f t="shared" si="740"/>
        <v>0</v>
      </c>
      <c r="CC228" s="18">
        <f t="shared" si="740"/>
        <v>18000000</v>
      </c>
      <c r="CD228" s="18">
        <f t="shared" si="740"/>
        <v>0</v>
      </c>
      <c r="CE228" s="18">
        <f t="shared" si="740"/>
        <v>0</v>
      </c>
      <c r="CF228" s="18">
        <f t="shared" si="740"/>
        <v>0</v>
      </c>
      <c r="CG228" s="18">
        <f t="shared" si="740"/>
        <v>0</v>
      </c>
      <c r="CH228" s="18">
        <f t="shared" si="740"/>
        <v>0</v>
      </c>
      <c r="CI228" s="18">
        <f t="shared" si="740"/>
        <v>0</v>
      </c>
      <c r="CJ228" s="18">
        <f t="shared" si="740"/>
        <v>0</v>
      </c>
      <c r="CK228" s="18">
        <f t="shared" si="740"/>
        <v>0</v>
      </c>
      <c r="CL228" s="18">
        <f t="shared" si="740"/>
        <v>0</v>
      </c>
      <c r="CM228" s="18">
        <f t="shared" si="740"/>
        <v>0</v>
      </c>
      <c r="CN228" s="18">
        <f t="shared" si="740"/>
        <v>0</v>
      </c>
      <c r="CO228" s="18">
        <f t="shared" si="740"/>
        <v>0</v>
      </c>
      <c r="CP228" s="18">
        <f t="shared" si="740"/>
        <v>0</v>
      </c>
      <c r="CQ228" s="18"/>
      <c r="CR228" s="18"/>
      <c r="CS228" s="18"/>
      <c r="CT228" s="18"/>
      <c r="CU228" s="18">
        <f t="shared" si="740"/>
        <v>18000000</v>
      </c>
      <c r="CV228" s="73"/>
      <c r="CW228" s="73"/>
      <c r="CX228" s="73"/>
      <c r="CY228" s="73"/>
      <c r="CZ228" s="18">
        <f t="shared" si="740"/>
        <v>0</v>
      </c>
      <c r="DA228" s="18">
        <f t="shared" si="740"/>
        <v>0</v>
      </c>
      <c r="DB228" s="18">
        <f t="shared" si="740"/>
        <v>0</v>
      </c>
      <c r="DC228" s="46">
        <f t="shared" si="740"/>
        <v>0</v>
      </c>
      <c r="DD228" s="57"/>
    </row>
    <row r="229" spans="1:108" ht="15.6" x14ac:dyDescent="0.3">
      <c r="A229" s="94" t="s">
        <v>1</v>
      </c>
      <c r="B229" s="21" t="s">
        <v>277</v>
      </c>
      <c r="C229" s="22" t="s">
        <v>276</v>
      </c>
      <c r="D229" s="19">
        <f>SUM(E229+CC229+CZ229)</f>
        <v>18000000</v>
      </c>
      <c r="E229" s="19">
        <f>SUM(F229+BC229)</f>
        <v>0</v>
      </c>
      <c r="F229" s="19">
        <f>SUM(G229+H229+I229+P229+S229+T229+U229+AD229)</f>
        <v>0</v>
      </c>
      <c r="G229" s="19">
        <v>0</v>
      </c>
      <c r="H229" s="19">
        <v>0</v>
      </c>
      <c r="I229" s="19">
        <f t="shared" si="389"/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f t="shared" si="390"/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f t="shared" ref="U229" si="741">SUM(V229:AC229)</f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f>SUM(AE229:AY229)</f>
        <v>0</v>
      </c>
      <c r="AE229" s="19">
        <v>0</v>
      </c>
      <c r="AF229" s="19">
        <v>0</v>
      </c>
      <c r="AG229" s="19">
        <v>0</v>
      </c>
      <c r="AH229" s="19">
        <v>0</v>
      </c>
      <c r="AI229" s="19">
        <v>0</v>
      </c>
      <c r="AJ229" s="19">
        <v>0</v>
      </c>
      <c r="AK229" s="19">
        <v>0</v>
      </c>
      <c r="AL229" s="19">
        <v>0</v>
      </c>
      <c r="AM229" s="19">
        <v>0</v>
      </c>
      <c r="AN229" s="19">
        <v>0</v>
      </c>
      <c r="AO229" s="19">
        <v>0</v>
      </c>
      <c r="AP229" s="19">
        <v>0</v>
      </c>
      <c r="AQ229" s="19">
        <v>0</v>
      </c>
      <c r="AR229" s="19">
        <v>0</v>
      </c>
      <c r="AS229" s="19"/>
      <c r="AT229" s="19"/>
      <c r="AU229" s="19">
        <v>0</v>
      </c>
      <c r="AV229" s="19">
        <v>0</v>
      </c>
      <c r="AW229" s="19">
        <v>0</v>
      </c>
      <c r="AX229" s="19"/>
      <c r="AY229" s="19">
        <v>0</v>
      </c>
      <c r="AZ229" s="19"/>
      <c r="BA229" s="19"/>
      <c r="BB229" s="19"/>
      <c r="BC229" s="19">
        <f>SUM(BD229+BH229+BL229+BN229+BQ229)</f>
        <v>0</v>
      </c>
      <c r="BD229" s="19">
        <f>SUM(BE229:BG229)</f>
        <v>0</v>
      </c>
      <c r="BE229" s="19">
        <v>0</v>
      </c>
      <c r="BF229" s="19">
        <v>0</v>
      </c>
      <c r="BG229" s="19">
        <v>0</v>
      </c>
      <c r="BH229" s="19">
        <f>SUM(BK229:BK229)</f>
        <v>0</v>
      </c>
      <c r="BI229" s="19">
        <v>0</v>
      </c>
      <c r="BJ229" s="19">
        <v>0</v>
      </c>
      <c r="BK229" s="19">
        <v>0</v>
      </c>
      <c r="BL229" s="19">
        <v>0</v>
      </c>
      <c r="BM229" s="19">
        <v>0</v>
      </c>
      <c r="BN229" s="19">
        <f t="shared" si="393"/>
        <v>0</v>
      </c>
      <c r="BO229" s="19">
        <v>0</v>
      </c>
      <c r="BP229" s="19">
        <v>0</v>
      </c>
      <c r="BQ229" s="19">
        <f>SUM(BR229:CB229)</f>
        <v>0</v>
      </c>
      <c r="BR229" s="19">
        <v>0</v>
      </c>
      <c r="BS229" s="19">
        <v>0</v>
      </c>
      <c r="BT229" s="19">
        <v>0</v>
      </c>
      <c r="BU229" s="19">
        <v>0</v>
      </c>
      <c r="BV229" s="19">
        <v>0</v>
      </c>
      <c r="BW229" s="19">
        <v>0</v>
      </c>
      <c r="BX229" s="19">
        <v>0</v>
      </c>
      <c r="BY229" s="19">
        <v>0</v>
      </c>
      <c r="BZ229" s="19">
        <v>0</v>
      </c>
      <c r="CA229" s="19">
        <v>0</v>
      </c>
      <c r="CB229" s="19">
        <v>0</v>
      </c>
      <c r="CC229" s="19">
        <f>SUM(CD229+CU229)</f>
        <v>18000000</v>
      </c>
      <c r="CD229" s="19">
        <f>SUM(CE229+CH229+CN229)</f>
        <v>0</v>
      </c>
      <c r="CE229" s="19">
        <f t="shared" si="394"/>
        <v>0</v>
      </c>
      <c r="CF229" s="19">
        <v>0</v>
      </c>
      <c r="CG229" s="19">
        <v>0</v>
      </c>
      <c r="CH229" s="19">
        <f>SUM(CI229:CM229)</f>
        <v>0</v>
      </c>
      <c r="CI229" s="19">
        <v>0</v>
      </c>
      <c r="CJ229" s="19">
        <v>0</v>
      </c>
      <c r="CK229" s="19">
        <v>0</v>
      </c>
      <c r="CL229" s="19">
        <v>0</v>
      </c>
      <c r="CM229" s="19">
        <v>0</v>
      </c>
      <c r="CN229" s="19">
        <f>SUM(CO229:CQ229)</f>
        <v>0</v>
      </c>
      <c r="CO229" s="19">
        <v>0</v>
      </c>
      <c r="CP229" s="19">
        <v>0</v>
      </c>
      <c r="CQ229" s="19"/>
      <c r="CR229" s="19"/>
      <c r="CS229" s="19"/>
      <c r="CT229" s="19"/>
      <c r="CU229" s="19">
        <v>18000000</v>
      </c>
      <c r="CV229" s="74"/>
      <c r="CW229" s="74"/>
      <c r="CX229" s="74"/>
      <c r="CY229" s="74"/>
      <c r="CZ229" s="19">
        <f t="shared" si="396"/>
        <v>0</v>
      </c>
      <c r="DA229" s="19">
        <f t="shared" si="397"/>
        <v>0</v>
      </c>
      <c r="DB229" s="19">
        <v>0</v>
      </c>
      <c r="DC229" s="20">
        <v>0</v>
      </c>
      <c r="DD229" s="52"/>
    </row>
    <row r="230" spans="1:108" s="52" customFormat="1" ht="15.6" x14ac:dyDescent="0.3">
      <c r="A230" s="93" t="s">
        <v>278</v>
      </c>
      <c r="B230" s="16" t="s">
        <v>1</v>
      </c>
      <c r="C230" s="17" t="s">
        <v>279</v>
      </c>
      <c r="D230" s="18">
        <f t="shared" ref="D230:AH230" si="742">SUM(D231:D231)+D232</f>
        <v>17319516</v>
      </c>
      <c r="E230" s="18">
        <f t="shared" si="742"/>
        <v>17319516</v>
      </c>
      <c r="F230" s="18">
        <f t="shared" si="742"/>
        <v>17317599</v>
      </c>
      <c r="G230" s="18">
        <f t="shared" si="742"/>
        <v>1100522</v>
      </c>
      <c r="H230" s="18">
        <f t="shared" si="742"/>
        <v>267614</v>
      </c>
      <c r="I230" s="18">
        <f t="shared" si="742"/>
        <v>116000</v>
      </c>
      <c r="J230" s="18">
        <f t="shared" si="742"/>
        <v>0</v>
      </c>
      <c r="K230" s="18">
        <f t="shared" si="742"/>
        <v>0</v>
      </c>
      <c r="L230" s="18">
        <f t="shared" si="742"/>
        <v>0</v>
      </c>
      <c r="M230" s="18">
        <f t="shared" si="742"/>
        <v>0</v>
      </c>
      <c r="N230" s="18">
        <f t="shared" si="742"/>
        <v>64183</v>
      </c>
      <c r="O230" s="18">
        <f t="shared" si="742"/>
        <v>51817</v>
      </c>
      <c r="P230" s="18">
        <f t="shared" si="742"/>
        <v>0</v>
      </c>
      <c r="Q230" s="18">
        <f t="shared" si="742"/>
        <v>0</v>
      </c>
      <c r="R230" s="18">
        <f t="shared" si="742"/>
        <v>0</v>
      </c>
      <c r="S230" s="18">
        <f t="shared" si="742"/>
        <v>0</v>
      </c>
      <c r="T230" s="18">
        <f t="shared" si="742"/>
        <v>19729</v>
      </c>
      <c r="U230" s="18">
        <f t="shared" si="742"/>
        <v>100816</v>
      </c>
      <c r="V230" s="18">
        <f t="shared" si="742"/>
        <v>0</v>
      </c>
      <c r="W230" s="18">
        <f t="shared" si="742"/>
        <v>54138</v>
      </c>
      <c r="X230" s="18">
        <f t="shared" si="742"/>
        <v>43784</v>
      </c>
      <c r="Y230" s="18">
        <f t="shared" si="742"/>
        <v>2894</v>
      </c>
      <c r="Z230" s="18">
        <f t="shared" si="742"/>
        <v>0</v>
      </c>
      <c r="AA230" s="18">
        <f t="shared" si="742"/>
        <v>0</v>
      </c>
      <c r="AB230" s="18">
        <f t="shared" si="742"/>
        <v>0</v>
      </c>
      <c r="AC230" s="18">
        <f t="shared" si="742"/>
        <v>0</v>
      </c>
      <c r="AD230" s="18">
        <f t="shared" si="742"/>
        <v>15712918</v>
      </c>
      <c r="AE230" s="18">
        <f t="shared" si="742"/>
        <v>0</v>
      </c>
      <c r="AF230" s="18">
        <f t="shared" si="742"/>
        <v>0</v>
      </c>
      <c r="AG230" s="18">
        <f t="shared" si="742"/>
        <v>20000</v>
      </c>
      <c r="AH230" s="18">
        <f t="shared" si="742"/>
        <v>0</v>
      </c>
      <c r="AI230" s="18">
        <f t="shared" ref="AI230:BR230" si="743">SUM(AI231:AI231)+AI232</f>
        <v>0</v>
      </c>
      <c r="AJ230" s="18">
        <f t="shared" si="743"/>
        <v>370</v>
      </c>
      <c r="AK230" s="18">
        <f t="shared" si="743"/>
        <v>0</v>
      </c>
      <c r="AL230" s="18">
        <f t="shared" si="743"/>
        <v>0</v>
      </c>
      <c r="AM230" s="18">
        <f t="shared" si="743"/>
        <v>0</v>
      </c>
      <c r="AN230" s="18">
        <f t="shared" si="743"/>
        <v>6833</v>
      </c>
      <c r="AO230" s="18">
        <f t="shared" si="743"/>
        <v>0</v>
      </c>
      <c r="AP230" s="18">
        <f t="shared" si="743"/>
        <v>0</v>
      </c>
      <c r="AQ230" s="18">
        <f t="shared" si="743"/>
        <v>97290</v>
      </c>
      <c r="AR230" s="18">
        <f t="shared" si="743"/>
        <v>1611</v>
      </c>
      <c r="AS230" s="18">
        <f t="shared" si="743"/>
        <v>0</v>
      </c>
      <c r="AT230" s="18">
        <f t="shared" si="743"/>
        <v>0</v>
      </c>
      <c r="AU230" s="18">
        <f t="shared" si="743"/>
        <v>0</v>
      </c>
      <c r="AV230" s="18">
        <f t="shared" si="743"/>
        <v>0</v>
      </c>
      <c r="AW230" s="18">
        <f t="shared" si="743"/>
        <v>12000</v>
      </c>
      <c r="AX230" s="18">
        <f t="shared" si="743"/>
        <v>185000</v>
      </c>
      <c r="AY230" s="18">
        <f t="shared" si="743"/>
        <v>15389814</v>
      </c>
      <c r="AZ230" s="18">
        <f t="shared" si="743"/>
        <v>0</v>
      </c>
      <c r="BA230" s="18">
        <f t="shared" si="743"/>
        <v>0</v>
      </c>
      <c r="BB230" s="18">
        <f t="shared" si="743"/>
        <v>0</v>
      </c>
      <c r="BC230" s="18">
        <f t="shared" si="743"/>
        <v>1917</v>
      </c>
      <c r="BD230" s="18">
        <f t="shared" si="743"/>
        <v>0</v>
      </c>
      <c r="BE230" s="18">
        <f t="shared" si="743"/>
        <v>0</v>
      </c>
      <c r="BF230" s="18">
        <f t="shared" si="743"/>
        <v>0</v>
      </c>
      <c r="BG230" s="18">
        <f t="shared" si="743"/>
        <v>0</v>
      </c>
      <c r="BH230" s="18">
        <f t="shared" si="743"/>
        <v>0</v>
      </c>
      <c r="BI230" s="18">
        <f t="shared" si="743"/>
        <v>0</v>
      </c>
      <c r="BJ230" s="18">
        <f t="shared" si="743"/>
        <v>0</v>
      </c>
      <c r="BK230" s="18">
        <f t="shared" si="743"/>
        <v>0</v>
      </c>
      <c r="BL230" s="18">
        <f t="shared" si="743"/>
        <v>0</v>
      </c>
      <c r="BM230" s="18">
        <f t="shared" si="743"/>
        <v>0</v>
      </c>
      <c r="BN230" s="18">
        <f t="shared" si="743"/>
        <v>0</v>
      </c>
      <c r="BO230" s="18">
        <f t="shared" si="743"/>
        <v>0</v>
      </c>
      <c r="BP230" s="18">
        <f t="shared" si="743"/>
        <v>0</v>
      </c>
      <c r="BQ230" s="18">
        <f t="shared" si="743"/>
        <v>1917</v>
      </c>
      <c r="BR230" s="18">
        <f t="shared" si="743"/>
        <v>0</v>
      </c>
      <c r="BS230" s="18">
        <f t="shared" ref="BS230:CU230" si="744">SUM(BS231:BS231)+BS232</f>
        <v>0</v>
      </c>
      <c r="BT230" s="18">
        <f t="shared" si="744"/>
        <v>0</v>
      </c>
      <c r="BU230" s="18">
        <f t="shared" si="744"/>
        <v>0</v>
      </c>
      <c r="BV230" s="18">
        <f t="shared" si="744"/>
        <v>0</v>
      </c>
      <c r="BW230" s="18">
        <f t="shared" si="744"/>
        <v>0</v>
      </c>
      <c r="BX230" s="18">
        <f t="shared" si="744"/>
        <v>0</v>
      </c>
      <c r="BY230" s="18">
        <f t="shared" si="744"/>
        <v>0</v>
      </c>
      <c r="BZ230" s="18">
        <f t="shared" si="744"/>
        <v>0</v>
      </c>
      <c r="CA230" s="18">
        <f t="shared" si="744"/>
        <v>1917</v>
      </c>
      <c r="CB230" s="18">
        <f t="shared" si="744"/>
        <v>0</v>
      </c>
      <c r="CC230" s="18">
        <f t="shared" si="744"/>
        <v>0</v>
      </c>
      <c r="CD230" s="18">
        <f t="shared" si="744"/>
        <v>0</v>
      </c>
      <c r="CE230" s="18">
        <f t="shared" si="744"/>
        <v>0</v>
      </c>
      <c r="CF230" s="18">
        <f t="shared" si="744"/>
        <v>0</v>
      </c>
      <c r="CG230" s="18">
        <f t="shared" si="744"/>
        <v>0</v>
      </c>
      <c r="CH230" s="18">
        <f t="shared" si="744"/>
        <v>0</v>
      </c>
      <c r="CI230" s="18">
        <f t="shared" si="744"/>
        <v>0</v>
      </c>
      <c r="CJ230" s="18">
        <f t="shared" si="744"/>
        <v>0</v>
      </c>
      <c r="CK230" s="18">
        <f t="shared" si="744"/>
        <v>0</v>
      </c>
      <c r="CL230" s="18">
        <f t="shared" si="744"/>
        <v>0</v>
      </c>
      <c r="CM230" s="18">
        <f t="shared" si="744"/>
        <v>0</v>
      </c>
      <c r="CN230" s="18">
        <f t="shared" si="744"/>
        <v>0</v>
      </c>
      <c r="CO230" s="18">
        <f t="shared" si="744"/>
        <v>0</v>
      </c>
      <c r="CP230" s="18">
        <f t="shared" si="744"/>
        <v>0</v>
      </c>
      <c r="CQ230" s="18">
        <f t="shared" si="744"/>
        <v>0</v>
      </c>
      <c r="CR230" s="18"/>
      <c r="CS230" s="18"/>
      <c r="CT230" s="18"/>
      <c r="CU230" s="18">
        <f t="shared" si="744"/>
        <v>0</v>
      </c>
      <c r="CV230" s="73"/>
      <c r="CW230" s="73"/>
      <c r="CX230" s="73"/>
      <c r="CY230" s="73"/>
      <c r="CZ230" s="18">
        <f>SUM(CZ231:CZ231)</f>
        <v>0</v>
      </c>
      <c r="DA230" s="18">
        <f>SUM(DA231:DA231)</f>
        <v>0</v>
      </c>
      <c r="DB230" s="18">
        <f>SUM(DB231:DB231)</f>
        <v>0</v>
      </c>
      <c r="DC230" s="46">
        <f>SUM(DC231:DC231)</f>
        <v>0</v>
      </c>
      <c r="DD230" s="57"/>
    </row>
    <row r="231" spans="1:108" ht="15.6" x14ac:dyDescent="0.3">
      <c r="A231" s="97" t="s">
        <v>1</v>
      </c>
      <c r="B231" s="36" t="s">
        <v>280</v>
      </c>
      <c r="C231" s="37" t="s">
        <v>281</v>
      </c>
      <c r="D231" s="39">
        <f>SUM(E231+CC231+CZ231)</f>
        <v>1934411</v>
      </c>
      <c r="E231" s="39">
        <f>SUM(F231+BC231)</f>
        <v>1934411</v>
      </c>
      <c r="F231" s="39">
        <f t="shared" ref="F231:F232" si="745">SUM(G231+H231+I231+P231+S231+T231+U231+AD231)</f>
        <v>1932494</v>
      </c>
      <c r="G231" s="39">
        <v>1100522</v>
      </c>
      <c r="H231" s="39">
        <v>267614</v>
      </c>
      <c r="I231" s="39">
        <f>SUM(J231:O231)</f>
        <v>116000</v>
      </c>
      <c r="J231" s="39">
        <v>0</v>
      </c>
      <c r="K231" s="39">
        <v>0</v>
      </c>
      <c r="L231" s="39">
        <v>0</v>
      </c>
      <c r="M231" s="39">
        <v>0</v>
      </c>
      <c r="N231" s="35">
        <v>64183</v>
      </c>
      <c r="O231" s="35">
        <v>51817</v>
      </c>
      <c r="P231" s="39">
        <f>SUM(Q231:R231)</f>
        <v>0</v>
      </c>
      <c r="Q231" s="39">
        <v>0</v>
      </c>
      <c r="R231" s="35"/>
      <c r="S231" s="35">
        <v>0</v>
      </c>
      <c r="T231" s="35">
        <v>19729</v>
      </c>
      <c r="U231" s="39">
        <f t="shared" ref="U231" si="746">SUM(V231:AC231)</f>
        <v>100816</v>
      </c>
      <c r="V231" s="35"/>
      <c r="W231" s="35">
        <f>43426+10712</f>
        <v>54138</v>
      </c>
      <c r="X231" s="35">
        <f>28140+15644</f>
        <v>43784</v>
      </c>
      <c r="Y231" s="35">
        <f>2060+834</f>
        <v>2894</v>
      </c>
      <c r="Z231" s="35"/>
      <c r="AA231" s="35"/>
      <c r="AB231" s="35"/>
      <c r="AC231" s="35"/>
      <c r="AD231" s="39">
        <f>SUM(AE231:AY231)</f>
        <v>327813</v>
      </c>
      <c r="AE231" s="39">
        <v>0</v>
      </c>
      <c r="AF231" s="39">
        <v>0</v>
      </c>
      <c r="AG231" s="35">
        <v>20000</v>
      </c>
      <c r="AH231" s="35">
        <v>0</v>
      </c>
      <c r="AI231" s="35">
        <v>0</v>
      </c>
      <c r="AJ231" s="35">
        <v>370</v>
      </c>
      <c r="AK231" s="35">
        <v>0</v>
      </c>
      <c r="AL231" s="35">
        <v>0</v>
      </c>
      <c r="AM231" s="35">
        <v>0</v>
      </c>
      <c r="AN231" s="35">
        <v>6833</v>
      </c>
      <c r="AO231" s="35">
        <v>0</v>
      </c>
      <c r="AP231" s="35">
        <v>0</v>
      </c>
      <c r="AQ231" s="35">
        <v>97290</v>
      </c>
      <c r="AR231" s="35">
        <v>1611</v>
      </c>
      <c r="AS231" s="35">
        <v>0</v>
      </c>
      <c r="AT231" s="35">
        <v>0</v>
      </c>
      <c r="AU231" s="35">
        <v>0</v>
      </c>
      <c r="AV231" s="35">
        <v>0</v>
      </c>
      <c r="AW231" s="35">
        <v>12000</v>
      </c>
      <c r="AX231" s="35">
        <v>185000</v>
      </c>
      <c r="AY231" s="35">
        <v>4709</v>
      </c>
      <c r="AZ231" s="35"/>
      <c r="BA231" s="35"/>
      <c r="BB231" s="35"/>
      <c r="BC231" s="39">
        <f>SUM(BD231+BH231+BL231+BN231+BQ231)</f>
        <v>1917</v>
      </c>
      <c r="BD231" s="39">
        <f>SUM(BE231:BG231)</f>
        <v>0</v>
      </c>
      <c r="BE231" s="39">
        <v>0</v>
      </c>
      <c r="BF231" s="39">
        <v>0</v>
      </c>
      <c r="BG231" s="39">
        <v>0</v>
      </c>
      <c r="BH231" s="39">
        <f>SUM(BK231:BK231)</f>
        <v>0</v>
      </c>
      <c r="BI231" s="39">
        <v>0</v>
      </c>
      <c r="BJ231" s="39">
        <v>0</v>
      </c>
      <c r="BK231" s="39">
        <v>0</v>
      </c>
      <c r="BL231" s="39">
        <v>0</v>
      </c>
      <c r="BM231" s="39">
        <v>0</v>
      </c>
      <c r="BN231" s="39">
        <f>SUM(BO231)</f>
        <v>0</v>
      </c>
      <c r="BO231" s="39">
        <v>0</v>
      </c>
      <c r="BP231" s="39">
        <v>0</v>
      </c>
      <c r="BQ231" s="39">
        <f>SUM(BR231:CB231)</f>
        <v>1917</v>
      </c>
      <c r="BR231" s="39">
        <v>0</v>
      </c>
      <c r="BS231" s="39">
        <v>0</v>
      </c>
      <c r="BT231" s="39">
        <v>0</v>
      </c>
      <c r="BU231" s="39">
        <v>0</v>
      </c>
      <c r="BV231" s="39">
        <v>0</v>
      </c>
      <c r="BW231" s="39">
        <v>0</v>
      </c>
      <c r="BX231" s="39">
        <v>0</v>
      </c>
      <c r="BY231" s="39">
        <v>0</v>
      </c>
      <c r="BZ231" s="39">
        <v>0</v>
      </c>
      <c r="CA231" s="39">
        <v>1917</v>
      </c>
      <c r="CB231" s="39">
        <v>0</v>
      </c>
      <c r="CC231" s="39">
        <f>SUM(CD231+CU231)</f>
        <v>0</v>
      </c>
      <c r="CD231" s="39">
        <f>SUM(CE231+CH231+CN231)</f>
        <v>0</v>
      </c>
      <c r="CE231" s="39">
        <f>SUM(CF231:CG231)</f>
        <v>0</v>
      </c>
      <c r="CF231" s="39">
        <v>0</v>
      </c>
      <c r="CG231" s="35"/>
      <c r="CH231" s="39">
        <f>SUM(CI231:CM231)</f>
        <v>0</v>
      </c>
      <c r="CI231" s="39">
        <v>0</v>
      </c>
      <c r="CJ231" s="39">
        <v>0</v>
      </c>
      <c r="CK231" s="39">
        <v>0</v>
      </c>
      <c r="CL231" s="39">
        <v>0</v>
      </c>
      <c r="CM231" s="39">
        <v>0</v>
      </c>
      <c r="CN231" s="39">
        <f>SUM(CO231:CQ231)</f>
        <v>0</v>
      </c>
      <c r="CO231" s="39">
        <v>0</v>
      </c>
      <c r="CP231" s="39"/>
      <c r="CQ231" s="39"/>
      <c r="CR231" s="39"/>
      <c r="CS231" s="39"/>
      <c r="CT231" s="39"/>
      <c r="CU231" s="39">
        <v>0</v>
      </c>
      <c r="CV231" s="74"/>
      <c r="CW231" s="74"/>
      <c r="CX231" s="74"/>
      <c r="CY231" s="74"/>
      <c r="CZ231" s="39">
        <f>SUM(DA231)</f>
        <v>0</v>
      </c>
      <c r="DA231" s="39">
        <f>SUM(DB231:DC231)</f>
        <v>0</v>
      </c>
      <c r="DB231" s="39">
        <v>0</v>
      </c>
      <c r="DC231" s="41">
        <v>0</v>
      </c>
      <c r="DD231" s="52"/>
    </row>
    <row r="232" spans="1:108" s="58" customFormat="1" ht="15.6" x14ac:dyDescent="0.3">
      <c r="A232" s="94"/>
      <c r="B232" s="21" t="s">
        <v>280</v>
      </c>
      <c r="C232" s="22" t="s">
        <v>602</v>
      </c>
      <c r="D232" s="19">
        <f>SUM(E232+CC232+CZ232)</f>
        <v>15385105</v>
      </c>
      <c r="E232" s="39">
        <f>SUM(F232+BC232)</f>
        <v>15385105</v>
      </c>
      <c r="F232" s="39">
        <f t="shared" si="745"/>
        <v>15385105</v>
      </c>
      <c r="G232" s="39"/>
      <c r="H232" s="39"/>
      <c r="I232" s="39">
        <f t="shared" ref="I232:I295" si="747">SUM(J232:O232)</f>
        <v>0</v>
      </c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39">
        <f>SUM(AE232:AY232)</f>
        <v>15385105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0</v>
      </c>
      <c r="AL232" s="19">
        <v>0</v>
      </c>
      <c r="AM232" s="19">
        <v>0</v>
      </c>
      <c r="AN232" s="19">
        <v>0</v>
      </c>
      <c r="AO232" s="19">
        <v>0</v>
      </c>
      <c r="AP232" s="19">
        <v>0</v>
      </c>
      <c r="AQ232" s="19">
        <v>0</v>
      </c>
      <c r="AR232" s="19">
        <v>0</v>
      </c>
      <c r="AS232" s="19">
        <v>0</v>
      </c>
      <c r="AT232" s="19">
        <v>0</v>
      </c>
      <c r="AU232" s="19">
        <v>0</v>
      </c>
      <c r="AV232" s="19">
        <v>0</v>
      </c>
      <c r="AW232" s="19">
        <v>0</v>
      </c>
      <c r="AX232" s="19">
        <v>0</v>
      </c>
      <c r="AY232" s="19">
        <v>15385105</v>
      </c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74"/>
      <c r="CW232" s="74"/>
      <c r="CX232" s="74"/>
      <c r="CY232" s="74"/>
      <c r="CZ232" s="19"/>
      <c r="DA232" s="19"/>
      <c r="DB232" s="19"/>
      <c r="DC232" s="20"/>
      <c r="DD232" s="52"/>
    </row>
    <row r="233" spans="1:108" ht="31.2" x14ac:dyDescent="0.3">
      <c r="A233" s="93" t="s">
        <v>282</v>
      </c>
      <c r="B233" s="16" t="s">
        <v>1</v>
      </c>
      <c r="C233" s="17" t="s">
        <v>518</v>
      </c>
      <c r="D233" s="18">
        <f t="shared" ref="D233:AI233" si="748">SUM(D234:D243)</f>
        <v>357998618</v>
      </c>
      <c r="E233" s="18">
        <f t="shared" si="748"/>
        <v>255443838</v>
      </c>
      <c r="F233" s="18">
        <f t="shared" si="748"/>
        <v>255028837</v>
      </c>
      <c r="G233" s="18">
        <f t="shared" si="748"/>
        <v>114918004</v>
      </c>
      <c r="H233" s="18">
        <f t="shared" si="748"/>
        <v>23883104</v>
      </c>
      <c r="I233" s="18">
        <f t="shared" si="748"/>
        <v>43322153</v>
      </c>
      <c r="J233" s="18">
        <f t="shared" si="748"/>
        <v>12401948</v>
      </c>
      <c r="K233" s="18">
        <f t="shared" si="748"/>
        <v>808004</v>
      </c>
      <c r="L233" s="18">
        <f t="shared" si="748"/>
        <v>2264038</v>
      </c>
      <c r="M233" s="18">
        <f t="shared" si="748"/>
        <v>46000</v>
      </c>
      <c r="N233" s="18">
        <f t="shared" si="748"/>
        <v>7702709</v>
      </c>
      <c r="O233" s="18">
        <f t="shared" si="748"/>
        <v>20099454</v>
      </c>
      <c r="P233" s="18">
        <f t="shared" si="748"/>
        <v>1956907</v>
      </c>
      <c r="Q233" s="18">
        <f t="shared" si="748"/>
        <v>512594</v>
      </c>
      <c r="R233" s="18">
        <f t="shared" si="748"/>
        <v>1444313</v>
      </c>
      <c r="S233" s="18">
        <f t="shared" si="748"/>
        <v>73458</v>
      </c>
      <c r="T233" s="18">
        <f t="shared" si="748"/>
        <v>1717103</v>
      </c>
      <c r="U233" s="18">
        <f t="shared" si="748"/>
        <v>31273557</v>
      </c>
      <c r="V233" s="18">
        <f t="shared" si="748"/>
        <v>4286218</v>
      </c>
      <c r="W233" s="18">
        <f t="shared" si="748"/>
        <v>13944357</v>
      </c>
      <c r="X233" s="18">
        <f t="shared" si="748"/>
        <v>8301545</v>
      </c>
      <c r="Y233" s="18">
        <f t="shared" si="748"/>
        <v>3229019</v>
      </c>
      <c r="Z233" s="18">
        <f t="shared" si="748"/>
        <v>833140</v>
      </c>
      <c r="AA233" s="18">
        <f t="shared" si="748"/>
        <v>75200</v>
      </c>
      <c r="AB233" s="18">
        <f t="shared" si="748"/>
        <v>0</v>
      </c>
      <c r="AC233" s="18">
        <f t="shared" si="748"/>
        <v>604078</v>
      </c>
      <c r="AD233" s="18">
        <f t="shared" si="748"/>
        <v>37884551</v>
      </c>
      <c r="AE233" s="18">
        <f t="shared" si="748"/>
        <v>0</v>
      </c>
      <c r="AF233" s="18">
        <f t="shared" si="748"/>
        <v>0</v>
      </c>
      <c r="AG233" s="18">
        <f t="shared" si="748"/>
        <v>3027346</v>
      </c>
      <c r="AH233" s="18">
        <f t="shared" si="748"/>
        <v>8296105</v>
      </c>
      <c r="AI233" s="18">
        <f t="shared" si="748"/>
        <v>550567</v>
      </c>
      <c r="AJ233" s="18">
        <f t="shared" ref="AJ233:BO233" si="749">SUM(AJ234:AJ243)</f>
        <v>437733</v>
      </c>
      <c r="AK233" s="18">
        <f t="shared" si="749"/>
        <v>7700</v>
      </c>
      <c r="AL233" s="18">
        <f t="shared" si="749"/>
        <v>504697</v>
      </c>
      <c r="AM233" s="18">
        <f t="shared" si="749"/>
        <v>3168689</v>
      </c>
      <c r="AN233" s="18">
        <f t="shared" si="749"/>
        <v>15000</v>
      </c>
      <c r="AO233" s="18">
        <f t="shared" si="749"/>
        <v>15600</v>
      </c>
      <c r="AP233" s="18">
        <f t="shared" si="749"/>
        <v>7672240</v>
      </c>
      <c r="AQ233" s="18">
        <f t="shared" si="749"/>
        <v>317588</v>
      </c>
      <c r="AR233" s="18">
        <f t="shared" si="749"/>
        <v>1079871</v>
      </c>
      <c r="AS233" s="18">
        <f t="shared" si="749"/>
        <v>0</v>
      </c>
      <c r="AT233" s="18">
        <f t="shared" si="749"/>
        <v>0</v>
      </c>
      <c r="AU233" s="18">
        <f t="shared" si="749"/>
        <v>0</v>
      </c>
      <c r="AV233" s="18">
        <f t="shared" si="749"/>
        <v>866478</v>
      </c>
      <c r="AW233" s="18">
        <f t="shared" si="749"/>
        <v>451798</v>
      </c>
      <c r="AX233" s="18">
        <f t="shared" si="749"/>
        <v>100000</v>
      </c>
      <c r="AY233" s="18">
        <f t="shared" si="749"/>
        <v>11373139</v>
      </c>
      <c r="AZ233" s="18">
        <f t="shared" si="749"/>
        <v>0</v>
      </c>
      <c r="BA233" s="18">
        <f t="shared" si="749"/>
        <v>0</v>
      </c>
      <c r="BB233" s="18">
        <f t="shared" si="749"/>
        <v>0</v>
      </c>
      <c r="BC233" s="18">
        <f t="shared" si="749"/>
        <v>415001</v>
      </c>
      <c r="BD233" s="18">
        <f t="shared" si="749"/>
        <v>0</v>
      </c>
      <c r="BE233" s="18">
        <f t="shared" si="749"/>
        <v>0</v>
      </c>
      <c r="BF233" s="18">
        <f t="shared" si="749"/>
        <v>0</v>
      </c>
      <c r="BG233" s="18">
        <f t="shared" si="749"/>
        <v>0</v>
      </c>
      <c r="BH233" s="18">
        <f t="shared" si="749"/>
        <v>0</v>
      </c>
      <c r="BI233" s="18">
        <f t="shared" si="749"/>
        <v>0</v>
      </c>
      <c r="BJ233" s="18">
        <f t="shared" si="749"/>
        <v>0</v>
      </c>
      <c r="BK233" s="18">
        <f t="shared" si="749"/>
        <v>0</v>
      </c>
      <c r="BL233" s="18">
        <f t="shared" si="749"/>
        <v>0</v>
      </c>
      <c r="BM233" s="18">
        <f t="shared" si="749"/>
        <v>0</v>
      </c>
      <c r="BN233" s="18">
        <f t="shared" si="749"/>
        <v>0</v>
      </c>
      <c r="BO233" s="18">
        <f t="shared" si="749"/>
        <v>0</v>
      </c>
      <c r="BP233" s="18">
        <f t="shared" ref="BP233:CU233" si="750">SUM(BP234:BP243)</f>
        <v>0</v>
      </c>
      <c r="BQ233" s="18">
        <f t="shared" si="750"/>
        <v>415001</v>
      </c>
      <c r="BR233" s="18">
        <f t="shared" si="750"/>
        <v>0</v>
      </c>
      <c r="BS233" s="18">
        <f t="shared" si="750"/>
        <v>0</v>
      </c>
      <c r="BT233" s="18">
        <f t="shared" si="750"/>
        <v>0</v>
      </c>
      <c r="BU233" s="18">
        <f t="shared" si="750"/>
        <v>0</v>
      </c>
      <c r="BV233" s="18">
        <f t="shared" si="750"/>
        <v>0</v>
      </c>
      <c r="BW233" s="18">
        <f t="shared" si="750"/>
        <v>0</v>
      </c>
      <c r="BX233" s="18">
        <f t="shared" si="750"/>
        <v>0</v>
      </c>
      <c r="BY233" s="18">
        <f t="shared" si="750"/>
        <v>0</v>
      </c>
      <c r="BZ233" s="18">
        <f t="shared" si="750"/>
        <v>0</v>
      </c>
      <c r="CA233" s="18">
        <f t="shared" si="750"/>
        <v>42602</v>
      </c>
      <c r="CB233" s="18">
        <f t="shared" si="750"/>
        <v>372399</v>
      </c>
      <c r="CC233" s="18">
        <f t="shared" si="750"/>
        <v>8309961</v>
      </c>
      <c r="CD233" s="18">
        <f t="shared" si="750"/>
        <v>8309961</v>
      </c>
      <c r="CE233" s="18">
        <f t="shared" si="750"/>
        <v>7600041</v>
      </c>
      <c r="CF233" s="18">
        <f t="shared" si="750"/>
        <v>104000</v>
      </c>
      <c r="CG233" s="18">
        <f t="shared" si="750"/>
        <v>7496041</v>
      </c>
      <c r="CH233" s="18">
        <f t="shared" si="750"/>
        <v>180000</v>
      </c>
      <c r="CI233" s="18">
        <f t="shared" si="750"/>
        <v>0</v>
      </c>
      <c r="CJ233" s="18">
        <f t="shared" si="750"/>
        <v>0</v>
      </c>
      <c r="CK233" s="18">
        <f t="shared" si="750"/>
        <v>180000</v>
      </c>
      <c r="CL233" s="18">
        <f t="shared" si="750"/>
        <v>0</v>
      </c>
      <c r="CM233" s="18">
        <f t="shared" si="750"/>
        <v>0</v>
      </c>
      <c r="CN233" s="18">
        <f t="shared" si="750"/>
        <v>529920</v>
      </c>
      <c r="CO233" s="18">
        <f t="shared" si="750"/>
        <v>325000</v>
      </c>
      <c r="CP233" s="18">
        <f t="shared" si="750"/>
        <v>204920</v>
      </c>
      <c r="CQ233" s="18">
        <f t="shared" si="750"/>
        <v>0</v>
      </c>
      <c r="CR233" s="18">
        <f t="shared" si="750"/>
        <v>0</v>
      </c>
      <c r="CS233" s="18">
        <f t="shared" si="750"/>
        <v>0</v>
      </c>
      <c r="CT233" s="18">
        <f t="shared" si="750"/>
        <v>0</v>
      </c>
      <c r="CU233" s="18">
        <f t="shared" si="750"/>
        <v>0</v>
      </c>
      <c r="CV233" s="73">
        <f t="shared" ref="CV233:DC233" si="751">SUM(CV234:CV243)</f>
        <v>94244819</v>
      </c>
      <c r="CW233" s="73">
        <f t="shared" si="751"/>
        <v>94244819</v>
      </c>
      <c r="CX233" s="73">
        <f t="shared" si="751"/>
        <v>10914626</v>
      </c>
      <c r="CY233" s="73">
        <f t="shared" ref="CY233" si="752">SUM(CY234:CY243)</f>
        <v>83330193</v>
      </c>
      <c r="CZ233" s="18">
        <f t="shared" si="751"/>
        <v>0</v>
      </c>
      <c r="DA233" s="18">
        <f t="shared" si="751"/>
        <v>0</v>
      </c>
      <c r="DB233" s="18">
        <f t="shared" si="751"/>
        <v>0</v>
      </c>
      <c r="DC233" s="46">
        <f t="shared" si="751"/>
        <v>0</v>
      </c>
      <c r="DD233" s="57"/>
    </row>
    <row r="234" spans="1:108" s="78" customFormat="1" ht="30.75" customHeight="1" x14ac:dyDescent="0.3">
      <c r="A234" s="94" t="s">
        <v>1</v>
      </c>
      <c r="B234" s="21" t="s">
        <v>43</v>
      </c>
      <c r="C234" s="22" t="s">
        <v>283</v>
      </c>
      <c r="D234" s="19">
        <f>SUM(E234+CC234+CZ234)</f>
        <v>7500000</v>
      </c>
      <c r="E234" s="19">
        <f t="shared" ref="E234:E242" si="753">SUM(F234+BC234)</f>
        <v>7500000</v>
      </c>
      <c r="F234" s="19">
        <f t="shared" ref="F234:F242" si="754">SUM(G234+H234+I234+P234+S234+T234+U234+AD234)</f>
        <v>7500000</v>
      </c>
      <c r="G234" s="19">
        <v>0</v>
      </c>
      <c r="H234" s="19">
        <v>0</v>
      </c>
      <c r="I234" s="19">
        <f t="shared" si="747"/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f t="shared" ref="P234:P295" si="755">SUM(Q234:R234)</f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f t="shared" ref="U234:U242" si="756">SUM(V234:AC234)</f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f t="shared" ref="AD234:AD242" si="757">SUM(AE234:AY234)</f>
        <v>7500000</v>
      </c>
      <c r="AE234" s="19">
        <v>0</v>
      </c>
      <c r="AF234" s="19">
        <v>0</v>
      </c>
      <c r="AG234" s="19">
        <v>0</v>
      </c>
      <c r="AH234" s="19">
        <v>0</v>
      </c>
      <c r="AI234" s="23">
        <v>0</v>
      </c>
      <c r="AJ234" s="23">
        <v>0</v>
      </c>
      <c r="AK234" s="19">
        <v>0</v>
      </c>
      <c r="AL234" s="19">
        <v>0</v>
      </c>
      <c r="AM234" s="19">
        <v>0</v>
      </c>
      <c r="AN234" s="19">
        <v>0</v>
      </c>
      <c r="AO234" s="19">
        <v>0</v>
      </c>
      <c r="AP234" s="23">
        <v>7500000</v>
      </c>
      <c r="AQ234" s="19">
        <v>0</v>
      </c>
      <c r="AR234" s="19">
        <v>0</v>
      </c>
      <c r="AS234" s="19">
        <v>0</v>
      </c>
      <c r="AT234" s="19">
        <v>0</v>
      </c>
      <c r="AU234" s="19">
        <v>0</v>
      </c>
      <c r="AV234" s="19">
        <v>0</v>
      </c>
      <c r="AW234" s="19">
        <v>0</v>
      </c>
      <c r="AX234" s="19">
        <v>0</v>
      </c>
      <c r="AY234" s="19">
        <v>0</v>
      </c>
      <c r="AZ234" s="19"/>
      <c r="BA234" s="19"/>
      <c r="BB234" s="19"/>
      <c r="BC234" s="19">
        <f>SUM(BD234+BH234+BL234+BN234+BQ234)</f>
        <v>0</v>
      </c>
      <c r="BD234" s="19">
        <f t="shared" ref="BD234:BD242" si="758">SUM(BE234:BG234)</f>
        <v>0</v>
      </c>
      <c r="BE234" s="19">
        <v>0</v>
      </c>
      <c r="BF234" s="19">
        <v>0</v>
      </c>
      <c r="BG234" s="19">
        <v>0</v>
      </c>
      <c r="BH234" s="19">
        <f t="shared" ref="BH234:BH242" si="759">SUM(BK234:BK234)</f>
        <v>0</v>
      </c>
      <c r="BI234" s="19">
        <v>0</v>
      </c>
      <c r="BJ234" s="19">
        <v>0</v>
      </c>
      <c r="BK234" s="19">
        <v>0</v>
      </c>
      <c r="BL234" s="19">
        <v>0</v>
      </c>
      <c r="BM234" s="19">
        <v>0</v>
      </c>
      <c r="BN234" s="19">
        <f t="shared" ref="BN234:BN295" si="760">SUM(BO234)</f>
        <v>0</v>
      </c>
      <c r="BO234" s="19">
        <v>0</v>
      </c>
      <c r="BP234" s="19">
        <v>0</v>
      </c>
      <c r="BQ234" s="19">
        <f t="shared" ref="BQ234:BQ242" si="761">SUM(BR234:CB234)</f>
        <v>0</v>
      </c>
      <c r="BR234" s="19">
        <v>0</v>
      </c>
      <c r="BS234" s="19">
        <v>0</v>
      </c>
      <c r="BT234" s="19">
        <v>0</v>
      </c>
      <c r="BU234" s="19">
        <v>0</v>
      </c>
      <c r="BV234" s="19">
        <v>0</v>
      </c>
      <c r="BW234" s="19">
        <v>0</v>
      </c>
      <c r="BX234" s="19">
        <v>0</v>
      </c>
      <c r="BY234" s="19">
        <v>0</v>
      </c>
      <c r="BZ234" s="19">
        <v>0</v>
      </c>
      <c r="CA234" s="19">
        <v>0</v>
      </c>
      <c r="CB234" s="19">
        <v>0</v>
      </c>
      <c r="CC234" s="19">
        <f t="shared" ref="CC234:CC242" si="762">SUM(CD234+CU234)</f>
        <v>0</v>
      </c>
      <c r="CD234" s="19">
        <f t="shared" ref="CD234:CD242" si="763">SUM(CE234+CH234+CN234)</f>
        <v>0</v>
      </c>
      <c r="CE234" s="19">
        <f t="shared" ref="CE234:CE295" si="764">SUM(CF234:CG234)</f>
        <v>0</v>
      </c>
      <c r="CF234" s="19">
        <v>0</v>
      </c>
      <c r="CG234" s="19">
        <v>0</v>
      </c>
      <c r="CH234" s="19">
        <f t="shared" ref="CH234:CH242" si="765">SUM(CI234:CM234)</f>
        <v>0</v>
      </c>
      <c r="CI234" s="19">
        <v>0</v>
      </c>
      <c r="CJ234" s="19">
        <v>0</v>
      </c>
      <c r="CK234" s="19">
        <v>0</v>
      </c>
      <c r="CL234" s="19">
        <v>0</v>
      </c>
      <c r="CM234" s="19">
        <v>0</v>
      </c>
      <c r="CN234" s="19">
        <f t="shared" ref="CN234:CN242" si="766">SUM(CO234:CQ234)</f>
        <v>0</v>
      </c>
      <c r="CO234" s="19">
        <v>0</v>
      </c>
      <c r="CP234" s="19">
        <v>0</v>
      </c>
      <c r="CQ234" s="19"/>
      <c r="CR234" s="19"/>
      <c r="CS234" s="19"/>
      <c r="CT234" s="19"/>
      <c r="CU234" s="19">
        <v>0</v>
      </c>
      <c r="CV234" s="74"/>
      <c r="CW234" s="74"/>
      <c r="CX234" s="74"/>
      <c r="CY234" s="74"/>
      <c r="CZ234" s="19">
        <f t="shared" ref="CZ234:CZ295" si="767">SUM(DA234)</f>
        <v>0</v>
      </c>
      <c r="DA234" s="19">
        <f t="shared" ref="DA234:DA295" si="768">SUM(DB234:DC234)</f>
        <v>0</v>
      </c>
      <c r="DB234" s="19">
        <v>0</v>
      </c>
      <c r="DC234" s="20">
        <v>0</v>
      </c>
      <c r="DD234" s="52"/>
    </row>
    <row r="235" spans="1:108" s="78" customFormat="1" ht="31.2" x14ac:dyDescent="0.3">
      <c r="A235" s="96" t="s">
        <v>1</v>
      </c>
      <c r="B235" s="71" t="s">
        <v>52</v>
      </c>
      <c r="C235" s="90" t="s">
        <v>628</v>
      </c>
      <c r="D235" s="74">
        <f>SUM(E235+CC235+CZ235+CV235)</f>
        <v>496201</v>
      </c>
      <c r="E235" s="74">
        <f t="shared" ref="E235" si="769">SUM(F235+BC235)</f>
        <v>496201</v>
      </c>
      <c r="F235" s="74">
        <f t="shared" ref="F235" si="770">SUM(G235+H235+I235+P235+S235+T235+U235+AD235)</f>
        <v>496201</v>
      </c>
      <c r="G235" s="74">
        <v>0</v>
      </c>
      <c r="H235" s="74">
        <v>0</v>
      </c>
      <c r="I235" s="74">
        <f>SUM(J235:O235)</f>
        <v>0</v>
      </c>
      <c r="J235" s="74">
        <v>0</v>
      </c>
      <c r="K235" s="74">
        <v>0</v>
      </c>
      <c r="L235" s="74">
        <v>0</v>
      </c>
      <c r="M235" s="74">
        <v>0</v>
      </c>
      <c r="N235" s="74">
        <v>0</v>
      </c>
      <c r="O235" s="74">
        <v>0</v>
      </c>
      <c r="P235" s="74">
        <f>SUM(Q235:R235)</f>
        <v>0</v>
      </c>
      <c r="Q235" s="74">
        <v>0</v>
      </c>
      <c r="R235" s="74">
        <v>0</v>
      </c>
      <c r="S235" s="74">
        <v>0</v>
      </c>
      <c r="T235" s="74">
        <v>0</v>
      </c>
      <c r="U235" s="74">
        <f>SUM(V235:AC235)</f>
        <v>0</v>
      </c>
      <c r="V235" s="74">
        <v>0</v>
      </c>
      <c r="W235" s="74">
        <v>0</v>
      </c>
      <c r="X235" s="74">
        <v>0</v>
      </c>
      <c r="Y235" s="74">
        <v>0</v>
      </c>
      <c r="Z235" s="74">
        <v>0</v>
      </c>
      <c r="AA235" s="74">
        <v>0</v>
      </c>
      <c r="AB235" s="74">
        <v>0</v>
      </c>
      <c r="AC235" s="74">
        <v>0</v>
      </c>
      <c r="AD235" s="74">
        <f t="shared" ref="AD235" si="771">SUM(AE235:AY235)</f>
        <v>496201</v>
      </c>
      <c r="AE235" s="74">
        <v>0</v>
      </c>
      <c r="AF235" s="74">
        <v>0</v>
      </c>
      <c r="AG235" s="74">
        <v>0</v>
      </c>
      <c r="AH235" s="74">
        <v>0</v>
      </c>
      <c r="AI235" s="75">
        <v>0</v>
      </c>
      <c r="AJ235" s="75">
        <v>0</v>
      </c>
      <c r="AK235" s="74">
        <v>0</v>
      </c>
      <c r="AL235" s="74">
        <v>0</v>
      </c>
      <c r="AM235" s="74">
        <v>0</v>
      </c>
      <c r="AN235" s="74">
        <v>0</v>
      </c>
      <c r="AO235" s="74">
        <v>0</v>
      </c>
      <c r="AP235" s="74">
        <v>0</v>
      </c>
      <c r="AQ235" s="74">
        <v>0</v>
      </c>
      <c r="AR235" s="74">
        <v>0</v>
      </c>
      <c r="AS235" s="74">
        <v>0</v>
      </c>
      <c r="AT235" s="74">
        <v>0</v>
      </c>
      <c r="AU235" s="74">
        <v>0</v>
      </c>
      <c r="AV235" s="74">
        <v>0</v>
      </c>
      <c r="AW235" s="74">
        <v>0</v>
      </c>
      <c r="AX235" s="74">
        <v>0</v>
      </c>
      <c r="AY235" s="76">
        <f>0+496201</f>
        <v>496201</v>
      </c>
      <c r="AZ235" s="76"/>
      <c r="BA235" s="76"/>
      <c r="BB235" s="76"/>
      <c r="BC235" s="74">
        <f t="shared" ref="BC235" si="772">SUM(BD235+BH235+BL235+BN235+BQ235)</f>
        <v>0</v>
      </c>
      <c r="BD235" s="74">
        <f>SUM(BE235:BG235)</f>
        <v>0</v>
      </c>
      <c r="BE235" s="74">
        <v>0</v>
      </c>
      <c r="BF235" s="74">
        <v>0</v>
      </c>
      <c r="BG235" s="74">
        <v>0</v>
      </c>
      <c r="BH235" s="74">
        <f>SUM(BK235:BK235)</f>
        <v>0</v>
      </c>
      <c r="BI235" s="74">
        <v>0</v>
      </c>
      <c r="BJ235" s="74">
        <v>0</v>
      </c>
      <c r="BK235" s="74">
        <v>0</v>
      </c>
      <c r="BL235" s="74">
        <v>0</v>
      </c>
      <c r="BM235" s="74">
        <v>0</v>
      </c>
      <c r="BN235" s="74">
        <f>SUM(BO235)</f>
        <v>0</v>
      </c>
      <c r="BO235" s="74">
        <v>0</v>
      </c>
      <c r="BP235" s="74">
        <v>0</v>
      </c>
      <c r="BQ235" s="74">
        <f>SUM(BR235:CB235)</f>
        <v>0</v>
      </c>
      <c r="BR235" s="74">
        <v>0</v>
      </c>
      <c r="BS235" s="74">
        <v>0</v>
      </c>
      <c r="BT235" s="74">
        <v>0</v>
      </c>
      <c r="BU235" s="74">
        <v>0</v>
      </c>
      <c r="BV235" s="74">
        <v>0</v>
      </c>
      <c r="BW235" s="74">
        <v>0</v>
      </c>
      <c r="BX235" s="74">
        <v>0</v>
      </c>
      <c r="BY235" s="74">
        <v>0</v>
      </c>
      <c r="BZ235" s="74">
        <v>0</v>
      </c>
      <c r="CA235" s="74">
        <v>0</v>
      </c>
      <c r="CB235" s="74">
        <v>0</v>
      </c>
      <c r="CC235" s="74">
        <f t="shared" ref="CC235" si="773">SUM(CD235+CU235)</f>
        <v>0</v>
      </c>
      <c r="CD235" s="74">
        <f t="shared" ref="CD235" si="774">SUM(CE235+CH235+CN235)</f>
        <v>0</v>
      </c>
      <c r="CE235" s="74">
        <f>SUM(CF235:CG235)</f>
        <v>0</v>
      </c>
      <c r="CF235" s="74">
        <v>0</v>
      </c>
      <c r="CG235" s="74"/>
      <c r="CH235" s="74">
        <f t="shared" ref="CH235" si="775">SUM(CI235:CM235)</f>
        <v>0</v>
      </c>
      <c r="CI235" s="74">
        <v>0</v>
      </c>
      <c r="CJ235" s="74">
        <v>0</v>
      </c>
      <c r="CK235" s="74">
        <v>0</v>
      </c>
      <c r="CL235" s="74">
        <v>0</v>
      </c>
      <c r="CM235" s="74">
        <v>0</v>
      </c>
      <c r="CN235" s="74">
        <f t="shared" ref="CN235" si="776">SUM(CO235:CQ235)</f>
        <v>0</v>
      </c>
      <c r="CO235" s="74">
        <v>0</v>
      </c>
      <c r="CP235" s="74">
        <v>0</v>
      </c>
      <c r="CQ235" s="74"/>
      <c r="CR235" s="74"/>
      <c r="CS235" s="74"/>
      <c r="CT235" s="74"/>
      <c r="CU235" s="74">
        <v>0</v>
      </c>
      <c r="CV235" s="74">
        <f t="shared" ref="CV235:CW237" si="777">CW235</f>
        <v>0</v>
      </c>
      <c r="CW235" s="74">
        <f t="shared" si="777"/>
        <v>0</v>
      </c>
      <c r="CX235" s="74"/>
      <c r="CY235" s="74"/>
      <c r="CZ235" s="74">
        <f>SUM(DA235)</f>
        <v>0</v>
      </c>
      <c r="DA235" s="74">
        <f>SUM(DB235:DC235)</f>
        <v>0</v>
      </c>
      <c r="DB235" s="74">
        <v>0</v>
      </c>
      <c r="DC235" s="77">
        <v>0</v>
      </c>
    </row>
    <row r="236" spans="1:108" s="78" customFormat="1" ht="46.8" x14ac:dyDescent="0.3">
      <c r="A236" s="96" t="s">
        <v>1</v>
      </c>
      <c r="B236" s="71" t="s">
        <v>52</v>
      </c>
      <c r="C236" s="90" t="s">
        <v>606</v>
      </c>
      <c r="D236" s="74">
        <f>SUM(E236+CC236+CZ236+CV236)</f>
        <v>106750</v>
      </c>
      <c r="E236" s="74">
        <f t="shared" si="753"/>
        <v>106750</v>
      </c>
      <c r="F236" s="74">
        <f t="shared" si="754"/>
        <v>106750</v>
      </c>
      <c r="G236" s="74">
        <v>0</v>
      </c>
      <c r="H236" s="74">
        <v>0</v>
      </c>
      <c r="I236" s="74">
        <f>SUM(J236:O236)</f>
        <v>0</v>
      </c>
      <c r="J236" s="74">
        <v>0</v>
      </c>
      <c r="K236" s="74">
        <v>0</v>
      </c>
      <c r="L236" s="74">
        <v>0</v>
      </c>
      <c r="M236" s="74">
        <v>0</v>
      </c>
      <c r="N236" s="74">
        <v>0</v>
      </c>
      <c r="O236" s="74">
        <v>0</v>
      </c>
      <c r="P236" s="74">
        <f>SUM(Q236:R236)</f>
        <v>0</v>
      </c>
      <c r="Q236" s="74">
        <v>0</v>
      </c>
      <c r="R236" s="74">
        <v>0</v>
      </c>
      <c r="S236" s="74">
        <v>0</v>
      </c>
      <c r="T236" s="74">
        <v>0</v>
      </c>
      <c r="U236" s="74">
        <f>SUM(V236:AC236)</f>
        <v>0</v>
      </c>
      <c r="V236" s="74">
        <v>0</v>
      </c>
      <c r="W236" s="74">
        <v>0</v>
      </c>
      <c r="X236" s="74">
        <v>0</v>
      </c>
      <c r="Y236" s="74">
        <v>0</v>
      </c>
      <c r="Z236" s="74">
        <v>0</v>
      </c>
      <c r="AA236" s="74">
        <v>0</v>
      </c>
      <c r="AB236" s="74">
        <v>0</v>
      </c>
      <c r="AC236" s="74">
        <v>0</v>
      </c>
      <c r="AD236" s="74">
        <f t="shared" si="757"/>
        <v>106750</v>
      </c>
      <c r="AE236" s="74">
        <v>0</v>
      </c>
      <c r="AF236" s="74">
        <v>0</v>
      </c>
      <c r="AG236" s="74">
        <v>0</v>
      </c>
      <c r="AH236" s="74">
        <v>0</v>
      </c>
      <c r="AI236" s="75">
        <v>0</v>
      </c>
      <c r="AJ236" s="75">
        <v>0</v>
      </c>
      <c r="AK236" s="74">
        <v>0</v>
      </c>
      <c r="AL236" s="74">
        <v>0</v>
      </c>
      <c r="AM236" s="74">
        <v>0</v>
      </c>
      <c r="AN236" s="74">
        <v>0</v>
      </c>
      <c r="AO236" s="74">
        <v>0</v>
      </c>
      <c r="AP236" s="74">
        <v>0</v>
      </c>
      <c r="AQ236" s="74">
        <v>0</v>
      </c>
      <c r="AR236" s="74">
        <v>0</v>
      </c>
      <c r="AS236" s="74">
        <v>0</v>
      </c>
      <c r="AT236" s="74">
        <v>0</v>
      </c>
      <c r="AU236" s="74">
        <v>0</v>
      </c>
      <c r="AV236" s="74">
        <v>0</v>
      </c>
      <c r="AW236" s="74">
        <v>0</v>
      </c>
      <c r="AX236" s="74">
        <v>0</v>
      </c>
      <c r="AY236" s="76">
        <v>106750</v>
      </c>
      <c r="AZ236" s="76"/>
      <c r="BA236" s="76"/>
      <c r="BB236" s="76"/>
      <c r="BC236" s="74">
        <f t="shared" ref="BC236" si="778">SUM(BD236+BH236+BL236+BN236+BQ236)</f>
        <v>0</v>
      </c>
      <c r="BD236" s="74">
        <f>SUM(BE236:BG236)</f>
        <v>0</v>
      </c>
      <c r="BE236" s="74">
        <v>0</v>
      </c>
      <c r="BF236" s="74">
        <v>0</v>
      </c>
      <c r="BG236" s="74">
        <v>0</v>
      </c>
      <c r="BH236" s="74">
        <f>SUM(BK236:BK236)</f>
        <v>0</v>
      </c>
      <c r="BI236" s="74">
        <v>0</v>
      </c>
      <c r="BJ236" s="74">
        <v>0</v>
      </c>
      <c r="BK236" s="74">
        <v>0</v>
      </c>
      <c r="BL236" s="74">
        <v>0</v>
      </c>
      <c r="BM236" s="74">
        <v>0</v>
      </c>
      <c r="BN236" s="74">
        <f>SUM(BO236)</f>
        <v>0</v>
      </c>
      <c r="BO236" s="74">
        <v>0</v>
      </c>
      <c r="BP236" s="74">
        <v>0</v>
      </c>
      <c r="BQ236" s="74">
        <f>SUM(BR236:CB236)</f>
        <v>0</v>
      </c>
      <c r="BR236" s="74">
        <v>0</v>
      </c>
      <c r="BS236" s="74">
        <v>0</v>
      </c>
      <c r="BT236" s="74">
        <v>0</v>
      </c>
      <c r="BU236" s="74">
        <v>0</v>
      </c>
      <c r="BV236" s="74">
        <v>0</v>
      </c>
      <c r="BW236" s="74">
        <v>0</v>
      </c>
      <c r="BX236" s="74">
        <v>0</v>
      </c>
      <c r="BY236" s="74">
        <v>0</v>
      </c>
      <c r="BZ236" s="74">
        <v>0</v>
      </c>
      <c r="CA236" s="74">
        <v>0</v>
      </c>
      <c r="CB236" s="74">
        <v>0</v>
      </c>
      <c r="CC236" s="74">
        <f t="shared" si="762"/>
        <v>0</v>
      </c>
      <c r="CD236" s="74">
        <f t="shared" si="763"/>
        <v>0</v>
      </c>
      <c r="CE236" s="74">
        <f>SUM(CF236:CG236)</f>
        <v>0</v>
      </c>
      <c r="CF236" s="74">
        <v>0</v>
      </c>
      <c r="CG236" s="74"/>
      <c r="CH236" s="74">
        <f t="shared" si="765"/>
        <v>0</v>
      </c>
      <c r="CI236" s="74">
        <v>0</v>
      </c>
      <c r="CJ236" s="74">
        <v>0</v>
      </c>
      <c r="CK236" s="74">
        <v>0</v>
      </c>
      <c r="CL236" s="74">
        <v>0</v>
      </c>
      <c r="CM236" s="74">
        <v>0</v>
      </c>
      <c r="CN236" s="74">
        <f t="shared" si="766"/>
        <v>0</v>
      </c>
      <c r="CO236" s="74">
        <v>0</v>
      </c>
      <c r="CP236" s="74">
        <v>0</v>
      </c>
      <c r="CQ236" s="74"/>
      <c r="CR236" s="74"/>
      <c r="CS236" s="74"/>
      <c r="CT236" s="74"/>
      <c r="CU236" s="74">
        <v>0</v>
      </c>
      <c r="CV236" s="74">
        <f t="shared" si="777"/>
        <v>0</v>
      </c>
      <c r="CW236" s="74">
        <f t="shared" si="777"/>
        <v>0</v>
      </c>
      <c r="CX236" s="74"/>
      <c r="CY236" s="74"/>
      <c r="CZ236" s="74">
        <f>SUM(DA236)</f>
        <v>0</v>
      </c>
      <c r="DA236" s="74">
        <f>SUM(DB236:DC236)</f>
        <v>0</v>
      </c>
      <c r="DB236" s="74">
        <v>0</v>
      </c>
      <c r="DC236" s="77">
        <v>0</v>
      </c>
    </row>
    <row r="237" spans="1:108" s="78" customFormat="1" ht="15.6" x14ac:dyDescent="0.3">
      <c r="A237" s="96" t="s">
        <v>1</v>
      </c>
      <c r="B237" s="71" t="s">
        <v>52</v>
      </c>
      <c r="C237" s="72" t="s">
        <v>557</v>
      </c>
      <c r="D237" s="74">
        <f>SUM(E237+CC237+CZ237+CV237)</f>
        <v>94244819</v>
      </c>
      <c r="E237" s="74">
        <f t="shared" si="753"/>
        <v>0</v>
      </c>
      <c r="F237" s="74">
        <f t="shared" ref="F237" si="779">SUM(G237+H237+I237+P237+S237+T237+U237+AD237)</f>
        <v>0</v>
      </c>
      <c r="G237" s="74">
        <v>0</v>
      </c>
      <c r="H237" s="74">
        <v>0</v>
      </c>
      <c r="I237" s="74">
        <f>SUM(J237:O237)</f>
        <v>0</v>
      </c>
      <c r="J237" s="74">
        <v>0</v>
      </c>
      <c r="K237" s="74">
        <v>0</v>
      </c>
      <c r="L237" s="74">
        <v>0</v>
      </c>
      <c r="M237" s="74">
        <v>0</v>
      </c>
      <c r="N237" s="74">
        <v>0</v>
      </c>
      <c r="O237" s="74">
        <v>0</v>
      </c>
      <c r="P237" s="74">
        <f>SUM(Q237:R237)</f>
        <v>0</v>
      </c>
      <c r="Q237" s="74">
        <v>0</v>
      </c>
      <c r="R237" s="74">
        <v>0</v>
      </c>
      <c r="S237" s="74">
        <v>0</v>
      </c>
      <c r="T237" s="74">
        <v>0</v>
      </c>
      <c r="U237" s="74">
        <f>SUM(V237:AC237)</f>
        <v>0</v>
      </c>
      <c r="V237" s="74">
        <v>0</v>
      </c>
      <c r="W237" s="74">
        <v>0</v>
      </c>
      <c r="X237" s="74">
        <v>0</v>
      </c>
      <c r="Y237" s="74">
        <v>0</v>
      </c>
      <c r="Z237" s="74">
        <v>0</v>
      </c>
      <c r="AA237" s="74">
        <v>0</v>
      </c>
      <c r="AB237" s="74">
        <v>0</v>
      </c>
      <c r="AC237" s="74">
        <v>0</v>
      </c>
      <c r="AD237" s="74">
        <f t="shared" ref="AD237" si="780">SUM(AE237:AY237)</f>
        <v>0</v>
      </c>
      <c r="AE237" s="74">
        <v>0</v>
      </c>
      <c r="AF237" s="74">
        <v>0</v>
      </c>
      <c r="AG237" s="74">
        <v>0</v>
      </c>
      <c r="AH237" s="74">
        <v>0</v>
      </c>
      <c r="AI237" s="75">
        <v>0</v>
      </c>
      <c r="AJ237" s="75">
        <v>0</v>
      </c>
      <c r="AK237" s="74">
        <v>0</v>
      </c>
      <c r="AL237" s="74">
        <v>0</v>
      </c>
      <c r="AM237" s="74">
        <v>0</v>
      </c>
      <c r="AN237" s="74">
        <v>0</v>
      </c>
      <c r="AO237" s="74">
        <v>0</v>
      </c>
      <c r="AP237" s="74">
        <v>0</v>
      </c>
      <c r="AQ237" s="74">
        <v>0</v>
      </c>
      <c r="AR237" s="74">
        <v>0</v>
      </c>
      <c r="AS237" s="74">
        <v>0</v>
      </c>
      <c r="AT237" s="74">
        <v>0</v>
      </c>
      <c r="AU237" s="74">
        <v>0</v>
      </c>
      <c r="AV237" s="74">
        <v>0</v>
      </c>
      <c r="AW237" s="74">
        <v>0</v>
      </c>
      <c r="AX237" s="74">
        <v>0</v>
      </c>
      <c r="AY237" s="76">
        <v>0</v>
      </c>
      <c r="AZ237" s="76"/>
      <c r="BA237" s="76"/>
      <c r="BB237" s="76"/>
      <c r="BC237" s="74">
        <f t="shared" ref="BC237" si="781">SUM(BD237+BH237+BL237+BN237+BQ237)</f>
        <v>0</v>
      </c>
      <c r="BD237" s="74">
        <f>SUM(BE237:BG237)</f>
        <v>0</v>
      </c>
      <c r="BE237" s="74">
        <v>0</v>
      </c>
      <c r="BF237" s="74">
        <v>0</v>
      </c>
      <c r="BG237" s="74">
        <v>0</v>
      </c>
      <c r="BH237" s="74">
        <f>SUM(BK237:BK237)</f>
        <v>0</v>
      </c>
      <c r="BI237" s="74">
        <v>0</v>
      </c>
      <c r="BJ237" s="74">
        <v>0</v>
      </c>
      <c r="BK237" s="74">
        <v>0</v>
      </c>
      <c r="BL237" s="74">
        <v>0</v>
      </c>
      <c r="BM237" s="74">
        <v>0</v>
      </c>
      <c r="BN237" s="74">
        <f>SUM(BO237)</f>
        <v>0</v>
      </c>
      <c r="BO237" s="74">
        <v>0</v>
      </c>
      <c r="BP237" s="74">
        <v>0</v>
      </c>
      <c r="BQ237" s="74">
        <f>SUM(BR237:CB237)</f>
        <v>0</v>
      </c>
      <c r="BR237" s="74">
        <v>0</v>
      </c>
      <c r="BS237" s="74">
        <v>0</v>
      </c>
      <c r="BT237" s="74">
        <v>0</v>
      </c>
      <c r="BU237" s="74">
        <v>0</v>
      </c>
      <c r="BV237" s="74">
        <v>0</v>
      </c>
      <c r="BW237" s="74">
        <v>0</v>
      </c>
      <c r="BX237" s="74">
        <v>0</v>
      </c>
      <c r="BY237" s="74">
        <v>0</v>
      </c>
      <c r="BZ237" s="74">
        <v>0</v>
      </c>
      <c r="CA237" s="74">
        <v>0</v>
      </c>
      <c r="CB237" s="74">
        <v>0</v>
      </c>
      <c r="CC237" s="74">
        <f t="shared" ref="CC237" si="782">SUM(CD237+CU237)</f>
        <v>0</v>
      </c>
      <c r="CD237" s="74">
        <f t="shared" ref="CD237" si="783">SUM(CE237+CH237+CN237)</f>
        <v>0</v>
      </c>
      <c r="CE237" s="74">
        <f>SUM(CF237:CG237)</f>
        <v>0</v>
      </c>
      <c r="CF237" s="74">
        <v>0</v>
      </c>
      <c r="CG237" s="74"/>
      <c r="CH237" s="74">
        <f t="shared" ref="CH237" si="784">SUM(CI237:CM237)</f>
        <v>0</v>
      </c>
      <c r="CI237" s="74">
        <v>0</v>
      </c>
      <c r="CJ237" s="74">
        <v>0</v>
      </c>
      <c r="CK237" s="74">
        <v>0</v>
      </c>
      <c r="CL237" s="74">
        <v>0</v>
      </c>
      <c r="CM237" s="74">
        <v>0</v>
      </c>
      <c r="CN237" s="74">
        <f t="shared" ref="CN237" si="785">SUM(CO237:CQ237)</f>
        <v>0</v>
      </c>
      <c r="CO237" s="74">
        <v>0</v>
      </c>
      <c r="CP237" s="74">
        <v>0</v>
      </c>
      <c r="CQ237" s="74"/>
      <c r="CR237" s="74"/>
      <c r="CS237" s="74"/>
      <c r="CT237" s="74"/>
      <c r="CU237" s="74">
        <v>0</v>
      </c>
      <c r="CV237" s="74">
        <f t="shared" si="777"/>
        <v>94244819</v>
      </c>
      <c r="CW237" s="74">
        <f>SUM(CX237:CY237)</f>
        <v>94244819</v>
      </c>
      <c r="CX237" s="74">
        <v>10914626</v>
      </c>
      <c r="CY237" s="74">
        <f>0+83330193</f>
        <v>83330193</v>
      </c>
      <c r="CZ237" s="74">
        <f>SUM(DA237)</f>
        <v>0</v>
      </c>
      <c r="DA237" s="74">
        <f>SUM(DB237:DC237)</f>
        <v>0</v>
      </c>
      <c r="DB237" s="74">
        <v>0</v>
      </c>
      <c r="DC237" s="77">
        <v>0</v>
      </c>
    </row>
    <row r="238" spans="1:108" ht="31.2" x14ac:dyDescent="0.3">
      <c r="A238" s="97"/>
      <c r="B238" s="42" t="s">
        <v>54</v>
      </c>
      <c r="C238" s="43" t="s">
        <v>439</v>
      </c>
      <c r="D238" s="39">
        <f t="shared" ref="D238:D242" si="786">SUM(E238+CC238+CZ238)</f>
        <v>116375</v>
      </c>
      <c r="E238" s="39">
        <f t="shared" si="753"/>
        <v>116375</v>
      </c>
      <c r="F238" s="39">
        <f t="shared" si="754"/>
        <v>116375</v>
      </c>
      <c r="G238" s="39">
        <v>0</v>
      </c>
      <c r="H238" s="39">
        <v>0</v>
      </c>
      <c r="I238" s="39">
        <f t="shared" ref="I238" si="787">SUM(J238:O238)</f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f t="shared" ref="P238" si="788">SUM(Q238:R238)</f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f t="shared" si="756"/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f t="shared" si="757"/>
        <v>116375</v>
      </c>
      <c r="AE238" s="40">
        <v>0</v>
      </c>
      <c r="AF238" s="40">
        <v>0</v>
      </c>
      <c r="AG238" s="39">
        <v>0</v>
      </c>
      <c r="AH238" s="39">
        <v>0</v>
      </c>
      <c r="AI238" s="35">
        <f>48925+67450</f>
        <v>116375</v>
      </c>
      <c r="AJ238" s="35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  <c r="AZ238" s="39"/>
      <c r="BA238" s="39"/>
      <c r="BB238" s="39"/>
      <c r="BC238" s="39">
        <f t="shared" ref="BC238:BC239" si="789">SUM(BD238+BH238+BL238+BN238+BQ238)</f>
        <v>0</v>
      </c>
      <c r="BD238" s="39">
        <f t="shared" si="758"/>
        <v>0</v>
      </c>
      <c r="BE238" s="39">
        <v>0</v>
      </c>
      <c r="BF238" s="39">
        <v>0</v>
      </c>
      <c r="BG238" s="39">
        <v>0</v>
      </c>
      <c r="BH238" s="39">
        <f t="shared" si="759"/>
        <v>0</v>
      </c>
      <c r="BI238" s="39">
        <v>0</v>
      </c>
      <c r="BJ238" s="39">
        <v>0</v>
      </c>
      <c r="BK238" s="39">
        <v>0</v>
      </c>
      <c r="BL238" s="39">
        <v>0</v>
      </c>
      <c r="BM238" s="39">
        <v>0</v>
      </c>
      <c r="BN238" s="39">
        <f t="shared" si="760"/>
        <v>0</v>
      </c>
      <c r="BO238" s="39">
        <v>0</v>
      </c>
      <c r="BP238" s="39">
        <v>0</v>
      </c>
      <c r="BQ238" s="39">
        <f t="shared" si="761"/>
        <v>0</v>
      </c>
      <c r="BR238" s="39">
        <v>0</v>
      </c>
      <c r="BS238" s="39">
        <v>0</v>
      </c>
      <c r="BT238" s="39">
        <v>0</v>
      </c>
      <c r="BU238" s="39">
        <v>0</v>
      </c>
      <c r="BV238" s="39">
        <v>0</v>
      </c>
      <c r="BW238" s="39">
        <v>0</v>
      </c>
      <c r="BX238" s="39">
        <v>0</v>
      </c>
      <c r="BY238" s="39">
        <v>0</v>
      </c>
      <c r="BZ238" s="39">
        <v>0</v>
      </c>
      <c r="CA238" s="39">
        <v>0</v>
      </c>
      <c r="CB238" s="39">
        <v>0</v>
      </c>
      <c r="CC238" s="39">
        <f t="shared" si="762"/>
        <v>0</v>
      </c>
      <c r="CD238" s="39">
        <f t="shared" si="763"/>
        <v>0</v>
      </c>
      <c r="CE238" s="39">
        <f t="shared" ref="CE238" si="790">SUM(CF238:CG238)</f>
        <v>0</v>
      </c>
      <c r="CF238" s="39">
        <v>0</v>
      </c>
      <c r="CG238" s="39">
        <v>0</v>
      </c>
      <c r="CH238" s="19">
        <f t="shared" si="765"/>
        <v>0</v>
      </c>
      <c r="CI238" s="39">
        <v>0</v>
      </c>
      <c r="CJ238" s="39">
        <v>0</v>
      </c>
      <c r="CK238" s="39">
        <v>0</v>
      </c>
      <c r="CL238" s="39">
        <v>0</v>
      </c>
      <c r="CM238" s="39">
        <v>0</v>
      </c>
      <c r="CN238" s="39">
        <f t="shared" si="766"/>
        <v>0</v>
      </c>
      <c r="CO238" s="39">
        <v>0</v>
      </c>
      <c r="CP238" s="39">
        <v>0</v>
      </c>
      <c r="CQ238" s="39"/>
      <c r="CR238" s="39"/>
      <c r="CS238" s="39"/>
      <c r="CT238" s="39"/>
      <c r="CU238" s="39">
        <v>0</v>
      </c>
      <c r="CV238" s="74"/>
      <c r="CW238" s="74"/>
      <c r="CX238" s="74"/>
      <c r="CY238" s="74"/>
      <c r="CZ238" s="39">
        <f t="shared" si="767"/>
        <v>0</v>
      </c>
      <c r="DA238" s="39">
        <f t="shared" si="768"/>
        <v>0</v>
      </c>
      <c r="DB238" s="39">
        <v>0</v>
      </c>
      <c r="DC238" s="41">
        <v>0</v>
      </c>
      <c r="DD238" s="52"/>
    </row>
    <row r="239" spans="1:108" ht="31.2" x14ac:dyDescent="0.3">
      <c r="A239" s="97"/>
      <c r="B239" s="42" t="s">
        <v>58</v>
      </c>
      <c r="C239" s="43" t="s">
        <v>439</v>
      </c>
      <c r="D239" s="39">
        <f t="shared" si="786"/>
        <v>3207</v>
      </c>
      <c r="E239" s="39">
        <f t="shared" si="753"/>
        <v>3207</v>
      </c>
      <c r="F239" s="39">
        <f t="shared" si="754"/>
        <v>3207</v>
      </c>
      <c r="G239" s="39">
        <v>0</v>
      </c>
      <c r="H239" s="39">
        <v>0</v>
      </c>
      <c r="I239" s="39">
        <f t="shared" ref="I239" si="791">SUM(J239:O239)</f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9">
        <f t="shared" ref="P239" si="792">SUM(Q239:R239)</f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f t="shared" si="756"/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f t="shared" si="757"/>
        <v>3207</v>
      </c>
      <c r="AE239" s="40">
        <v>0</v>
      </c>
      <c r="AF239" s="40">
        <v>0</v>
      </c>
      <c r="AG239" s="35">
        <v>0</v>
      </c>
      <c r="AH239" s="35">
        <v>0</v>
      </c>
      <c r="AI239" s="35">
        <f>4234-1027</f>
        <v>3207</v>
      </c>
      <c r="AJ239" s="35">
        <v>0</v>
      </c>
      <c r="AK239" s="35">
        <v>0</v>
      </c>
      <c r="AL239" s="35">
        <v>0</v>
      </c>
      <c r="AM239" s="35">
        <v>0</v>
      </c>
      <c r="AN239" s="35">
        <v>0</v>
      </c>
      <c r="AO239" s="35">
        <v>0</v>
      </c>
      <c r="AP239" s="35">
        <v>0</v>
      </c>
      <c r="AQ239" s="35">
        <v>0</v>
      </c>
      <c r="AR239" s="35">
        <v>0</v>
      </c>
      <c r="AS239" s="35">
        <v>0</v>
      </c>
      <c r="AT239" s="35">
        <v>0</v>
      </c>
      <c r="AU239" s="35">
        <v>0</v>
      </c>
      <c r="AV239" s="35">
        <v>0</v>
      </c>
      <c r="AW239" s="35">
        <v>0</v>
      </c>
      <c r="AX239" s="35">
        <v>0</v>
      </c>
      <c r="AY239" s="35">
        <v>0</v>
      </c>
      <c r="AZ239" s="35"/>
      <c r="BA239" s="35"/>
      <c r="BB239" s="35"/>
      <c r="BC239" s="39">
        <f t="shared" si="789"/>
        <v>0</v>
      </c>
      <c r="BD239" s="39">
        <f t="shared" si="758"/>
        <v>0</v>
      </c>
      <c r="BE239" s="39">
        <v>0</v>
      </c>
      <c r="BF239" s="39">
        <v>0</v>
      </c>
      <c r="BG239" s="39">
        <v>0</v>
      </c>
      <c r="BH239" s="39">
        <f t="shared" si="759"/>
        <v>0</v>
      </c>
      <c r="BI239" s="39">
        <v>0</v>
      </c>
      <c r="BJ239" s="39">
        <v>0</v>
      </c>
      <c r="BK239" s="39">
        <v>0</v>
      </c>
      <c r="BL239" s="39">
        <v>0</v>
      </c>
      <c r="BM239" s="39">
        <v>0</v>
      </c>
      <c r="BN239" s="39">
        <f t="shared" si="760"/>
        <v>0</v>
      </c>
      <c r="BO239" s="39">
        <v>0</v>
      </c>
      <c r="BP239" s="39">
        <v>0</v>
      </c>
      <c r="BQ239" s="39">
        <f t="shared" si="761"/>
        <v>0</v>
      </c>
      <c r="BR239" s="39">
        <v>0</v>
      </c>
      <c r="BS239" s="39">
        <v>0</v>
      </c>
      <c r="BT239" s="39">
        <v>0</v>
      </c>
      <c r="BU239" s="39">
        <v>0</v>
      </c>
      <c r="BV239" s="39">
        <v>0</v>
      </c>
      <c r="BW239" s="39">
        <v>0</v>
      </c>
      <c r="BX239" s="39">
        <v>0</v>
      </c>
      <c r="BY239" s="39">
        <v>0</v>
      </c>
      <c r="BZ239" s="39">
        <v>0</v>
      </c>
      <c r="CA239" s="39">
        <v>0</v>
      </c>
      <c r="CB239" s="39">
        <v>0</v>
      </c>
      <c r="CC239" s="39">
        <f t="shared" si="762"/>
        <v>0</v>
      </c>
      <c r="CD239" s="39">
        <f t="shared" si="763"/>
        <v>0</v>
      </c>
      <c r="CE239" s="39">
        <f t="shared" ref="CE239" si="793">SUM(CF239:CG239)</f>
        <v>0</v>
      </c>
      <c r="CF239" s="39">
        <v>0</v>
      </c>
      <c r="CG239" s="39">
        <v>0</v>
      </c>
      <c r="CH239" s="19">
        <f t="shared" si="765"/>
        <v>0</v>
      </c>
      <c r="CI239" s="39">
        <v>0</v>
      </c>
      <c r="CJ239" s="39">
        <v>0</v>
      </c>
      <c r="CK239" s="39">
        <v>0</v>
      </c>
      <c r="CL239" s="39">
        <v>0</v>
      </c>
      <c r="CM239" s="39">
        <v>0</v>
      </c>
      <c r="CN239" s="39">
        <f t="shared" si="766"/>
        <v>0</v>
      </c>
      <c r="CO239" s="39">
        <v>0</v>
      </c>
      <c r="CP239" s="39">
        <v>0</v>
      </c>
      <c r="CQ239" s="39"/>
      <c r="CR239" s="39"/>
      <c r="CS239" s="39"/>
      <c r="CT239" s="39"/>
      <c r="CU239" s="39">
        <v>0</v>
      </c>
      <c r="CV239" s="74"/>
      <c r="CW239" s="74"/>
      <c r="CX239" s="74"/>
      <c r="CY239" s="74"/>
      <c r="CZ239" s="39">
        <f t="shared" ref="CZ239" si="794">SUM(DA239)</f>
        <v>0</v>
      </c>
      <c r="DA239" s="39">
        <f t="shared" si="768"/>
        <v>0</v>
      </c>
      <c r="DB239" s="39">
        <v>0</v>
      </c>
      <c r="DC239" s="41">
        <v>0</v>
      </c>
      <c r="DD239" s="52"/>
    </row>
    <row r="240" spans="1:108" s="52" customFormat="1" ht="45" customHeight="1" x14ac:dyDescent="0.3">
      <c r="A240" s="94" t="s">
        <v>1</v>
      </c>
      <c r="B240" s="44" t="s">
        <v>75</v>
      </c>
      <c r="C240" s="45" t="s">
        <v>284</v>
      </c>
      <c r="D240" s="19">
        <f t="shared" si="786"/>
        <v>260011</v>
      </c>
      <c r="E240" s="19">
        <f t="shared" si="753"/>
        <v>0</v>
      </c>
      <c r="F240" s="19">
        <f t="shared" si="754"/>
        <v>0</v>
      </c>
      <c r="G240" s="19">
        <v>0</v>
      </c>
      <c r="H240" s="19">
        <v>0</v>
      </c>
      <c r="I240" s="19">
        <f t="shared" ref="I240" si="795">SUM(J240:O240)</f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f t="shared" si="755"/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f t="shared" si="756"/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0</v>
      </c>
      <c r="AD240" s="19">
        <f t="shared" si="757"/>
        <v>0</v>
      </c>
      <c r="AE240" s="19">
        <v>0</v>
      </c>
      <c r="AF240" s="19">
        <v>0</v>
      </c>
      <c r="AG240" s="19">
        <v>0</v>
      </c>
      <c r="AH240" s="19">
        <v>0</v>
      </c>
      <c r="AI240" s="24">
        <v>0</v>
      </c>
      <c r="AJ240" s="24">
        <v>0</v>
      </c>
      <c r="AK240" s="19">
        <v>0</v>
      </c>
      <c r="AL240" s="19">
        <v>0</v>
      </c>
      <c r="AM240" s="19">
        <v>0</v>
      </c>
      <c r="AN240" s="19">
        <v>0</v>
      </c>
      <c r="AO240" s="19">
        <v>0</v>
      </c>
      <c r="AP240" s="19">
        <v>0</v>
      </c>
      <c r="AQ240" s="19">
        <v>0</v>
      </c>
      <c r="AR240" s="19">
        <v>0</v>
      </c>
      <c r="AS240" s="19">
        <v>0</v>
      </c>
      <c r="AT240" s="19">
        <v>0</v>
      </c>
      <c r="AU240" s="19">
        <v>0</v>
      </c>
      <c r="AV240" s="19">
        <v>0</v>
      </c>
      <c r="AW240" s="19">
        <v>0</v>
      </c>
      <c r="AX240" s="19">
        <v>0</v>
      </c>
      <c r="AY240" s="35">
        <v>0</v>
      </c>
      <c r="AZ240" s="35"/>
      <c r="BA240" s="35"/>
      <c r="BB240" s="35"/>
      <c r="BC240" s="19">
        <f>SUM(BD240+BH240+BL240+BN240+BQ240)</f>
        <v>0</v>
      </c>
      <c r="BD240" s="19">
        <f t="shared" si="758"/>
        <v>0</v>
      </c>
      <c r="BE240" s="19">
        <v>0</v>
      </c>
      <c r="BF240" s="19">
        <v>0</v>
      </c>
      <c r="BG240" s="19">
        <v>0</v>
      </c>
      <c r="BH240" s="19">
        <f t="shared" si="759"/>
        <v>0</v>
      </c>
      <c r="BI240" s="19">
        <v>0</v>
      </c>
      <c r="BJ240" s="19">
        <v>0</v>
      </c>
      <c r="BK240" s="19">
        <v>0</v>
      </c>
      <c r="BL240" s="19">
        <v>0</v>
      </c>
      <c r="BM240" s="19">
        <v>0</v>
      </c>
      <c r="BN240" s="19">
        <f t="shared" si="760"/>
        <v>0</v>
      </c>
      <c r="BO240" s="19">
        <v>0</v>
      </c>
      <c r="BP240" s="19">
        <v>0</v>
      </c>
      <c r="BQ240" s="19">
        <f t="shared" si="761"/>
        <v>0</v>
      </c>
      <c r="BR240" s="19">
        <v>0</v>
      </c>
      <c r="BS240" s="19">
        <v>0</v>
      </c>
      <c r="BT240" s="19">
        <v>0</v>
      </c>
      <c r="BU240" s="19">
        <v>0</v>
      </c>
      <c r="BV240" s="19">
        <v>0</v>
      </c>
      <c r="BW240" s="19">
        <v>0</v>
      </c>
      <c r="BX240" s="19">
        <v>0</v>
      </c>
      <c r="BY240" s="19">
        <v>0</v>
      </c>
      <c r="BZ240" s="19">
        <v>0</v>
      </c>
      <c r="CA240" s="19">
        <v>0</v>
      </c>
      <c r="CB240" s="19">
        <v>0</v>
      </c>
      <c r="CC240" s="19">
        <f t="shared" si="762"/>
        <v>260011</v>
      </c>
      <c r="CD240" s="19">
        <f t="shared" si="763"/>
        <v>260011</v>
      </c>
      <c r="CE240" s="19">
        <f t="shared" ref="CE240" si="796">SUM(CF240:CG240)</f>
        <v>260011</v>
      </c>
      <c r="CF240" s="19">
        <v>0</v>
      </c>
      <c r="CG240" s="19">
        <v>260011</v>
      </c>
      <c r="CH240" s="19">
        <f t="shared" si="765"/>
        <v>0</v>
      </c>
      <c r="CI240" s="19">
        <v>0</v>
      </c>
      <c r="CJ240" s="19">
        <v>0</v>
      </c>
      <c r="CK240" s="19">
        <v>0</v>
      </c>
      <c r="CL240" s="19">
        <v>0</v>
      </c>
      <c r="CM240" s="19">
        <v>0</v>
      </c>
      <c r="CN240" s="19">
        <f t="shared" si="766"/>
        <v>0</v>
      </c>
      <c r="CO240" s="19">
        <v>0</v>
      </c>
      <c r="CP240" s="19">
        <v>0</v>
      </c>
      <c r="CQ240" s="19"/>
      <c r="CR240" s="19"/>
      <c r="CS240" s="19"/>
      <c r="CT240" s="19"/>
      <c r="CU240" s="19">
        <v>0</v>
      </c>
      <c r="CV240" s="74"/>
      <c r="CW240" s="74"/>
      <c r="CX240" s="74"/>
      <c r="CY240" s="74"/>
      <c r="CZ240" s="19">
        <f t="shared" si="767"/>
        <v>0</v>
      </c>
      <c r="DA240" s="19">
        <f t="shared" si="768"/>
        <v>0</v>
      </c>
      <c r="DB240" s="19">
        <v>0</v>
      </c>
      <c r="DC240" s="20">
        <v>0</v>
      </c>
    </row>
    <row r="241" spans="1:108" s="52" customFormat="1" ht="46.8" x14ac:dyDescent="0.3">
      <c r="A241" s="97"/>
      <c r="B241" s="42" t="s">
        <v>76</v>
      </c>
      <c r="C241" s="43" t="s">
        <v>440</v>
      </c>
      <c r="D241" s="39">
        <f t="shared" si="786"/>
        <v>437618</v>
      </c>
      <c r="E241" s="39">
        <f t="shared" si="753"/>
        <v>437618</v>
      </c>
      <c r="F241" s="39">
        <f t="shared" ref="F241" si="797">SUM(G241+H241+I241+P241+S241+T241+U241+AD241)</f>
        <v>437618</v>
      </c>
      <c r="G241" s="39">
        <v>0</v>
      </c>
      <c r="H241" s="39">
        <v>0</v>
      </c>
      <c r="I241" s="39">
        <f t="shared" ref="I241" si="798">SUM(J241:O241)</f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f t="shared" si="755"/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f t="shared" ref="U241" si="799">SUM(V241:AC241)</f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f t="shared" ref="AD241" si="800">SUM(AE241:AY241)</f>
        <v>437618</v>
      </c>
      <c r="AE241" s="40">
        <v>0</v>
      </c>
      <c r="AF241" s="40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5">
        <v>437618</v>
      </c>
      <c r="AZ241" s="35"/>
      <c r="BA241" s="35"/>
      <c r="BB241" s="35"/>
      <c r="BC241" s="39">
        <f>SUM(BD241+BH241+BL241+BN241+BQ241)</f>
        <v>0</v>
      </c>
      <c r="BD241" s="39">
        <f t="shared" ref="BD241" si="801">SUM(BE241:BG241)</f>
        <v>0</v>
      </c>
      <c r="BE241" s="39">
        <v>0</v>
      </c>
      <c r="BF241" s="39">
        <v>0</v>
      </c>
      <c r="BG241" s="39">
        <v>0</v>
      </c>
      <c r="BH241" s="39">
        <f t="shared" ref="BH241" si="802">SUM(BK241:BK241)</f>
        <v>0</v>
      </c>
      <c r="BI241" s="39">
        <v>0</v>
      </c>
      <c r="BJ241" s="39">
        <v>0</v>
      </c>
      <c r="BK241" s="39">
        <v>0</v>
      </c>
      <c r="BL241" s="39">
        <v>0</v>
      </c>
      <c r="BM241" s="39">
        <v>0</v>
      </c>
      <c r="BN241" s="39">
        <f t="shared" ref="BN241" si="803">SUM(BO241)</f>
        <v>0</v>
      </c>
      <c r="BO241" s="39">
        <v>0</v>
      </c>
      <c r="BP241" s="39">
        <v>0</v>
      </c>
      <c r="BQ241" s="39">
        <f t="shared" ref="BQ241" si="804">SUM(BR241:CB241)</f>
        <v>0</v>
      </c>
      <c r="BR241" s="39">
        <v>0</v>
      </c>
      <c r="BS241" s="39">
        <v>0</v>
      </c>
      <c r="BT241" s="39">
        <v>0</v>
      </c>
      <c r="BU241" s="39">
        <v>0</v>
      </c>
      <c r="BV241" s="39">
        <v>0</v>
      </c>
      <c r="BW241" s="39">
        <v>0</v>
      </c>
      <c r="BX241" s="39">
        <v>0</v>
      </c>
      <c r="BY241" s="39">
        <v>0</v>
      </c>
      <c r="BZ241" s="39">
        <v>0</v>
      </c>
      <c r="CA241" s="39">
        <v>0</v>
      </c>
      <c r="CB241" s="39">
        <v>0</v>
      </c>
      <c r="CC241" s="39">
        <f t="shared" ref="CC241" si="805">SUM(CD241+CU241)</f>
        <v>0</v>
      </c>
      <c r="CD241" s="39">
        <f t="shared" ref="CD241" si="806">SUM(CE241+CH241+CN241)</f>
        <v>0</v>
      </c>
      <c r="CE241" s="39">
        <f t="shared" ref="CE241" si="807">SUM(CF241:CG241)</f>
        <v>0</v>
      </c>
      <c r="CF241" s="39">
        <v>0</v>
      </c>
      <c r="CG241" s="39">
        <v>0</v>
      </c>
      <c r="CH241" s="19">
        <f t="shared" ref="CH241" si="808">SUM(CI241:CM241)</f>
        <v>0</v>
      </c>
      <c r="CI241" s="39">
        <v>0</v>
      </c>
      <c r="CJ241" s="39">
        <v>0</v>
      </c>
      <c r="CK241" s="39">
        <v>0</v>
      </c>
      <c r="CL241" s="39">
        <v>0</v>
      </c>
      <c r="CM241" s="39">
        <v>0</v>
      </c>
      <c r="CN241" s="39">
        <f t="shared" ref="CN241" si="809">SUM(CO241:CQ241)</f>
        <v>0</v>
      </c>
      <c r="CO241" s="39">
        <v>0</v>
      </c>
      <c r="CP241" s="39">
        <v>0</v>
      </c>
      <c r="CQ241" s="39"/>
      <c r="CR241" s="39"/>
      <c r="CS241" s="39"/>
      <c r="CT241" s="39"/>
      <c r="CU241" s="39">
        <v>0</v>
      </c>
      <c r="CV241" s="74"/>
      <c r="CW241" s="74"/>
      <c r="CX241" s="74"/>
      <c r="CY241" s="74"/>
      <c r="CZ241" s="39">
        <f t="shared" ref="CZ241" si="810">SUM(DA241)</f>
        <v>0</v>
      </c>
      <c r="DA241" s="39">
        <f t="shared" ref="DA241" si="811">SUM(DB241:DC241)</f>
        <v>0</v>
      </c>
      <c r="DB241" s="39">
        <v>0</v>
      </c>
      <c r="DC241" s="41">
        <v>0</v>
      </c>
    </row>
    <row r="242" spans="1:108" s="52" customFormat="1" ht="31.2" x14ac:dyDescent="0.3">
      <c r="A242" s="97"/>
      <c r="B242" s="42" t="s">
        <v>76</v>
      </c>
      <c r="C242" s="43" t="s">
        <v>582</v>
      </c>
      <c r="D242" s="39">
        <f t="shared" si="786"/>
        <v>124510</v>
      </c>
      <c r="E242" s="39">
        <f t="shared" si="753"/>
        <v>124510</v>
      </c>
      <c r="F242" s="39">
        <f t="shared" si="754"/>
        <v>124510</v>
      </c>
      <c r="G242" s="39">
        <v>0</v>
      </c>
      <c r="H242" s="39">
        <v>0</v>
      </c>
      <c r="I242" s="39">
        <f t="shared" ref="I242" si="812">SUM(J242:O242)</f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f t="shared" ref="P242" si="813">SUM(Q242:R242)</f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f t="shared" si="756"/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f t="shared" si="757"/>
        <v>124510</v>
      </c>
      <c r="AE242" s="40">
        <v>0</v>
      </c>
      <c r="AF242" s="40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5">
        <v>124510</v>
      </c>
      <c r="AZ242" s="35"/>
      <c r="BA242" s="35"/>
      <c r="BB242" s="35"/>
      <c r="BC242" s="39">
        <f>SUM(BD242+BH242+BL242+BN242+BQ242)</f>
        <v>0</v>
      </c>
      <c r="BD242" s="39">
        <f t="shared" si="758"/>
        <v>0</v>
      </c>
      <c r="BE242" s="39">
        <v>0</v>
      </c>
      <c r="BF242" s="39">
        <v>0</v>
      </c>
      <c r="BG242" s="39">
        <v>0</v>
      </c>
      <c r="BH242" s="39">
        <f t="shared" si="759"/>
        <v>0</v>
      </c>
      <c r="BI242" s="39">
        <v>0</v>
      </c>
      <c r="BJ242" s="39">
        <v>0</v>
      </c>
      <c r="BK242" s="39">
        <v>0</v>
      </c>
      <c r="BL242" s="39">
        <v>0</v>
      </c>
      <c r="BM242" s="39">
        <v>0</v>
      </c>
      <c r="BN242" s="39">
        <f t="shared" si="760"/>
        <v>0</v>
      </c>
      <c r="BO242" s="39">
        <v>0</v>
      </c>
      <c r="BP242" s="39">
        <v>0</v>
      </c>
      <c r="BQ242" s="39">
        <f t="shared" si="761"/>
        <v>0</v>
      </c>
      <c r="BR242" s="39">
        <v>0</v>
      </c>
      <c r="BS242" s="39">
        <v>0</v>
      </c>
      <c r="BT242" s="39">
        <v>0</v>
      </c>
      <c r="BU242" s="39">
        <v>0</v>
      </c>
      <c r="BV242" s="39">
        <v>0</v>
      </c>
      <c r="BW242" s="39">
        <v>0</v>
      </c>
      <c r="BX242" s="39">
        <v>0</v>
      </c>
      <c r="BY242" s="39">
        <v>0</v>
      </c>
      <c r="BZ242" s="39">
        <v>0</v>
      </c>
      <c r="CA242" s="39">
        <v>0</v>
      </c>
      <c r="CB242" s="39">
        <v>0</v>
      </c>
      <c r="CC242" s="39">
        <f t="shared" si="762"/>
        <v>0</v>
      </c>
      <c r="CD242" s="39">
        <f t="shared" si="763"/>
        <v>0</v>
      </c>
      <c r="CE242" s="39">
        <f t="shared" ref="CE242" si="814">SUM(CF242:CG242)</f>
        <v>0</v>
      </c>
      <c r="CF242" s="39">
        <v>0</v>
      </c>
      <c r="CG242" s="39">
        <v>0</v>
      </c>
      <c r="CH242" s="19">
        <f t="shared" si="765"/>
        <v>0</v>
      </c>
      <c r="CI242" s="39">
        <v>0</v>
      </c>
      <c r="CJ242" s="39">
        <v>0</v>
      </c>
      <c r="CK242" s="39">
        <v>0</v>
      </c>
      <c r="CL242" s="39">
        <v>0</v>
      </c>
      <c r="CM242" s="39">
        <v>0</v>
      </c>
      <c r="CN242" s="39">
        <f t="shared" si="766"/>
        <v>0</v>
      </c>
      <c r="CO242" s="39">
        <v>0</v>
      </c>
      <c r="CP242" s="39">
        <v>0</v>
      </c>
      <c r="CQ242" s="39"/>
      <c r="CR242" s="39"/>
      <c r="CS242" s="39"/>
      <c r="CT242" s="39"/>
      <c r="CU242" s="39">
        <v>0</v>
      </c>
      <c r="CV242" s="74"/>
      <c r="CW242" s="74"/>
      <c r="CX242" s="74"/>
      <c r="CY242" s="74"/>
      <c r="CZ242" s="39">
        <f t="shared" si="767"/>
        <v>0</v>
      </c>
      <c r="DA242" s="39">
        <f t="shared" si="768"/>
        <v>0</v>
      </c>
      <c r="DB242" s="39">
        <v>0</v>
      </c>
      <c r="DC242" s="41">
        <v>0</v>
      </c>
    </row>
    <row r="243" spans="1:108" s="52" customFormat="1" ht="15.6" x14ac:dyDescent="0.3">
      <c r="A243" s="93"/>
      <c r="B243" s="16"/>
      <c r="C243" s="17" t="s">
        <v>482</v>
      </c>
      <c r="D243" s="18">
        <f t="shared" ref="D243:AH243" si="815">SUM(D244:D267)</f>
        <v>254709127</v>
      </c>
      <c r="E243" s="18">
        <f t="shared" si="815"/>
        <v>246659177</v>
      </c>
      <c r="F243" s="18">
        <f t="shared" si="815"/>
        <v>246244176</v>
      </c>
      <c r="G243" s="18">
        <f t="shared" si="815"/>
        <v>114918004</v>
      </c>
      <c r="H243" s="18">
        <f t="shared" si="815"/>
        <v>23883104</v>
      </c>
      <c r="I243" s="18">
        <f t="shared" si="815"/>
        <v>43322153</v>
      </c>
      <c r="J243" s="18">
        <f t="shared" si="815"/>
        <v>12401948</v>
      </c>
      <c r="K243" s="18">
        <f t="shared" si="815"/>
        <v>808004</v>
      </c>
      <c r="L243" s="18">
        <f t="shared" si="815"/>
        <v>2264038</v>
      </c>
      <c r="M243" s="18">
        <f t="shared" si="815"/>
        <v>46000</v>
      </c>
      <c r="N243" s="18">
        <f t="shared" si="815"/>
        <v>7702709</v>
      </c>
      <c r="O243" s="18">
        <f t="shared" si="815"/>
        <v>20099454</v>
      </c>
      <c r="P243" s="18">
        <f t="shared" si="815"/>
        <v>1956907</v>
      </c>
      <c r="Q243" s="18">
        <f t="shared" si="815"/>
        <v>512594</v>
      </c>
      <c r="R243" s="18">
        <f t="shared" si="815"/>
        <v>1444313</v>
      </c>
      <c r="S243" s="18">
        <f t="shared" si="815"/>
        <v>73458</v>
      </c>
      <c r="T243" s="18">
        <f t="shared" si="815"/>
        <v>1717103</v>
      </c>
      <c r="U243" s="18">
        <f t="shared" si="815"/>
        <v>31273557</v>
      </c>
      <c r="V243" s="18">
        <f t="shared" si="815"/>
        <v>4286218</v>
      </c>
      <c r="W243" s="18">
        <f t="shared" si="815"/>
        <v>13944357</v>
      </c>
      <c r="X243" s="18">
        <f t="shared" si="815"/>
        <v>8301545</v>
      </c>
      <c r="Y243" s="18">
        <f t="shared" si="815"/>
        <v>3229019</v>
      </c>
      <c r="Z243" s="18">
        <f t="shared" si="815"/>
        <v>833140</v>
      </c>
      <c r="AA243" s="18">
        <f t="shared" si="815"/>
        <v>75200</v>
      </c>
      <c r="AB243" s="18">
        <f t="shared" si="815"/>
        <v>0</v>
      </c>
      <c r="AC243" s="18">
        <f t="shared" si="815"/>
        <v>604078</v>
      </c>
      <c r="AD243" s="18">
        <f t="shared" si="815"/>
        <v>29099890</v>
      </c>
      <c r="AE243" s="18">
        <f t="shared" si="815"/>
        <v>0</v>
      </c>
      <c r="AF243" s="18">
        <f t="shared" si="815"/>
        <v>0</v>
      </c>
      <c r="AG243" s="18">
        <f t="shared" si="815"/>
        <v>3027346</v>
      </c>
      <c r="AH243" s="18">
        <f t="shared" si="815"/>
        <v>8296105</v>
      </c>
      <c r="AI243" s="18">
        <f t="shared" ref="AI243:BR243" si="816">SUM(AI244:AI267)</f>
        <v>430985</v>
      </c>
      <c r="AJ243" s="18">
        <f t="shared" si="816"/>
        <v>437733</v>
      </c>
      <c r="AK243" s="18">
        <f t="shared" si="816"/>
        <v>7700</v>
      </c>
      <c r="AL243" s="18">
        <f t="shared" si="816"/>
        <v>504697</v>
      </c>
      <c r="AM243" s="18">
        <f t="shared" si="816"/>
        <v>3168689</v>
      </c>
      <c r="AN243" s="18">
        <f t="shared" si="816"/>
        <v>15000</v>
      </c>
      <c r="AO243" s="18">
        <f t="shared" si="816"/>
        <v>15600</v>
      </c>
      <c r="AP243" s="18">
        <f t="shared" si="816"/>
        <v>172240</v>
      </c>
      <c r="AQ243" s="18">
        <f t="shared" si="816"/>
        <v>317588</v>
      </c>
      <c r="AR243" s="18">
        <f t="shared" si="816"/>
        <v>1079871</v>
      </c>
      <c r="AS243" s="18">
        <f t="shared" si="816"/>
        <v>0</v>
      </c>
      <c r="AT243" s="18">
        <f t="shared" si="816"/>
        <v>0</v>
      </c>
      <c r="AU243" s="18">
        <f t="shared" si="816"/>
        <v>0</v>
      </c>
      <c r="AV243" s="18">
        <f t="shared" si="816"/>
        <v>866478</v>
      </c>
      <c r="AW243" s="18">
        <f t="shared" si="816"/>
        <v>451798</v>
      </c>
      <c r="AX243" s="18">
        <f t="shared" si="816"/>
        <v>100000</v>
      </c>
      <c r="AY243" s="18">
        <f t="shared" si="816"/>
        <v>10208060</v>
      </c>
      <c r="AZ243" s="18">
        <f t="shared" si="816"/>
        <v>0</v>
      </c>
      <c r="BA243" s="18">
        <f t="shared" si="816"/>
        <v>0</v>
      </c>
      <c r="BB243" s="18">
        <f t="shared" si="816"/>
        <v>0</v>
      </c>
      <c r="BC243" s="18">
        <f t="shared" si="816"/>
        <v>415001</v>
      </c>
      <c r="BD243" s="18">
        <f t="shared" si="816"/>
        <v>0</v>
      </c>
      <c r="BE243" s="18">
        <f t="shared" si="816"/>
        <v>0</v>
      </c>
      <c r="BF243" s="18">
        <f t="shared" si="816"/>
        <v>0</v>
      </c>
      <c r="BG243" s="18">
        <f t="shared" si="816"/>
        <v>0</v>
      </c>
      <c r="BH243" s="18">
        <f t="shared" si="816"/>
        <v>0</v>
      </c>
      <c r="BI243" s="18">
        <f t="shared" si="816"/>
        <v>0</v>
      </c>
      <c r="BJ243" s="18">
        <f t="shared" ref="BJ243" si="817">SUM(BJ244:BJ267)</f>
        <v>0</v>
      </c>
      <c r="BK243" s="18">
        <f t="shared" si="816"/>
        <v>0</v>
      </c>
      <c r="BL243" s="18">
        <f t="shared" si="816"/>
        <v>0</v>
      </c>
      <c r="BM243" s="18">
        <f t="shared" si="816"/>
        <v>0</v>
      </c>
      <c r="BN243" s="18">
        <f t="shared" si="816"/>
        <v>0</v>
      </c>
      <c r="BO243" s="18">
        <f t="shared" si="816"/>
        <v>0</v>
      </c>
      <c r="BP243" s="18">
        <f t="shared" si="816"/>
        <v>0</v>
      </c>
      <c r="BQ243" s="18">
        <f t="shared" si="816"/>
        <v>415001</v>
      </c>
      <c r="BR243" s="18">
        <f t="shared" si="816"/>
        <v>0</v>
      </c>
      <c r="BS243" s="18">
        <f t="shared" ref="BS243:CT243" si="818">SUM(BS244:BS267)</f>
        <v>0</v>
      </c>
      <c r="BT243" s="18">
        <f t="shared" si="818"/>
        <v>0</v>
      </c>
      <c r="BU243" s="18">
        <f t="shared" si="818"/>
        <v>0</v>
      </c>
      <c r="BV243" s="18">
        <f t="shared" si="818"/>
        <v>0</v>
      </c>
      <c r="BW243" s="18">
        <f t="shared" si="818"/>
        <v>0</v>
      </c>
      <c r="BX243" s="18">
        <f t="shared" si="818"/>
        <v>0</v>
      </c>
      <c r="BY243" s="18">
        <f t="shared" si="818"/>
        <v>0</v>
      </c>
      <c r="BZ243" s="18">
        <f t="shared" si="818"/>
        <v>0</v>
      </c>
      <c r="CA243" s="18">
        <f t="shared" si="818"/>
        <v>42602</v>
      </c>
      <c r="CB243" s="18">
        <f t="shared" si="818"/>
        <v>372399</v>
      </c>
      <c r="CC243" s="18">
        <f>SUM(CC244:CC267)</f>
        <v>8049950</v>
      </c>
      <c r="CD243" s="18">
        <f t="shared" si="818"/>
        <v>8049950</v>
      </c>
      <c r="CE243" s="18">
        <f t="shared" si="818"/>
        <v>7340030</v>
      </c>
      <c r="CF243" s="18">
        <f t="shared" si="818"/>
        <v>104000</v>
      </c>
      <c r="CG243" s="18">
        <f t="shared" si="818"/>
        <v>7236030</v>
      </c>
      <c r="CH243" s="18">
        <f t="shared" si="818"/>
        <v>180000</v>
      </c>
      <c r="CI243" s="18">
        <f t="shared" si="818"/>
        <v>0</v>
      </c>
      <c r="CJ243" s="18">
        <f t="shared" si="818"/>
        <v>0</v>
      </c>
      <c r="CK243" s="18">
        <f t="shared" si="818"/>
        <v>180000</v>
      </c>
      <c r="CL243" s="18">
        <f t="shared" si="818"/>
        <v>0</v>
      </c>
      <c r="CM243" s="18">
        <f t="shared" si="818"/>
        <v>0</v>
      </c>
      <c r="CN243" s="18">
        <f t="shared" si="818"/>
        <v>529920</v>
      </c>
      <c r="CO243" s="18">
        <f t="shared" si="818"/>
        <v>325000</v>
      </c>
      <c r="CP243" s="18">
        <f t="shared" si="818"/>
        <v>204920</v>
      </c>
      <c r="CQ243" s="18">
        <f t="shared" si="818"/>
        <v>0</v>
      </c>
      <c r="CR243" s="18">
        <f t="shared" si="818"/>
        <v>0</v>
      </c>
      <c r="CS243" s="18">
        <f t="shared" si="818"/>
        <v>0</v>
      </c>
      <c r="CT243" s="18">
        <f t="shared" si="818"/>
        <v>0</v>
      </c>
      <c r="CU243" s="18">
        <f>SUM(CU244:CU267)</f>
        <v>0</v>
      </c>
      <c r="CV243" s="73"/>
      <c r="CW243" s="73"/>
      <c r="CX243" s="73"/>
      <c r="CY243" s="73"/>
      <c r="CZ243" s="18">
        <f>SUM(CZ244:CZ267)</f>
        <v>0</v>
      </c>
      <c r="DA243" s="18">
        <f>SUM(DA244:DA267)</f>
        <v>0</v>
      </c>
      <c r="DB243" s="18">
        <f>SUM(DB244:DB267)</f>
        <v>0</v>
      </c>
      <c r="DC243" s="46">
        <f>SUM(DC244:DC267)</f>
        <v>0</v>
      </c>
    </row>
    <row r="244" spans="1:108" s="52" customFormat="1" ht="31.2" x14ac:dyDescent="0.3">
      <c r="A244" s="94" t="s">
        <v>1</v>
      </c>
      <c r="B244" s="21" t="s">
        <v>52</v>
      </c>
      <c r="C244" s="22" t="s">
        <v>483</v>
      </c>
      <c r="D244" s="19">
        <f t="shared" ref="D244:D267" si="819">SUM(E244+CC244+CZ244)</f>
        <v>125278</v>
      </c>
      <c r="E244" s="19">
        <f t="shared" ref="E244:E262" si="820">SUM(F244+BC244)</f>
        <v>125278</v>
      </c>
      <c r="F244" s="19">
        <f t="shared" ref="F244:F267" si="821">SUM(G244+H244+I244+P244+S244+T244+U244+AD244)</f>
        <v>125278</v>
      </c>
      <c r="G244" s="19">
        <v>0</v>
      </c>
      <c r="H244" s="19">
        <v>0</v>
      </c>
      <c r="I244" s="19">
        <f t="shared" si="747"/>
        <v>2000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2000</v>
      </c>
      <c r="P244" s="19">
        <f t="shared" si="755"/>
        <v>0</v>
      </c>
      <c r="Q244" s="23">
        <v>0</v>
      </c>
      <c r="R244" s="23">
        <v>0</v>
      </c>
      <c r="S244" s="23">
        <v>0</v>
      </c>
      <c r="T244" s="23">
        <v>0</v>
      </c>
      <c r="U244" s="19">
        <f t="shared" ref="U244:U267" si="822">SUM(V244:AC244)</f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3">
        <v>0</v>
      </c>
      <c r="AC244" s="23">
        <v>0</v>
      </c>
      <c r="AD244" s="19">
        <f t="shared" ref="AD244:AD267" si="823">SUM(AE244:AY244)</f>
        <v>123278</v>
      </c>
      <c r="AE244" s="23">
        <v>0</v>
      </c>
      <c r="AF244" s="23">
        <v>0</v>
      </c>
      <c r="AG244" s="23">
        <v>0</v>
      </c>
      <c r="AH244" s="23">
        <v>0</v>
      </c>
      <c r="AI244" s="23">
        <v>0</v>
      </c>
      <c r="AJ244" s="23">
        <v>0</v>
      </c>
      <c r="AK244" s="23">
        <v>0</v>
      </c>
      <c r="AL244" s="23">
        <v>0</v>
      </c>
      <c r="AM244" s="23">
        <v>80000</v>
      </c>
      <c r="AN244" s="23">
        <v>0</v>
      </c>
      <c r="AO244" s="23">
        <v>0</v>
      </c>
      <c r="AP244" s="23">
        <v>0</v>
      </c>
      <c r="AQ244" s="23">
        <v>0</v>
      </c>
      <c r="AR244" s="23">
        <v>0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0</v>
      </c>
      <c r="AY244" s="23">
        <f>18000+25278</f>
        <v>43278</v>
      </c>
      <c r="AZ244" s="23"/>
      <c r="BA244" s="23"/>
      <c r="BB244" s="23"/>
      <c r="BC244" s="19">
        <f t="shared" ref="BC244:BC267" si="824">SUM(BD244+BH244+BL244+BN244+BQ244)</f>
        <v>0</v>
      </c>
      <c r="BD244" s="19">
        <f t="shared" ref="BD244:BD267" si="825">SUM(BE244:BG244)</f>
        <v>0</v>
      </c>
      <c r="BE244" s="19">
        <v>0</v>
      </c>
      <c r="BF244" s="19">
        <v>0</v>
      </c>
      <c r="BG244" s="19">
        <v>0</v>
      </c>
      <c r="BH244" s="19">
        <f t="shared" ref="BH244:BH267" si="826">SUM(BK244:BK244)</f>
        <v>0</v>
      </c>
      <c r="BI244" s="19">
        <v>0</v>
      </c>
      <c r="BJ244" s="19">
        <v>0</v>
      </c>
      <c r="BK244" s="19">
        <v>0</v>
      </c>
      <c r="BL244" s="19">
        <v>0</v>
      </c>
      <c r="BM244" s="19">
        <v>0</v>
      </c>
      <c r="BN244" s="19">
        <f t="shared" si="760"/>
        <v>0</v>
      </c>
      <c r="BO244" s="19">
        <v>0</v>
      </c>
      <c r="BP244" s="19">
        <v>0</v>
      </c>
      <c r="BQ244" s="19">
        <f t="shared" ref="BQ244:BQ267" si="827">SUM(BR244:CB244)</f>
        <v>0</v>
      </c>
      <c r="BR244" s="19">
        <v>0</v>
      </c>
      <c r="BS244" s="19">
        <v>0</v>
      </c>
      <c r="BT244" s="19">
        <v>0</v>
      </c>
      <c r="BU244" s="19">
        <v>0</v>
      </c>
      <c r="BV244" s="19">
        <v>0</v>
      </c>
      <c r="BW244" s="19">
        <v>0</v>
      </c>
      <c r="BX244" s="19">
        <v>0</v>
      </c>
      <c r="BY244" s="19">
        <v>0</v>
      </c>
      <c r="BZ244" s="19">
        <v>0</v>
      </c>
      <c r="CA244" s="19">
        <v>0</v>
      </c>
      <c r="CB244" s="19">
        <v>0</v>
      </c>
      <c r="CC244" s="19">
        <f t="shared" ref="CC244:CC267" si="828">SUM(CD244+CU244)</f>
        <v>0</v>
      </c>
      <c r="CD244" s="19">
        <f t="shared" ref="CD244:CD267" si="829">SUM(CE244+CH244+CN244)</f>
        <v>0</v>
      </c>
      <c r="CE244" s="19">
        <f t="shared" si="764"/>
        <v>0</v>
      </c>
      <c r="CF244" s="24"/>
      <c r="CG244" s="23">
        <v>0</v>
      </c>
      <c r="CH244" s="19">
        <f t="shared" ref="CH244:CH267" si="830">SUM(CI244:CM244)</f>
        <v>0</v>
      </c>
      <c r="CI244" s="19">
        <v>0</v>
      </c>
      <c r="CJ244" s="19">
        <v>0</v>
      </c>
      <c r="CK244" s="19">
        <v>0</v>
      </c>
      <c r="CL244" s="19">
        <v>0</v>
      </c>
      <c r="CM244" s="19">
        <v>0</v>
      </c>
      <c r="CN244" s="19">
        <f t="shared" ref="CN244:CN267" si="831">SUM(CO244:CQ244)</f>
        <v>0</v>
      </c>
      <c r="CO244" s="51">
        <v>0</v>
      </c>
      <c r="CP244" s="19">
        <v>0</v>
      </c>
      <c r="CQ244" s="19">
        <v>0</v>
      </c>
      <c r="CR244" s="19"/>
      <c r="CS244" s="19"/>
      <c r="CT244" s="19"/>
      <c r="CU244" s="19">
        <v>0</v>
      </c>
      <c r="CV244" s="74"/>
      <c r="CW244" s="74"/>
      <c r="CX244" s="74"/>
      <c r="CY244" s="74"/>
      <c r="CZ244" s="19">
        <f t="shared" si="767"/>
        <v>0</v>
      </c>
      <c r="DA244" s="19">
        <f t="shared" si="768"/>
        <v>0</v>
      </c>
      <c r="DB244" s="19">
        <v>0</v>
      </c>
      <c r="DC244" s="20">
        <v>0</v>
      </c>
    </row>
    <row r="245" spans="1:108" s="52" customFormat="1" ht="31.2" x14ac:dyDescent="0.3">
      <c r="A245" s="94" t="s">
        <v>1</v>
      </c>
      <c r="B245" s="21" t="s">
        <v>54</v>
      </c>
      <c r="C245" s="22" t="s">
        <v>484</v>
      </c>
      <c r="D245" s="19">
        <f t="shared" si="819"/>
        <v>2777216</v>
      </c>
      <c r="E245" s="19">
        <f t="shared" si="820"/>
        <v>2743631</v>
      </c>
      <c r="F245" s="19">
        <f t="shared" si="821"/>
        <v>2743631</v>
      </c>
      <c r="G245" s="19">
        <f>751963+45569</f>
        <v>797532</v>
      </c>
      <c r="H245" s="19">
        <f>126554+76087</f>
        <v>202641</v>
      </c>
      <c r="I245" s="19">
        <f t="shared" si="747"/>
        <v>946769</v>
      </c>
      <c r="J245" s="23">
        <v>30000</v>
      </c>
      <c r="K245" s="23">
        <v>10000</v>
      </c>
      <c r="L245" s="23">
        <f>599486+3059</f>
        <v>602545</v>
      </c>
      <c r="M245" s="23">
        <v>0</v>
      </c>
      <c r="N245" s="23">
        <v>35769</v>
      </c>
      <c r="O245" s="23">
        <v>268455</v>
      </c>
      <c r="P245" s="19">
        <f t="shared" si="755"/>
        <v>0</v>
      </c>
      <c r="Q245" s="23">
        <v>0</v>
      </c>
      <c r="R245" s="23">
        <v>0</v>
      </c>
      <c r="S245" s="23">
        <v>0</v>
      </c>
      <c r="T245" s="23">
        <v>24465</v>
      </c>
      <c r="U245" s="19">
        <f t="shared" si="822"/>
        <v>236516</v>
      </c>
      <c r="V245" s="23">
        <f>22780+6132</f>
        <v>28912</v>
      </c>
      <c r="W245" s="23">
        <v>105683</v>
      </c>
      <c r="X245" s="23">
        <v>57050</v>
      </c>
      <c r="Y245" s="23">
        <v>36000</v>
      </c>
      <c r="Z245" s="23">
        <f>0+8871</f>
        <v>8871</v>
      </c>
      <c r="AA245" s="23">
        <v>0</v>
      </c>
      <c r="AB245" s="23">
        <v>0</v>
      </c>
      <c r="AC245" s="23">
        <v>0</v>
      </c>
      <c r="AD245" s="19">
        <f t="shared" si="823"/>
        <v>535708</v>
      </c>
      <c r="AE245" s="23">
        <v>0</v>
      </c>
      <c r="AF245" s="23">
        <v>0</v>
      </c>
      <c r="AG245" s="23">
        <v>18181</v>
      </c>
      <c r="AH245" s="23">
        <v>17676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3">
        <v>0</v>
      </c>
      <c r="AP245" s="23">
        <v>0</v>
      </c>
      <c r="AQ245" s="23">
        <v>0</v>
      </c>
      <c r="AR245" s="23">
        <v>74095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f>388508+37248</f>
        <v>425756</v>
      </c>
      <c r="AZ245" s="23"/>
      <c r="BA245" s="23"/>
      <c r="BB245" s="23"/>
      <c r="BC245" s="19">
        <f t="shared" si="824"/>
        <v>0</v>
      </c>
      <c r="BD245" s="19">
        <f t="shared" si="825"/>
        <v>0</v>
      </c>
      <c r="BE245" s="19">
        <v>0</v>
      </c>
      <c r="BF245" s="19">
        <v>0</v>
      </c>
      <c r="BG245" s="19">
        <v>0</v>
      </c>
      <c r="BH245" s="19">
        <f t="shared" si="826"/>
        <v>0</v>
      </c>
      <c r="BI245" s="19">
        <v>0</v>
      </c>
      <c r="BJ245" s="19">
        <v>0</v>
      </c>
      <c r="BK245" s="19">
        <v>0</v>
      </c>
      <c r="BL245" s="19">
        <v>0</v>
      </c>
      <c r="BM245" s="19">
        <v>0</v>
      </c>
      <c r="BN245" s="19">
        <f t="shared" si="760"/>
        <v>0</v>
      </c>
      <c r="BO245" s="19">
        <v>0</v>
      </c>
      <c r="BP245" s="19">
        <v>0</v>
      </c>
      <c r="BQ245" s="19">
        <f t="shared" si="827"/>
        <v>0</v>
      </c>
      <c r="BR245" s="19">
        <v>0</v>
      </c>
      <c r="BS245" s="19">
        <v>0</v>
      </c>
      <c r="BT245" s="19">
        <v>0</v>
      </c>
      <c r="BU245" s="19">
        <v>0</v>
      </c>
      <c r="BV245" s="19">
        <v>0</v>
      </c>
      <c r="BW245" s="19">
        <v>0</v>
      </c>
      <c r="BX245" s="19">
        <v>0</v>
      </c>
      <c r="BY245" s="19">
        <v>0</v>
      </c>
      <c r="BZ245" s="19">
        <v>0</v>
      </c>
      <c r="CA245" s="19">
        <v>0</v>
      </c>
      <c r="CB245" s="19">
        <v>0</v>
      </c>
      <c r="CC245" s="19">
        <f t="shared" si="828"/>
        <v>33585</v>
      </c>
      <c r="CD245" s="19">
        <f t="shared" si="829"/>
        <v>33585</v>
      </c>
      <c r="CE245" s="19">
        <f t="shared" si="764"/>
        <v>33585</v>
      </c>
      <c r="CF245" s="24"/>
      <c r="CG245" s="23">
        <v>33585</v>
      </c>
      <c r="CH245" s="19">
        <f t="shared" si="830"/>
        <v>0</v>
      </c>
      <c r="CI245" s="19">
        <v>0</v>
      </c>
      <c r="CJ245" s="19">
        <v>0</v>
      </c>
      <c r="CK245" s="19">
        <v>0</v>
      </c>
      <c r="CL245" s="19">
        <v>0</v>
      </c>
      <c r="CM245" s="19">
        <v>0</v>
      </c>
      <c r="CN245" s="19">
        <f t="shared" si="831"/>
        <v>0</v>
      </c>
      <c r="CO245" s="51">
        <v>0</v>
      </c>
      <c r="CP245" s="19">
        <v>0</v>
      </c>
      <c r="CQ245" s="19">
        <v>0</v>
      </c>
      <c r="CR245" s="19"/>
      <c r="CS245" s="19"/>
      <c r="CT245" s="19"/>
      <c r="CU245" s="19">
        <v>0</v>
      </c>
      <c r="CV245" s="74"/>
      <c r="CW245" s="74"/>
      <c r="CX245" s="74"/>
      <c r="CY245" s="74"/>
      <c r="CZ245" s="19">
        <f t="shared" si="767"/>
        <v>0</v>
      </c>
      <c r="DA245" s="19">
        <f t="shared" si="768"/>
        <v>0</v>
      </c>
      <c r="DB245" s="19">
        <v>0</v>
      </c>
      <c r="DC245" s="20">
        <v>0</v>
      </c>
    </row>
    <row r="246" spans="1:108" s="52" customFormat="1" ht="31.2" x14ac:dyDescent="0.3">
      <c r="A246" s="94" t="s">
        <v>1</v>
      </c>
      <c r="B246" s="21" t="s">
        <v>56</v>
      </c>
      <c r="C246" s="22" t="s">
        <v>485</v>
      </c>
      <c r="D246" s="19">
        <f t="shared" si="819"/>
        <v>3603451</v>
      </c>
      <c r="E246" s="19">
        <f t="shared" si="820"/>
        <v>3603451</v>
      </c>
      <c r="F246" s="19">
        <f t="shared" si="821"/>
        <v>3603451</v>
      </c>
      <c r="G246" s="19">
        <v>2361227</v>
      </c>
      <c r="H246" s="19">
        <v>590307</v>
      </c>
      <c r="I246" s="19">
        <f>SUM(J246:O246)</f>
        <v>154962</v>
      </c>
      <c r="J246" s="23">
        <v>2740</v>
      </c>
      <c r="K246" s="23">
        <v>0</v>
      </c>
      <c r="L246" s="23">
        <v>110150</v>
      </c>
      <c r="M246" s="23">
        <v>0</v>
      </c>
      <c r="N246" s="23">
        <v>10025</v>
      </c>
      <c r="O246" s="23">
        <v>32047</v>
      </c>
      <c r="P246" s="19">
        <f>SUM(Q246:R246)</f>
        <v>1476</v>
      </c>
      <c r="Q246" s="23">
        <v>1476</v>
      </c>
      <c r="R246" s="23">
        <v>0</v>
      </c>
      <c r="S246" s="23">
        <v>0</v>
      </c>
      <c r="T246" s="23">
        <v>0</v>
      </c>
      <c r="U246" s="19">
        <f t="shared" si="822"/>
        <v>399475</v>
      </c>
      <c r="V246" s="23">
        <v>11400</v>
      </c>
      <c r="W246" s="23">
        <f>142689+185309</f>
        <v>327998</v>
      </c>
      <c r="X246" s="23">
        <v>29019</v>
      </c>
      <c r="Y246" s="23">
        <v>10908</v>
      </c>
      <c r="Z246" s="23">
        <v>20150</v>
      </c>
      <c r="AA246" s="23">
        <v>0</v>
      </c>
      <c r="AB246" s="23">
        <v>0</v>
      </c>
      <c r="AC246" s="23">
        <v>0</v>
      </c>
      <c r="AD246" s="19">
        <f t="shared" si="823"/>
        <v>96004</v>
      </c>
      <c r="AE246" s="23">
        <v>0</v>
      </c>
      <c r="AF246" s="23">
        <v>0</v>
      </c>
      <c r="AG246" s="23">
        <v>2400</v>
      </c>
      <c r="AH246" s="23">
        <v>8600</v>
      </c>
      <c r="AI246" s="23">
        <v>860</v>
      </c>
      <c r="AJ246" s="23">
        <v>3840</v>
      </c>
      <c r="AK246" s="23">
        <v>0</v>
      </c>
      <c r="AL246" s="23">
        <v>2604</v>
      </c>
      <c r="AM246" s="23">
        <v>23500</v>
      </c>
      <c r="AN246" s="23">
        <v>0</v>
      </c>
      <c r="AO246" s="23">
        <v>0</v>
      </c>
      <c r="AP246" s="23">
        <v>0</v>
      </c>
      <c r="AQ246" s="23">
        <v>0</v>
      </c>
      <c r="AR246" s="23">
        <v>51600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2600</v>
      </c>
      <c r="AZ246" s="23"/>
      <c r="BA246" s="23"/>
      <c r="BB246" s="23"/>
      <c r="BC246" s="19">
        <f t="shared" si="824"/>
        <v>0</v>
      </c>
      <c r="BD246" s="19">
        <f t="shared" si="825"/>
        <v>0</v>
      </c>
      <c r="BE246" s="19">
        <v>0</v>
      </c>
      <c r="BF246" s="19">
        <v>0</v>
      </c>
      <c r="BG246" s="19">
        <v>0</v>
      </c>
      <c r="BH246" s="19">
        <f t="shared" si="826"/>
        <v>0</v>
      </c>
      <c r="BI246" s="19">
        <v>0</v>
      </c>
      <c r="BJ246" s="19">
        <v>0</v>
      </c>
      <c r="BK246" s="19">
        <v>0</v>
      </c>
      <c r="BL246" s="19">
        <v>0</v>
      </c>
      <c r="BM246" s="19">
        <v>0</v>
      </c>
      <c r="BN246" s="19">
        <f>SUM(BO246)</f>
        <v>0</v>
      </c>
      <c r="BO246" s="19">
        <v>0</v>
      </c>
      <c r="BP246" s="19">
        <v>0</v>
      </c>
      <c r="BQ246" s="19">
        <f t="shared" si="827"/>
        <v>0</v>
      </c>
      <c r="BR246" s="19">
        <v>0</v>
      </c>
      <c r="BS246" s="19">
        <v>0</v>
      </c>
      <c r="BT246" s="19">
        <v>0</v>
      </c>
      <c r="BU246" s="19">
        <v>0</v>
      </c>
      <c r="BV246" s="19">
        <v>0</v>
      </c>
      <c r="BW246" s="19">
        <v>0</v>
      </c>
      <c r="BX246" s="19">
        <v>0</v>
      </c>
      <c r="BY246" s="19">
        <v>0</v>
      </c>
      <c r="BZ246" s="19">
        <v>0</v>
      </c>
      <c r="CA246" s="19">
        <v>0</v>
      </c>
      <c r="CB246" s="19">
        <v>0</v>
      </c>
      <c r="CC246" s="19">
        <f t="shared" si="828"/>
        <v>0</v>
      </c>
      <c r="CD246" s="19">
        <f t="shared" si="829"/>
        <v>0</v>
      </c>
      <c r="CE246" s="19">
        <f>SUM(CF246:CG246)</f>
        <v>0</v>
      </c>
      <c r="CF246" s="24"/>
      <c r="CG246" s="23">
        <v>0</v>
      </c>
      <c r="CH246" s="19">
        <f t="shared" si="830"/>
        <v>0</v>
      </c>
      <c r="CI246" s="19">
        <v>0</v>
      </c>
      <c r="CJ246" s="19">
        <v>0</v>
      </c>
      <c r="CK246" s="19">
        <v>0</v>
      </c>
      <c r="CL246" s="19">
        <v>0</v>
      </c>
      <c r="CM246" s="19">
        <v>0</v>
      </c>
      <c r="CN246" s="19">
        <f t="shared" si="831"/>
        <v>0</v>
      </c>
      <c r="CO246" s="51">
        <v>0</v>
      </c>
      <c r="CP246" s="19">
        <v>0</v>
      </c>
      <c r="CQ246" s="19">
        <v>0</v>
      </c>
      <c r="CR246" s="19"/>
      <c r="CS246" s="19"/>
      <c r="CT246" s="19"/>
      <c r="CU246" s="19">
        <v>0</v>
      </c>
      <c r="CV246" s="74"/>
      <c r="CW246" s="74"/>
      <c r="CX246" s="74"/>
      <c r="CY246" s="74"/>
      <c r="CZ246" s="19">
        <f>SUM(DA246)</f>
        <v>0</v>
      </c>
      <c r="DA246" s="19">
        <f>SUM(DB246:DC246)</f>
        <v>0</v>
      </c>
      <c r="DB246" s="19">
        <v>0</v>
      </c>
      <c r="DC246" s="20">
        <v>0</v>
      </c>
    </row>
    <row r="247" spans="1:108" s="78" customFormat="1" ht="31.2" x14ac:dyDescent="0.3">
      <c r="A247" s="96" t="s">
        <v>1</v>
      </c>
      <c r="B247" s="71" t="s">
        <v>56</v>
      </c>
      <c r="C247" s="72" t="s">
        <v>486</v>
      </c>
      <c r="D247" s="74">
        <f t="shared" si="819"/>
        <v>50038582</v>
      </c>
      <c r="E247" s="74">
        <f t="shared" si="820"/>
        <v>49243582</v>
      </c>
      <c r="F247" s="74">
        <f t="shared" si="821"/>
        <v>49243582</v>
      </c>
      <c r="G247" s="74">
        <f>18472302+427405</f>
        <v>18899707</v>
      </c>
      <c r="H247" s="74">
        <f>4618076+122645</f>
        <v>4740721</v>
      </c>
      <c r="I247" s="74">
        <f t="shared" si="747"/>
        <v>10181720</v>
      </c>
      <c r="J247" s="75">
        <f>5281511+545967</f>
        <v>5827478</v>
      </c>
      <c r="K247" s="75">
        <v>37500</v>
      </c>
      <c r="L247" s="75">
        <f>72600+15000</f>
        <v>87600</v>
      </c>
      <c r="M247" s="75">
        <v>45000</v>
      </c>
      <c r="N247" s="75">
        <v>469225</v>
      </c>
      <c r="O247" s="75">
        <v>3714917</v>
      </c>
      <c r="P247" s="74">
        <f t="shared" si="755"/>
        <v>7200</v>
      </c>
      <c r="Q247" s="75">
        <v>3200</v>
      </c>
      <c r="R247" s="75">
        <v>4000</v>
      </c>
      <c r="S247" s="75">
        <v>2000</v>
      </c>
      <c r="T247" s="75">
        <f>181008+108403</f>
        <v>289411</v>
      </c>
      <c r="U247" s="74">
        <f t="shared" si="822"/>
        <v>11559211</v>
      </c>
      <c r="V247" s="75">
        <v>787757</v>
      </c>
      <c r="W247" s="75">
        <f>4698512+451353</f>
        <v>5149865</v>
      </c>
      <c r="X247" s="75">
        <f>3407251+298356</f>
        <v>3705607</v>
      </c>
      <c r="Y247" s="75">
        <f>1505572+153837</f>
        <v>1659409</v>
      </c>
      <c r="Z247" s="75">
        <v>206126</v>
      </c>
      <c r="AA247" s="75">
        <v>0</v>
      </c>
      <c r="AB247" s="75">
        <v>0</v>
      </c>
      <c r="AC247" s="75">
        <f>3350+47097</f>
        <v>50447</v>
      </c>
      <c r="AD247" s="74">
        <f t="shared" si="823"/>
        <v>3563612</v>
      </c>
      <c r="AE247" s="23">
        <v>0</v>
      </c>
      <c r="AF247" s="23">
        <v>0</v>
      </c>
      <c r="AG247" s="75">
        <v>811773</v>
      </c>
      <c r="AH247" s="75">
        <v>708104</v>
      </c>
      <c r="AI247" s="75">
        <v>0</v>
      </c>
      <c r="AJ247" s="75">
        <v>49613</v>
      </c>
      <c r="AK247" s="75">
        <v>0</v>
      </c>
      <c r="AL247" s="75">
        <v>85044</v>
      </c>
      <c r="AM247" s="75">
        <v>503000</v>
      </c>
      <c r="AN247" s="75">
        <v>0</v>
      </c>
      <c r="AO247" s="75">
        <v>5000</v>
      </c>
      <c r="AP247" s="75">
        <v>0</v>
      </c>
      <c r="AQ247" s="75">
        <v>0</v>
      </c>
      <c r="AR247" s="75">
        <v>356000</v>
      </c>
      <c r="AS247" s="75">
        <v>0</v>
      </c>
      <c r="AT247" s="75">
        <v>0</v>
      </c>
      <c r="AU247" s="75">
        <v>0</v>
      </c>
      <c r="AV247" s="75">
        <v>0</v>
      </c>
      <c r="AW247" s="75">
        <v>0</v>
      </c>
      <c r="AX247" s="75">
        <v>0</v>
      </c>
      <c r="AY247" s="75">
        <v>1045078</v>
      </c>
      <c r="AZ247" s="75"/>
      <c r="BA247" s="75"/>
      <c r="BB247" s="75"/>
      <c r="BC247" s="74">
        <f t="shared" si="824"/>
        <v>0</v>
      </c>
      <c r="BD247" s="74">
        <f t="shared" si="825"/>
        <v>0</v>
      </c>
      <c r="BE247" s="74">
        <v>0</v>
      </c>
      <c r="BF247" s="74">
        <v>0</v>
      </c>
      <c r="BG247" s="74">
        <v>0</v>
      </c>
      <c r="BH247" s="74">
        <f t="shared" si="826"/>
        <v>0</v>
      </c>
      <c r="BI247" s="74">
        <v>0</v>
      </c>
      <c r="BJ247" s="74">
        <v>0</v>
      </c>
      <c r="BK247" s="74">
        <v>0</v>
      </c>
      <c r="BL247" s="74">
        <v>0</v>
      </c>
      <c r="BM247" s="74">
        <v>0</v>
      </c>
      <c r="BN247" s="74">
        <f t="shared" si="760"/>
        <v>0</v>
      </c>
      <c r="BO247" s="74">
        <v>0</v>
      </c>
      <c r="BP247" s="74">
        <v>0</v>
      </c>
      <c r="BQ247" s="74">
        <f t="shared" si="827"/>
        <v>0</v>
      </c>
      <c r="BR247" s="74">
        <v>0</v>
      </c>
      <c r="BS247" s="74">
        <v>0</v>
      </c>
      <c r="BT247" s="74">
        <v>0</v>
      </c>
      <c r="BU247" s="74">
        <v>0</v>
      </c>
      <c r="BV247" s="74">
        <v>0</v>
      </c>
      <c r="BW247" s="74">
        <v>0</v>
      </c>
      <c r="BX247" s="74">
        <v>0</v>
      </c>
      <c r="BY247" s="74">
        <v>0</v>
      </c>
      <c r="BZ247" s="74">
        <v>0</v>
      </c>
      <c r="CA247" s="74">
        <v>0</v>
      </c>
      <c r="CB247" s="74">
        <v>0</v>
      </c>
      <c r="CC247" s="74">
        <f t="shared" si="828"/>
        <v>795000</v>
      </c>
      <c r="CD247" s="74">
        <f t="shared" si="829"/>
        <v>795000</v>
      </c>
      <c r="CE247" s="74">
        <f t="shared" si="764"/>
        <v>795000</v>
      </c>
      <c r="CF247" s="76"/>
      <c r="CG247" s="75">
        <v>795000</v>
      </c>
      <c r="CH247" s="74">
        <f t="shared" si="830"/>
        <v>0</v>
      </c>
      <c r="CI247" s="74">
        <v>0</v>
      </c>
      <c r="CJ247" s="74">
        <v>0</v>
      </c>
      <c r="CK247" s="74">
        <v>0</v>
      </c>
      <c r="CL247" s="74">
        <v>0</v>
      </c>
      <c r="CM247" s="74">
        <v>0</v>
      </c>
      <c r="CN247" s="74">
        <f t="shared" si="831"/>
        <v>0</v>
      </c>
      <c r="CO247" s="101"/>
      <c r="CP247" s="74">
        <v>0</v>
      </c>
      <c r="CQ247" s="74">
        <v>0</v>
      </c>
      <c r="CR247" s="74"/>
      <c r="CS247" s="74"/>
      <c r="CT247" s="74"/>
      <c r="CU247" s="74">
        <v>0</v>
      </c>
      <c r="CV247" s="74"/>
      <c r="CW247" s="74"/>
      <c r="CX247" s="74"/>
      <c r="CY247" s="74"/>
      <c r="CZ247" s="74">
        <f t="shared" si="767"/>
        <v>0</v>
      </c>
      <c r="DA247" s="74">
        <f t="shared" si="768"/>
        <v>0</v>
      </c>
      <c r="DB247" s="74">
        <v>0</v>
      </c>
      <c r="DC247" s="77">
        <v>0</v>
      </c>
    </row>
    <row r="248" spans="1:108" s="52" customFormat="1" ht="31.2" x14ac:dyDescent="0.3">
      <c r="A248" s="94" t="s">
        <v>1</v>
      </c>
      <c r="B248" s="21" t="s">
        <v>56</v>
      </c>
      <c r="C248" s="22" t="s">
        <v>487</v>
      </c>
      <c r="D248" s="19">
        <f t="shared" si="819"/>
        <v>37100142</v>
      </c>
      <c r="E248" s="19">
        <f t="shared" si="820"/>
        <v>35920142</v>
      </c>
      <c r="F248" s="19">
        <f t="shared" si="821"/>
        <v>35920142</v>
      </c>
      <c r="G248" s="19">
        <f>13981200+393514</f>
        <v>14374714</v>
      </c>
      <c r="H248" s="19">
        <f>3495300+99204</f>
        <v>3594504</v>
      </c>
      <c r="I248" s="19">
        <f t="shared" si="747"/>
        <v>8822679</v>
      </c>
      <c r="J248" s="23">
        <f>4563300+2073</f>
        <v>4565373</v>
      </c>
      <c r="K248" s="23">
        <v>70000</v>
      </c>
      <c r="L248" s="23">
        <f>16000+2767</f>
        <v>18767</v>
      </c>
      <c r="M248" s="23">
        <v>1000</v>
      </c>
      <c r="N248" s="23">
        <v>502500</v>
      </c>
      <c r="O248" s="23">
        <v>3665039</v>
      </c>
      <c r="P248" s="19">
        <f t="shared" si="755"/>
        <v>10000</v>
      </c>
      <c r="Q248" s="23">
        <v>10000</v>
      </c>
      <c r="R248" s="23">
        <v>0</v>
      </c>
      <c r="S248" s="23">
        <v>0</v>
      </c>
      <c r="T248" s="23">
        <f>88160+6693</f>
        <v>94853</v>
      </c>
      <c r="U248" s="19">
        <f t="shared" si="822"/>
        <v>4267829</v>
      </c>
      <c r="V248" s="23">
        <v>810000</v>
      </c>
      <c r="W248" s="23">
        <f>1700259+168253</f>
        <v>1868512</v>
      </c>
      <c r="X248" s="23">
        <f>822717+169735</f>
        <v>992452</v>
      </c>
      <c r="Y248" s="23">
        <f>290371+41889</f>
        <v>332260</v>
      </c>
      <c r="Z248" s="23">
        <v>143003</v>
      </c>
      <c r="AA248" s="23">
        <v>0</v>
      </c>
      <c r="AB248" s="23">
        <v>0</v>
      </c>
      <c r="AC248" s="23">
        <f>91278+30324</f>
        <v>121602</v>
      </c>
      <c r="AD248" s="19">
        <f t="shared" si="823"/>
        <v>4755563</v>
      </c>
      <c r="AE248" s="23">
        <v>0</v>
      </c>
      <c r="AF248" s="23">
        <v>0</v>
      </c>
      <c r="AG248" s="23">
        <v>704050</v>
      </c>
      <c r="AH248" s="23">
        <v>2857213</v>
      </c>
      <c r="AI248" s="23">
        <v>0</v>
      </c>
      <c r="AJ248" s="23">
        <v>33500</v>
      </c>
      <c r="AK248" s="23">
        <v>0</v>
      </c>
      <c r="AL248" s="23">
        <v>10200</v>
      </c>
      <c r="AM248" s="23">
        <v>356000</v>
      </c>
      <c r="AN248" s="23">
        <v>0</v>
      </c>
      <c r="AO248" s="23">
        <v>600</v>
      </c>
      <c r="AP248" s="23">
        <v>0</v>
      </c>
      <c r="AQ248" s="23">
        <v>25000</v>
      </c>
      <c r="AR248" s="23">
        <v>56000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713000</v>
      </c>
      <c r="AZ248" s="23"/>
      <c r="BA248" s="23"/>
      <c r="BB248" s="23"/>
      <c r="BC248" s="19">
        <f t="shared" si="824"/>
        <v>0</v>
      </c>
      <c r="BD248" s="19">
        <f t="shared" si="825"/>
        <v>0</v>
      </c>
      <c r="BE248" s="19">
        <v>0</v>
      </c>
      <c r="BF248" s="19">
        <v>0</v>
      </c>
      <c r="BG248" s="19">
        <v>0</v>
      </c>
      <c r="BH248" s="19">
        <f t="shared" si="826"/>
        <v>0</v>
      </c>
      <c r="BI248" s="19">
        <v>0</v>
      </c>
      <c r="BJ248" s="19">
        <v>0</v>
      </c>
      <c r="BK248" s="19">
        <v>0</v>
      </c>
      <c r="BL248" s="19">
        <v>0</v>
      </c>
      <c r="BM248" s="19">
        <v>0</v>
      </c>
      <c r="BN248" s="19">
        <f t="shared" si="760"/>
        <v>0</v>
      </c>
      <c r="BO248" s="19">
        <v>0</v>
      </c>
      <c r="BP248" s="19">
        <v>0</v>
      </c>
      <c r="BQ248" s="19">
        <f t="shared" si="827"/>
        <v>0</v>
      </c>
      <c r="BR248" s="19">
        <v>0</v>
      </c>
      <c r="BS248" s="19">
        <v>0</v>
      </c>
      <c r="BT248" s="19">
        <v>0</v>
      </c>
      <c r="BU248" s="19">
        <v>0</v>
      </c>
      <c r="BV248" s="19">
        <v>0</v>
      </c>
      <c r="BW248" s="19">
        <v>0</v>
      </c>
      <c r="BX248" s="19">
        <v>0</v>
      </c>
      <c r="BY248" s="19">
        <v>0</v>
      </c>
      <c r="BZ248" s="19">
        <v>0</v>
      </c>
      <c r="CA248" s="19">
        <v>0</v>
      </c>
      <c r="CB248" s="19">
        <v>0</v>
      </c>
      <c r="CC248" s="19">
        <f t="shared" si="828"/>
        <v>1180000</v>
      </c>
      <c r="CD248" s="19">
        <f t="shared" si="829"/>
        <v>1180000</v>
      </c>
      <c r="CE248" s="19">
        <f t="shared" si="764"/>
        <v>1180000</v>
      </c>
      <c r="CF248" s="24"/>
      <c r="CG248" s="23">
        <v>1180000</v>
      </c>
      <c r="CH248" s="19">
        <f t="shared" si="830"/>
        <v>0</v>
      </c>
      <c r="CI248" s="19">
        <v>0</v>
      </c>
      <c r="CJ248" s="19">
        <v>0</v>
      </c>
      <c r="CK248" s="19">
        <v>0</v>
      </c>
      <c r="CL248" s="19">
        <v>0</v>
      </c>
      <c r="CM248" s="19">
        <v>0</v>
      </c>
      <c r="CN248" s="19">
        <f t="shared" si="831"/>
        <v>0</v>
      </c>
      <c r="CO248" s="51"/>
      <c r="CP248" s="19">
        <v>0</v>
      </c>
      <c r="CQ248" s="19">
        <v>0</v>
      </c>
      <c r="CR248" s="19"/>
      <c r="CS248" s="19"/>
      <c r="CT248" s="19"/>
      <c r="CU248" s="19">
        <v>0</v>
      </c>
      <c r="CV248" s="74"/>
      <c r="CW248" s="74"/>
      <c r="CX248" s="74"/>
      <c r="CY248" s="74"/>
      <c r="CZ248" s="19">
        <f t="shared" si="767"/>
        <v>0</v>
      </c>
      <c r="DA248" s="19">
        <f t="shared" si="768"/>
        <v>0</v>
      </c>
      <c r="DB248" s="19">
        <v>0</v>
      </c>
      <c r="DC248" s="20">
        <v>0</v>
      </c>
    </row>
    <row r="249" spans="1:108" s="78" customFormat="1" ht="15.6" x14ac:dyDescent="0.3">
      <c r="A249" s="96" t="s">
        <v>1</v>
      </c>
      <c r="B249" s="71" t="s">
        <v>56</v>
      </c>
      <c r="C249" s="72" t="s">
        <v>488</v>
      </c>
      <c r="D249" s="74">
        <f t="shared" si="819"/>
        <v>9563901</v>
      </c>
      <c r="E249" s="74">
        <f t="shared" si="820"/>
        <v>9411901</v>
      </c>
      <c r="F249" s="74">
        <f t="shared" si="821"/>
        <v>9411901</v>
      </c>
      <c r="G249" s="74">
        <f>4229729+204026</f>
        <v>4433755</v>
      </c>
      <c r="H249" s="74">
        <f>1057431+41359</f>
        <v>1098790</v>
      </c>
      <c r="I249" s="74">
        <f t="shared" si="747"/>
        <v>1924297</v>
      </c>
      <c r="J249" s="75">
        <v>290539</v>
      </c>
      <c r="K249" s="75">
        <v>4500</v>
      </c>
      <c r="L249" s="75">
        <v>24000</v>
      </c>
      <c r="M249" s="75">
        <v>0</v>
      </c>
      <c r="N249" s="75">
        <v>174000</v>
      </c>
      <c r="O249" s="75">
        <v>1431258</v>
      </c>
      <c r="P249" s="74">
        <f t="shared" si="755"/>
        <v>0</v>
      </c>
      <c r="Q249" s="75">
        <v>0</v>
      </c>
      <c r="R249" s="75">
        <v>0</v>
      </c>
      <c r="S249" s="75">
        <v>0</v>
      </c>
      <c r="T249" s="75">
        <v>34000</v>
      </c>
      <c r="U249" s="74">
        <f t="shared" si="822"/>
        <v>1121399</v>
      </c>
      <c r="V249" s="75">
        <v>44000</v>
      </c>
      <c r="W249" s="75">
        <f>568519+168018</f>
        <v>736537</v>
      </c>
      <c r="X249" s="75">
        <f>225826+16828</f>
        <v>242654</v>
      </c>
      <c r="Y249" s="75">
        <f>48583+1170</f>
        <v>49753</v>
      </c>
      <c r="Z249" s="75">
        <v>21788</v>
      </c>
      <c r="AA249" s="75">
        <v>0</v>
      </c>
      <c r="AB249" s="75">
        <v>0</v>
      </c>
      <c r="AC249" s="75">
        <f>21802+4865</f>
        <v>26667</v>
      </c>
      <c r="AD249" s="74">
        <f t="shared" si="823"/>
        <v>799660</v>
      </c>
      <c r="AE249" s="23">
        <v>0</v>
      </c>
      <c r="AF249" s="23">
        <v>0</v>
      </c>
      <c r="AG249" s="75">
        <v>187000</v>
      </c>
      <c r="AH249" s="75">
        <v>236000</v>
      </c>
      <c r="AI249" s="75">
        <v>0</v>
      </c>
      <c r="AJ249" s="75">
        <v>13000</v>
      </c>
      <c r="AK249" s="75">
        <v>0</v>
      </c>
      <c r="AL249" s="75">
        <v>800</v>
      </c>
      <c r="AM249" s="75">
        <v>16000</v>
      </c>
      <c r="AN249" s="75">
        <v>0</v>
      </c>
      <c r="AO249" s="75">
        <v>0</v>
      </c>
      <c r="AP249" s="75">
        <v>0</v>
      </c>
      <c r="AQ249" s="75">
        <v>0</v>
      </c>
      <c r="AR249" s="75">
        <v>220860</v>
      </c>
      <c r="AS249" s="75">
        <v>0</v>
      </c>
      <c r="AT249" s="75">
        <v>0</v>
      </c>
      <c r="AU249" s="75">
        <v>0</v>
      </c>
      <c r="AV249" s="75">
        <v>0</v>
      </c>
      <c r="AW249" s="75">
        <v>0</v>
      </c>
      <c r="AX249" s="75">
        <v>0</v>
      </c>
      <c r="AY249" s="75">
        <v>126000</v>
      </c>
      <c r="AZ249" s="75"/>
      <c r="BA249" s="75"/>
      <c r="BB249" s="75"/>
      <c r="BC249" s="74">
        <f t="shared" si="824"/>
        <v>0</v>
      </c>
      <c r="BD249" s="74">
        <f t="shared" si="825"/>
        <v>0</v>
      </c>
      <c r="BE249" s="74">
        <v>0</v>
      </c>
      <c r="BF249" s="74">
        <v>0</v>
      </c>
      <c r="BG249" s="74">
        <v>0</v>
      </c>
      <c r="BH249" s="74">
        <f t="shared" si="826"/>
        <v>0</v>
      </c>
      <c r="BI249" s="74">
        <v>0</v>
      </c>
      <c r="BJ249" s="74">
        <v>0</v>
      </c>
      <c r="BK249" s="74">
        <v>0</v>
      </c>
      <c r="BL249" s="74">
        <v>0</v>
      </c>
      <c r="BM249" s="74">
        <v>0</v>
      </c>
      <c r="BN249" s="74">
        <f t="shared" si="760"/>
        <v>0</v>
      </c>
      <c r="BO249" s="74">
        <v>0</v>
      </c>
      <c r="BP249" s="74">
        <v>0</v>
      </c>
      <c r="BQ249" s="74">
        <f t="shared" si="827"/>
        <v>0</v>
      </c>
      <c r="BR249" s="74">
        <v>0</v>
      </c>
      <c r="BS249" s="74">
        <v>0</v>
      </c>
      <c r="BT249" s="74">
        <v>0</v>
      </c>
      <c r="BU249" s="74">
        <v>0</v>
      </c>
      <c r="BV249" s="74">
        <v>0</v>
      </c>
      <c r="BW249" s="74">
        <v>0</v>
      </c>
      <c r="BX249" s="74">
        <v>0</v>
      </c>
      <c r="BY249" s="74">
        <v>0</v>
      </c>
      <c r="BZ249" s="74">
        <v>0</v>
      </c>
      <c r="CA249" s="74">
        <v>0</v>
      </c>
      <c r="CB249" s="74">
        <v>0</v>
      </c>
      <c r="CC249" s="74">
        <f t="shared" si="828"/>
        <v>152000</v>
      </c>
      <c r="CD249" s="74">
        <f t="shared" si="829"/>
        <v>152000</v>
      </c>
      <c r="CE249" s="74">
        <f t="shared" si="764"/>
        <v>152000</v>
      </c>
      <c r="CF249" s="76"/>
      <c r="CG249" s="75">
        <v>152000</v>
      </c>
      <c r="CH249" s="74">
        <f t="shared" si="830"/>
        <v>0</v>
      </c>
      <c r="CI249" s="74">
        <v>0</v>
      </c>
      <c r="CJ249" s="74">
        <v>0</v>
      </c>
      <c r="CK249" s="74">
        <v>0</v>
      </c>
      <c r="CL249" s="74">
        <v>0</v>
      </c>
      <c r="CM249" s="74">
        <v>0</v>
      </c>
      <c r="CN249" s="74">
        <f t="shared" si="831"/>
        <v>0</v>
      </c>
      <c r="CO249" s="101">
        <v>0</v>
      </c>
      <c r="CP249" s="74">
        <v>0</v>
      </c>
      <c r="CQ249" s="74">
        <v>0</v>
      </c>
      <c r="CR249" s="74"/>
      <c r="CS249" s="74"/>
      <c r="CT249" s="74"/>
      <c r="CU249" s="74">
        <v>0</v>
      </c>
      <c r="CV249" s="74"/>
      <c r="CW249" s="74"/>
      <c r="CX249" s="74"/>
      <c r="CY249" s="74"/>
      <c r="CZ249" s="74">
        <f t="shared" si="767"/>
        <v>0</v>
      </c>
      <c r="DA249" s="74">
        <f t="shared" si="768"/>
        <v>0</v>
      </c>
      <c r="DB249" s="74">
        <v>0</v>
      </c>
      <c r="DC249" s="77">
        <v>0</v>
      </c>
    </row>
    <row r="250" spans="1:108" s="78" customFormat="1" ht="31.2" x14ac:dyDescent="0.3">
      <c r="A250" s="96" t="s">
        <v>1</v>
      </c>
      <c r="B250" s="71" t="s">
        <v>58</v>
      </c>
      <c r="C250" s="72" t="s">
        <v>489</v>
      </c>
      <c r="D250" s="74">
        <f t="shared" si="819"/>
        <v>10347796</v>
      </c>
      <c r="E250" s="74">
        <f t="shared" si="820"/>
        <v>10307796</v>
      </c>
      <c r="F250" s="74">
        <f t="shared" si="821"/>
        <v>9935397</v>
      </c>
      <c r="G250" s="74">
        <f>2827910+215198</f>
        <v>3043108</v>
      </c>
      <c r="H250" s="74">
        <f>706242+53047</f>
        <v>759289</v>
      </c>
      <c r="I250" s="74">
        <f t="shared" si="747"/>
        <v>2098833</v>
      </c>
      <c r="J250" s="75">
        <v>0</v>
      </c>
      <c r="K250" s="75">
        <v>0</v>
      </c>
      <c r="L250" s="75">
        <f>868742+60104</f>
        <v>928846</v>
      </c>
      <c r="M250" s="75">
        <v>0</v>
      </c>
      <c r="N250" s="75">
        <f>548613+110000</f>
        <v>658613</v>
      </c>
      <c r="O250" s="75">
        <f>403645+107729</f>
        <v>511374</v>
      </c>
      <c r="P250" s="74">
        <f t="shared" si="755"/>
        <v>18689</v>
      </c>
      <c r="Q250" s="75">
        <v>18689</v>
      </c>
      <c r="R250" s="75">
        <v>0</v>
      </c>
      <c r="S250" s="75">
        <v>0</v>
      </c>
      <c r="T250" s="75">
        <f>72412+10370</f>
        <v>82782</v>
      </c>
      <c r="U250" s="74">
        <f t="shared" si="822"/>
        <v>3055644</v>
      </c>
      <c r="V250" s="75">
        <f>119863+303623</f>
        <v>423486</v>
      </c>
      <c r="W250" s="75">
        <f>1277801+257923</f>
        <v>1535724</v>
      </c>
      <c r="X250" s="75">
        <f>429724+118345</f>
        <v>548069</v>
      </c>
      <c r="Y250" s="75">
        <f>324332+93040</f>
        <v>417372</v>
      </c>
      <c r="Z250" s="75">
        <f>95993+35000</f>
        <v>130993</v>
      </c>
      <c r="AA250" s="75">
        <v>0</v>
      </c>
      <c r="AB250" s="75">
        <v>0</v>
      </c>
      <c r="AC250" s="75">
        <v>0</v>
      </c>
      <c r="AD250" s="74">
        <f t="shared" si="823"/>
        <v>877052</v>
      </c>
      <c r="AE250" s="23">
        <v>0</v>
      </c>
      <c r="AF250" s="23">
        <v>0</v>
      </c>
      <c r="AG250" s="101">
        <f>0+15000</f>
        <v>15000</v>
      </c>
      <c r="AH250" s="101">
        <f>0+43289</f>
        <v>43289</v>
      </c>
      <c r="AI250" s="101">
        <v>0</v>
      </c>
      <c r="AJ250" s="101">
        <v>0</v>
      </c>
      <c r="AK250" s="101">
        <v>0</v>
      </c>
      <c r="AL250" s="101">
        <v>0</v>
      </c>
      <c r="AM250" s="101">
        <f>0+5000</f>
        <v>5000</v>
      </c>
      <c r="AN250" s="101">
        <v>0</v>
      </c>
      <c r="AO250" s="101">
        <v>0</v>
      </c>
      <c r="AP250" s="101">
        <v>0</v>
      </c>
      <c r="AQ250" s="101">
        <v>0</v>
      </c>
      <c r="AR250" s="101">
        <v>95196</v>
      </c>
      <c r="AS250" s="101">
        <v>0</v>
      </c>
      <c r="AT250" s="101">
        <v>0</v>
      </c>
      <c r="AU250" s="101">
        <v>0</v>
      </c>
      <c r="AV250" s="101">
        <v>0</v>
      </c>
      <c r="AW250" s="101">
        <v>0</v>
      </c>
      <c r="AX250" s="101">
        <v>0</v>
      </c>
      <c r="AY250" s="101">
        <f>338077+380490</f>
        <v>718567</v>
      </c>
      <c r="AZ250" s="101"/>
      <c r="BA250" s="101"/>
      <c r="BB250" s="101"/>
      <c r="BC250" s="74">
        <f t="shared" si="824"/>
        <v>372399</v>
      </c>
      <c r="BD250" s="74">
        <f t="shared" si="825"/>
        <v>0</v>
      </c>
      <c r="BE250" s="74">
        <v>0</v>
      </c>
      <c r="BF250" s="74">
        <v>0</v>
      </c>
      <c r="BG250" s="74">
        <v>0</v>
      </c>
      <c r="BH250" s="74">
        <f t="shared" si="826"/>
        <v>0</v>
      </c>
      <c r="BI250" s="74">
        <v>0</v>
      </c>
      <c r="BJ250" s="74">
        <v>0</v>
      </c>
      <c r="BK250" s="74">
        <v>0</v>
      </c>
      <c r="BL250" s="74">
        <v>0</v>
      </c>
      <c r="BM250" s="74">
        <v>0</v>
      </c>
      <c r="BN250" s="74">
        <f t="shared" si="760"/>
        <v>0</v>
      </c>
      <c r="BO250" s="74">
        <v>0</v>
      </c>
      <c r="BP250" s="74">
        <v>0</v>
      </c>
      <c r="BQ250" s="74">
        <f t="shared" si="827"/>
        <v>372399</v>
      </c>
      <c r="BR250" s="74">
        <v>0</v>
      </c>
      <c r="BS250" s="74">
        <v>0</v>
      </c>
      <c r="BT250" s="74">
        <v>0</v>
      </c>
      <c r="BU250" s="74">
        <v>0</v>
      </c>
      <c r="BV250" s="74">
        <v>0</v>
      </c>
      <c r="BW250" s="74">
        <v>0</v>
      </c>
      <c r="BX250" s="74">
        <v>0</v>
      </c>
      <c r="BY250" s="74">
        <v>0</v>
      </c>
      <c r="BZ250" s="74">
        <v>0</v>
      </c>
      <c r="CA250" s="74">
        <v>0</v>
      </c>
      <c r="CB250" s="74">
        <v>372399</v>
      </c>
      <c r="CC250" s="74">
        <f t="shared" si="828"/>
        <v>40000</v>
      </c>
      <c r="CD250" s="74">
        <f t="shared" si="829"/>
        <v>40000</v>
      </c>
      <c r="CE250" s="74">
        <f t="shared" si="764"/>
        <v>40000</v>
      </c>
      <c r="CF250" s="75"/>
      <c r="CG250" s="75">
        <f>0+40000</f>
        <v>40000</v>
      </c>
      <c r="CH250" s="74">
        <f t="shared" si="830"/>
        <v>0</v>
      </c>
      <c r="CI250" s="75">
        <v>0</v>
      </c>
      <c r="CJ250" s="75">
        <v>0</v>
      </c>
      <c r="CK250" s="75">
        <v>0</v>
      </c>
      <c r="CL250" s="75">
        <v>0</v>
      </c>
      <c r="CM250" s="75">
        <v>0</v>
      </c>
      <c r="CN250" s="74">
        <f t="shared" si="831"/>
        <v>0</v>
      </c>
      <c r="CO250" s="75"/>
      <c r="CP250" s="75"/>
      <c r="CQ250" s="75">
        <v>0</v>
      </c>
      <c r="CR250" s="75"/>
      <c r="CS250" s="75"/>
      <c r="CT250" s="75"/>
      <c r="CU250" s="74">
        <v>0</v>
      </c>
      <c r="CV250" s="74"/>
      <c r="CW250" s="74"/>
      <c r="CX250" s="74"/>
      <c r="CY250" s="74"/>
      <c r="CZ250" s="74">
        <f t="shared" si="767"/>
        <v>0</v>
      </c>
      <c r="DA250" s="74">
        <f t="shared" si="768"/>
        <v>0</v>
      </c>
      <c r="DB250" s="74">
        <v>0</v>
      </c>
      <c r="DC250" s="77">
        <v>0</v>
      </c>
    </row>
    <row r="251" spans="1:108" s="52" customFormat="1" ht="31.2" x14ac:dyDescent="0.3">
      <c r="A251" s="94" t="s">
        <v>1</v>
      </c>
      <c r="B251" s="21" t="s">
        <v>60</v>
      </c>
      <c r="C251" s="22" t="s">
        <v>570</v>
      </c>
      <c r="D251" s="19">
        <f t="shared" si="819"/>
        <v>710257</v>
      </c>
      <c r="E251" s="19">
        <f t="shared" si="820"/>
        <v>710257</v>
      </c>
      <c r="F251" s="19">
        <f t="shared" si="821"/>
        <v>710257</v>
      </c>
      <c r="G251" s="19">
        <v>0</v>
      </c>
      <c r="H251" s="19">
        <v>0</v>
      </c>
      <c r="I251" s="19">
        <f t="shared" si="747"/>
        <v>3500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3500</v>
      </c>
      <c r="P251" s="19">
        <f t="shared" si="755"/>
        <v>0</v>
      </c>
      <c r="Q251" s="23">
        <v>0</v>
      </c>
      <c r="R251" s="23">
        <v>0</v>
      </c>
      <c r="S251" s="23">
        <v>0</v>
      </c>
      <c r="T251" s="23">
        <v>0</v>
      </c>
      <c r="U251" s="19">
        <f t="shared" si="822"/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3">
        <v>0</v>
      </c>
      <c r="AC251" s="23">
        <v>0</v>
      </c>
      <c r="AD251" s="19">
        <f t="shared" si="823"/>
        <v>706757</v>
      </c>
      <c r="AE251" s="23">
        <v>0</v>
      </c>
      <c r="AF251" s="23">
        <v>0</v>
      </c>
      <c r="AG251" s="51">
        <v>0</v>
      </c>
      <c r="AH251" s="51">
        <v>0</v>
      </c>
      <c r="AI251" s="51">
        <v>0</v>
      </c>
      <c r="AJ251" s="51">
        <v>0</v>
      </c>
      <c r="AK251" s="51">
        <v>0</v>
      </c>
      <c r="AL251" s="51">
        <v>1500</v>
      </c>
      <c r="AM251" s="51">
        <f>696385+8742</f>
        <v>705127</v>
      </c>
      <c r="AN251" s="51">
        <v>0</v>
      </c>
      <c r="AO251" s="51">
        <v>0</v>
      </c>
      <c r="AP251" s="51">
        <v>0</v>
      </c>
      <c r="AQ251" s="51">
        <v>0</v>
      </c>
      <c r="AR251" s="51">
        <v>0</v>
      </c>
      <c r="AS251" s="51">
        <v>0</v>
      </c>
      <c r="AT251" s="51">
        <v>0</v>
      </c>
      <c r="AU251" s="51">
        <v>0</v>
      </c>
      <c r="AV251" s="51">
        <v>0</v>
      </c>
      <c r="AW251" s="51">
        <v>0</v>
      </c>
      <c r="AX251" s="51">
        <v>0</v>
      </c>
      <c r="AY251" s="51">
        <v>130</v>
      </c>
      <c r="AZ251" s="51"/>
      <c r="BA251" s="51"/>
      <c r="BB251" s="51"/>
      <c r="BC251" s="19">
        <f t="shared" si="824"/>
        <v>0</v>
      </c>
      <c r="BD251" s="19">
        <f t="shared" si="825"/>
        <v>0</v>
      </c>
      <c r="BE251" s="19">
        <v>0</v>
      </c>
      <c r="BF251" s="19">
        <v>0</v>
      </c>
      <c r="BG251" s="19">
        <v>0</v>
      </c>
      <c r="BH251" s="19">
        <f t="shared" si="826"/>
        <v>0</v>
      </c>
      <c r="BI251" s="19">
        <v>0</v>
      </c>
      <c r="BJ251" s="19">
        <v>0</v>
      </c>
      <c r="BK251" s="19">
        <v>0</v>
      </c>
      <c r="BL251" s="19">
        <v>0</v>
      </c>
      <c r="BM251" s="19">
        <v>0</v>
      </c>
      <c r="BN251" s="19">
        <f t="shared" si="760"/>
        <v>0</v>
      </c>
      <c r="BO251" s="19">
        <v>0</v>
      </c>
      <c r="BP251" s="19">
        <v>0</v>
      </c>
      <c r="BQ251" s="19">
        <f t="shared" si="827"/>
        <v>0</v>
      </c>
      <c r="BR251" s="19">
        <v>0</v>
      </c>
      <c r="BS251" s="19">
        <v>0</v>
      </c>
      <c r="BT251" s="19">
        <v>0</v>
      </c>
      <c r="BU251" s="19">
        <v>0</v>
      </c>
      <c r="BV251" s="19">
        <v>0</v>
      </c>
      <c r="BW251" s="19">
        <v>0</v>
      </c>
      <c r="BX251" s="19">
        <v>0</v>
      </c>
      <c r="BY251" s="19">
        <v>0</v>
      </c>
      <c r="BZ251" s="19">
        <v>0</v>
      </c>
      <c r="CA251" s="19">
        <v>0</v>
      </c>
      <c r="CB251" s="19">
        <v>0</v>
      </c>
      <c r="CC251" s="19">
        <f t="shared" si="828"/>
        <v>0</v>
      </c>
      <c r="CD251" s="19">
        <f t="shared" si="829"/>
        <v>0</v>
      </c>
      <c r="CE251" s="19">
        <f t="shared" si="764"/>
        <v>0</v>
      </c>
      <c r="CF251" s="23"/>
      <c r="CG251" s="23">
        <v>0</v>
      </c>
      <c r="CH251" s="19">
        <f t="shared" si="830"/>
        <v>0</v>
      </c>
      <c r="CI251" s="23">
        <v>0</v>
      </c>
      <c r="CJ251" s="23">
        <v>0</v>
      </c>
      <c r="CK251" s="23">
        <v>0</v>
      </c>
      <c r="CL251" s="23">
        <v>0</v>
      </c>
      <c r="CM251" s="23">
        <v>0</v>
      </c>
      <c r="CN251" s="19">
        <f t="shared" si="831"/>
        <v>0</v>
      </c>
      <c r="CO251" s="23"/>
      <c r="CP251" s="23"/>
      <c r="CQ251" s="23">
        <v>0</v>
      </c>
      <c r="CR251" s="23"/>
      <c r="CS251" s="23"/>
      <c r="CT251" s="23"/>
      <c r="CU251" s="19">
        <v>0</v>
      </c>
      <c r="CV251" s="74"/>
      <c r="CW251" s="74"/>
      <c r="CX251" s="74"/>
      <c r="CY251" s="74"/>
      <c r="CZ251" s="19">
        <f t="shared" si="767"/>
        <v>0</v>
      </c>
      <c r="DA251" s="19">
        <f t="shared" si="768"/>
        <v>0</v>
      </c>
      <c r="DB251" s="19">
        <v>0</v>
      </c>
      <c r="DC251" s="20">
        <v>0</v>
      </c>
    </row>
    <row r="252" spans="1:108" s="78" customFormat="1" ht="15.6" x14ac:dyDescent="0.3">
      <c r="A252" s="96" t="s">
        <v>1</v>
      </c>
      <c r="B252" s="71" t="s">
        <v>124</v>
      </c>
      <c r="C252" s="72" t="s">
        <v>490</v>
      </c>
      <c r="D252" s="74">
        <f t="shared" si="819"/>
        <v>46318177</v>
      </c>
      <c r="E252" s="74">
        <f t="shared" si="820"/>
        <v>44544817</v>
      </c>
      <c r="F252" s="74">
        <f t="shared" si="821"/>
        <v>44519209</v>
      </c>
      <c r="G252" s="74">
        <v>30128836</v>
      </c>
      <c r="H252" s="74">
        <f>2703793+60677</f>
        <v>2764470</v>
      </c>
      <c r="I252" s="74">
        <f t="shared" si="747"/>
        <v>7477628</v>
      </c>
      <c r="J252" s="75">
        <f>33954+24205</f>
        <v>58159</v>
      </c>
      <c r="K252" s="75">
        <v>481352</v>
      </c>
      <c r="L252" s="75">
        <v>0</v>
      </c>
      <c r="M252" s="75">
        <v>0</v>
      </c>
      <c r="N252" s="75">
        <f>2901948+20829</f>
        <v>2922777</v>
      </c>
      <c r="O252" s="75">
        <f>3401233+614107</f>
        <v>4015340</v>
      </c>
      <c r="P252" s="74">
        <f t="shared" si="755"/>
        <v>80000</v>
      </c>
      <c r="Q252" s="75">
        <v>13000</v>
      </c>
      <c r="R252" s="75">
        <v>67000</v>
      </c>
      <c r="S252" s="75">
        <v>0</v>
      </c>
      <c r="T252" s="75">
        <v>304380</v>
      </c>
      <c r="U252" s="74">
        <f t="shared" si="822"/>
        <v>1005237</v>
      </c>
      <c r="V252" s="75">
        <f>115436+55254</f>
        <v>170690</v>
      </c>
      <c r="W252" s="75">
        <f>344541-16404</f>
        <v>328137</v>
      </c>
      <c r="X252" s="75">
        <f>325514-16172</f>
        <v>309342</v>
      </c>
      <c r="Y252" s="75">
        <f>130897-9399</f>
        <v>121498</v>
      </c>
      <c r="Z252" s="75">
        <v>36452</v>
      </c>
      <c r="AA252" s="75">
        <v>0</v>
      </c>
      <c r="AB252" s="75">
        <v>0</v>
      </c>
      <c r="AC252" s="75">
        <f>40258-1140</f>
        <v>39118</v>
      </c>
      <c r="AD252" s="74">
        <f t="shared" si="823"/>
        <v>2758658</v>
      </c>
      <c r="AE252" s="23">
        <v>0</v>
      </c>
      <c r="AF252" s="23">
        <v>0</v>
      </c>
      <c r="AG252" s="101">
        <v>180275</v>
      </c>
      <c r="AH252" s="101">
        <v>673881</v>
      </c>
      <c r="AI252" s="101">
        <v>0</v>
      </c>
      <c r="AJ252" s="101">
        <v>22476</v>
      </c>
      <c r="AK252" s="101">
        <v>0</v>
      </c>
      <c r="AL252" s="101">
        <v>23393</v>
      </c>
      <c r="AM252" s="101">
        <v>7767</v>
      </c>
      <c r="AN252" s="101">
        <v>0</v>
      </c>
      <c r="AO252" s="101">
        <v>0</v>
      </c>
      <c r="AP252" s="101">
        <v>172240</v>
      </c>
      <c r="AQ252" s="101">
        <v>0</v>
      </c>
      <c r="AR252" s="101">
        <v>122800</v>
      </c>
      <c r="AS252" s="101">
        <v>0</v>
      </c>
      <c r="AT252" s="101">
        <v>0</v>
      </c>
      <c r="AU252" s="101">
        <v>0</v>
      </c>
      <c r="AV252" s="101">
        <v>866478</v>
      </c>
      <c r="AW252" s="101">
        <v>249252</v>
      </c>
      <c r="AX252" s="101">
        <v>0</v>
      </c>
      <c r="AY252" s="101">
        <v>440096</v>
      </c>
      <c r="AZ252" s="101"/>
      <c r="BA252" s="101"/>
      <c r="BB252" s="101"/>
      <c r="BC252" s="74">
        <f t="shared" si="824"/>
        <v>25608</v>
      </c>
      <c r="BD252" s="74">
        <f t="shared" si="825"/>
        <v>0</v>
      </c>
      <c r="BE252" s="74">
        <v>0</v>
      </c>
      <c r="BF252" s="74">
        <v>0</v>
      </c>
      <c r="BG252" s="74">
        <v>0</v>
      </c>
      <c r="BH252" s="74">
        <f t="shared" si="826"/>
        <v>0</v>
      </c>
      <c r="BI252" s="74">
        <v>0</v>
      </c>
      <c r="BJ252" s="74">
        <v>0</v>
      </c>
      <c r="BK252" s="74">
        <v>0</v>
      </c>
      <c r="BL252" s="74">
        <v>0</v>
      </c>
      <c r="BM252" s="74">
        <v>0</v>
      </c>
      <c r="BN252" s="74">
        <f t="shared" si="760"/>
        <v>0</v>
      </c>
      <c r="BO252" s="74">
        <v>0</v>
      </c>
      <c r="BP252" s="74">
        <v>0</v>
      </c>
      <c r="BQ252" s="74">
        <f t="shared" si="827"/>
        <v>25608</v>
      </c>
      <c r="BR252" s="74">
        <v>0</v>
      </c>
      <c r="BS252" s="74">
        <v>0</v>
      </c>
      <c r="BT252" s="74">
        <v>0</v>
      </c>
      <c r="BU252" s="74">
        <v>0</v>
      </c>
      <c r="BV252" s="74">
        <v>0</v>
      </c>
      <c r="BW252" s="74">
        <v>0</v>
      </c>
      <c r="BX252" s="74">
        <v>0</v>
      </c>
      <c r="BY252" s="74">
        <v>0</v>
      </c>
      <c r="BZ252" s="74">
        <v>0</v>
      </c>
      <c r="CA252" s="74">
        <v>25608</v>
      </c>
      <c r="CB252" s="74">
        <v>0</v>
      </c>
      <c r="CC252" s="74">
        <f>SUM(CD252+CU252)</f>
        <v>1773360</v>
      </c>
      <c r="CD252" s="74">
        <f t="shared" si="829"/>
        <v>1773360</v>
      </c>
      <c r="CE252" s="74">
        <f t="shared" si="764"/>
        <v>1773360</v>
      </c>
      <c r="CF252" s="75"/>
      <c r="CG252" s="75">
        <f>1760961+12399</f>
        <v>1773360</v>
      </c>
      <c r="CH252" s="74">
        <f t="shared" si="830"/>
        <v>0</v>
      </c>
      <c r="CI252" s="75">
        <v>0</v>
      </c>
      <c r="CJ252" s="75">
        <v>0</v>
      </c>
      <c r="CK252" s="75"/>
      <c r="CL252" s="75"/>
      <c r="CM252" s="75"/>
      <c r="CN252" s="74">
        <f t="shared" si="831"/>
        <v>0</v>
      </c>
      <c r="CO252" s="75"/>
      <c r="CP252" s="75"/>
      <c r="CQ252" s="75">
        <v>0</v>
      </c>
      <c r="CR252" s="75"/>
      <c r="CS252" s="75"/>
      <c r="CT252" s="75"/>
      <c r="CU252" s="74">
        <v>0</v>
      </c>
      <c r="CV252" s="74"/>
      <c r="CW252" s="74"/>
      <c r="CX252" s="74"/>
      <c r="CY252" s="74"/>
      <c r="CZ252" s="74">
        <f t="shared" si="767"/>
        <v>0</v>
      </c>
      <c r="DA252" s="74">
        <f t="shared" si="768"/>
        <v>0</v>
      </c>
      <c r="DB252" s="74">
        <v>0</v>
      </c>
      <c r="DC252" s="77">
        <v>0</v>
      </c>
    </row>
    <row r="253" spans="1:108" s="52" customFormat="1" ht="31.2" x14ac:dyDescent="0.3">
      <c r="A253" s="94" t="s">
        <v>1</v>
      </c>
      <c r="B253" s="21" t="s">
        <v>64</v>
      </c>
      <c r="C253" s="22" t="s">
        <v>571</v>
      </c>
      <c r="D253" s="19">
        <f t="shared" si="819"/>
        <v>393309</v>
      </c>
      <c r="E253" s="19">
        <f t="shared" si="820"/>
        <v>343309</v>
      </c>
      <c r="F253" s="19">
        <f t="shared" si="821"/>
        <v>343309</v>
      </c>
      <c r="G253" s="19">
        <f>80000+15900</f>
        <v>95900</v>
      </c>
      <c r="H253" s="19">
        <f>20000+3975</f>
        <v>23975</v>
      </c>
      <c r="I253" s="19">
        <f>SUM(J253:O253)</f>
        <v>91934</v>
      </c>
      <c r="J253" s="23">
        <v>0</v>
      </c>
      <c r="K253" s="23">
        <v>0</v>
      </c>
      <c r="L253" s="23">
        <v>0</v>
      </c>
      <c r="M253" s="23">
        <v>0</v>
      </c>
      <c r="N253" s="23">
        <f>5000+30000</f>
        <v>35000</v>
      </c>
      <c r="O253" s="23">
        <f>38000+18934</f>
        <v>56934</v>
      </c>
      <c r="P253" s="19">
        <f>SUM(Q253:R253)</f>
        <v>0</v>
      </c>
      <c r="Q253" s="23">
        <v>0</v>
      </c>
      <c r="R253" s="23">
        <v>0</v>
      </c>
      <c r="S253" s="23">
        <f>5000+1000</f>
        <v>6000</v>
      </c>
      <c r="T253" s="23">
        <f>0+1500</f>
        <v>1500</v>
      </c>
      <c r="U253" s="19">
        <f t="shared" si="822"/>
        <v>25000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f>20000+5000</f>
        <v>25000</v>
      </c>
      <c r="AB253" s="23">
        <v>0</v>
      </c>
      <c r="AC253" s="23">
        <v>0</v>
      </c>
      <c r="AD253" s="19">
        <f t="shared" si="823"/>
        <v>99000</v>
      </c>
      <c r="AE253" s="23">
        <v>0</v>
      </c>
      <c r="AF253" s="23">
        <v>0</v>
      </c>
      <c r="AG253" s="51">
        <f>0+2000</f>
        <v>2000</v>
      </c>
      <c r="AH253" s="51">
        <v>0</v>
      </c>
      <c r="AI253" s="51">
        <v>0</v>
      </c>
      <c r="AJ253" s="51">
        <v>0</v>
      </c>
      <c r="AK253" s="51">
        <v>0</v>
      </c>
      <c r="AL253" s="51">
        <v>2000</v>
      </c>
      <c r="AM253" s="51">
        <v>0</v>
      </c>
      <c r="AN253" s="51">
        <v>0</v>
      </c>
      <c r="AO253" s="51">
        <v>0</v>
      </c>
      <c r="AP253" s="51">
        <v>0</v>
      </c>
      <c r="AQ253" s="51">
        <v>0</v>
      </c>
      <c r="AR253" s="51">
        <f>30000+25000</f>
        <v>55000</v>
      </c>
      <c r="AS253" s="51">
        <v>0</v>
      </c>
      <c r="AT253" s="51">
        <v>0</v>
      </c>
      <c r="AU253" s="51">
        <v>0</v>
      </c>
      <c r="AV253" s="51">
        <v>0</v>
      </c>
      <c r="AW253" s="51">
        <v>0</v>
      </c>
      <c r="AX253" s="51">
        <v>0</v>
      </c>
      <c r="AY253" s="51">
        <f>20000+20000</f>
        <v>40000</v>
      </c>
      <c r="AZ253" s="51"/>
      <c r="BA253" s="51"/>
      <c r="BB253" s="51"/>
      <c r="BC253" s="19">
        <f t="shared" si="824"/>
        <v>0</v>
      </c>
      <c r="BD253" s="19">
        <f t="shared" si="825"/>
        <v>0</v>
      </c>
      <c r="BE253" s="19">
        <v>0</v>
      </c>
      <c r="BF253" s="19">
        <v>0</v>
      </c>
      <c r="BG253" s="19">
        <v>0</v>
      </c>
      <c r="BH253" s="19">
        <f t="shared" si="826"/>
        <v>0</v>
      </c>
      <c r="BI253" s="19">
        <v>0</v>
      </c>
      <c r="BJ253" s="19">
        <v>0</v>
      </c>
      <c r="BK253" s="19">
        <v>0</v>
      </c>
      <c r="BL253" s="19">
        <v>0</v>
      </c>
      <c r="BM253" s="19">
        <v>0</v>
      </c>
      <c r="BN253" s="19">
        <f>SUM(BO253)</f>
        <v>0</v>
      </c>
      <c r="BO253" s="19">
        <v>0</v>
      </c>
      <c r="BP253" s="19">
        <v>0</v>
      </c>
      <c r="BQ253" s="19">
        <f t="shared" si="827"/>
        <v>0</v>
      </c>
      <c r="BR253" s="19">
        <v>0</v>
      </c>
      <c r="BS253" s="19">
        <v>0</v>
      </c>
      <c r="BT253" s="19">
        <v>0</v>
      </c>
      <c r="BU253" s="19">
        <v>0</v>
      </c>
      <c r="BV253" s="19">
        <v>0</v>
      </c>
      <c r="BW253" s="19">
        <v>0</v>
      </c>
      <c r="BX253" s="19">
        <v>0</v>
      </c>
      <c r="BY253" s="19">
        <v>0</v>
      </c>
      <c r="BZ253" s="19">
        <v>0</v>
      </c>
      <c r="CA253" s="19">
        <v>0</v>
      </c>
      <c r="CB253" s="19">
        <v>0</v>
      </c>
      <c r="CC253" s="19">
        <f>SUM(CD253+CU253+CR253)</f>
        <v>50000</v>
      </c>
      <c r="CD253" s="19">
        <f t="shared" si="829"/>
        <v>50000</v>
      </c>
      <c r="CE253" s="19">
        <f>SUM(CF253:CG253)</f>
        <v>50000</v>
      </c>
      <c r="CF253" s="23"/>
      <c r="CG253" s="23">
        <f>30000+20000</f>
        <v>50000</v>
      </c>
      <c r="CH253" s="19">
        <f t="shared" si="830"/>
        <v>0</v>
      </c>
      <c r="CI253" s="23">
        <v>0</v>
      </c>
      <c r="CJ253" s="23">
        <v>0</v>
      </c>
      <c r="CK253" s="23">
        <v>0</v>
      </c>
      <c r="CL253" s="23">
        <v>0</v>
      </c>
      <c r="CM253" s="23">
        <v>0</v>
      </c>
      <c r="CN253" s="19">
        <f t="shared" si="831"/>
        <v>0</v>
      </c>
      <c r="CO253" s="23"/>
      <c r="CP253" s="23"/>
      <c r="CQ253" s="23">
        <v>0</v>
      </c>
      <c r="CR253" s="23">
        <f>CS253</f>
        <v>0</v>
      </c>
      <c r="CS253" s="23">
        <f>CT253</f>
        <v>0</v>
      </c>
      <c r="CT253" s="23">
        <f>30000-30000</f>
        <v>0</v>
      </c>
      <c r="CU253" s="19">
        <v>0</v>
      </c>
      <c r="CV253" s="74"/>
      <c r="CW253" s="74"/>
      <c r="CX253" s="74"/>
      <c r="CY253" s="74"/>
      <c r="CZ253" s="19">
        <f>SUM(DA253)</f>
        <v>0</v>
      </c>
      <c r="DA253" s="19">
        <f>SUM(DB253:DC253)</f>
        <v>0</v>
      </c>
      <c r="DB253" s="19">
        <v>0</v>
      </c>
      <c r="DC253" s="20">
        <v>0</v>
      </c>
    </row>
    <row r="254" spans="1:108" s="78" customFormat="1" ht="31.2" x14ac:dyDescent="0.3">
      <c r="A254" s="96" t="s">
        <v>1</v>
      </c>
      <c r="B254" s="71" t="s">
        <v>64</v>
      </c>
      <c r="C254" s="72" t="s">
        <v>572</v>
      </c>
      <c r="D254" s="74">
        <f t="shared" si="819"/>
        <v>24089618</v>
      </c>
      <c r="E254" s="74">
        <f t="shared" si="820"/>
        <v>22292914</v>
      </c>
      <c r="F254" s="74">
        <f t="shared" si="821"/>
        <v>22292914</v>
      </c>
      <c r="G254" s="74">
        <v>11570565</v>
      </c>
      <c r="H254" s="74">
        <v>2821441</v>
      </c>
      <c r="I254" s="74">
        <f t="shared" si="747"/>
        <v>3631442</v>
      </c>
      <c r="J254" s="75">
        <f>1213471+270268</f>
        <v>1483739</v>
      </c>
      <c r="K254" s="75">
        <v>50000</v>
      </c>
      <c r="L254" s="75">
        <v>5000</v>
      </c>
      <c r="M254" s="75">
        <v>0</v>
      </c>
      <c r="N254" s="75">
        <v>775119</v>
      </c>
      <c r="O254" s="75">
        <v>1317584</v>
      </c>
      <c r="P254" s="74">
        <f t="shared" si="755"/>
        <v>70963</v>
      </c>
      <c r="Q254" s="75">
        <v>400</v>
      </c>
      <c r="R254" s="75">
        <v>70563</v>
      </c>
      <c r="S254" s="75">
        <v>50000</v>
      </c>
      <c r="T254" s="75">
        <v>210227</v>
      </c>
      <c r="U254" s="74">
        <f t="shared" si="822"/>
        <v>760628</v>
      </c>
      <c r="V254" s="75">
        <v>30000</v>
      </c>
      <c r="W254" s="75">
        <f>170491+39002</f>
        <v>209493</v>
      </c>
      <c r="X254" s="75">
        <f>300587+75046</f>
        <v>375633</v>
      </c>
      <c r="Y254" s="75">
        <f>20810+8499</f>
        <v>29309</v>
      </c>
      <c r="Z254" s="75">
        <v>30000</v>
      </c>
      <c r="AA254" s="75">
        <v>25000</v>
      </c>
      <c r="AB254" s="75">
        <v>0</v>
      </c>
      <c r="AC254" s="75">
        <f>50627+10566</f>
        <v>61193</v>
      </c>
      <c r="AD254" s="74">
        <f t="shared" si="823"/>
        <v>3177648</v>
      </c>
      <c r="AE254" s="23">
        <v>0</v>
      </c>
      <c r="AF254" s="23">
        <v>0</v>
      </c>
      <c r="AG254" s="101">
        <v>421204</v>
      </c>
      <c r="AH254" s="101">
        <v>1500487</v>
      </c>
      <c r="AI254" s="101">
        <v>0</v>
      </c>
      <c r="AJ254" s="101">
        <v>50000</v>
      </c>
      <c r="AK254" s="101">
        <v>0</v>
      </c>
      <c r="AL254" s="101">
        <v>68391</v>
      </c>
      <c r="AM254" s="101">
        <v>300000</v>
      </c>
      <c r="AN254" s="101">
        <v>0</v>
      </c>
      <c r="AO254" s="101">
        <v>10000</v>
      </c>
      <c r="AP254" s="101">
        <v>0</v>
      </c>
      <c r="AQ254" s="101">
        <f>150000+100000</f>
        <v>250000</v>
      </c>
      <c r="AR254" s="101">
        <v>0</v>
      </c>
      <c r="AS254" s="101">
        <v>0</v>
      </c>
      <c r="AT254" s="101">
        <v>0</v>
      </c>
      <c r="AU254" s="101">
        <v>0</v>
      </c>
      <c r="AV254" s="101">
        <v>0</v>
      </c>
      <c r="AW254" s="101">
        <v>0</v>
      </c>
      <c r="AX254" s="101">
        <v>0</v>
      </c>
      <c r="AY254" s="101">
        <f>550679+26887</f>
        <v>577566</v>
      </c>
      <c r="AZ254" s="101"/>
      <c r="BA254" s="101"/>
      <c r="BB254" s="101"/>
      <c r="BC254" s="74">
        <f t="shared" si="824"/>
        <v>0</v>
      </c>
      <c r="BD254" s="74">
        <f t="shared" si="825"/>
        <v>0</v>
      </c>
      <c r="BE254" s="74">
        <v>0</v>
      </c>
      <c r="BF254" s="74">
        <v>0</v>
      </c>
      <c r="BG254" s="74">
        <v>0</v>
      </c>
      <c r="BH254" s="74">
        <f t="shared" si="826"/>
        <v>0</v>
      </c>
      <c r="BI254" s="74">
        <v>0</v>
      </c>
      <c r="BJ254" s="74">
        <v>0</v>
      </c>
      <c r="BK254" s="74">
        <v>0</v>
      </c>
      <c r="BL254" s="74">
        <v>0</v>
      </c>
      <c r="BM254" s="74">
        <v>0</v>
      </c>
      <c r="BN254" s="74">
        <f t="shared" si="760"/>
        <v>0</v>
      </c>
      <c r="BO254" s="74">
        <v>0</v>
      </c>
      <c r="BP254" s="74">
        <v>0</v>
      </c>
      <c r="BQ254" s="74">
        <f t="shared" si="827"/>
        <v>0</v>
      </c>
      <c r="BR254" s="74">
        <v>0</v>
      </c>
      <c r="BS254" s="74">
        <v>0</v>
      </c>
      <c r="BT254" s="74">
        <v>0</v>
      </c>
      <c r="BU254" s="74">
        <v>0</v>
      </c>
      <c r="BV254" s="74">
        <v>0</v>
      </c>
      <c r="BW254" s="74">
        <v>0</v>
      </c>
      <c r="BX254" s="74">
        <v>0</v>
      </c>
      <c r="BY254" s="74">
        <v>0</v>
      </c>
      <c r="BZ254" s="74">
        <v>0</v>
      </c>
      <c r="CA254" s="74">
        <v>0</v>
      </c>
      <c r="CB254" s="74">
        <v>0</v>
      </c>
      <c r="CC254" s="74">
        <f t="shared" si="828"/>
        <v>1796704</v>
      </c>
      <c r="CD254" s="74">
        <f t="shared" si="829"/>
        <v>1796704</v>
      </c>
      <c r="CE254" s="74">
        <f t="shared" si="764"/>
        <v>1496704</v>
      </c>
      <c r="CF254" s="75"/>
      <c r="CG254" s="75">
        <v>1496704</v>
      </c>
      <c r="CH254" s="74">
        <f t="shared" si="830"/>
        <v>0</v>
      </c>
      <c r="CI254" s="75">
        <v>0</v>
      </c>
      <c r="CJ254" s="75">
        <v>0</v>
      </c>
      <c r="CK254" s="75">
        <v>0</v>
      </c>
      <c r="CL254" s="75">
        <v>0</v>
      </c>
      <c r="CM254" s="75">
        <v>0</v>
      </c>
      <c r="CN254" s="74">
        <f t="shared" si="831"/>
        <v>300000</v>
      </c>
      <c r="CO254" s="75">
        <v>300000</v>
      </c>
      <c r="CP254" s="75"/>
      <c r="CQ254" s="75">
        <v>0</v>
      </c>
      <c r="CR254" s="75"/>
      <c r="CS254" s="75"/>
      <c r="CT254" s="75"/>
      <c r="CU254" s="74">
        <v>0</v>
      </c>
      <c r="CV254" s="74"/>
      <c r="CW254" s="74"/>
      <c r="CX254" s="74"/>
      <c r="CY254" s="74"/>
      <c r="CZ254" s="74">
        <f t="shared" si="767"/>
        <v>0</v>
      </c>
      <c r="DA254" s="74">
        <f t="shared" si="768"/>
        <v>0</v>
      </c>
      <c r="DB254" s="74">
        <v>0</v>
      </c>
      <c r="DC254" s="77">
        <v>0</v>
      </c>
    </row>
    <row r="255" spans="1:108" s="78" customFormat="1" ht="31.2" x14ac:dyDescent="0.3">
      <c r="A255" s="96" t="s">
        <v>1</v>
      </c>
      <c r="B255" s="71" t="s">
        <v>64</v>
      </c>
      <c r="C255" s="72" t="s">
        <v>573</v>
      </c>
      <c r="D255" s="74">
        <f t="shared" si="819"/>
        <v>206362</v>
      </c>
      <c r="E255" s="74">
        <f t="shared" si="820"/>
        <v>196806</v>
      </c>
      <c r="F255" s="74">
        <f t="shared" si="821"/>
        <v>179812</v>
      </c>
      <c r="G255" s="74">
        <v>24000</v>
      </c>
      <c r="H255" s="74">
        <v>6000</v>
      </c>
      <c r="I255" s="74">
        <f>SUM(J255:O255)</f>
        <v>89580</v>
      </c>
      <c r="J255" s="75">
        <v>0</v>
      </c>
      <c r="K255" s="75">
        <v>4833</v>
      </c>
      <c r="L255" s="75">
        <v>0</v>
      </c>
      <c r="M255" s="75">
        <v>0</v>
      </c>
      <c r="N255" s="75">
        <v>38534</v>
      </c>
      <c r="O255" s="75">
        <f>40950+5263</f>
        <v>46213</v>
      </c>
      <c r="P255" s="74">
        <f>SUM(Q255:R255)</f>
        <v>1044</v>
      </c>
      <c r="Q255" s="75">
        <v>1044</v>
      </c>
      <c r="R255" s="75">
        <v>0</v>
      </c>
      <c r="S255" s="75">
        <v>0</v>
      </c>
      <c r="T255" s="75">
        <v>19932</v>
      </c>
      <c r="U255" s="74">
        <f t="shared" si="822"/>
        <v>26380</v>
      </c>
      <c r="V255" s="75">
        <v>2500</v>
      </c>
      <c r="W255" s="75">
        <v>0</v>
      </c>
      <c r="X255" s="75">
        <v>0</v>
      </c>
      <c r="Y255" s="75">
        <f>7428-538</f>
        <v>6890</v>
      </c>
      <c r="Z255" s="75">
        <v>2285</v>
      </c>
      <c r="AA255" s="75">
        <v>1200</v>
      </c>
      <c r="AB255" s="75">
        <v>0</v>
      </c>
      <c r="AC255" s="75">
        <f>13898-393</f>
        <v>13505</v>
      </c>
      <c r="AD255" s="74">
        <f t="shared" si="823"/>
        <v>12876</v>
      </c>
      <c r="AE255" s="23">
        <v>0</v>
      </c>
      <c r="AF255" s="23">
        <v>0</v>
      </c>
      <c r="AG255" s="101">
        <v>1052</v>
      </c>
      <c r="AH255" s="101">
        <v>0</v>
      </c>
      <c r="AI255" s="101">
        <v>0</v>
      </c>
      <c r="AJ255" s="101">
        <v>0</v>
      </c>
      <c r="AK255" s="101">
        <v>0</v>
      </c>
      <c r="AL255" s="101">
        <v>1200</v>
      </c>
      <c r="AM255" s="101">
        <v>0</v>
      </c>
      <c r="AN255" s="101">
        <v>0</v>
      </c>
      <c r="AO255" s="101">
        <v>0</v>
      </c>
      <c r="AP255" s="101">
        <v>0</v>
      </c>
      <c r="AQ255" s="101">
        <v>0</v>
      </c>
      <c r="AR255" s="101">
        <v>0</v>
      </c>
      <c r="AS255" s="101">
        <v>0</v>
      </c>
      <c r="AT255" s="101">
        <v>0</v>
      </c>
      <c r="AU255" s="101">
        <v>0</v>
      </c>
      <c r="AV255" s="101">
        <v>0</v>
      </c>
      <c r="AW255" s="101">
        <v>4416</v>
      </c>
      <c r="AX255" s="101">
        <v>0</v>
      </c>
      <c r="AY255" s="101">
        <v>6208</v>
      </c>
      <c r="AZ255" s="101"/>
      <c r="BA255" s="101"/>
      <c r="BB255" s="101"/>
      <c r="BC255" s="74">
        <f t="shared" si="824"/>
        <v>16994</v>
      </c>
      <c r="BD255" s="74">
        <f t="shared" si="825"/>
        <v>0</v>
      </c>
      <c r="BE255" s="74">
        <v>0</v>
      </c>
      <c r="BF255" s="74">
        <v>0</v>
      </c>
      <c r="BG255" s="74">
        <v>0</v>
      </c>
      <c r="BH255" s="74">
        <f t="shared" si="826"/>
        <v>0</v>
      </c>
      <c r="BI255" s="74">
        <v>0</v>
      </c>
      <c r="BJ255" s="74">
        <v>0</v>
      </c>
      <c r="BK255" s="74">
        <v>0</v>
      </c>
      <c r="BL255" s="74">
        <v>0</v>
      </c>
      <c r="BM255" s="74">
        <v>0</v>
      </c>
      <c r="BN255" s="74">
        <f>SUM(BO255)</f>
        <v>0</v>
      </c>
      <c r="BO255" s="74">
        <v>0</v>
      </c>
      <c r="BP255" s="74">
        <v>0</v>
      </c>
      <c r="BQ255" s="74">
        <f t="shared" si="827"/>
        <v>16994</v>
      </c>
      <c r="BR255" s="74">
        <v>0</v>
      </c>
      <c r="BS255" s="74">
        <v>0</v>
      </c>
      <c r="BT255" s="74">
        <v>0</v>
      </c>
      <c r="BU255" s="74">
        <v>0</v>
      </c>
      <c r="BV255" s="74">
        <v>0</v>
      </c>
      <c r="BW255" s="74">
        <v>0</v>
      </c>
      <c r="BX255" s="74">
        <v>0</v>
      </c>
      <c r="BY255" s="74">
        <v>0</v>
      </c>
      <c r="BZ255" s="74">
        <v>0</v>
      </c>
      <c r="CA255" s="74">
        <v>16994</v>
      </c>
      <c r="CB255" s="74">
        <v>0</v>
      </c>
      <c r="CC255" s="74">
        <f t="shared" si="828"/>
        <v>9556</v>
      </c>
      <c r="CD255" s="74">
        <f t="shared" si="829"/>
        <v>9556</v>
      </c>
      <c r="CE255" s="74">
        <f>SUM(CF255:CG255)</f>
        <v>9556</v>
      </c>
      <c r="CF255" s="75"/>
      <c r="CG255" s="75">
        <v>9556</v>
      </c>
      <c r="CH255" s="74">
        <f t="shared" si="830"/>
        <v>0</v>
      </c>
      <c r="CI255" s="75">
        <v>0</v>
      </c>
      <c r="CJ255" s="75">
        <v>0</v>
      </c>
      <c r="CK255" s="75">
        <v>0</v>
      </c>
      <c r="CL255" s="75">
        <v>0</v>
      </c>
      <c r="CM255" s="75">
        <v>0</v>
      </c>
      <c r="CN255" s="74">
        <f t="shared" si="831"/>
        <v>0</v>
      </c>
      <c r="CO255" s="75"/>
      <c r="CP255" s="75"/>
      <c r="CQ255" s="75">
        <v>0</v>
      </c>
      <c r="CR255" s="75"/>
      <c r="CS255" s="75"/>
      <c r="CT255" s="75"/>
      <c r="CU255" s="74">
        <v>0</v>
      </c>
      <c r="CV255" s="74"/>
      <c r="CW255" s="74"/>
      <c r="CX255" s="74"/>
      <c r="CY255" s="74"/>
      <c r="CZ255" s="74">
        <f>SUM(DA255)</f>
        <v>0</v>
      </c>
      <c r="DA255" s="74">
        <f>SUM(DB255:DC255)</f>
        <v>0</v>
      </c>
      <c r="DB255" s="74">
        <v>0</v>
      </c>
      <c r="DC255" s="77">
        <v>0</v>
      </c>
    </row>
    <row r="256" spans="1:108" ht="15.6" x14ac:dyDescent="0.3">
      <c r="A256" s="94" t="s">
        <v>1</v>
      </c>
      <c r="B256" s="21" t="s">
        <v>285</v>
      </c>
      <c r="C256" s="22" t="s">
        <v>491</v>
      </c>
      <c r="D256" s="19">
        <f t="shared" si="819"/>
        <v>3074836</v>
      </c>
      <c r="E256" s="19">
        <f t="shared" si="820"/>
        <v>2985345</v>
      </c>
      <c r="F256" s="19">
        <f t="shared" si="821"/>
        <v>2985345</v>
      </c>
      <c r="G256" s="19">
        <v>1860291</v>
      </c>
      <c r="H256" s="19">
        <v>444373</v>
      </c>
      <c r="I256" s="19">
        <f t="shared" si="747"/>
        <v>230000</v>
      </c>
      <c r="J256" s="23">
        <v>0</v>
      </c>
      <c r="K256" s="23">
        <v>0</v>
      </c>
      <c r="L256" s="23">
        <v>0</v>
      </c>
      <c r="M256" s="23">
        <v>0</v>
      </c>
      <c r="N256" s="23">
        <v>100000</v>
      </c>
      <c r="O256" s="23">
        <v>130000</v>
      </c>
      <c r="P256" s="19">
        <f t="shared" si="755"/>
        <v>0</v>
      </c>
      <c r="Q256" s="23">
        <v>0</v>
      </c>
      <c r="R256" s="23">
        <v>0</v>
      </c>
      <c r="S256" s="23">
        <v>0</v>
      </c>
      <c r="T256" s="23">
        <v>28000</v>
      </c>
      <c r="U256" s="19">
        <f t="shared" si="822"/>
        <v>165423</v>
      </c>
      <c r="V256" s="23">
        <v>0</v>
      </c>
      <c r="W256" s="23">
        <f>80039+8933</f>
        <v>88972</v>
      </c>
      <c r="X256" s="23">
        <f>48009+16412</f>
        <v>64421</v>
      </c>
      <c r="Y256" s="23">
        <v>5030</v>
      </c>
      <c r="Z256" s="23">
        <v>7000</v>
      </c>
      <c r="AA256" s="23">
        <v>0</v>
      </c>
      <c r="AB256" s="23">
        <v>0</v>
      </c>
      <c r="AC256" s="23">
        <v>0</v>
      </c>
      <c r="AD256" s="19">
        <f t="shared" si="823"/>
        <v>257258</v>
      </c>
      <c r="AE256" s="23">
        <v>0</v>
      </c>
      <c r="AF256" s="23">
        <v>0</v>
      </c>
      <c r="AG256" s="51">
        <v>30000</v>
      </c>
      <c r="AH256" s="51">
        <v>37258</v>
      </c>
      <c r="AI256" s="51">
        <v>0</v>
      </c>
      <c r="AJ256" s="51">
        <v>0</v>
      </c>
      <c r="AK256" s="51">
        <v>0</v>
      </c>
      <c r="AL256" s="51">
        <v>20000</v>
      </c>
      <c r="AM256" s="51">
        <v>0</v>
      </c>
      <c r="AN256" s="51">
        <v>0</v>
      </c>
      <c r="AO256" s="51">
        <v>0</v>
      </c>
      <c r="AP256" s="51">
        <v>0</v>
      </c>
      <c r="AQ256" s="51">
        <v>0</v>
      </c>
      <c r="AR256" s="51">
        <v>20000</v>
      </c>
      <c r="AS256" s="51">
        <v>0</v>
      </c>
      <c r="AT256" s="51">
        <v>0</v>
      </c>
      <c r="AU256" s="51">
        <v>0</v>
      </c>
      <c r="AV256" s="51">
        <v>0</v>
      </c>
      <c r="AW256" s="51">
        <v>0</v>
      </c>
      <c r="AX256" s="51">
        <v>100000</v>
      </c>
      <c r="AY256" s="51">
        <v>50000</v>
      </c>
      <c r="AZ256" s="51"/>
      <c r="BA256" s="51"/>
      <c r="BB256" s="51"/>
      <c r="BC256" s="19">
        <f t="shared" si="824"/>
        <v>0</v>
      </c>
      <c r="BD256" s="19">
        <f t="shared" si="825"/>
        <v>0</v>
      </c>
      <c r="BE256" s="19">
        <v>0</v>
      </c>
      <c r="BF256" s="19">
        <v>0</v>
      </c>
      <c r="BG256" s="19">
        <v>0</v>
      </c>
      <c r="BH256" s="19">
        <f t="shared" si="826"/>
        <v>0</v>
      </c>
      <c r="BI256" s="19">
        <v>0</v>
      </c>
      <c r="BJ256" s="19">
        <v>0</v>
      </c>
      <c r="BK256" s="19">
        <v>0</v>
      </c>
      <c r="BL256" s="19">
        <v>0</v>
      </c>
      <c r="BM256" s="19">
        <v>0</v>
      </c>
      <c r="BN256" s="19">
        <f t="shared" si="760"/>
        <v>0</v>
      </c>
      <c r="BO256" s="19">
        <v>0</v>
      </c>
      <c r="BP256" s="19">
        <v>0</v>
      </c>
      <c r="BQ256" s="19">
        <f t="shared" si="827"/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0</v>
      </c>
      <c r="CA256" s="19">
        <v>0</v>
      </c>
      <c r="CB256" s="19">
        <v>0</v>
      </c>
      <c r="CC256" s="19">
        <f t="shared" si="828"/>
        <v>89491</v>
      </c>
      <c r="CD256" s="19">
        <f t="shared" si="829"/>
        <v>89491</v>
      </c>
      <c r="CE256" s="19">
        <f t="shared" si="764"/>
        <v>89491</v>
      </c>
      <c r="CF256" s="23"/>
      <c r="CG256" s="23">
        <f>40000+49491</f>
        <v>89491</v>
      </c>
      <c r="CH256" s="19">
        <f t="shared" si="830"/>
        <v>0</v>
      </c>
      <c r="CI256" s="23">
        <v>0</v>
      </c>
      <c r="CJ256" s="23">
        <v>0</v>
      </c>
      <c r="CK256" s="23">
        <v>0</v>
      </c>
      <c r="CL256" s="23">
        <v>0</v>
      </c>
      <c r="CM256" s="23">
        <v>0</v>
      </c>
      <c r="CN256" s="19">
        <f t="shared" si="831"/>
        <v>0</v>
      </c>
      <c r="CO256" s="23"/>
      <c r="CP256" s="23"/>
      <c r="CQ256" s="23">
        <v>0</v>
      </c>
      <c r="CR256" s="23"/>
      <c r="CS256" s="23"/>
      <c r="CT256" s="23"/>
      <c r="CU256" s="19">
        <v>0</v>
      </c>
      <c r="CV256" s="74"/>
      <c r="CW256" s="74"/>
      <c r="CX256" s="74"/>
      <c r="CY256" s="74"/>
      <c r="CZ256" s="19">
        <f t="shared" si="767"/>
        <v>0</v>
      </c>
      <c r="DA256" s="19">
        <f t="shared" si="768"/>
        <v>0</v>
      </c>
      <c r="DB256" s="19">
        <v>0</v>
      </c>
      <c r="DC256" s="20">
        <v>0</v>
      </c>
      <c r="DD256" s="52"/>
    </row>
    <row r="257" spans="1:108" s="78" customFormat="1" ht="31.2" x14ac:dyDescent="0.3">
      <c r="A257" s="96" t="s">
        <v>1</v>
      </c>
      <c r="B257" s="71" t="s">
        <v>160</v>
      </c>
      <c r="C257" s="72" t="s">
        <v>492</v>
      </c>
      <c r="D257" s="74">
        <f t="shared" si="819"/>
        <v>2466622</v>
      </c>
      <c r="E257" s="74">
        <f t="shared" si="820"/>
        <v>2466622</v>
      </c>
      <c r="F257" s="74">
        <f t="shared" si="821"/>
        <v>2466622</v>
      </c>
      <c r="G257" s="74">
        <v>0</v>
      </c>
      <c r="H257" s="74">
        <v>0</v>
      </c>
      <c r="I257" s="74">
        <f>SUM(J257:O257)</f>
        <v>0</v>
      </c>
      <c r="J257" s="75">
        <v>0</v>
      </c>
      <c r="K257" s="75">
        <v>0</v>
      </c>
      <c r="L257" s="75">
        <v>0</v>
      </c>
      <c r="M257" s="75">
        <v>0</v>
      </c>
      <c r="N257" s="75">
        <v>0</v>
      </c>
      <c r="O257" s="75">
        <v>0</v>
      </c>
      <c r="P257" s="74">
        <f>SUM(Q257:R257)</f>
        <v>0</v>
      </c>
      <c r="Q257" s="75">
        <v>0</v>
      </c>
      <c r="R257" s="75">
        <v>0</v>
      </c>
      <c r="S257" s="75">
        <v>0</v>
      </c>
      <c r="T257" s="75">
        <v>0</v>
      </c>
      <c r="U257" s="74">
        <f t="shared" si="822"/>
        <v>0</v>
      </c>
      <c r="V257" s="75">
        <v>0</v>
      </c>
      <c r="W257" s="75">
        <v>0</v>
      </c>
      <c r="X257" s="75">
        <v>0</v>
      </c>
      <c r="Y257" s="75">
        <v>0</v>
      </c>
      <c r="Z257" s="75">
        <v>0</v>
      </c>
      <c r="AA257" s="75">
        <v>0</v>
      </c>
      <c r="AB257" s="75">
        <v>0</v>
      </c>
      <c r="AC257" s="75">
        <v>0</v>
      </c>
      <c r="AD257" s="74">
        <f t="shared" si="823"/>
        <v>2466622</v>
      </c>
      <c r="AE257" s="23">
        <v>0</v>
      </c>
      <c r="AF257" s="23">
        <v>0</v>
      </c>
      <c r="AG257" s="101">
        <v>0</v>
      </c>
      <c r="AH257" s="101">
        <v>0</v>
      </c>
      <c r="AI257" s="101">
        <v>0</v>
      </c>
      <c r="AJ257" s="101">
        <v>0</v>
      </c>
      <c r="AK257" s="101">
        <v>0</v>
      </c>
      <c r="AL257" s="101">
        <v>0</v>
      </c>
      <c r="AM257" s="101">
        <v>0</v>
      </c>
      <c r="AN257" s="101">
        <v>0</v>
      </c>
      <c r="AO257" s="101">
        <v>0</v>
      </c>
      <c r="AP257" s="101">
        <v>0</v>
      </c>
      <c r="AQ257" s="101">
        <v>0</v>
      </c>
      <c r="AR257" s="101">
        <v>0</v>
      </c>
      <c r="AS257" s="101">
        <v>0</v>
      </c>
      <c r="AT257" s="101">
        <v>0</v>
      </c>
      <c r="AU257" s="101">
        <v>0</v>
      </c>
      <c r="AV257" s="101">
        <v>0</v>
      </c>
      <c r="AW257" s="101">
        <v>0</v>
      </c>
      <c r="AX257" s="101">
        <v>0</v>
      </c>
      <c r="AY257" s="101">
        <f>3335222-868600</f>
        <v>2466622</v>
      </c>
      <c r="AZ257" s="101"/>
      <c r="BA257" s="101"/>
      <c r="BB257" s="101"/>
      <c r="BC257" s="74">
        <f t="shared" si="824"/>
        <v>0</v>
      </c>
      <c r="BD257" s="74">
        <f t="shared" si="825"/>
        <v>0</v>
      </c>
      <c r="BE257" s="74">
        <v>0</v>
      </c>
      <c r="BF257" s="74">
        <v>0</v>
      </c>
      <c r="BG257" s="74">
        <v>0</v>
      </c>
      <c r="BH257" s="74">
        <f t="shared" si="826"/>
        <v>0</v>
      </c>
      <c r="BI257" s="74">
        <v>0</v>
      </c>
      <c r="BJ257" s="74">
        <v>0</v>
      </c>
      <c r="BK257" s="74">
        <v>0</v>
      </c>
      <c r="BL257" s="74">
        <v>0</v>
      </c>
      <c r="BM257" s="74">
        <v>0</v>
      </c>
      <c r="BN257" s="74">
        <f>SUM(BO257)</f>
        <v>0</v>
      </c>
      <c r="BO257" s="74">
        <v>0</v>
      </c>
      <c r="BP257" s="74">
        <v>0</v>
      </c>
      <c r="BQ257" s="74">
        <f t="shared" si="827"/>
        <v>0</v>
      </c>
      <c r="BR257" s="74">
        <v>0</v>
      </c>
      <c r="BS257" s="74">
        <v>0</v>
      </c>
      <c r="BT257" s="74">
        <v>0</v>
      </c>
      <c r="BU257" s="74">
        <v>0</v>
      </c>
      <c r="BV257" s="74">
        <v>0</v>
      </c>
      <c r="BW257" s="74">
        <v>0</v>
      </c>
      <c r="BX257" s="74">
        <v>0</v>
      </c>
      <c r="BY257" s="74">
        <v>0</v>
      </c>
      <c r="BZ257" s="74">
        <v>0</v>
      </c>
      <c r="CA257" s="74">
        <v>0</v>
      </c>
      <c r="CB257" s="74">
        <v>0</v>
      </c>
      <c r="CC257" s="74">
        <f t="shared" si="828"/>
        <v>0</v>
      </c>
      <c r="CD257" s="74">
        <f t="shared" si="829"/>
        <v>0</v>
      </c>
      <c r="CE257" s="74">
        <f>SUM(CF257:CG257)</f>
        <v>0</v>
      </c>
      <c r="CF257" s="75"/>
      <c r="CG257" s="75">
        <v>0</v>
      </c>
      <c r="CH257" s="74">
        <f t="shared" si="830"/>
        <v>0</v>
      </c>
      <c r="CI257" s="75">
        <v>0</v>
      </c>
      <c r="CJ257" s="75">
        <v>0</v>
      </c>
      <c r="CK257" s="75">
        <v>0</v>
      </c>
      <c r="CL257" s="75">
        <v>0</v>
      </c>
      <c r="CM257" s="75">
        <v>0</v>
      </c>
      <c r="CN257" s="74">
        <f t="shared" si="831"/>
        <v>0</v>
      </c>
      <c r="CO257" s="75">
        <v>0</v>
      </c>
      <c r="CP257" s="75">
        <v>0</v>
      </c>
      <c r="CQ257" s="75">
        <v>0</v>
      </c>
      <c r="CR257" s="75"/>
      <c r="CS257" s="75"/>
      <c r="CT257" s="75"/>
      <c r="CU257" s="74">
        <v>0</v>
      </c>
      <c r="CV257" s="74"/>
      <c r="CW257" s="74"/>
      <c r="CX257" s="74"/>
      <c r="CY257" s="74"/>
      <c r="CZ257" s="74">
        <f>SUM(DA257)</f>
        <v>0</v>
      </c>
      <c r="DA257" s="74">
        <f>SUM(DB257:DC257)</f>
        <v>0</v>
      </c>
      <c r="DB257" s="74">
        <v>0</v>
      </c>
      <c r="DC257" s="77">
        <v>0</v>
      </c>
    </row>
    <row r="258" spans="1:108" s="78" customFormat="1" ht="15.6" x14ac:dyDescent="0.3">
      <c r="A258" s="96" t="s">
        <v>1</v>
      </c>
      <c r="B258" s="71" t="s">
        <v>160</v>
      </c>
      <c r="C258" s="72" t="s">
        <v>493</v>
      </c>
      <c r="D258" s="74">
        <f t="shared" si="819"/>
        <v>46991810</v>
      </c>
      <c r="E258" s="74">
        <f t="shared" si="820"/>
        <v>46453810</v>
      </c>
      <c r="F258" s="74">
        <f t="shared" si="821"/>
        <v>46453810</v>
      </c>
      <c r="G258" s="74">
        <v>25627691</v>
      </c>
      <c r="H258" s="74">
        <v>6406923</v>
      </c>
      <c r="I258" s="74">
        <f t="shared" si="747"/>
        <v>2574993</v>
      </c>
      <c r="J258" s="75">
        <f>13365+100000</f>
        <v>113365</v>
      </c>
      <c r="K258" s="75">
        <f>9269+80000</f>
        <v>89269</v>
      </c>
      <c r="L258" s="75">
        <f>71410+400720</f>
        <v>472130</v>
      </c>
      <c r="M258" s="75">
        <v>0</v>
      </c>
      <c r="N258" s="75">
        <f>983229-264100</f>
        <v>719129</v>
      </c>
      <c r="O258" s="75">
        <f>0+1181100</f>
        <v>1181100</v>
      </c>
      <c r="P258" s="74">
        <f t="shared" si="755"/>
        <v>1652785</v>
      </c>
      <c r="Q258" s="75">
        <v>452785</v>
      </c>
      <c r="R258" s="75">
        <f>0+1200000</f>
        <v>1200000</v>
      </c>
      <c r="S258" s="75">
        <v>0</v>
      </c>
      <c r="T258" s="75">
        <f>67118+233000</f>
        <v>300118</v>
      </c>
      <c r="U258" s="74">
        <f t="shared" si="822"/>
        <v>5930851</v>
      </c>
      <c r="V258" s="75">
        <f>370830+773663</f>
        <v>1144493</v>
      </c>
      <c r="W258" s="75">
        <f>1947665+1235000</f>
        <v>3182665</v>
      </c>
      <c r="X258" s="75">
        <f>576892+591000</f>
        <v>1167892</v>
      </c>
      <c r="Y258" s="75">
        <f>172574+142000</f>
        <v>314574</v>
      </c>
      <c r="Z258" s="75">
        <f>52990+67900</f>
        <v>120890</v>
      </c>
      <c r="AA258" s="75">
        <v>0</v>
      </c>
      <c r="AB258" s="75">
        <v>0</v>
      </c>
      <c r="AC258" s="75">
        <f>0+337</f>
        <v>337</v>
      </c>
      <c r="AD258" s="74">
        <f t="shared" si="823"/>
        <v>3960449</v>
      </c>
      <c r="AE258" s="23">
        <v>0</v>
      </c>
      <c r="AF258" s="23">
        <v>0</v>
      </c>
      <c r="AG258" s="101">
        <f>40376+220000</f>
        <v>260376</v>
      </c>
      <c r="AH258" s="101">
        <f>184463+430000</f>
        <v>614463</v>
      </c>
      <c r="AI258" s="101">
        <f>180125+250000</f>
        <v>430125</v>
      </c>
      <c r="AJ258" s="101">
        <f>26304+185000</f>
        <v>211304</v>
      </c>
      <c r="AK258" s="101">
        <v>0</v>
      </c>
      <c r="AL258" s="101">
        <f>77078+200000</f>
        <v>277078</v>
      </c>
      <c r="AM258" s="101">
        <f>209604+465000</f>
        <v>674604</v>
      </c>
      <c r="AN258" s="101">
        <v>0</v>
      </c>
      <c r="AO258" s="101">
        <v>0</v>
      </c>
      <c r="AP258" s="101">
        <v>0</v>
      </c>
      <c r="AQ258" s="101">
        <v>0</v>
      </c>
      <c r="AR258" s="101">
        <v>0</v>
      </c>
      <c r="AS258" s="101">
        <v>0</v>
      </c>
      <c r="AT258" s="101">
        <v>0</v>
      </c>
      <c r="AU258" s="101">
        <v>0</v>
      </c>
      <c r="AV258" s="101">
        <v>0</v>
      </c>
      <c r="AW258" s="101">
        <v>0</v>
      </c>
      <c r="AX258" s="101">
        <v>0</v>
      </c>
      <c r="AY258" s="101">
        <f>505499+987000</f>
        <v>1492499</v>
      </c>
      <c r="AZ258" s="101"/>
      <c r="BA258" s="101"/>
      <c r="BB258" s="101"/>
      <c r="BC258" s="74">
        <f t="shared" si="824"/>
        <v>0</v>
      </c>
      <c r="BD258" s="74">
        <f t="shared" si="825"/>
        <v>0</v>
      </c>
      <c r="BE258" s="74">
        <v>0</v>
      </c>
      <c r="BF258" s="74">
        <v>0</v>
      </c>
      <c r="BG258" s="74">
        <v>0</v>
      </c>
      <c r="BH258" s="74">
        <f t="shared" si="826"/>
        <v>0</v>
      </c>
      <c r="BI258" s="74">
        <v>0</v>
      </c>
      <c r="BJ258" s="74">
        <v>0</v>
      </c>
      <c r="BK258" s="74">
        <v>0</v>
      </c>
      <c r="BL258" s="74">
        <v>0</v>
      </c>
      <c r="BM258" s="74">
        <v>0</v>
      </c>
      <c r="BN258" s="74">
        <f t="shared" si="760"/>
        <v>0</v>
      </c>
      <c r="BO258" s="74">
        <v>0</v>
      </c>
      <c r="BP258" s="74">
        <v>0</v>
      </c>
      <c r="BQ258" s="74">
        <f t="shared" si="827"/>
        <v>0</v>
      </c>
      <c r="BR258" s="74">
        <v>0</v>
      </c>
      <c r="BS258" s="74">
        <v>0</v>
      </c>
      <c r="BT258" s="74"/>
      <c r="BU258" s="74">
        <v>0</v>
      </c>
      <c r="BV258" s="74">
        <v>0</v>
      </c>
      <c r="BW258" s="74">
        <v>0</v>
      </c>
      <c r="BX258" s="74">
        <v>0</v>
      </c>
      <c r="BY258" s="74">
        <v>0</v>
      </c>
      <c r="BZ258" s="74">
        <v>0</v>
      </c>
      <c r="CA258" s="74">
        <v>0</v>
      </c>
      <c r="CB258" s="74">
        <v>0</v>
      </c>
      <c r="CC258" s="74">
        <f t="shared" si="828"/>
        <v>538000</v>
      </c>
      <c r="CD258" s="74">
        <f t="shared" si="829"/>
        <v>538000</v>
      </c>
      <c r="CE258" s="74">
        <f t="shared" si="764"/>
        <v>538000</v>
      </c>
      <c r="CF258" s="75"/>
      <c r="CG258" s="75">
        <f>0+538000</f>
        <v>538000</v>
      </c>
      <c r="CH258" s="74">
        <f t="shared" si="830"/>
        <v>0</v>
      </c>
      <c r="CI258" s="75">
        <v>0</v>
      </c>
      <c r="CJ258" s="75">
        <v>0</v>
      </c>
      <c r="CK258" s="75">
        <v>0</v>
      </c>
      <c r="CL258" s="75">
        <v>0</v>
      </c>
      <c r="CM258" s="75">
        <v>0</v>
      </c>
      <c r="CN258" s="74">
        <f t="shared" si="831"/>
        <v>0</v>
      </c>
      <c r="CO258" s="75"/>
      <c r="CP258" s="75">
        <v>0</v>
      </c>
      <c r="CQ258" s="75">
        <v>0</v>
      </c>
      <c r="CR258" s="75"/>
      <c r="CS258" s="75"/>
      <c r="CT258" s="75"/>
      <c r="CU258" s="74">
        <v>0</v>
      </c>
      <c r="CV258" s="74"/>
      <c r="CW258" s="74"/>
      <c r="CX258" s="74"/>
      <c r="CY258" s="74"/>
      <c r="CZ258" s="74">
        <f t="shared" si="767"/>
        <v>0</v>
      </c>
      <c r="DA258" s="74">
        <f t="shared" si="768"/>
        <v>0</v>
      </c>
      <c r="DB258" s="74">
        <v>0</v>
      </c>
      <c r="DC258" s="77">
        <v>0</v>
      </c>
    </row>
    <row r="259" spans="1:108" ht="15.6" x14ac:dyDescent="0.3">
      <c r="A259" s="94" t="s">
        <v>1</v>
      </c>
      <c r="B259" s="21" t="s">
        <v>127</v>
      </c>
      <c r="C259" s="22" t="s">
        <v>494</v>
      </c>
      <c r="D259" s="19">
        <f t="shared" si="819"/>
        <v>1853797</v>
      </c>
      <c r="E259" s="19">
        <f t="shared" si="820"/>
        <v>1603797</v>
      </c>
      <c r="F259" s="19">
        <f t="shared" si="821"/>
        <v>1603797</v>
      </c>
      <c r="G259" s="19">
        <v>236000</v>
      </c>
      <c r="H259" s="19">
        <v>56000</v>
      </c>
      <c r="I259" s="19">
        <f t="shared" si="747"/>
        <v>530800</v>
      </c>
      <c r="J259" s="23">
        <v>0</v>
      </c>
      <c r="K259" s="23">
        <v>35800</v>
      </c>
      <c r="L259" s="23">
        <v>0</v>
      </c>
      <c r="M259" s="23">
        <v>0</v>
      </c>
      <c r="N259" s="23">
        <v>145000</v>
      </c>
      <c r="O259" s="23">
        <v>350000</v>
      </c>
      <c r="P259" s="19">
        <f t="shared" si="755"/>
        <v>10000</v>
      </c>
      <c r="Q259" s="23">
        <v>10000</v>
      </c>
      <c r="R259" s="23">
        <v>0</v>
      </c>
      <c r="S259" s="23">
        <v>0</v>
      </c>
      <c r="T259" s="23">
        <f>154947+61050</f>
        <v>215997</v>
      </c>
      <c r="U259" s="19">
        <f t="shared" si="822"/>
        <v>10000</v>
      </c>
      <c r="V259" s="23">
        <v>10000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3">
        <v>0</v>
      </c>
      <c r="AC259" s="23">
        <v>0</v>
      </c>
      <c r="AD259" s="19">
        <f t="shared" si="823"/>
        <v>545000</v>
      </c>
      <c r="AE259" s="23">
        <v>0</v>
      </c>
      <c r="AF259" s="23">
        <v>0</v>
      </c>
      <c r="AG259" s="51">
        <v>80000</v>
      </c>
      <c r="AH259" s="51">
        <v>100000</v>
      </c>
      <c r="AI259" s="51">
        <v>0</v>
      </c>
      <c r="AJ259" s="51">
        <v>0</v>
      </c>
      <c r="AK259" s="51">
        <v>0</v>
      </c>
      <c r="AL259" s="51">
        <v>0</v>
      </c>
      <c r="AM259" s="51">
        <v>0</v>
      </c>
      <c r="AN259" s="51">
        <v>15000</v>
      </c>
      <c r="AO259" s="51">
        <v>0</v>
      </c>
      <c r="AP259" s="51">
        <v>0</v>
      </c>
      <c r="AQ259" s="51">
        <v>0</v>
      </c>
      <c r="AR259" s="51">
        <v>0</v>
      </c>
      <c r="AS259" s="51">
        <v>0</v>
      </c>
      <c r="AT259" s="51">
        <v>0</v>
      </c>
      <c r="AU259" s="51">
        <v>0</v>
      </c>
      <c r="AV259" s="51">
        <v>0</v>
      </c>
      <c r="AW259" s="51">
        <v>0</v>
      </c>
      <c r="AX259" s="51">
        <v>0</v>
      </c>
      <c r="AY259" s="51">
        <v>350000</v>
      </c>
      <c r="AZ259" s="51"/>
      <c r="BA259" s="51"/>
      <c r="BB259" s="51"/>
      <c r="BC259" s="19">
        <f t="shared" si="824"/>
        <v>0</v>
      </c>
      <c r="BD259" s="19">
        <f t="shared" si="825"/>
        <v>0</v>
      </c>
      <c r="BE259" s="19">
        <v>0</v>
      </c>
      <c r="BF259" s="19">
        <v>0</v>
      </c>
      <c r="BG259" s="19">
        <v>0</v>
      </c>
      <c r="BH259" s="19">
        <f t="shared" si="826"/>
        <v>0</v>
      </c>
      <c r="BI259" s="19">
        <v>0</v>
      </c>
      <c r="BJ259" s="19">
        <v>0</v>
      </c>
      <c r="BK259" s="19">
        <v>0</v>
      </c>
      <c r="BL259" s="19">
        <v>0</v>
      </c>
      <c r="BM259" s="19">
        <v>0</v>
      </c>
      <c r="BN259" s="19">
        <f t="shared" si="760"/>
        <v>0</v>
      </c>
      <c r="BO259" s="19">
        <v>0</v>
      </c>
      <c r="BP259" s="19">
        <v>0</v>
      </c>
      <c r="BQ259" s="19">
        <f t="shared" si="827"/>
        <v>0</v>
      </c>
      <c r="BR259" s="19">
        <v>0</v>
      </c>
      <c r="BS259" s="19">
        <v>0</v>
      </c>
      <c r="BT259" s="19">
        <v>0</v>
      </c>
      <c r="BU259" s="19">
        <v>0</v>
      </c>
      <c r="BV259" s="19">
        <v>0</v>
      </c>
      <c r="BW259" s="19">
        <v>0</v>
      </c>
      <c r="BX259" s="19">
        <v>0</v>
      </c>
      <c r="BY259" s="19">
        <v>0</v>
      </c>
      <c r="BZ259" s="19">
        <v>0</v>
      </c>
      <c r="CA259" s="19">
        <v>0</v>
      </c>
      <c r="CB259" s="19">
        <v>0</v>
      </c>
      <c r="CC259" s="19">
        <f t="shared" si="828"/>
        <v>250000</v>
      </c>
      <c r="CD259" s="19">
        <f t="shared" si="829"/>
        <v>250000</v>
      </c>
      <c r="CE259" s="19">
        <f t="shared" si="764"/>
        <v>250000</v>
      </c>
      <c r="CF259" s="23"/>
      <c r="CG259" s="23">
        <v>250000</v>
      </c>
      <c r="CH259" s="19">
        <f t="shared" si="830"/>
        <v>0</v>
      </c>
      <c r="CI259" s="23">
        <v>0</v>
      </c>
      <c r="CJ259" s="23">
        <v>0</v>
      </c>
      <c r="CK259" s="23">
        <v>0</v>
      </c>
      <c r="CL259" s="23">
        <v>0</v>
      </c>
      <c r="CM259" s="23">
        <v>0</v>
      </c>
      <c r="CN259" s="19">
        <f t="shared" si="831"/>
        <v>0</v>
      </c>
      <c r="CO259" s="23">
        <v>0</v>
      </c>
      <c r="CP259" s="23">
        <v>0</v>
      </c>
      <c r="CQ259" s="23">
        <v>0</v>
      </c>
      <c r="CR259" s="23"/>
      <c r="CS259" s="23"/>
      <c r="CT259" s="23"/>
      <c r="CU259" s="19">
        <v>0</v>
      </c>
      <c r="CV259" s="74"/>
      <c r="CW259" s="74"/>
      <c r="CX259" s="74"/>
      <c r="CY259" s="74"/>
      <c r="CZ259" s="19">
        <f t="shared" si="767"/>
        <v>0</v>
      </c>
      <c r="DA259" s="19">
        <f t="shared" si="768"/>
        <v>0</v>
      </c>
      <c r="DB259" s="19">
        <v>0</v>
      </c>
      <c r="DC259" s="20">
        <v>0</v>
      </c>
      <c r="DD259" s="52"/>
    </row>
    <row r="260" spans="1:108" s="78" customFormat="1" ht="15.6" x14ac:dyDescent="0.3">
      <c r="A260" s="96" t="s">
        <v>1</v>
      </c>
      <c r="B260" s="71" t="s">
        <v>129</v>
      </c>
      <c r="C260" s="72" t="s">
        <v>495</v>
      </c>
      <c r="D260" s="74">
        <f t="shared" si="819"/>
        <v>7396609</v>
      </c>
      <c r="E260" s="74">
        <f t="shared" si="820"/>
        <v>6626689</v>
      </c>
      <c r="F260" s="74">
        <f t="shared" si="821"/>
        <v>6626689</v>
      </c>
      <c r="G260" s="74">
        <v>323154</v>
      </c>
      <c r="H260" s="74">
        <v>77812</v>
      </c>
      <c r="I260" s="74">
        <f t="shared" si="747"/>
        <v>3224878</v>
      </c>
      <c r="J260" s="75">
        <v>10604</v>
      </c>
      <c r="K260" s="75">
        <v>5500</v>
      </c>
      <c r="L260" s="75">
        <v>15000</v>
      </c>
      <c r="M260" s="75">
        <v>0</v>
      </c>
      <c r="N260" s="75">
        <v>602533</v>
      </c>
      <c r="O260" s="75">
        <f>1641385+949856</f>
        <v>2591241</v>
      </c>
      <c r="P260" s="74">
        <f t="shared" si="755"/>
        <v>0</v>
      </c>
      <c r="Q260" s="75">
        <v>0</v>
      </c>
      <c r="R260" s="75">
        <v>0</v>
      </c>
      <c r="S260" s="75">
        <v>0</v>
      </c>
      <c r="T260" s="75">
        <v>2900</v>
      </c>
      <c r="U260" s="74">
        <f t="shared" si="822"/>
        <v>1030011</v>
      </c>
      <c r="V260" s="75">
        <f>537653+61060</f>
        <v>598713</v>
      </c>
      <c r="W260" s="75">
        <v>0</v>
      </c>
      <c r="X260" s="75">
        <f>187758-8252</f>
        <v>179506</v>
      </c>
      <c r="Y260" s="75">
        <f>58586-4368</f>
        <v>54218</v>
      </c>
      <c r="Z260" s="75">
        <v>67387</v>
      </c>
      <c r="AA260" s="75">
        <v>0</v>
      </c>
      <c r="AB260" s="75">
        <v>0</v>
      </c>
      <c r="AC260" s="75">
        <f>133840-3653</f>
        <v>130187</v>
      </c>
      <c r="AD260" s="74">
        <f t="shared" si="823"/>
        <v>1967934</v>
      </c>
      <c r="AE260" s="23">
        <v>0</v>
      </c>
      <c r="AF260" s="23">
        <v>0</v>
      </c>
      <c r="AG260" s="101">
        <f>77367+35000</f>
        <v>112367</v>
      </c>
      <c r="AH260" s="101">
        <f>453083+250000</f>
        <v>703083</v>
      </c>
      <c r="AI260" s="101">
        <v>0</v>
      </c>
      <c r="AJ260" s="101">
        <v>19393</v>
      </c>
      <c r="AK260" s="101">
        <v>7700</v>
      </c>
      <c r="AL260" s="101">
        <v>0</v>
      </c>
      <c r="AM260" s="101">
        <v>18002</v>
      </c>
      <c r="AN260" s="101">
        <v>0</v>
      </c>
      <c r="AO260" s="101">
        <v>0</v>
      </c>
      <c r="AP260" s="101">
        <v>0</v>
      </c>
      <c r="AQ260" s="101">
        <v>0</v>
      </c>
      <c r="AR260" s="101">
        <v>0</v>
      </c>
      <c r="AS260" s="101">
        <v>0</v>
      </c>
      <c r="AT260" s="101">
        <v>0</v>
      </c>
      <c r="AU260" s="101">
        <v>0</v>
      </c>
      <c r="AV260" s="101">
        <v>0</v>
      </c>
      <c r="AW260" s="101">
        <v>0</v>
      </c>
      <c r="AX260" s="101">
        <v>0</v>
      </c>
      <c r="AY260" s="101">
        <f>1097471+9918</f>
        <v>1107389</v>
      </c>
      <c r="AZ260" s="101"/>
      <c r="BA260" s="101"/>
      <c r="BB260" s="101"/>
      <c r="BC260" s="74">
        <f t="shared" si="824"/>
        <v>0</v>
      </c>
      <c r="BD260" s="74">
        <f t="shared" si="825"/>
        <v>0</v>
      </c>
      <c r="BE260" s="74">
        <v>0</v>
      </c>
      <c r="BF260" s="74">
        <v>0</v>
      </c>
      <c r="BG260" s="74">
        <v>0</v>
      </c>
      <c r="BH260" s="74">
        <f t="shared" si="826"/>
        <v>0</v>
      </c>
      <c r="BI260" s="74">
        <v>0</v>
      </c>
      <c r="BJ260" s="74">
        <v>0</v>
      </c>
      <c r="BK260" s="74">
        <v>0</v>
      </c>
      <c r="BL260" s="74">
        <v>0</v>
      </c>
      <c r="BM260" s="74">
        <v>0</v>
      </c>
      <c r="BN260" s="74">
        <f t="shared" si="760"/>
        <v>0</v>
      </c>
      <c r="BO260" s="74">
        <v>0</v>
      </c>
      <c r="BP260" s="74">
        <v>0</v>
      </c>
      <c r="BQ260" s="74">
        <f t="shared" si="827"/>
        <v>0</v>
      </c>
      <c r="BR260" s="74">
        <v>0</v>
      </c>
      <c r="BS260" s="74">
        <v>0</v>
      </c>
      <c r="BT260" s="74">
        <v>0</v>
      </c>
      <c r="BU260" s="74">
        <v>0</v>
      </c>
      <c r="BV260" s="74">
        <v>0</v>
      </c>
      <c r="BW260" s="74">
        <v>0</v>
      </c>
      <c r="BX260" s="74">
        <v>0</v>
      </c>
      <c r="BY260" s="74">
        <v>0</v>
      </c>
      <c r="BZ260" s="74">
        <v>0</v>
      </c>
      <c r="CA260" s="74">
        <v>0</v>
      </c>
      <c r="CB260" s="74">
        <v>0</v>
      </c>
      <c r="CC260" s="74">
        <f t="shared" si="828"/>
        <v>769920</v>
      </c>
      <c r="CD260" s="74">
        <f t="shared" si="829"/>
        <v>769920</v>
      </c>
      <c r="CE260" s="74">
        <f t="shared" si="764"/>
        <v>385000</v>
      </c>
      <c r="CF260" s="75">
        <v>104000</v>
      </c>
      <c r="CG260" s="75">
        <v>281000</v>
      </c>
      <c r="CH260" s="74">
        <f t="shared" si="830"/>
        <v>180000</v>
      </c>
      <c r="CI260" s="75">
        <v>0</v>
      </c>
      <c r="CJ260" s="75">
        <v>0</v>
      </c>
      <c r="CK260" s="75">
        <v>180000</v>
      </c>
      <c r="CL260" s="75">
        <v>0</v>
      </c>
      <c r="CM260" s="75">
        <v>0</v>
      </c>
      <c r="CN260" s="74">
        <f t="shared" si="831"/>
        <v>204920</v>
      </c>
      <c r="CO260" s="75">
        <v>0</v>
      </c>
      <c r="CP260" s="75">
        <v>204920</v>
      </c>
      <c r="CQ260" s="75">
        <v>0</v>
      </c>
      <c r="CR260" s="75"/>
      <c r="CS260" s="75"/>
      <c r="CT260" s="75"/>
      <c r="CU260" s="74">
        <v>0</v>
      </c>
      <c r="CV260" s="74"/>
      <c r="CW260" s="74"/>
      <c r="CX260" s="74"/>
      <c r="CY260" s="74"/>
      <c r="CZ260" s="74">
        <f t="shared" si="767"/>
        <v>0</v>
      </c>
      <c r="DA260" s="74">
        <f t="shared" si="768"/>
        <v>0</v>
      </c>
      <c r="DB260" s="74">
        <v>0</v>
      </c>
      <c r="DC260" s="77">
        <v>0</v>
      </c>
    </row>
    <row r="261" spans="1:108" s="78" customFormat="1" ht="15.6" x14ac:dyDescent="0.3">
      <c r="A261" s="96" t="s">
        <v>1</v>
      </c>
      <c r="B261" s="71" t="s">
        <v>66</v>
      </c>
      <c r="C261" s="72" t="s">
        <v>496</v>
      </c>
      <c r="D261" s="74">
        <f t="shared" si="819"/>
        <v>66998</v>
      </c>
      <c r="E261" s="74">
        <f t="shared" si="820"/>
        <v>59998</v>
      </c>
      <c r="F261" s="74">
        <f t="shared" si="821"/>
        <v>59998</v>
      </c>
      <c r="G261" s="74">
        <v>3876</v>
      </c>
      <c r="H261" s="74">
        <v>969</v>
      </c>
      <c r="I261" s="74">
        <f t="shared" si="747"/>
        <v>44691</v>
      </c>
      <c r="J261" s="75">
        <f>4651+10000</f>
        <v>14651</v>
      </c>
      <c r="K261" s="75">
        <v>0</v>
      </c>
      <c r="L261" s="75">
        <v>0</v>
      </c>
      <c r="M261" s="75">
        <v>0</v>
      </c>
      <c r="N261" s="75">
        <v>0</v>
      </c>
      <c r="O261" s="75">
        <f>11798+18242</f>
        <v>30040</v>
      </c>
      <c r="P261" s="74">
        <f t="shared" si="755"/>
        <v>0</v>
      </c>
      <c r="Q261" s="75">
        <v>0</v>
      </c>
      <c r="R261" s="75">
        <v>0</v>
      </c>
      <c r="S261" s="75">
        <v>0</v>
      </c>
      <c r="T261" s="75">
        <v>0</v>
      </c>
      <c r="U261" s="74">
        <f t="shared" si="822"/>
        <v>1536</v>
      </c>
      <c r="V261" s="75">
        <v>0</v>
      </c>
      <c r="W261" s="75">
        <v>0</v>
      </c>
      <c r="X261" s="75">
        <v>0</v>
      </c>
      <c r="Y261" s="75">
        <v>1536</v>
      </c>
      <c r="Z261" s="75">
        <v>0</v>
      </c>
      <c r="AA261" s="75">
        <v>0</v>
      </c>
      <c r="AB261" s="75">
        <v>0</v>
      </c>
      <c r="AC261" s="75">
        <v>0</v>
      </c>
      <c r="AD261" s="74">
        <f t="shared" si="823"/>
        <v>8926</v>
      </c>
      <c r="AE261" s="23">
        <v>0</v>
      </c>
      <c r="AF261" s="23">
        <v>0</v>
      </c>
      <c r="AG261" s="101">
        <v>775</v>
      </c>
      <c r="AH261" s="101">
        <v>0</v>
      </c>
      <c r="AI261" s="101">
        <v>0</v>
      </c>
      <c r="AJ261" s="101">
        <v>400</v>
      </c>
      <c r="AK261" s="101">
        <v>0</v>
      </c>
      <c r="AL261" s="101">
        <v>0</v>
      </c>
      <c r="AM261" s="101">
        <v>0</v>
      </c>
      <c r="AN261" s="101">
        <v>0</v>
      </c>
      <c r="AO261" s="101">
        <v>0</v>
      </c>
      <c r="AP261" s="101">
        <v>0</v>
      </c>
      <c r="AQ261" s="101">
        <v>0</v>
      </c>
      <c r="AR261" s="101">
        <v>0</v>
      </c>
      <c r="AS261" s="101">
        <v>0</v>
      </c>
      <c r="AT261" s="101">
        <v>0</v>
      </c>
      <c r="AU261" s="101">
        <v>0</v>
      </c>
      <c r="AV261" s="101">
        <v>0</v>
      </c>
      <c r="AW261" s="101">
        <v>0</v>
      </c>
      <c r="AX261" s="101">
        <v>0</v>
      </c>
      <c r="AY261" s="101">
        <v>7751</v>
      </c>
      <c r="AZ261" s="101"/>
      <c r="BA261" s="101"/>
      <c r="BB261" s="101"/>
      <c r="BC261" s="74">
        <f t="shared" si="824"/>
        <v>0</v>
      </c>
      <c r="BD261" s="74">
        <f t="shared" si="825"/>
        <v>0</v>
      </c>
      <c r="BE261" s="74">
        <v>0</v>
      </c>
      <c r="BF261" s="74">
        <v>0</v>
      </c>
      <c r="BG261" s="74">
        <v>0</v>
      </c>
      <c r="BH261" s="74">
        <f t="shared" si="826"/>
        <v>0</v>
      </c>
      <c r="BI261" s="74">
        <v>0</v>
      </c>
      <c r="BJ261" s="74">
        <v>0</v>
      </c>
      <c r="BK261" s="74">
        <v>0</v>
      </c>
      <c r="BL261" s="74">
        <v>0</v>
      </c>
      <c r="BM261" s="74">
        <v>0</v>
      </c>
      <c r="BN261" s="74">
        <f t="shared" si="760"/>
        <v>0</v>
      </c>
      <c r="BO261" s="74">
        <v>0</v>
      </c>
      <c r="BP261" s="74">
        <v>0</v>
      </c>
      <c r="BQ261" s="74">
        <f t="shared" si="827"/>
        <v>0</v>
      </c>
      <c r="BR261" s="74">
        <v>0</v>
      </c>
      <c r="BS261" s="74">
        <v>0</v>
      </c>
      <c r="BT261" s="74">
        <v>0</v>
      </c>
      <c r="BU261" s="74">
        <v>0</v>
      </c>
      <c r="BV261" s="74">
        <v>0</v>
      </c>
      <c r="BW261" s="74">
        <v>0</v>
      </c>
      <c r="BX261" s="74">
        <v>0</v>
      </c>
      <c r="BY261" s="74">
        <v>0</v>
      </c>
      <c r="BZ261" s="74">
        <v>0</v>
      </c>
      <c r="CA261" s="74">
        <v>0</v>
      </c>
      <c r="CB261" s="74">
        <v>0</v>
      </c>
      <c r="CC261" s="74">
        <f t="shared" si="828"/>
        <v>7000</v>
      </c>
      <c r="CD261" s="74">
        <f t="shared" si="829"/>
        <v>7000</v>
      </c>
      <c r="CE261" s="74">
        <f t="shared" si="764"/>
        <v>7000</v>
      </c>
      <c r="CF261" s="75"/>
      <c r="CG261" s="75">
        <v>7000</v>
      </c>
      <c r="CH261" s="74">
        <f t="shared" si="830"/>
        <v>0</v>
      </c>
      <c r="CI261" s="75">
        <v>0</v>
      </c>
      <c r="CJ261" s="75">
        <v>0</v>
      </c>
      <c r="CK261" s="75">
        <v>0</v>
      </c>
      <c r="CL261" s="75">
        <v>0</v>
      </c>
      <c r="CM261" s="75">
        <v>0</v>
      </c>
      <c r="CN261" s="74">
        <f t="shared" si="831"/>
        <v>0</v>
      </c>
      <c r="CO261" s="75">
        <v>0</v>
      </c>
      <c r="CP261" s="75">
        <v>0</v>
      </c>
      <c r="CQ261" s="75">
        <v>0</v>
      </c>
      <c r="CR261" s="75"/>
      <c r="CS261" s="75"/>
      <c r="CT261" s="75"/>
      <c r="CU261" s="74">
        <v>0</v>
      </c>
      <c r="CV261" s="74"/>
      <c r="CW261" s="74"/>
      <c r="CX261" s="74"/>
      <c r="CY261" s="74"/>
      <c r="CZ261" s="74">
        <f t="shared" si="767"/>
        <v>0</v>
      </c>
      <c r="DA261" s="74">
        <f t="shared" si="768"/>
        <v>0</v>
      </c>
      <c r="DB261" s="74">
        <v>0</v>
      </c>
      <c r="DC261" s="77">
        <v>0</v>
      </c>
    </row>
    <row r="262" spans="1:108" s="78" customFormat="1" ht="31.5" customHeight="1" x14ac:dyDescent="0.3">
      <c r="A262" s="96" t="s">
        <v>1</v>
      </c>
      <c r="B262" s="71" t="s">
        <v>68</v>
      </c>
      <c r="C262" s="72" t="s">
        <v>497</v>
      </c>
      <c r="D262" s="74">
        <f t="shared" si="819"/>
        <v>946162</v>
      </c>
      <c r="E262" s="74">
        <f t="shared" si="820"/>
        <v>832160</v>
      </c>
      <c r="F262" s="74">
        <f t="shared" si="821"/>
        <v>832160</v>
      </c>
      <c r="G262" s="74">
        <f>38800+57039</f>
        <v>95839</v>
      </c>
      <c r="H262" s="74">
        <f>9700+15680</f>
        <v>25380</v>
      </c>
      <c r="I262" s="74">
        <f t="shared" si="747"/>
        <v>195568</v>
      </c>
      <c r="J262" s="75">
        <f>2300+1000</f>
        <v>3300</v>
      </c>
      <c r="K262" s="75">
        <v>0</v>
      </c>
      <c r="L262" s="75">
        <v>0</v>
      </c>
      <c r="M262" s="75">
        <v>0</v>
      </c>
      <c r="N262" s="75">
        <f>8000+52000</f>
        <v>60000</v>
      </c>
      <c r="O262" s="75">
        <f>98621+33647</f>
        <v>132268</v>
      </c>
      <c r="P262" s="74">
        <f t="shared" si="755"/>
        <v>0</v>
      </c>
      <c r="Q262" s="75">
        <v>0</v>
      </c>
      <c r="R262" s="75">
        <v>0</v>
      </c>
      <c r="S262" s="75">
        <v>0</v>
      </c>
      <c r="T262" s="75">
        <v>0</v>
      </c>
      <c r="U262" s="74">
        <f t="shared" si="822"/>
        <v>440378</v>
      </c>
      <c r="V262" s="75">
        <v>2328</v>
      </c>
      <c r="W262" s="75">
        <f>146286+54904</f>
        <v>201190</v>
      </c>
      <c r="X262" s="75">
        <f>80995+4442</f>
        <v>85437</v>
      </c>
      <c r="Y262" s="75">
        <f>54457+70399</f>
        <v>124856</v>
      </c>
      <c r="Z262" s="75">
        <f>8047+5000</f>
        <v>13047</v>
      </c>
      <c r="AA262" s="75">
        <v>12000</v>
      </c>
      <c r="AB262" s="75">
        <v>0</v>
      </c>
      <c r="AC262" s="75">
        <v>1520</v>
      </c>
      <c r="AD262" s="74">
        <f t="shared" si="823"/>
        <v>74995</v>
      </c>
      <c r="AE262" s="23">
        <v>0</v>
      </c>
      <c r="AF262" s="23">
        <v>0</v>
      </c>
      <c r="AG262" s="101">
        <v>0</v>
      </c>
      <c r="AH262" s="101">
        <v>15000</v>
      </c>
      <c r="AI262" s="101">
        <v>0</v>
      </c>
      <c r="AJ262" s="101">
        <v>3000</v>
      </c>
      <c r="AK262" s="101">
        <v>0</v>
      </c>
      <c r="AL262" s="101">
        <f>1870+3000</f>
        <v>4870</v>
      </c>
      <c r="AM262" s="101">
        <f>3500+10000</f>
        <v>13500</v>
      </c>
      <c r="AN262" s="101">
        <v>0</v>
      </c>
      <c r="AO262" s="101">
        <v>0</v>
      </c>
      <c r="AP262" s="101">
        <v>0</v>
      </c>
      <c r="AQ262" s="101">
        <v>0</v>
      </c>
      <c r="AR262" s="101">
        <f>9000+19320</f>
        <v>28320</v>
      </c>
      <c r="AS262" s="101">
        <v>0</v>
      </c>
      <c r="AT262" s="101">
        <v>0</v>
      </c>
      <c r="AU262" s="101">
        <v>0</v>
      </c>
      <c r="AV262" s="101">
        <v>0</v>
      </c>
      <c r="AW262" s="101">
        <v>0</v>
      </c>
      <c r="AX262" s="101">
        <v>0</v>
      </c>
      <c r="AY262" s="101">
        <f>5305+5000</f>
        <v>10305</v>
      </c>
      <c r="AZ262" s="101"/>
      <c r="BA262" s="101"/>
      <c r="BB262" s="101"/>
      <c r="BC262" s="74">
        <f t="shared" si="824"/>
        <v>0</v>
      </c>
      <c r="BD262" s="74">
        <f t="shared" si="825"/>
        <v>0</v>
      </c>
      <c r="BE262" s="74">
        <v>0</v>
      </c>
      <c r="BF262" s="74">
        <v>0</v>
      </c>
      <c r="BG262" s="74">
        <v>0</v>
      </c>
      <c r="BH262" s="74">
        <f t="shared" si="826"/>
        <v>0</v>
      </c>
      <c r="BI262" s="74">
        <v>0</v>
      </c>
      <c r="BJ262" s="74">
        <v>0</v>
      </c>
      <c r="BK262" s="74">
        <v>0</v>
      </c>
      <c r="BL262" s="74">
        <v>0</v>
      </c>
      <c r="BM262" s="74">
        <v>0</v>
      </c>
      <c r="BN262" s="74">
        <f t="shared" si="760"/>
        <v>0</v>
      </c>
      <c r="BO262" s="74">
        <v>0</v>
      </c>
      <c r="BP262" s="74">
        <v>0</v>
      </c>
      <c r="BQ262" s="74">
        <f t="shared" si="827"/>
        <v>0</v>
      </c>
      <c r="BR262" s="74">
        <v>0</v>
      </c>
      <c r="BS262" s="74">
        <v>0</v>
      </c>
      <c r="BT262" s="74">
        <v>0</v>
      </c>
      <c r="BU262" s="74">
        <v>0</v>
      </c>
      <c r="BV262" s="74">
        <v>0</v>
      </c>
      <c r="BW262" s="74">
        <v>0</v>
      </c>
      <c r="BX262" s="74">
        <v>0</v>
      </c>
      <c r="BY262" s="74">
        <v>0</v>
      </c>
      <c r="BZ262" s="74">
        <v>0</v>
      </c>
      <c r="CA262" s="74">
        <v>0</v>
      </c>
      <c r="CB262" s="74">
        <v>0</v>
      </c>
      <c r="CC262" s="74">
        <f t="shared" si="828"/>
        <v>114002</v>
      </c>
      <c r="CD262" s="74">
        <f t="shared" si="829"/>
        <v>114002</v>
      </c>
      <c r="CE262" s="74">
        <f t="shared" si="764"/>
        <v>89002</v>
      </c>
      <c r="CF262" s="75"/>
      <c r="CG262" s="75">
        <f>61002+28000</f>
        <v>89002</v>
      </c>
      <c r="CH262" s="74">
        <f t="shared" si="830"/>
        <v>0</v>
      </c>
      <c r="CI262" s="75">
        <v>0</v>
      </c>
      <c r="CJ262" s="75">
        <v>0</v>
      </c>
      <c r="CK262" s="75">
        <v>0</v>
      </c>
      <c r="CL262" s="75">
        <v>0</v>
      </c>
      <c r="CM262" s="75">
        <v>0</v>
      </c>
      <c r="CN262" s="74">
        <f t="shared" si="831"/>
        <v>25000</v>
      </c>
      <c r="CO262" s="75">
        <f>0+25000</f>
        <v>25000</v>
      </c>
      <c r="CP262" s="75">
        <v>0</v>
      </c>
      <c r="CQ262" s="75">
        <v>0</v>
      </c>
      <c r="CR262" s="75"/>
      <c r="CS262" s="75"/>
      <c r="CT262" s="75"/>
      <c r="CU262" s="74">
        <v>0</v>
      </c>
      <c r="CV262" s="74"/>
      <c r="CW262" s="74"/>
      <c r="CX262" s="74"/>
      <c r="CY262" s="74"/>
      <c r="CZ262" s="74">
        <f t="shared" si="767"/>
        <v>0</v>
      </c>
      <c r="DA262" s="74">
        <f t="shared" si="768"/>
        <v>0</v>
      </c>
      <c r="DB262" s="74">
        <v>0</v>
      </c>
      <c r="DC262" s="77">
        <v>0</v>
      </c>
    </row>
    <row r="263" spans="1:108" s="78" customFormat="1" ht="31.2" x14ac:dyDescent="0.3">
      <c r="A263" s="96" t="s">
        <v>1</v>
      </c>
      <c r="B263" s="71" t="s">
        <v>68</v>
      </c>
      <c r="C263" s="72" t="s">
        <v>574</v>
      </c>
      <c r="D263" s="74">
        <f t="shared" si="819"/>
        <v>1354535</v>
      </c>
      <c r="E263" s="74">
        <f>SUM(F263+BC263+AZ263)</f>
        <v>1324235</v>
      </c>
      <c r="F263" s="74">
        <f t="shared" si="821"/>
        <v>1324235</v>
      </c>
      <c r="G263" s="74">
        <f>334508+129380</f>
        <v>463888</v>
      </c>
      <c r="H263" s="74">
        <f>83627+43127</f>
        <v>126754</v>
      </c>
      <c r="I263" s="74">
        <f t="shared" si="747"/>
        <v>273748</v>
      </c>
      <c r="J263" s="75">
        <v>1000</v>
      </c>
      <c r="K263" s="75">
        <v>19250</v>
      </c>
      <c r="L263" s="75">
        <v>0</v>
      </c>
      <c r="M263" s="75">
        <v>0</v>
      </c>
      <c r="N263" s="75">
        <v>130615</v>
      </c>
      <c r="O263" s="75">
        <v>122883</v>
      </c>
      <c r="P263" s="74">
        <f t="shared" si="755"/>
        <v>0</v>
      </c>
      <c r="Q263" s="75">
        <v>0</v>
      </c>
      <c r="R263" s="75">
        <v>0</v>
      </c>
      <c r="S263" s="75">
        <v>0</v>
      </c>
      <c r="T263" s="75">
        <v>14639</v>
      </c>
      <c r="U263" s="74">
        <f t="shared" si="822"/>
        <v>111009</v>
      </c>
      <c r="V263" s="75">
        <v>60573</v>
      </c>
      <c r="W263" s="75">
        <v>18098</v>
      </c>
      <c r="X263" s="75">
        <v>8465</v>
      </c>
      <c r="Y263" s="75">
        <v>15797</v>
      </c>
      <c r="Z263" s="75">
        <v>8076</v>
      </c>
      <c r="AA263" s="75">
        <v>0</v>
      </c>
      <c r="AB263" s="75">
        <v>0</v>
      </c>
      <c r="AC263" s="75">
        <v>0</v>
      </c>
      <c r="AD263" s="74">
        <f t="shared" si="823"/>
        <v>334197</v>
      </c>
      <c r="AE263" s="23">
        <v>0</v>
      </c>
      <c r="AF263" s="23">
        <v>0</v>
      </c>
      <c r="AG263" s="75">
        <v>31169</v>
      </c>
      <c r="AH263" s="75">
        <v>82250</v>
      </c>
      <c r="AI263" s="75">
        <v>0</v>
      </c>
      <c r="AJ263" s="75">
        <v>3600</v>
      </c>
      <c r="AK263" s="75">
        <v>0</v>
      </c>
      <c r="AL263" s="75">
        <v>2825</v>
      </c>
      <c r="AM263" s="75">
        <v>60000</v>
      </c>
      <c r="AN263" s="75">
        <v>0</v>
      </c>
      <c r="AO263" s="75">
        <v>0</v>
      </c>
      <c r="AP263" s="75">
        <v>0</v>
      </c>
      <c r="AQ263" s="75">
        <v>0</v>
      </c>
      <c r="AR263" s="75">
        <v>0</v>
      </c>
      <c r="AS263" s="75">
        <v>0</v>
      </c>
      <c r="AT263" s="75">
        <v>0</v>
      </c>
      <c r="AU263" s="75">
        <v>0</v>
      </c>
      <c r="AV263" s="75">
        <v>0</v>
      </c>
      <c r="AW263" s="75">
        <v>78163</v>
      </c>
      <c r="AX263" s="75">
        <v>0</v>
      </c>
      <c r="AY263" s="75">
        <v>76190</v>
      </c>
      <c r="AZ263" s="75">
        <f>BA263</f>
        <v>0</v>
      </c>
      <c r="BA263" s="75">
        <f>BB263</f>
        <v>0</v>
      </c>
      <c r="BB263" s="75">
        <f>30300-30300</f>
        <v>0</v>
      </c>
      <c r="BC263" s="74">
        <f t="shared" si="824"/>
        <v>0</v>
      </c>
      <c r="BD263" s="74">
        <f t="shared" si="825"/>
        <v>0</v>
      </c>
      <c r="BE263" s="74">
        <v>0</v>
      </c>
      <c r="BF263" s="74">
        <v>0</v>
      </c>
      <c r="BG263" s="74">
        <v>0</v>
      </c>
      <c r="BH263" s="74">
        <f t="shared" si="826"/>
        <v>0</v>
      </c>
      <c r="BI263" s="74">
        <v>0</v>
      </c>
      <c r="BJ263" s="74">
        <v>0</v>
      </c>
      <c r="BK263" s="74">
        <v>0</v>
      </c>
      <c r="BL263" s="74">
        <v>0</v>
      </c>
      <c r="BM263" s="74">
        <v>0</v>
      </c>
      <c r="BN263" s="74">
        <f t="shared" si="760"/>
        <v>0</v>
      </c>
      <c r="BO263" s="74">
        <v>0</v>
      </c>
      <c r="BP263" s="74">
        <v>0</v>
      </c>
      <c r="BQ263" s="74">
        <f t="shared" si="827"/>
        <v>0</v>
      </c>
      <c r="BR263" s="74">
        <v>0</v>
      </c>
      <c r="BS263" s="74">
        <v>0</v>
      </c>
      <c r="BT263" s="74">
        <v>0</v>
      </c>
      <c r="BU263" s="74">
        <v>0</v>
      </c>
      <c r="BV263" s="74">
        <v>0</v>
      </c>
      <c r="BW263" s="74">
        <v>0</v>
      </c>
      <c r="BX263" s="74">
        <v>0</v>
      </c>
      <c r="BY263" s="74">
        <v>0</v>
      </c>
      <c r="BZ263" s="74">
        <v>0</v>
      </c>
      <c r="CA263" s="74">
        <v>0</v>
      </c>
      <c r="CB263" s="74">
        <v>0</v>
      </c>
      <c r="CC263" s="74">
        <f t="shared" si="828"/>
        <v>30300</v>
      </c>
      <c r="CD263" s="74">
        <f t="shared" si="829"/>
        <v>30300</v>
      </c>
      <c r="CE263" s="74">
        <f t="shared" si="764"/>
        <v>30300</v>
      </c>
      <c r="CF263" s="76"/>
      <c r="CG263" s="75">
        <f>30300</f>
        <v>30300</v>
      </c>
      <c r="CH263" s="74">
        <f t="shared" si="830"/>
        <v>0</v>
      </c>
      <c r="CI263" s="74">
        <v>0</v>
      </c>
      <c r="CJ263" s="74">
        <v>0</v>
      </c>
      <c r="CK263" s="74">
        <v>0</v>
      </c>
      <c r="CL263" s="74">
        <v>0</v>
      </c>
      <c r="CM263" s="74">
        <v>0</v>
      </c>
      <c r="CN263" s="74">
        <f t="shared" si="831"/>
        <v>0</v>
      </c>
      <c r="CO263" s="76"/>
      <c r="CP263" s="74">
        <v>0</v>
      </c>
      <c r="CQ263" s="74">
        <v>0</v>
      </c>
      <c r="CR263" s="74"/>
      <c r="CS263" s="74"/>
      <c r="CT263" s="74"/>
      <c r="CU263" s="74">
        <v>0</v>
      </c>
      <c r="CV263" s="74"/>
      <c r="CW263" s="74"/>
      <c r="CX263" s="74"/>
      <c r="CY263" s="74"/>
      <c r="CZ263" s="74">
        <f t="shared" si="767"/>
        <v>0</v>
      </c>
      <c r="DA263" s="74">
        <f t="shared" si="768"/>
        <v>0</v>
      </c>
      <c r="DB263" s="74">
        <v>0</v>
      </c>
      <c r="DC263" s="77">
        <v>0</v>
      </c>
    </row>
    <row r="264" spans="1:108" s="78" customFormat="1" ht="15.6" x14ac:dyDescent="0.3">
      <c r="A264" s="96" t="s">
        <v>1</v>
      </c>
      <c r="B264" s="71" t="s">
        <v>68</v>
      </c>
      <c r="C264" s="72" t="s">
        <v>552</v>
      </c>
      <c r="D264" s="74">
        <f t="shared" si="819"/>
        <v>2251183</v>
      </c>
      <c r="E264" s="74">
        <f>SUM(F264+BC264)</f>
        <v>2051177</v>
      </c>
      <c r="F264" s="74">
        <f t="shared" si="821"/>
        <v>2051177</v>
      </c>
      <c r="G264" s="74">
        <f>340032+63881</f>
        <v>403913</v>
      </c>
      <c r="H264" s="74">
        <f>85008+15970</f>
        <v>100978</v>
      </c>
      <c r="I264" s="74">
        <f t="shared" si="747"/>
        <v>173919</v>
      </c>
      <c r="J264" s="75">
        <v>0</v>
      </c>
      <c r="K264" s="75">
        <v>0</v>
      </c>
      <c r="L264" s="75">
        <v>0</v>
      </c>
      <c r="M264" s="75">
        <v>0</v>
      </c>
      <c r="N264" s="75">
        <v>82142</v>
      </c>
      <c r="O264" s="75">
        <v>91777</v>
      </c>
      <c r="P264" s="74">
        <f t="shared" si="755"/>
        <v>73750</v>
      </c>
      <c r="Q264" s="75">
        <v>1000</v>
      </c>
      <c r="R264" s="75">
        <v>72750</v>
      </c>
      <c r="S264" s="75">
        <v>0</v>
      </c>
      <c r="T264" s="75">
        <v>37381</v>
      </c>
      <c r="U264" s="74">
        <f t="shared" si="822"/>
        <v>392535</v>
      </c>
      <c r="V264" s="75">
        <v>49494</v>
      </c>
      <c r="W264" s="75">
        <v>4250</v>
      </c>
      <c r="X264" s="75">
        <v>175473</v>
      </c>
      <c r="Y264" s="75">
        <v>18362</v>
      </c>
      <c r="Z264" s="75">
        <v>5409</v>
      </c>
      <c r="AA264" s="75">
        <v>0</v>
      </c>
      <c r="AB264" s="75">
        <v>0</v>
      </c>
      <c r="AC264" s="75">
        <f>109547+30000</f>
        <v>139547</v>
      </c>
      <c r="AD264" s="74">
        <f t="shared" si="823"/>
        <v>868701</v>
      </c>
      <c r="AE264" s="23">
        <v>0</v>
      </c>
      <c r="AF264" s="23">
        <v>0</v>
      </c>
      <c r="AG264" s="75">
        <v>53896</v>
      </c>
      <c r="AH264" s="75">
        <v>303316</v>
      </c>
      <c r="AI264" s="75">
        <v>0</v>
      </c>
      <c r="AJ264" s="75">
        <v>3435</v>
      </c>
      <c r="AK264" s="75">
        <v>0</v>
      </c>
      <c r="AL264" s="75">
        <v>3400</v>
      </c>
      <c r="AM264" s="75">
        <v>2740</v>
      </c>
      <c r="AN264" s="75">
        <v>0</v>
      </c>
      <c r="AO264" s="75">
        <v>0</v>
      </c>
      <c r="AP264" s="75">
        <v>0</v>
      </c>
      <c r="AQ264" s="75">
        <v>0</v>
      </c>
      <c r="AR264" s="75">
        <v>0</v>
      </c>
      <c r="AS264" s="75">
        <v>0</v>
      </c>
      <c r="AT264" s="75">
        <v>0</v>
      </c>
      <c r="AU264" s="75">
        <v>0</v>
      </c>
      <c r="AV264" s="75">
        <v>0</v>
      </c>
      <c r="AW264" s="75">
        <v>119967</v>
      </c>
      <c r="AX264" s="75">
        <v>0</v>
      </c>
      <c r="AY264" s="75">
        <v>381947</v>
      </c>
      <c r="AZ264" s="75"/>
      <c r="BA264" s="75"/>
      <c r="BB264" s="75"/>
      <c r="BC264" s="74">
        <f t="shared" si="824"/>
        <v>0</v>
      </c>
      <c r="BD264" s="74">
        <f t="shared" si="825"/>
        <v>0</v>
      </c>
      <c r="BE264" s="74">
        <v>0</v>
      </c>
      <c r="BF264" s="74">
        <v>0</v>
      </c>
      <c r="BG264" s="74">
        <v>0</v>
      </c>
      <c r="BH264" s="74">
        <f t="shared" si="826"/>
        <v>0</v>
      </c>
      <c r="BI264" s="74">
        <v>0</v>
      </c>
      <c r="BJ264" s="74">
        <v>0</v>
      </c>
      <c r="BK264" s="74">
        <v>0</v>
      </c>
      <c r="BL264" s="74">
        <v>0</v>
      </c>
      <c r="BM264" s="74">
        <v>0</v>
      </c>
      <c r="BN264" s="74">
        <f t="shared" si="760"/>
        <v>0</v>
      </c>
      <c r="BO264" s="74">
        <v>0</v>
      </c>
      <c r="BP264" s="74">
        <v>0</v>
      </c>
      <c r="BQ264" s="74">
        <f t="shared" si="827"/>
        <v>0</v>
      </c>
      <c r="BR264" s="74">
        <v>0</v>
      </c>
      <c r="BS264" s="74">
        <v>0</v>
      </c>
      <c r="BT264" s="74">
        <v>0</v>
      </c>
      <c r="BU264" s="74">
        <v>0</v>
      </c>
      <c r="BV264" s="74">
        <v>0</v>
      </c>
      <c r="BW264" s="74">
        <v>0</v>
      </c>
      <c r="BX264" s="74">
        <v>0</v>
      </c>
      <c r="BY264" s="74">
        <v>0</v>
      </c>
      <c r="BZ264" s="74">
        <v>0</v>
      </c>
      <c r="CA264" s="74">
        <v>0</v>
      </c>
      <c r="CB264" s="74">
        <v>0</v>
      </c>
      <c r="CC264" s="74">
        <f t="shared" si="828"/>
        <v>200006</v>
      </c>
      <c r="CD264" s="74">
        <f t="shared" si="829"/>
        <v>200006</v>
      </c>
      <c r="CE264" s="74">
        <f t="shared" si="764"/>
        <v>200006</v>
      </c>
      <c r="CF264" s="76"/>
      <c r="CG264" s="75">
        <v>200006</v>
      </c>
      <c r="CH264" s="74">
        <f t="shared" si="830"/>
        <v>0</v>
      </c>
      <c r="CI264" s="74">
        <v>0</v>
      </c>
      <c r="CJ264" s="74">
        <v>0</v>
      </c>
      <c r="CK264" s="74">
        <v>0</v>
      </c>
      <c r="CL264" s="74">
        <v>0</v>
      </c>
      <c r="CM264" s="74">
        <v>0</v>
      </c>
      <c r="CN264" s="74">
        <f t="shared" si="831"/>
        <v>0</v>
      </c>
      <c r="CO264" s="76"/>
      <c r="CP264" s="74">
        <v>0</v>
      </c>
      <c r="CQ264" s="74">
        <v>0</v>
      </c>
      <c r="CR264" s="74"/>
      <c r="CS264" s="74"/>
      <c r="CT264" s="74"/>
      <c r="CU264" s="74">
        <v>0</v>
      </c>
      <c r="CV264" s="74"/>
      <c r="CW264" s="74"/>
      <c r="CX264" s="74"/>
      <c r="CY264" s="74"/>
      <c r="CZ264" s="74">
        <f t="shared" si="767"/>
        <v>0</v>
      </c>
      <c r="DA264" s="74">
        <f t="shared" si="768"/>
        <v>0</v>
      </c>
      <c r="DB264" s="74">
        <v>0</v>
      </c>
      <c r="DC264" s="77">
        <v>0</v>
      </c>
    </row>
    <row r="265" spans="1:108" ht="31.2" x14ac:dyDescent="0.3">
      <c r="A265" s="96" t="s">
        <v>1</v>
      </c>
      <c r="B265" s="71" t="s">
        <v>70</v>
      </c>
      <c r="C265" s="72" t="s">
        <v>333</v>
      </c>
      <c r="D265" s="74">
        <f t="shared" si="819"/>
        <v>890646</v>
      </c>
      <c r="E265" s="74">
        <f>SUM(F265+BC265)</f>
        <v>780646</v>
      </c>
      <c r="F265" s="74">
        <f t="shared" si="821"/>
        <v>780646</v>
      </c>
      <c r="G265" s="74">
        <v>174008</v>
      </c>
      <c r="H265" s="74">
        <v>41777</v>
      </c>
      <c r="I265" s="74">
        <f t="shared" si="747"/>
        <v>220612</v>
      </c>
      <c r="J265" s="75">
        <v>0</v>
      </c>
      <c r="K265" s="75">
        <v>0</v>
      </c>
      <c r="L265" s="75">
        <v>0</v>
      </c>
      <c r="M265" s="75">
        <v>0</v>
      </c>
      <c r="N265" s="75">
        <v>18000</v>
      </c>
      <c r="O265" s="75">
        <v>202612</v>
      </c>
      <c r="P265" s="74">
        <f t="shared" si="755"/>
        <v>1000</v>
      </c>
      <c r="Q265" s="75">
        <v>1000</v>
      </c>
      <c r="R265" s="75">
        <v>0</v>
      </c>
      <c r="S265" s="75">
        <v>0</v>
      </c>
      <c r="T265" s="75">
        <v>9000</v>
      </c>
      <c r="U265" s="74">
        <f t="shared" si="822"/>
        <v>71615</v>
      </c>
      <c r="V265" s="75">
        <f>51615+20000</f>
        <v>71615</v>
      </c>
      <c r="W265" s="75">
        <v>0</v>
      </c>
      <c r="X265" s="75">
        <v>0</v>
      </c>
      <c r="Y265" s="75">
        <v>0</v>
      </c>
      <c r="Z265" s="75">
        <v>0</v>
      </c>
      <c r="AA265" s="75">
        <v>0</v>
      </c>
      <c r="AB265" s="75">
        <v>0</v>
      </c>
      <c r="AC265" s="75">
        <v>0</v>
      </c>
      <c r="AD265" s="74">
        <f t="shared" si="823"/>
        <v>262634</v>
      </c>
      <c r="AE265" s="23">
        <v>0</v>
      </c>
      <c r="AF265" s="23">
        <v>0</v>
      </c>
      <c r="AG265" s="75">
        <f>20000+20000</f>
        <v>40000</v>
      </c>
      <c r="AH265" s="75">
        <v>111000</v>
      </c>
      <c r="AI265" s="75">
        <v>0</v>
      </c>
      <c r="AJ265" s="75">
        <v>400</v>
      </c>
      <c r="AK265" s="75">
        <v>0</v>
      </c>
      <c r="AL265" s="75">
        <v>1000</v>
      </c>
      <c r="AM265" s="75">
        <f>55000+10646</f>
        <v>65646</v>
      </c>
      <c r="AN265" s="75">
        <v>0</v>
      </c>
      <c r="AO265" s="75">
        <v>0</v>
      </c>
      <c r="AP265" s="75">
        <v>0</v>
      </c>
      <c r="AQ265" s="75">
        <v>24588</v>
      </c>
      <c r="AR265" s="75">
        <v>0</v>
      </c>
      <c r="AS265" s="75">
        <v>0</v>
      </c>
      <c r="AT265" s="75">
        <v>0</v>
      </c>
      <c r="AU265" s="75">
        <v>0</v>
      </c>
      <c r="AV265" s="75">
        <v>0</v>
      </c>
      <c r="AW265" s="75">
        <v>0</v>
      </c>
      <c r="AX265" s="75">
        <v>0</v>
      </c>
      <c r="AY265" s="75">
        <v>20000</v>
      </c>
      <c r="AZ265" s="75"/>
      <c r="BA265" s="75"/>
      <c r="BB265" s="75"/>
      <c r="BC265" s="74">
        <f t="shared" si="824"/>
        <v>0</v>
      </c>
      <c r="BD265" s="74">
        <f t="shared" si="825"/>
        <v>0</v>
      </c>
      <c r="BE265" s="74">
        <v>0</v>
      </c>
      <c r="BF265" s="74">
        <v>0</v>
      </c>
      <c r="BG265" s="74">
        <v>0</v>
      </c>
      <c r="BH265" s="74">
        <f t="shared" si="826"/>
        <v>0</v>
      </c>
      <c r="BI265" s="74">
        <v>0</v>
      </c>
      <c r="BJ265" s="74">
        <v>0</v>
      </c>
      <c r="BK265" s="74">
        <v>0</v>
      </c>
      <c r="BL265" s="74">
        <v>0</v>
      </c>
      <c r="BM265" s="74">
        <v>0</v>
      </c>
      <c r="BN265" s="74">
        <f t="shared" si="760"/>
        <v>0</v>
      </c>
      <c r="BO265" s="74">
        <v>0</v>
      </c>
      <c r="BP265" s="74">
        <v>0</v>
      </c>
      <c r="BQ265" s="74">
        <f t="shared" si="827"/>
        <v>0</v>
      </c>
      <c r="BR265" s="74">
        <v>0</v>
      </c>
      <c r="BS265" s="74">
        <v>0</v>
      </c>
      <c r="BT265" s="74">
        <v>0</v>
      </c>
      <c r="BU265" s="74">
        <v>0</v>
      </c>
      <c r="BV265" s="74">
        <v>0</v>
      </c>
      <c r="BW265" s="74">
        <v>0</v>
      </c>
      <c r="BX265" s="74">
        <v>0</v>
      </c>
      <c r="BY265" s="74">
        <v>0</v>
      </c>
      <c r="BZ265" s="74">
        <v>0</v>
      </c>
      <c r="CA265" s="74">
        <v>0</v>
      </c>
      <c r="CB265" s="74">
        <v>0</v>
      </c>
      <c r="CC265" s="74">
        <f t="shared" si="828"/>
        <v>110000</v>
      </c>
      <c r="CD265" s="74">
        <f t="shared" si="829"/>
        <v>110000</v>
      </c>
      <c r="CE265" s="74">
        <f t="shared" si="764"/>
        <v>110000</v>
      </c>
      <c r="CF265" s="76"/>
      <c r="CG265" s="75">
        <f>70000+40000</f>
        <v>110000</v>
      </c>
      <c r="CH265" s="74">
        <f t="shared" si="830"/>
        <v>0</v>
      </c>
      <c r="CI265" s="74">
        <v>0</v>
      </c>
      <c r="CJ265" s="74">
        <v>0</v>
      </c>
      <c r="CK265" s="74">
        <v>0</v>
      </c>
      <c r="CL265" s="74">
        <v>0</v>
      </c>
      <c r="CM265" s="74">
        <v>0</v>
      </c>
      <c r="CN265" s="74">
        <f t="shared" si="831"/>
        <v>0</v>
      </c>
      <c r="CO265" s="76"/>
      <c r="CP265" s="74">
        <v>0</v>
      </c>
      <c r="CQ265" s="74">
        <v>0</v>
      </c>
      <c r="CR265" s="74"/>
      <c r="CS265" s="74"/>
      <c r="CT265" s="74"/>
      <c r="CU265" s="74">
        <v>0</v>
      </c>
      <c r="CV265" s="74"/>
      <c r="CW265" s="74"/>
      <c r="CX265" s="74"/>
      <c r="CY265" s="74"/>
      <c r="CZ265" s="74">
        <f t="shared" si="767"/>
        <v>0</v>
      </c>
      <c r="DA265" s="74">
        <f t="shared" si="768"/>
        <v>0</v>
      </c>
      <c r="DB265" s="74">
        <v>0</v>
      </c>
      <c r="DC265" s="77">
        <v>0</v>
      </c>
      <c r="DD265" s="78"/>
    </row>
    <row r="266" spans="1:108" s="57" customFormat="1" ht="15.6" x14ac:dyDescent="0.3">
      <c r="A266" s="97"/>
      <c r="B266" s="42" t="s">
        <v>76</v>
      </c>
      <c r="C266" s="43" t="s">
        <v>519</v>
      </c>
      <c r="D266" s="39">
        <f t="shared" si="819"/>
        <v>1122383</v>
      </c>
      <c r="E266" s="39">
        <f>SUM(F266+BC266)</f>
        <v>1094383</v>
      </c>
      <c r="F266" s="39">
        <f t="shared" si="821"/>
        <v>1094383</v>
      </c>
      <c r="G266" s="39">
        <v>0</v>
      </c>
      <c r="H266" s="39">
        <v>0</v>
      </c>
      <c r="I266" s="39">
        <f t="shared" ref="I266" si="832">SUM(J266:O266)</f>
        <v>311168</v>
      </c>
      <c r="J266" s="35">
        <v>1000</v>
      </c>
      <c r="K266" s="35">
        <v>0</v>
      </c>
      <c r="L266" s="35">
        <v>0</v>
      </c>
      <c r="M266" s="35">
        <v>0</v>
      </c>
      <c r="N266" s="35">
        <f>175968-22000</f>
        <v>153968</v>
      </c>
      <c r="O266" s="35">
        <f>170000-13800</f>
        <v>156200</v>
      </c>
      <c r="P266" s="39">
        <f t="shared" ref="P266" si="833">SUM(Q266:R266)</f>
        <v>30000</v>
      </c>
      <c r="Q266" s="35">
        <v>0</v>
      </c>
      <c r="R266" s="35">
        <v>30000</v>
      </c>
      <c r="S266" s="35">
        <v>0</v>
      </c>
      <c r="T266" s="35">
        <v>23000</v>
      </c>
      <c r="U266" s="39">
        <f t="shared" si="822"/>
        <v>523212</v>
      </c>
      <c r="V266" s="35">
        <v>27000</v>
      </c>
      <c r="W266" s="35">
        <f>112194+12000</f>
        <v>124194</v>
      </c>
      <c r="X266" s="35">
        <f>227520+79383</f>
        <v>306903</v>
      </c>
      <c r="Y266" s="35">
        <f>23998+1000</f>
        <v>24998</v>
      </c>
      <c r="Z266" s="35">
        <v>8162</v>
      </c>
      <c r="AA266" s="35">
        <v>12000</v>
      </c>
      <c r="AB266" s="35">
        <v>0</v>
      </c>
      <c r="AC266" s="35">
        <f>17155+2800</f>
        <v>19955</v>
      </c>
      <c r="AD266" s="39">
        <f t="shared" si="823"/>
        <v>207003</v>
      </c>
      <c r="AE266" s="23">
        <v>0</v>
      </c>
      <c r="AF266" s="23">
        <v>0</v>
      </c>
      <c r="AG266" s="35">
        <f>86303-20000</f>
        <v>66303</v>
      </c>
      <c r="AH266" s="35">
        <f>90000-27000</f>
        <v>63000</v>
      </c>
      <c r="AI266" s="35">
        <v>0</v>
      </c>
      <c r="AJ266" s="35">
        <v>19700</v>
      </c>
      <c r="AK266" s="35">
        <v>0</v>
      </c>
      <c r="AL266" s="35">
        <v>0</v>
      </c>
      <c r="AM266" s="35">
        <v>0</v>
      </c>
      <c r="AN266" s="35">
        <v>0</v>
      </c>
      <c r="AO266" s="35">
        <v>0</v>
      </c>
      <c r="AP266" s="35">
        <v>0</v>
      </c>
      <c r="AQ266" s="35">
        <v>18000</v>
      </c>
      <c r="AR266" s="35">
        <v>0</v>
      </c>
      <c r="AS266" s="35">
        <v>0</v>
      </c>
      <c r="AT266" s="35">
        <v>0</v>
      </c>
      <c r="AU266" s="35">
        <v>0</v>
      </c>
      <c r="AV266" s="35">
        <v>0</v>
      </c>
      <c r="AW266" s="35">
        <v>0</v>
      </c>
      <c r="AX266" s="35">
        <v>0</v>
      </c>
      <c r="AY266" s="35">
        <v>40000</v>
      </c>
      <c r="AZ266" s="35"/>
      <c r="BA266" s="35"/>
      <c r="BB266" s="35"/>
      <c r="BC266" s="39">
        <f t="shared" si="824"/>
        <v>0</v>
      </c>
      <c r="BD266" s="39">
        <f t="shared" ref="BD266" si="834">SUM(BE266:BG266)</f>
        <v>0</v>
      </c>
      <c r="BE266" s="39">
        <v>0</v>
      </c>
      <c r="BF266" s="39">
        <v>0</v>
      </c>
      <c r="BG266" s="39">
        <v>0</v>
      </c>
      <c r="BH266" s="39">
        <f t="shared" si="826"/>
        <v>0</v>
      </c>
      <c r="BI266" s="39">
        <v>0</v>
      </c>
      <c r="BJ266" s="39">
        <v>0</v>
      </c>
      <c r="BK266" s="39">
        <v>0</v>
      </c>
      <c r="BL266" s="39">
        <v>0</v>
      </c>
      <c r="BM266" s="39">
        <v>0</v>
      </c>
      <c r="BN266" s="39">
        <f t="shared" ref="BN266" si="835">SUM(BO266)</f>
        <v>0</v>
      </c>
      <c r="BO266" s="39">
        <v>0</v>
      </c>
      <c r="BP266" s="39">
        <v>0</v>
      </c>
      <c r="BQ266" s="39">
        <f t="shared" si="827"/>
        <v>0</v>
      </c>
      <c r="BR266" s="39">
        <v>0</v>
      </c>
      <c r="BS266" s="39">
        <v>0</v>
      </c>
      <c r="BT266" s="39">
        <v>0</v>
      </c>
      <c r="BU266" s="39">
        <v>0</v>
      </c>
      <c r="BV266" s="39">
        <v>0</v>
      </c>
      <c r="BW266" s="39">
        <v>0</v>
      </c>
      <c r="BX266" s="39">
        <v>0</v>
      </c>
      <c r="BY266" s="39">
        <v>0</v>
      </c>
      <c r="BZ266" s="39">
        <v>0</v>
      </c>
      <c r="CA266" s="39">
        <v>0</v>
      </c>
      <c r="CB266" s="39">
        <v>0</v>
      </c>
      <c r="CC266" s="39">
        <f t="shared" si="828"/>
        <v>28000</v>
      </c>
      <c r="CD266" s="39">
        <f t="shared" si="829"/>
        <v>28000</v>
      </c>
      <c r="CE266" s="39">
        <f t="shared" ref="CE266" si="836">SUM(CF266:CG266)</f>
        <v>28000</v>
      </c>
      <c r="CF266" s="40"/>
      <c r="CG266" s="35">
        <v>28000</v>
      </c>
      <c r="CH266" s="39">
        <f t="shared" si="830"/>
        <v>0</v>
      </c>
      <c r="CI266" s="39">
        <v>0</v>
      </c>
      <c r="CJ266" s="39">
        <v>0</v>
      </c>
      <c r="CK266" s="39">
        <v>0</v>
      </c>
      <c r="CL266" s="39">
        <v>0</v>
      </c>
      <c r="CM266" s="39">
        <v>0</v>
      </c>
      <c r="CN266" s="39">
        <f t="shared" si="831"/>
        <v>0</v>
      </c>
      <c r="CO266" s="40"/>
      <c r="CP266" s="39">
        <v>0</v>
      </c>
      <c r="CQ266" s="39">
        <v>0</v>
      </c>
      <c r="CR266" s="39"/>
      <c r="CS266" s="39"/>
      <c r="CT266" s="39"/>
      <c r="CU266" s="39">
        <v>0</v>
      </c>
      <c r="CV266" s="39"/>
      <c r="CW266" s="39"/>
      <c r="CX266" s="39"/>
      <c r="CY266" s="39"/>
      <c r="CZ266" s="39">
        <f t="shared" ref="CZ266" si="837">SUM(DA266)</f>
        <v>0</v>
      </c>
      <c r="DA266" s="39">
        <f t="shared" ref="DA266" si="838">SUM(DB266:DC266)</f>
        <v>0</v>
      </c>
      <c r="DB266" s="39">
        <v>0</v>
      </c>
      <c r="DC266" s="41">
        <v>0</v>
      </c>
      <c r="DD266" s="52"/>
    </row>
    <row r="267" spans="1:108" s="52" customFormat="1" ht="15.6" x14ac:dyDescent="0.3">
      <c r="A267" s="97" t="s">
        <v>1</v>
      </c>
      <c r="B267" s="42" t="s">
        <v>76</v>
      </c>
      <c r="C267" s="43" t="s">
        <v>520</v>
      </c>
      <c r="D267" s="39">
        <f t="shared" si="819"/>
        <v>1019457</v>
      </c>
      <c r="E267" s="39">
        <f>SUM(F267+BC267)</f>
        <v>936431</v>
      </c>
      <c r="F267" s="39">
        <f t="shared" si="821"/>
        <v>936431</v>
      </c>
      <c r="G267" s="39">
        <v>0</v>
      </c>
      <c r="H267" s="39">
        <v>0</v>
      </c>
      <c r="I267" s="39">
        <f t="shared" si="747"/>
        <v>116432</v>
      </c>
      <c r="J267" s="35">
        <v>0</v>
      </c>
      <c r="K267" s="35">
        <v>0</v>
      </c>
      <c r="L267" s="35">
        <v>0</v>
      </c>
      <c r="M267" s="35">
        <v>0</v>
      </c>
      <c r="N267" s="35">
        <v>69760</v>
      </c>
      <c r="O267" s="35">
        <v>46672</v>
      </c>
      <c r="P267" s="39">
        <f t="shared" si="755"/>
        <v>0</v>
      </c>
      <c r="Q267" s="35">
        <v>0</v>
      </c>
      <c r="R267" s="35">
        <v>0</v>
      </c>
      <c r="S267" s="35">
        <v>15458</v>
      </c>
      <c r="T267" s="35">
        <v>24518</v>
      </c>
      <c r="U267" s="39">
        <f t="shared" si="822"/>
        <v>139668</v>
      </c>
      <c r="V267" s="35">
        <v>13257</v>
      </c>
      <c r="W267" s="35">
        <f>55706+7333</f>
        <v>63039</v>
      </c>
      <c r="X267" s="35">
        <f>52115+1507</f>
        <v>53622</v>
      </c>
      <c r="Y267" s="35">
        <f>6168+81</f>
        <v>6249</v>
      </c>
      <c r="Z267" s="35">
        <v>3501</v>
      </c>
      <c r="AA267" s="35">
        <v>0</v>
      </c>
      <c r="AB267" s="35">
        <v>0</v>
      </c>
      <c r="AC267" s="35">
        <v>0</v>
      </c>
      <c r="AD267" s="39">
        <f t="shared" si="823"/>
        <v>640355</v>
      </c>
      <c r="AE267" s="40">
        <v>0</v>
      </c>
      <c r="AF267" s="40">
        <v>0</v>
      </c>
      <c r="AG267" s="35">
        <v>9525</v>
      </c>
      <c r="AH267" s="35">
        <v>221485</v>
      </c>
      <c r="AI267" s="35">
        <v>0</v>
      </c>
      <c r="AJ267" s="35">
        <v>4072</v>
      </c>
      <c r="AK267" s="35">
        <v>0</v>
      </c>
      <c r="AL267" s="35">
        <v>392</v>
      </c>
      <c r="AM267" s="35">
        <f>0+337803</f>
        <v>337803</v>
      </c>
      <c r="AN267" s="35">
        <v>0</v>
      </c>
      <c r="AO267" s="35">
        <v>0</v>
      </c>
      <c r="AP267" s="35">
        <v>0</v>
      </c>
      <c r="AQ267" s="35">
        <v>0</v>
      </c>
      <c r="AR267" s="35">
        <v>0</v>
      </c>
      <c r="AS267" s="35">
        <v>0</v>
      </c>
      <c r="AT267" s="35">
        <v>0</v>
      </c>
      <c r="AU267" s="35">
        <v>0</v>
      </c>
      <c r="AV267" s="35">
        <v>0</v>
      </c>
      <c r="AW267" s="35">
        <v>0</v>
      </c>
      <c r="AX267" s="35">
        <v>0</v>
      </c>
      <c r="AY267" s="35">
        <v>67078</v>
      </c>
      <c r="AZ267" s="35"/>
      <c r="BA267" s="35"/>
      <c r="BB267" s="35"/>
      <c r="BC267" s="39">
        <f t="shared" si="824"/>
        <v>0</v>
      </c>
      <c r="BD267" s="39">
        <f t="shared" si="825"/>
        <v>0</v>
      </c>
      <c r="BE267" s="39">
        <v>0</v>
      </c>
      <c r="BF267" s="39">
        <v>0</v>
      </c>
      <c r="BG267" s="39">
        <v>0</v>
      </c>
      <c r="BH267" s="39">
        <f t="shared" si="826"/>
        <v>0</v>
      </c>
      <c r="BI267" s="39">
        <v>0</v>
      </c>
      <c r="BJ267" s="39">
        <v>0</v>
      </c>
      <c r="BK267" s="39">
        <v>0</v>
      </c>
      <c r="BL267" s="39">
        <v>0</v>
      </c>
      <c r="BM267" s="39">
        <v>0</v>
      </c>
      <c r="BN267" s="39">
        <f t="shared" si="760"/>
        <v>0</v>
      </c>
      <c r="BO267" s="39">
        <v>0</v>
      </c>
      <c r="BP267" s="39">
        <v>0</v>
      </c>
      <c r="BQ267" s="39">
        <f t="shared" si="827"/>
        <v>0</v>
      </c>
      <c r="BR267" s="39">
        <v>0</v>
      </c>
      <c r="BS267" s="39">
        <v>0</v>
      </c>
      <c r="BT267" s="39">
        <v>0</v>
      </c>
      <c r="BU267" s="39">
        <v>0</v>
      </c>
      <c r="BV267" s="39">
        <v>0</v>
      </c>
      <c r="BW267" s="39">
        <v>0</v>
      </c>
      <c r="BX267" s="39">
        <v>0</v>
      </c>
      <c r="BY267" s="39">
        <v>0</v>
      </c>
      <c r="BZ267" s="39">
        <v>0</v>
      </c>
      <c r="CA267" s="39">
        <v>0</v>
      </c>
      <c r="CB267" s="39">
        <v>0</v>
      </c>
      <c r="CC267" s="39">
        <f t="shared" si="828"/>
        <v>83026</v>
      </c>
      <c r="CD267" s="39">
        <f t="shared" si="829"/>
        <v>83026</v>
      </c>
      <c r="CE267" s="39">
        <f t="shared" si="764"/>
        <v>83026</v>
      </c>
      <c r="CF267" s="40"/>
      <c r="CG267" s="35">
        <f>63506+19520</f>
        <v>83026</v>
      </c>
      <c r="CH267" s="39">
        <f t="shared" si="830"/>
        <v>0</v>
      </c>
      <c r="CI267" s="39">
        <v>0</v>
      </c>
      <c r="CJ267" s="39">
        <v>0</v>
      </c>
      <c r="CK267" s="39">
        <v>0</v>
      </c>
      <c r="CL267" s="39">
        <v>0</v>
      </c>
      <c r="CM267" s="39"/>
      <c r="CN267" s="39">
        <f t="shared" si="831"/>
        <v>0</v>
      </c>
      <c r="CO267" s="35"/>
      <c r="CP267" s="39">
        <v>0</v>
      </c>
      <c r="CQ267" s="39">
        <v>0</v>
      </c>
      <c r="CR267" s="39"/>
      <c r="CS267" s="39"/>
      <c r="CT267" s="39"/>
      <c r="CU267" s="39">
        <v>0</v>
      </c>
      <c r="CV267" s="39"/>
      <c r="CW267" s="39"/>
      <c r="CX267" s="39"/>
      <c r="CY267" s="39"/>
      <c r="CZ267" s="39">
        <f t="shared" si="767"/>
        <v>0</v>
      </c>
      <c r="DA267" s="39">
        <f t="shared" si="768"/>
        <v>0</v>
      </c>
      <c r="DB267" s="39">
        <v>0</v>
      </c>
      <c r="DC267" s="41">
        <v>0</v>
      </c>
    </row>
    <row r="268" spans="1:108" ht="15.6" x14ac:dyDescent="0.3">
      <c r="A268" s="93" t="s">
        <v>286</v>
      </c>
      <c r="B268" s="16" t="s">
        <v>1</v>
      </c>
      <c r="C268" s="17" t="s">
        <v>287</v>
      </c>
      <c r="D268" s="18">
        <f t="shared" ref="D268:AW268" si="839">SUM(D269:D288)</f>
        <v>53998787</v>
      </c>
      <c r="E268" s="18">
        <f t="shared" si="839"/>
        <v>866916</v>
      </c>
      <c r="F268" s="18">
        <f t="shared" si="839"/>
        <v>866916</v>
      </c>
      <c r="G268" s="18">
        <f t="shared" si="839"/>
        <v>0</v>
      </c>
      <c r="H268" s="18">
        <f t="shared" si="839"/>
        <v>0</v>
      </c>
      <c r="I268" s="18">
        <f t="shared" si="839"/>
        <v>0</v>
      </c>
      <c r="J268" s="18">
        <f t="shared" si="839"/>
        <v>0</v>
      </c>
      <c r="K268" s="18">
        <f t="shared" si="839"/>
        <v>0</v>
      </c>
      <c r="L268" s="18">
        <f t="shared" si="839"/>
        <v>0</v>
      </c>
      <c r="M268" s="18">
        <f t="shared" si="839"/>
        <v>0</v>
      </c>
      <c r="N268" s="18">
        <f t="shared" si="839"/>
        <v>0</v>
      </c>
      <c r="O268" s="18">
        <f t="shared" si="839"/>
        <v>0</v>
      </c>
      <c r="P268" s="18">
        <f t="shared" si="839"/>
        <v>0</v>
      </c>
      <c r="Q268" s="18">
        <f t="shared" si="839"/>
        <v>0</v>
      </c>
      <c r="R268" s="18">
        <f t="shared" si="839"/>
        <v>0</v>
      </c>
      <c r="S268" s="18">
        <f t="shared" si="839"/>
        <v>0</v>
      </c>
      <c r="T268" s="18">
        <f t="shared" si="839"/>
        <v>0</v>
      </c>
      <c r="U268" s="18">
        <f t="shared" si="839"/>
        <v>0</v>
      </c>
      <c r="V268" s="18">
        <f t="shared" si="839"/>
        <v>0</v>
      </c>
      <c r="W268" s="18">
        <f t="shared" si="839"/>
        <v>0</v>
      </c>
      <c r="X268" s="18">
        <f t="shared" si="839"/>
        <v>0</v>
      </c>
      <c r="Y268" s="18">
        <f t="shared" si="839"/>
        <v>0</v>
      </c>
      <c r="Z268" s="18">
        <f t="shared" si="839"/>
        <v>0</v>
      </c>
      <c r="AA268" s="18">
        <f t="shared" si="839"/>
        <v>0</v>
      </c>
      <c r="AB268" s="18">
        <f t="shared" si="839"/>
        <v>0</v>
      </c>
      <c r="AC268" s="18">
        <f t="shared" si="839"/>
        <v>0</v>
      </c>
      <c r="AD268" s="18">
        <f t="shared" si="839"/>
        <v>866916</v>
      </c>
      <c r="AE268" s="18">
        <f t="shared" si="839"/>
        <v>0</v>
      </c>
      <c r="AF268" s="18">
        <f t="shared" si="839"/>
        <v>0</v>
      </c>
      <c r="AG268" s="18">
        <f t="shared" si="839"/>
        <v>0</v>
      </c>
      <c r="AH268" s="18">
        <f t="shared" si="839"/>
        <v>0</v>
      </c>
      <c r="AI268" s="18">
        <f t="shared" si="839"/>
        <v>0</v>
      </c>
      <c r="AJ268" s="18">
        <f t="shared" si="839"/>
        <v>0</v>
      </c>
      <c r="AK268" s="18">
        <f t="shared" si="839"/>
        <v>0</v>
      </c>
      <c r="AL268" s="18">
        <f t="shared" si="839"/>
        <v>0</v>
      </c>
      <c r="AM268" s="18">
        <f t="shared" si="839"/>
        <v>0</v>
      </c>
      <c r="AN268" s="18">
        <f t="shared" si="839"/>
        <v>0</v>
      </c>
      <c r="AO268" s="18">
        <f t="shared" si="839"/>
        <v>0</v>
      </c>
      <c r="AP268" s="18">
        <f t="shared" si="839"/>
        <v>0</v>
      </c>
      <c r="AQ268" s="18">
        <f t="shared" si="839"/>
        <v>0</v>
      </c>
      <c r="AR268" s="18">
        <f t="shared" si="839"/>
        <v>0</v>
      </c>
      <c r="AS268" s="18">
        <f t="shared" si="839"/>
        <v>0</v>
      </c>
      <c r="AT268" s="18">
        <f t="shared" si="839"/>
        <v>0</v>
      </c>
      <c r="AU268" s="18">
        <f t="shared" si="839"/>
        <v>0</v>
      </c>
      <c r="AV268" s="18">
        <f t="shared" si="839"/>
        <v>0</v>
      </c>
      <c r="AW268" s="18">
        <f t="shared" si="839"/>
        <v>0</v>
      </c>
      <c r="AX268" s="18"/>
      <c r="AY268" s="18">
        <f t="shared" ref="AY268:CP268" si="840">SUM(AY269:AY288)</f>
        <v>866916</v>
      </c>
      <c r="AZ268" s="18">
        <f t="shared" si="840"/>
        <v>0</v>
      </c>
      <c r="BA268" s="18">
        <f t="shared" si="840"/>
        <v>0</v>
      </c>
      <c r="BB268" s="18">
        <f t="shared" si="840"/>
        <v>0</v>
      </c>
      <c r="BC268" s="18">
        <f t="shared" si="840"/>
        <v>0</v>
      </c>
      <c r="BD268" s="18">
        <f t="shared" si="840"/>
        <v>0</v>
      </c>
      <c r="BE268" s="18">
        <f t="shared" si="840"/>
        <v>0</v>
      </c>
      <c r="BF268" s="18">
        <f t="shared" si="840"/>
        <v>0</v>
      </c>
      <c r="BG268" s="18">
        <f t="shared" si="840"/>
        <v>0</v>
      </c>
      <c r="BH268" s="18">
        <f t="shared" si="840"/>
        <v>0</v>
      </c>
      <c r="BI268" s="18">
        <f t="shared" si="840"/>
        <v>0</v>
      </c>
      <c r="BJ268" s="18">
        <f t="shared" si="840"/>
        <v>0</v>
      </c>
      <c r="BK268" s="18">
        <f t="shared" si="840"/>
        <v>0</v>
      </c>
      <c r="BL268" s="18">
        <f t="shared" si="840"/>
        <v>0</v>
      </c>
      <c r="BM268" s="18">
        <f t="shared" si="840"/>
        <v>0</v>
      </c>
      <c r="BN268" s="18">
        <f t="shared" si="840"/>
        <v>0</v>
      </c>
      <c r="BO268" s="18">
        <f t="shared" si="840"/>
        <v>0</v>
      </c>
      <c r="BP268" s="18">
        <f t="shared" si="840"/>
        <v>0</v>
      </c>
      <c r="BQ268" s="18">
        <f t="shared" si="840"/>
        <v>0</v>
      </c>
      <c r="BR268" s="18">
        <f t="shared" si="840"/>
        <v>0</v>
      </c>
      <c r="BS268" s="18">
        <f t="shared" si="840"/>
        <v>0</v>
      </c>
      <c r="BT268" s="18">
        <f t="shared" si="840"/>
        <v>0</v>
      </c>
      <c r="BU268" s="18">
        <f t="shared" si="840"/>
        <v>0</v>
      </c>
      <c r="BV268" s="18">
        <f t="shared" si="840"/>
        <v>0</v>
      </c>
      <c r="BW268" s="18">
        <f t="shared" si="840"/>
        <v>0</v>
      </c>
      <c r="BX268" s="18">
        <f t="shared" si="840"/>
        <v>0</v>
      </c>
      <c r="BY268" s="18">
        <f t="shared" si="840"/>
        <v>0</v>
      </c>
      <c r="BZ268" s="18">
        <f t="shared" si="840"/>
        <v>0</v>
      </c>
      <c r="CA268" s="18">
        <f t="shared" si="840"/>
        <v>0</v>
      </c>
      <c r="CB268" s="18">
        <f t="shared" si="840"/>
        <v>0</v>
      </c>
      <c r="CC268" s="18">
        <f t="shared" si="840"/>
        <v>53131871</v>
      </c>
      <c r="CD268" s="18">
        <f t="shared" si="840"/>
        <v>0</v>
      </c>
      <c r="CE268" s="18">
        <f t="shared" si="840"/>
        <v>0</v>
      </c>
      <c r="CF268" s="18">
        <f t="shared" si="840"/>
        <v>0</v>
      </c>
      <c r="CG268" s="18">
        <f t="shared" si="840"/>
        <v>0</v>
      </c>
      <c r="CH268" s="18">
        <f t="shared" si="840"/>
        <v>0</v>
      </c>
      <c r="CI268" s="18">
        <f t="shared" si="840"/>
        <v>0</v>
      </c>
      <c r="CJ268" s="18">
        <f t="shared" si="840"/>
        <v>0</v>
      </c>
      <c r="CK268" s="18">
        <f t="shared" si="840"/>
        <v>0</v>
      </c>
      <c r="CL268" s="18">
        <f t="shared" si="840"/>
        <v>0</v>
      </c>
      <c r="CM268" s="18">
        <f t="shared" si="840"/>
        <v>0</v>
      </c>
      <c r="CN268" s="18">
        <f t="shared" si="840"/>
        <v>0</v>
      </c>
      <c r="CO268" s="18">
        <f t="shared" si="840"/>
        <v>0</v>
      </c>
      <c r="CP268" s="18">
        <f t="shared" si="840"/>
        <v>0</v>
      </c>
      <c r="CQ268" s="18"/>
      <c r="CR268" s="18"/>
      <c r="CS268" s="18"/>
      <c r="CT268" s="18"/>
      <c r="CU268" s="38">
        <f>SUM(CU269:CU288)</f>
        <v>53131871</v>
      </c>
      <c r="CV268" s="73"/>
      <c r="CW268" s="73"/>
      <c r="CX268" s="73"/>
      <c r="CY268" s="73"/>
      <c r="CZ268" s="18">
        <f>SUM(CZ269:CZ288)</f>
        <v>0</v>
      </c>
      <c r="DA268" s="18">
        <f>SUM(DA269:DA288)</f>
        <v>0</v>
      </c>
      <c r="DB268" s="18">
        <f>SUM(DB269:DB288)</f>
        <v>0</v>
      </c>
      <c r="DC268" s="46">
        <f>SUM(DC269:DC288)</f>
        <v>0</v>
      </c>
      <c r="DD268" s="57"/>
    </row>
    <row r="269" spans="1:108" s="55" customFormat="1" ht="46.8" x14ac:dyDescent="0.3">
      <c r="A269" s="94" t="s">
        <v>1</v>
      </c>
      <c r="B269" s="21" t="s">
        <v>52</v>
      </c>
      <c r="C269" s="22" t="s">
        <v>626</v>
      </c>
      <c r="D269" s="19">
        <f t="shared" ref="D269:D280" si="841">SUM(E269+CC269+CZ269)</f>
        <v>0</v>
      </c>
      <c r="E269" s="19">
        <f t="shared" ref="E269:E280" si="842">SUM(F269+BC269)</f>
        <v>0</v>
      </c>
      <c r="F269" s="19">
        <f t="shared" ref="F269" si="843">SUM(G269+H269+I269+P269+S269+T269+U269+AD269)</f>
        <v>0</v>
      </c>
      <c r="G269" s="19">
        <v>0</v>
      </c>
      <c r="H269" s="19">
        <v>0</v>
      </c>
      <c r="I269" s="19">
        <f>SUM(J269:O269)</f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f>SUM(Q269:R269)</f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f t="shared" ref="U269" si="844">SUM(V269:AC269)</f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19">
        <f t="shared" ref="AD269:AD273" si="845">SUM(AE269:AY269)</f>
        <v>0</v>
      </c>
      <c r="AE269" s="19">
        <v>0</v>
      </c>
      <c r="AF269" s="19">
        <v>0</v>
      </c>
      <c r="AG269" s="19">
        <v>0</v>
      </c>
      <c r="AH269" s="19">
        <v>0</v>
      </c>
      <c r="AI269" s="19">
        <v>0</v>
      </c>
      <c r="AJ269" s="19">
        <v>0</v>
      </c>
      <c r="AK269" s="19">
        <v>0</v>
      </c>
      <c r="AL269" s="19">
        <v>0</v>
      </c>
      <c r="AM269" s="19">
        <v>0</v>
      </c>
      <c r="AN269" s="19">
        <v>0</v>
      </c>
      <c r="AO269" s="19">
        <v>0</v>
      </c>
      <c r="AP269" s="19">
        <v>0</v>
      </c>
      <c r="AQ269" s="19">
        <v>0</v>
      </c>
      <c r="AR269" s="19">
        <v>0</v>
      </c>
      <c r="AS269" s="19">
        <v>0</v>
      </c>
      <c r="AT269" s="19">
        <v>0</v>
      </c>
      <c r="AU269" s="19">
        <v>0</v>
      </c>
      <c r="AV269" s="19">
        <v>0</v>
      </c>
      <c r="AW269" s="19">
        <v>0</v>
      </c>
      <c r="AX269" s="19">
        <v>0</v>
      </c>
      <c r="AY269" s="23"/>
      <c r="AZ269" s="23"/>
      <c r="BA269" s="23"/>
      <c r="BB269" s="23"/>
      <c r="BC269" s="19">
        <f t="shared" ref="BC269:BC273" si="846">SUM(BD269+BH269+BL269+BN269+BQ269)</f>
        <v>0</v>
      </c>
      <c r="BD269" s="19">
        <f t="shared" ref="BD269" si="847">SUM(BE269:BG269)</f>
        <v>0</v>
      </c>
      <c r="BE269" s="19">
        <v>0</v>
      </c>
      <c r="BF269" s="19">
        <v>0</v>
      </c>
      <c r="BG269" s="19">
        <v>0</v>
      </c>
      <c r="BH269" s="19">
        <f t="shared" ref="BH269" si="848">SUM(BK269:BK269)</f>
        <v>0</v>
      </c>
      <c r="BI269" s="19">
        <v>0</v>
      </c>
      <c r="BJ269" s="19">
        <v>0</v>
      </c>
      <c r="BK269" s="19">
        <v>0</v>
      </c>
      <c r="BL269" s="19">
        <v>0</v>
      </c>
      <c r="BM269" s="19">
        <v>0</v>
      </c>
      <c r="BN269" s="19">
        <f>SUM(BO269)</f>
        <v>0</v>
      </c>
      <c r="BO269" s="19">
        <v>0</v>
      </c>
      <c r="BP269" s="19">
        <v>0</v>
      </c>
      <c r="BQ269" s="19">
        <f t="shared" ref="BQ269:BQ271" si="849">SUM(BR269:CB269)</f>
        <v>0</v>
      </c>
      <c r="BR269" s="19">
        <v>0</v>
      </c>
      <c r="BS269" s="19">
        <v>0</v>
      </c>
      <c r="BT269" s="19">
        <v>0</v>
      </c>
      <c r="BU269" s="19">
        <v>0</v>
      </c>
      <c r="BV269" s="19">
        <v>0</v>
      </c>
      <c r="BW269" s="19">
        <v>0</v>
      </c>
      <c r="BX269" s="19">
        <v>0</v>
      </c>
      <c r="BY269" s="19">
        <v>0</v>
      </c>
      <c r="BZ269" s="19">
        <v>0</v>
      </c>
      <c r="CA269" s="19">
        <v>0</v>
      </c>
      <c r="CB269" s="19">
        <v>0</v>
      </c>
      <c r="CC269" s="19">
        <f t="shared" ref="CC269" si="850">SUM(CD269+CU269)</f>
        <v>0</v>
      </c>
      <c r="CD269" s="19">
        <f t="shared" ref="CD269:CD273" si="851">SUM(CE269+CH269+CN269)</f>
        <v>0</v>
      </c>
      <c r="CE269" s="19">
        <f>SUM(CF269:CG269)</f>
        <v>0</v>
      </c>
      <c r="CF269" s="19">
        <v>0</v>
      </c>
      <c r="CG269" s="19">
        <v>0</v>
      </c>
      <c r="CH269" s="19">
        <f t="shared" ref="CH269:CH279" si="852">SUM(CI269:CM269)</f>
        <v>0</v>
      </c>
      <c r="CI269" s="19">
        <v>0</v>
      </c>
      <c r="CJ269" s="19">
        <v>0</v>
      </c>
      <c r="CK269" s="19">
        <v>0</v>
      </c>
      <c r="CL269" s="19">
        <v>0</v>
      </c>
      <c r="CM269" s="19">
        <v>0</v>
      </c>
      <c r="CN269" s="19">
        <f t="shared" ref="CN269" si="853">SUM(CO269:CQ269)</f>
        <v>0</v>
      </c>
      <c r="CO269" s="19">
        <v>0</v>
      </c>
      <c r="CP269" s="19">
        <v>0</v>
      </c>
      <c r="CQ269" s="19">
        <v>0</v>
      </c>
      <c r="CR269" s="19"/>
      <c r="CS269" s="19"/>
      <c r="CT269" s="19"/>
      <c r="CU269" s="39">
        <f>9927027-9927027</f>
        <v>0</v>
      </c>
      <c r="CV269" s="74"/>
      <c r="CW269" s="74"/>
      <c r="CX269" s="74"/>
      <c r="CY269" s="74"/>
      <c r="CZ269" s="19">
        <f>SUM(DA269)</f>
        <v>0</v>
      </c>
      <c r="DA269" s="19">
        <f>SUM(DB269:DC269)</f>
        <v>0</v>
      </c>
      <c r="DB269" s="19">
        <v>0</v>
      </c>
      <c r="DC269" s="20">
        <v>0</v>
      </c>
      <c r="DD269" s="52"/>
    </row>
    <row r="270" spans="1:108" ht="15.6" x14ac:dyDescent="0.3">
      <c r="A270" s="97" t="s">
        <v>1</v>
      </c>
      <c r="B270" s="36" t="s">
        <v>54</v>
      </c>
      <c r="C270" s="37" t="s">
        <v>500</v>
      </c>
      <c r="D270" s="39">
        <f t="shared" si="841"/>
        <v>10435647</v>
      </c>
      <c r="E270" s="39">
        <f t="shared" si="842"/>
        <v>0</v>
      </c>
      <c r="F270" s="39">
        <f t="shared" ref="F270:F280" si="854">SUM(G270+H270+I270+P270+S270+T270+U270+AD270)</f>
        <v>0</v>
      </c>
      <c r="G270" s="39">
        <v>0</v>
      </c>
      <c r="H270" s="39">
        <v>0</v>
      </c>
      <c r="I270" s="39">
        <f t="shared" si="747"/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39">
        <f t="shared" si="755"/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f t="shared" ref="U270:U271" si="855">SUM(V270:AC270)</f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0</v>
      </c>
      <c r="AB270" s="39">
        <v>0</v>
      </c>
      <c r="AC270" s="39">
        <v>0</v>
      </c>
      <c r="AD270" s="39">
        <f t="shared" si="845"/>
        <v>0</v>
      </c>
      <c r="AE270" s="39">
        <v>0</v>
      </c>
      <c r="AF270" s="39">
        <v>0</v>
      </c>
      <c r="AG270" s="39">
        <v>0</v>
      </c>
      <c r="AH270" s="39">
        <v>0</v>
      </c>
      <c r="AI270" s="39">
        <v>0</v>
      </c>
      <c r="AJ270" s="39">
        <v>0</v>
      </c>
      <c r="AK270" s="39">
        <v>0</v>
      </c>
      <c r="AL270" s="39">
        <v>0</v>
      </c>
      <c r="AM270" s="39">
        <v>0</v>
      </c>
      <c r="AN270" s="39">
        <v>0</v>
      </c>
      <c r="AO270" s="39">
        <v>0</v>
      </c>
      <c r="AP270" s="39">
        <v>0</v>
      </c>
      <c r="AQ270" s="39">
        <v>0</v>
      </c>
      <c r="AR270" s="39">
        <v>0</v>
      </c>
      <c r="AS270" s="39">
        <v>0</v>
      </c>
      <c r="AT270" s="39">
        <v>0</v>
      </c>
      <c r="AU270" s="39">
        <v>0</v>
      </c>
      <c r="AV270" s="39">
        <v>0</v>
      </c>
      <c r="AW270" s="39">
        <v>0</v>
      </c>
      <c r="AX270" s="39">
        <v>0</v>
      </c>
      <c r="AY270" s="39">
        <v>0</v>
      </c>
      <c r="AZ270" s="39"/>
      <c r="BA270" s="39"/>
      <c r="BB270" s="39"/>
      <c r="BC270" s="39">
        <f t="shared" si="846"/>
        <v>0</v>
      </c>
      <c r="BD270" s="39">
        <f t="shared" ref="BD270:BD271" si="856">SUM(BE270:BG270)</f>
        <v>0</v>
      </c>
      <c r="BE270" s="39">
        <v>0</v>
      </c>
      <c r="BF270" s="39">
        <v>0</v>
      </c>
      <c r="BG270" s="39">
        <v>0</v>
      </c>
      <c r="BH270" s="39">
        <f>SUM(BK270:BK270)</f>
        <v>0</v>
      </c>
      <c r="BI270" s="39">
        <v>0</v>
      </c>
      <c r="BJ270" s="39">
        <v>0</v>
      </c>
      <c r="BK270" s="39">
        <v>0</v>
      </c>
      <c r="BL270" s="39">
        <v>0</v>
      </c>
      <c r="BM270" s="39">
        <v>0</v>
      </c>
      <c r="BN270" s="39">
        <f t="shared" si="760"/>
        <v>0</v>
      </c>
      <c r="BO270" s="39">
        <v>0</v>
      </c>
      <c r="BP270" s="39">
        <v>0</v>
      </c>
      <c r="BQ270" s="39">
        <f t="shared" si="849"/>
        <v>0</v>
      </c>
      <c r="BR270" s="39">
        <v>0</v>
      </c>
      <c r="BS270" s="39">
        <v>0</v>
      </c>
      <c r="BT270" s="39">
        <v>0</v>
      </c>
      <c r="BU270" s="39">
        <v>0</v>
      </c>
      <c r="BV270" s="39">
        <v>0</v>
      </c>
      <c r="BW270" s="39">
        <v>0</v>
      </c>
      <c r="BX270" s="39">
        <v>0</v>
      </c>
      <c r="BY270" s="39">
        <v>0</v>
      </c>
      <c r="BZ270" s="39">
        <v>0</v>
      </c>
      <c r="CA270" s="39">
        <v>0</v>
      </c>
      <c r="CB270" s="39">
        <v>0</v>
      </c>
      <c r="CC270" s="39">
        <f t="shared" ref="CC270:CC280" si="857">SUM(CD270+CU270)</f>
        <v>10435647</v>
      </c>
      <c r="CD270" s="39">
        <f t="shared" si="851"/>
        <v>0</v>
      </c>
      <c r="CE270" s="39">
        <f t="shared" si="764"/>
        <v>0</v>
      </c>
      <c r="CF270" s="39">
        <v>0</v>
      </c>
      <c r="CG270" s="39">
        <v>0</v>
      </c>
      <c r="CH270" s="19">
        <f t="shared" si="852"/>
        <v>0</v>
      </c>
      <c r="CI270" s="39">
        <v>0</v>
      </c>
      <c r="CJ270" s="39">
        <v>0</v>
      </c>
      <c r="CK270" s="39">
        <v>0</v>
      </c>
      <c r="CL270" s="39">
        <v>0</v>
      </c>
      <c r="CM270" s="39">
        <v>0</v>
      </c>
      <c r="CN270" s="39">
        <f t="shared" ref="CN270:CN280" si="858">SUM(CO270:CQ270)</f>
        <v>0</v>
      </c>
      <c r="CO270" s="39">
        <v>0</v>
      </c>
      <c r="CP270" s="39">
        <v>0</v>
      </c>
      <c r="CQ270" s="39">
        <v>0</v>
      </c>
      <c r="CR270" s="39"/>
      <c r="CS270" s="39"/>
      <c r="CT270" s="39"/>
      <c r="CU270" s="35">
        <f>5958500+4477147</f>
        <v>10435647</v>
      </c>
      <c r="CV270" s="75"/>
      <c r="CW270" s="75"/>
      <c r="CX270" s="75"/>
      <c r="CY270" s="75"/>
      <c r="CZ270" s="39">
        <f t="shared" si="767"/>
        <v>0</v>
      </c>
      <c r="DA270" s="39">
        <f t="shared" si="768"/>
        <v>0</v>
      </c>
      <c r="DB270" s="39">
        <v>0</v>
      </c>
      <c r="DC270" s="41">
        <v>0</v>
      </c>
      <c r="DD270" s="52"/>
    </row>
    <row r="271" spans="1:108" ht="46.8" x14ac:dyDescent="0.3">
      <c r="A271" s="97" t="s">
        <v>1</v>
      </c>
      <c r="B271" s="44" t="s">
        <v>54</v>
      </c>
      <c r="C271" s="45" t="s">
        <v>627</v>
      </c>
      <c r="D271" s="39">
        <f t="shared" si="841"/>
        <v>34234</v>
      </c>
      <c r="E271" s="39">
        <f t="shared" si="842"/>
        <v>0</v>
      </c>
      <c r="F271" s="39">
        <f t="shared" si="854"/>
        <v>0</v>
      </c>
      <c r="G271" s="39">
        <v>0</v>
      </c>
      <c r="H271" s="39">
        <v>0</v>
      </c>
      <c r="I271" s="39">
        <f>SUM(J271:O271)</f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39">
        <f>SUM(Q271:R271)</f>
        <v>0</v>
      </c>
      <c r="Q271" s="39">
        <v>0</v>
      </c>
      <c r="R271" s="39">
        <v>0</v>
      </c>
      <c r="S271" s="39">
        <v>0</v>
      </c>
      <c r="T271" s="39">
        <v>0</v>
      </c>
      <c r="U271" s="39">
        <f t="shared" si="855"/>
        <v>0</v>
      </c>
      <c r="V271" s="39">
        <v>0</v>
      </c>
      <c r="W271" s="39">
        <v>0</v>
      </c>
      <c r="X271" s="39">
        <v>0</v>
      </c>
      <c r="Y271" s="39">
        <v>0</v>
      </c>
      <c r="Z271" s="39">
        <v>0</v>
      </c>
      <c r="AA271" s="39">
        <v>0</v>
      </c>
      <c r="AB271" s="39">
        <v>0</v>
      </c>
      <c r="AC271" s="39">
        <v>0</v>
      </c>
      <c r="AD271" s="39">
        <f t="shared" si="845"/>
        <v>0</v>
      </c>
      <c r="AE271" s="39"/>
      <c r="AF271" s="39"/>
      <c r="AG271" s="39">
        <v>0</v>
      </c>
      <c r="AH271" s="39">
        <v>0</v>
      </c>
      <c r="AI271" s="39">
        <v>0</v>
      </c>
      <c r="AJ271" s="39">
        <v>0</v>
      </c>
      <c r="AK271" s="39">
        <v>0</v>
      </c>
      <c r="AL271" s="39">
        <v>0</v>
      </c>
      <c r="AM271" s="39">
        <v>0</v>
      </c>
      <c r="AN271" s="39">
        <v>0</v>
      </c>
      <c r="AO271" s="39">
        <v>0</v>
      </c>
      <c r="AP271" s="39">
        <v>0</v>
      </c>
      <c r="AQ271" s="39">
        <v>0</v>
      </c>
      <c r="AR271" s="39">
        <v>0</v>
      </c>
      <c r="AS271" s="39">
        <v>0</v>
      </c>
      <c r="AT271" s="39">
        <v>0</v>
      </c>
      <c r="AU271" s="39">
        <v>0</v>
      </c>
      <c r="AV271" s="39">
        <v>0</v>
      </c>
      <c r="AW271" s="39">
        <v>0</v>
      </c>
      <c r="AX271" s="39">
        <v>0</v>
      </c>
      <c r="AY271" s="39">
        <v>0</v>
      </c>
      <c r="AZ271" s="39"/>
      <c r="BA271" s="39"/>
      <c r="BB271" s="39"/>
      <c r="BC271" s="39">
        <f t="shared" si="846"/>
        <v>0</v>
      </c>
      <c r="BD271" s="39">
        <f t="shared" si="856"/>
        <v>0</v>
      </c>
      <c r="BE271" s="39">
        <v>0</v>
      </c>
      <c r="BF271" s="39">
        <v>0</v>
      </c>
      <c r="BG271" s="39">
        <v>0</v>
      </c>
      <c r="BH271" s="39">
        <f>SUM(BK271:BK271)</f>
        <v>0</v>
      </c>
      <c r="BI271" s="39">
        <v>0</v>
      </c>
      <c r="BJ271" s="39">
        <v>0</v>
      </c>
      <c r="BK271" s="39">
        <v>0</v>
      </c>
      <c r="BL271" s="39">
        <v>0</v>
      </c>
      <c r="BM271" s="39">
        <v>0</v>
      </c>
      <c r="BN271" s="39">
        <f>SUM(BO271)</f>
        <v>0</v>
      </c>
      <c r="BO271" s="39">
        <v>0</v>
      </c>
      <c r="BP271" s="39">
        <v>0</v>
      </c>
      <c r="BQ271" s="39">
        <f t="shared" si="849"/>
        <v>0</v>
      </c>
      <c r="BR271" s="39">
        <v>0</v>
      </c>
      <c r="BS271" s="39">
        <v>0</v>
      </c>
      <c r="BT271" s="39">
        <v>0</v>
      </c>
      <c r="BU271" s="39">
        <v>0</v>
      </c>
      <c r="BV271" s="39">
        <v>0</v>
      </c>
      <c r="BW271" s="39">
        <v>0</v>
      </c>
      <c r="BX271" s="39">
        <v>0</v>
      </c>
      <c r="BY271" s="39">
        <v>0</v>
      </c>
      <c r="BZ271" s="39">
        <v>0</v>
      </c>
      <c r="CA271" s="39">
        <v>0</v>
      </c>
      <c r="CB271" s="39">
        <v>0</v>
      </c>
      <c r="CC271" s="39">
        <f t="shared" si="857"/>
        <v>34234</v>
      </c>
      <c r="CD271" s="39">
        <f t="shared" si="851"/>
        <v>0</v>
      </c>
      <c r="CE271" s="39">
        <f>SUM(CF271:CG271)</f>
        <v>0</v>
      </c>
      <c r="CF271" s="39">
        <v>0</v>
      </c>
      <c r="CG271" s="39">
        <v>0</v>
      </c>
      <c r="CH271" s="19">
        <f t="shared" si="852"/>
        <v>0</v>
      </c>
      <c r="CI271" s="39">
        <v>0</v>
      </c>
      <c r="CJ271" s="39">
        <v>0</v>
      </c>
      <c r="CK271" s="39">
        <v>0</v>
      </c>
      <c r="CL271" s="39">
        <v>0</v>
      </c>
      <c r="CM271" s="39">
        <v>0</v>
      </c>
      <c r="CN271" s="39">
        <f t="shared" si="858"/>
        <v>0</v>
      </c>
      <c r="CO271" s="39">
        <v>0</v>
      </c>
      <c r="CP271" s="39">
        <v>0</v>
      </c>
      <c r="CQ271" s="39">
        <v>0</v>
      </c>
      <c r="CR271" s="39"/>
      <c r="CS271" s="39"/>
      <c r="CT271" s="39"/>
      <c r="CU271" s="35">
        <f>100000-65766</f>
        <v>34234</v>
      </c>
      <c r="CV271" s="75"/>
      <c r="CW271" s="75"/>
      <c r="CX271" s="75"/>
      <c r="CY271" s="75"/>
      <c r="CZ271" s="39">
        <f>SUM(DA271)</f>
        <v>0</v>
      </c>
      <c r="DA271" s="39">
        <f>SUM(DB271:DC271)</f>
        <v>0</v>
      </c>
      <c r="DB271" s="39">
        <v>0</v>
      </c>
      <c r="DC271" s="41">
        <v>0</v>
      </c>
      <c r="DD271" s="52"/>
    </row>
    <row r="272" spans="1:108" ht="31.2" x14ac:dyDescent="0.3">
      <c r="A272" s="97"/>
      <c r="B272" s="42" t="s">
        <v>56</v>
      </c>
      <c r="C272" s="43" t="s">
        <v>624</v>
      </c>
      <c r="D272" s="39">
        <f t="shared" si="841"/>
        <v>2295944</v>
      </c>
      <c r="E272" s="39">
        <f t="shared" si="842"/>
        <v>0</v>
      </c>
      <c r="F272" s="39">
        <f t="shared" si="854"/>
        <v>0</v>
      </c>
      <c r="G272" s="39">
        <v>0</v>
      </c>
      <c r="H272" s="39">
        <v>0</v>
      </c>
      <c r="I272" s="39">
        <f t="shared" ref="I272" si="859">SUM(J272:O272)</f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39">
        <f t="shared" ref="P272" si="860">SUM(Q272:R272)</f>
        <v>0</v>
      </c>
      <c r="Q272" s="39">
        <v>0</v>
      </c>
      <c r="R272" s="39">
        <v>0</v>
      </c>
      <c r="S272" s="39">
        <v>0</v>
      </c>
      <c r="T272" s="39">
        <v>0</v>
      </c>
      <c r="U272" s="39">
        <f>SUM(V272:AC272)</f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0</v>
      </c>
      <c r="AB272" s="39">
        <v>0</v>
      </c>
      <c r="AC272" s="39">
        <v>0</v>
      </c>
      <c r="AD272" s="39">
        <f t="shared" si="845"/>
        <v>0</v>
      </c>
      <c r="AE272" s="40"/>
      <c r="AF272" s="40"/>
      <c r="AG272" s="39">
        <v>0</v>
      </c>
      <c r="AH272" s="39">
        <v>0</v>
      </c>
      <c r="AI272" s="39">
        <v>0</v>
      </c>
      <c r="AJ272" s="39">
        <v>0</v>
      </c>
      <c r="AK272" s="39">
        <v>0</v>
      </c>
      <c r="AL272" s="39">
        <v>0</v>
      </c>
      <c r="AM272" s="39">
        <v>0</v>
      </c>
      <c r="AN272" s="39">
        <v>0</v>
      </c>
      <c r="AO272" s="39">
        <v>0</v>
      </c>
      <c r="AP272" s="39">
        <v>0</v>
      </c>
      <c r="AQ272" s="39">
        <v>0</v>
      </c>
      <c r="AR272" s="39">
        <v>0</v>
      </c>
      <c r="AS272" s="39">
        <v>0</v>
      </c>
      <c r="AT272" s="39">
        <v>0</v>
      </c>
      <c r="AU272" s="39">
        <v>0</v>
      </c>
      <c r="AV272" s="39">
        <v>0</v>
      </c>
      <c r="AW272" s="39">
        <v>0</v>
      </c>
      <c r="AX272" s="39">
        <v>0</v>
      </c>
      <c r="AY272" s="39">
        <v>0</v>
      </c>
      <c r="AZ272" s="39"/>
      <c r="BA272" s="39"/>
      <c r="BB272" s="39"/>
      <c r="BC272" s="39">
        <f t="shared" si="846"/>
        <v>0</v>
      </c>
      <c r="BD272" s="39">
        <f>SUM(BE272:BG272)</f>
        <v>0</v>
      </c>
      <c r="BE272" s="39">
        <v>0</v>
      </c>
      <c r="BF272" s="39">
        <v>0</v>
      </c>
      <c r="BG272" s="39">
        <v>0</v>
      </c>
      <c r="BH272" s="39">
        <f>SUM(BK272:BK272)</f>
        <v>0</v>
      </c>
      <c r="BI272" s="39">
        <v>0</v>
      </c>
      <c r="BJ272" s="39">
        <v>0</v>
      </c>
      <c r="BK272" s="39">
        <v>0</v>
      </c>
      <c r="BL272" s="39">
        <v>0</v>
      </c>
      <c r="BM272" s="39">
        <v>0</v>
      </c>
      <c r="BN272" s="39">
        <f t="shared" ref="BN272" si="861">SUM(BO272)</f>
        <v>0</v>
      </c>
      <c r="BO272" s="39">
        <v>0</v>
      </c>
      <c r="BP272" s="39">
        <v>0</v>
      </c>
      <c r="BQ272" s="39">
        <f>SUM(BR272:CB272)</f>
        <v>0</v>
      </c>
      <c r="BR272" s="39">
        <v>0</v>
      </c>
      <c r="BS272" s="39">
        <v>0</v>
      </c>
      <c r="BT272" s="39">
        <v>0</v>
      </c>
      <c r="BU272" s="39">
        <v>0</v>
      </c>
      <c r="BV272" s="39">
        <v>0</v>
      </c>
      <c r="BW272" s="39">
        <v>0</v>
      </c>
      <c r="BX272" s="39">
        <v>0</v>
      </c>
      <c r="BY272" s="39">
        <v>0</v>
      </c>
      <c r="BZ272" s="39">
        <v>0</v>
      </c>
      <c r="CA272" s="39">
        <v>0</v>
      </c>
      <c r="CB272" s="39">
        <v>0</v>
      </c>
      <c r="CC272" s="39">
        <f t="shared" si="857"/>
        <v>2295944</v>
      </c>
      <c r="CD272" s="39">
        <f t="shared" si="851"/>
        <v>0</v>
      </c>
      <c r="CE272" s="39">
        <f t="shared" ref="CE272" si="862">SUM(CF272:CG272)</f>
        <v>0</v>
      </c>
      <c r="CF272" s="39">
        <v>0</v>
      </c>
      <c r="CG272" s="39">
        <v>0</v>
      </c>
      <c r="CH272" s="19">
        <f>SUM(CI272:CM272)</f>
        <v>0</v>
      </c>
      <c r="CI272" s="39">
        <v>0</v>
      </c>
      <c r="CJ272" s="39">
        <v>0</v>
      </c>
      <c r="CK272" s="39">
        <v>0</v>
      </c>
      <c r="CL272" s="39">
        <v>0</v>
      </c>
      <c r="CM272" s="39">
        <v>0</v>
      </c>
      <c r="CN272" s="39">
        <f t="shared" si="858"/>
        <v>0</v>
      </c>
      <c r="CO272" s="39">
        <v>0</v>
      </c>
      <c r="CP272" s="39">
        <v>0</v>
      </c>
      <c r="CQ272" s="39">
        <v>0</v>
      </c>
      <c r="CR272" s="39"/>
      <c r="CS272" s="39"/>
      <c r="CT272" s="39"/>
      <c r="CU272" s="35">
        <v>2295944</v>
      </c>
      <c r="CV272" s="75"/>
      <c r="CW272" s="75"/>
      <c r="CX272" s="75"/>
      <c r="CY272" s="75"/>
      <c r="CZ272" s="39">
        <f t="shared" ref="CZ272" si="863">SUM(DA272)</f>
        <v>0</v>
      </c>
      <c r="DA272" s="39">
        <f t="shared" ref="DA272" si="864">SUM(DB272:DC272)</f>
        <v>0</v>
      </c>
      <c r="DB272" s="39">
        <v>0</v>
      </c>
      <c r="DC272" s="41">
        <v>0</v>
      </c>
      <c r="DD272" s="52"/>
    </row>
    <row r="273" spans="1:108" ht="31.2" x14ac:dyDescent="0.3">
      <c r="A273" s="97"/>
      <c r="B273" s="42" t="s">
        <v>56</v>
      </c>
      <c r="C273" s="43" t="s">
        <v>625</v>
      </c>
      <c r="D273" s="39">
        <f t="shared" si="841"/>
        <v>17423241</v>
      </c>
      <c r="E273" s="39">
        <f t="shared" si="842"/>
        <v>0</v>
      </c>
      <c r="F273" s="39">
        <f t="shared" ref="F273" si="865">SUM(G273+H273+I273+P273+S273+T273+U273+AD273)</f>
        <v>0</v>
      </c>
      <c r="G273" s="39">
        <v>0</v>
      </c>
      <c r="H273" s="39">
        <v>0</v>
      </c>
      <c r="I273" s="39">
        <f t="shared" ref="I273" si="866">SUM(J273:O273)</f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f t="shared" ref="P273" si="867">SUM(Q273:R273)</f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f>SUM(V273:AC273)</f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f t="shared" si="845"/>
        <v>0</v>
      </c>
      <c r="AE273" s="40"/>
      <c r="AF273" s="40"/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9">
        <v>0</v>
      </c>
      <c r="AT273" s="39">
        <v>0</v>
      </c>
      <c r="AU273" s="39">
        <v>0</v>
      </c>
      <c r="AV273" s="39">
        <v>0</v>
      </c>
      <c r="AW273" s="39">
        <v>0</v>
      </c>
      <c r="AX273" s="39">
        <v>0</v>
      </c>
      <c r="AY273" s="39">
        <v>0</v>
      </c>
      <c r="AZ273" s="39"/>
      <c r="BA273" s="39"/>
      <c r="BB273" s="39"/>
      <c r="BC273" s="39">
        <f t="shared" si="846"/>
        <v>0</v>
      </c>
      <c r="BD273" s="39">
        <f>SUM(BE273:BG273)</f>
        <v>0</v>
      </c>
      <c r="BE273" s="39">
        <v>0</v>
      </c>
      <c r="BF273" s="39">
        <v>0</v>
      </c>
      <c r="BG273" s="39">
        <v>0</v>
      </c>
      <c r="BH273" s="39">
        <f>SUM(BK273:BK273)</f>
        <v>0</v>
      </c>
      <c r="BI273" s="39">
        <v>0</v>
      </c>
      <c r="BJ273" s="39">
        <v>0</v>
      </c>
      <c r="BK273" s="39">
        <v>0</v>
      </c>
      <c r="BL273" s="39">
        <v>0</v>
      </c>
      <c r="BM273" s="39">
        <v>0</v>
      </c>
      <c r="BN273" s="39">
        <f t="shared" ref="BN273" si="868">SUM(BO273)</f>
        <v>0</v>
      </c>
      <c r="BO273" s="39">
        <v>0</v>
      </c>
      <c r="BP273" s="39">
        <v>0</v>
      </c>
      <c r="BQ273" s="39">
        <f>SUM(BR273:CB273)</f>
        <v>0</v>
      </c>
      <c r="BR273" s="39">
        <v>0</v>
      </c>
      <c r="BS273" s="39">
        <v>0</v>
      </c>
      <c r="BT273" s="39">
        <v>0</v>
      </c>
      <c r="BU273" s="39">
        <v>0</v>
      </c>
      <c r="BV273" s="39">
        <v>0</v>
      </c>
      <c r="BW273" s="39">
        <v>0</v>
      </c>
      <c r="BX273" s="39">
        <v>0</v>
      </c>
      <c r="BY273" s="39">
        <v>0</v>
      </c>
      <c r="BZ273" s="39">
        <v>0</v>
      </c>
      <c r="CA273" s="39">
        <v>0</v>
      </c>
      <c r="CB273" s="39">
        <v>0</v>
      </c>
      <c r="CC273" s="39">
        <f t="shared" ref="CC273" si="869">SUM(CD273+CU273)</f>
        <v>17423241</v>
      </c>
      <c r="CD273" s="39">
        <f t="shared" si="851"/>
        <v>0</v>
      </c>
      <c r="CE273" s="39">
        <f t="shared" ref="CE273" si="870">SUM(CF273:CG273)</f>
        <v>0</v>
      </c>
      <c r="CF273" s="39">
        <v>0</v>
      </c>
      <c r="CG273" s="39">
        <v>0</v>
      </c>
      <c r="CH273" s="19">
        <f>SUM(CI273:CM273)</f>
        <v>0</v>
      </c>
      <c r="CI273" s="39">
        <v>0</v>
      </c>
      <c r="CJ273" s="39">
        <v>0</v>
      </c>
      <c r="CK273" s="39">
        <v>0</v>
      </c>
      <c r="CL273" s="39">
        <v>0</v>
      </c>
      <c r="CM273" s="39">
        <v>0</v>
      </c>
      <c r="CN273" s="39">
        <f t="shared" ref="CN273" si="871">SUM(CO273:CQ273)</f>
        <v>0</v>
      </c>
      <c r="CO273" s="39">
        <v>0</v>
      </c>
      <c r="CP273" s="39">
        <v>0</v>
      </c>
      <c r="CQ273" s="39">
        <v>0</v>
      </c>
      <c r="CR273" s="39"/>
      <c r="CS273" s="39"/>
      <c r="CT273" s="39"/>
      <c r="CU273" s="35">
        <v>17423241</v>
      </c>
      <c r="CV273" s="75"/>
      <c r="CW273" s="75"/>
      <c r="CX273" s="75"/>
      <c r="CY273" s="75"/>
      <c r="CZ273" s="39">
        <f t="shared" ref="CZ273" si="872">SUM(DA273)</f>
        <v>0</v>
      </c>
      <c r="DA273" s="39">
        <f t="shared" ref="DA273" si="873">SUM(DB273:DC273)</f>
        <v>0</v>
      </c>
      <c r="DB273" s="39">
        <v>0</v>
      </c>
      <c r="DC273" s="41">
        <v>0</v>
      </c>
      <c r="DD273" s="52"/>
    </row>
    <row r="274" spans="1:108" ht="15.6" x14ac:dyDescent="0.3">
      <c r="A274" s="97" t="s">
        <v>1</v>
      </c>
      <c r="B274" s="36" t="s">
        <v>56</v>
      </c>
      <c r="C274" s="37" t="s">
        <v>460</v>
      </c>
      <c r="D274" s="39">
        <f t="shared" si="841"/>
        <v>10828325</v>
      </c>
      <c r="E274" s="39">
        <f t="shared" si="842"/>
        <v>0</v>
      </c>
      <c r="F274" s="39">
        <f t="shared" si="854"/>
        <v>0</v>
      </c>
      <c r="G274" s="39">
        <v>0</v>
      </c>
      <c r="H274" s="39">
        <v>0</v>
      </c>
      <c r="I274" s="39">
        <f>SUM(J274:O274)</f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f>SUM(Q274:R274)</f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f t="shared" ref="U274:U279" si="874">SUM(V274:AC274)</f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0</v>
      </c>
      <c r="AA274" s="39">
        <v>0</v>
      </c>
      <c r="AB274" s="39">
        <v>0</v>
      </c>
      <c r="AC274" s="39">
        <v>0</v>
      </c>
      <c r="AD274" s="39">
        <f t="shared" ref="AD274:AD279" si="875">SUM(AE274:AY274)</f>
        <v>0</v>
      </c>
      <c r="AE274" s="39"/>
      <c r="AF274" s="39"/>
      <c r="AG274" s="39">
        <v>0</v>
      </c>
      <c r="AH274" s="39">
        <v>0</v>
      </c>
      <c r="AI274" s="39">
        <v>0</v>
      </c>
      <c r="AJ274" s="39">
        <v>0</v>
      </c>
      <c r="AK274" s="39">
        <v>0</v>
      </c>
      <c r="AL274" s="39">
        <v>0</v>
      </c>
      <c r="AM274" s="39">
        <v>0</v>
      </c>
      <c r="AN274" s="39">
        <v>0</v>
      </c>
      <c r="AO274" s="39">
        <v>0</v>
      </c>
      <c r="AP274" s="39">
        <v>0</v>
      </c>
      <c r="AQ274" s="39">
        <v>0</v>
      </c>
      <c r="AR274" s="39">
        <v>0</v>
      </c>
      <c r="AS274" s="39">
        <v>0</v>
      </c>
      <c r="AT274" s="39">
        <v>0</v>
      </c>
      <c r="AU274" s="39">
        <v>0</v>
      </c>
      <c r="AV274" s="39">
        <v>0</v>
      </c>
      <c r="AW274" s="39">
        <v>0</v>
      </c>
      <c r="AX274" s="39">
        <v>0</v>
      </c>
      <c r="AY274" s="39">
        <v>0</v>
      </c>
      <c r="AZ274" s="39"/>
      <c r="BA274" s="39"/>
      <c r="BB274" s="39"/>
      <c r="BC274" s="39">
        <f t="shared" ref="BC274:BC279" si="876">SUM(BD274+BH274+BL274+BN274+BQ274)</f>
        <v>0</v>
      </c>
      <c r="BD274" s="39">
        <f t="shared" ref="BD274:BD279" si="877">SUM(BE274:BG274)</f>
        <v>0</v>
      </c>
      <c r="BE274" s="39">
        <v>0</v>
      </c>
      <c r="BF274" s="39">
        <v>0</v>
      </c>
      <c r="BG274" s="39">
        <v>0</v>
      </c>
      <c r="BH274" s="39">
        <f t="shared" ref="BH274:BH279" si="878">SUM(BK274:BK274)</f>
        <v>0</v>
      </c>
      <c r="BI274" s="39">
        <v>0</v>
      </c>
      <c r="BJ274" s="39">
        <v>0</v>
      </c>
      <c r="BK274" s="39">
        <v>0</v>
      </c>
      <c r="BL274" s="39">
        <v>0</v>
      </c>
      <c r="BM274" s="39">
        <v>0</v>
      </c>
      <c r="BN274" s="39">
        <f>SUM(BO274)</f>
        <v>0</v>
      </c>
      <c r="BO274" s="39">
        <v>0</v>
      </c>
      <c r="BP274" s="39">
        <v>0</v>
      </c>
      <c r="BQ274" s="39">
        <f t="shared" ref="BQ274:BQ279" si="879">SUM(BR274:CB274)</f>
        <v>0</v>
      </c>
      <c r="BR274" s="39">
        <v>0</v>
      </c>
      <c r="BS274" s="39">
        <v>0</v>
      </c>
      <c r="BT274" s="39">
        <v>0</v>
      </c>
      <c r="BU274" s="39">
        <v>0</v>
      </c>
      <c r="BV274" s="39">
        <v>0</v>
      </c>
      <c r="BW274" s="39">
        <v>0</v>
      </c>
      <c r="BX274" s="39">
        <v>0</v>
      </c>
      <c r="BY274" s="39">
        <v>0</v>
      </c>
      <c r="BZ274" s="39">
        <v>0</v>
      </c>
      <c r="CA274" s="39">
        <v>0</v>
      </c>
      <c r="CB274" s="39">
        <v>0</v>
      </c>
      <c r="CC274" s="39">
        <f t="shared" si="857"/>
        <v>10828325</v>
      </c>
      <c r="CD274" s="39">
        <f t="shared" ref="CD274:CD279" si="880">SUM(CE274+CH274+CN274)</f>
        <v>0</v>
      </c>
      <c r="CE274" s="39">
        <f>SUM(CF274:CG274)</f>
        <v>0</v>
      </c>
      <c r="CF274" s="39">
        <v>0</v>
      </c>
      <c r="CG274" s="39">
        <v>0</v>
      </c>
      <c r="CH274" s="19">
        <f t="shared" si="852"/>
        <v>0</v>
      </c>
      <c r="CI274" s="39">
        <v>0</v>
      </c>
      <c r="CJ274" s="39">
        <v>0</v>
      </c>
      <c r="CK274" s="39">
        <v>0</v>
      </c>
      <c r="CL274" s="39">
        <v>0</v>
      </c>
      <c r="CM274" s="39">
        <v>0</v>
      </c>
      <c r="CN274" s="39">
        <f t="shared" si="858"/>
        <v>0</v>
      </c>
      <c r="CO274" s="39">
        <v>0</v>
      </c>
      <c r="CP274" s="39">
        <v>0</v>
      </c>
      <c r="CQ274" s="39">
        <v>0</v>
      </c>
      <c r="CR274" s="39"/>
      <c r="CS274" s="39"/>
      <c r="CT274" s="39"/>
      <c r="CU274" s="35">
        <f>43313299-32484974</f>
        <v>10828325</v>
      </c>
      <c r="CV274" s="75"/>
      <c r="CW274" s="75"/>
      <c r="CX274" s="75"/>
      <c r="CY274" s="75"/>
      <c r="CZ274" s="39">
        <f>SUM(DA274)</f>
        <v>0</v>
      </c>
      <c r="DA274" s="39">
        <f>SUM(DB274:DC274)</f>
        <v>0</v>
      </c>
      <c r="DB274" s="39">
        <v>0</v>
      </c>
      <c r="DC274" s="41">
        <v>0</v>
      </c>
      <c r="DD274" s="52"/>
    </row>
    <row r="275" spans="1:108" ht="19.95" customHeight="1" x14ac:dyDescent="0.3">
      <c r="A275" s="97" t="s">
        <v>1</v>
      </c>
      <c r="B275" s="36" t="s">
        <v>56</v>
      </c>
      <c r="C275" s="37" t="s">
        <v>459</v>
      </c>
      <c r="D275" s="39">
        <f t="shared" si="841"/>
        <v>1647215</v>
      </c>
      <c r="E275" s="39">
        <f t="shared" si="842"/>
        <v>0</v>
      </c>
      <c r="F275" s="39">
        <f t="shared" si="854"/>
        <v>0</v>
      </c>
      <c r="G275" s="39">
        <v>0</v>
      </c>
      <c r="H275" s="39">
        <v>0</v>
      </c>
      <c r="I275" s="39">
        <f>SUM(J275:O275)</f>
        <v>0</v>
      </c>
      <c r="J275" s="39">
        <v>0</v>
      </c>
      <c r="K275" s="39">
        <v>0</v>
      </c>
      <c r="L275" s="39">
        <v>0</v>
      </c>
      <c r="M275" s="39">
        <v>0</v>
      </c>
      <c r="N275" s="39">
        <v>0</v>
      </c>
      <c r="O275" s="39">
        <v>0</v>
      </c>
      <c r="P275" s="39">
        <f>SUM(Q275:R275)</f>
        <v>0</v>
      </c>
      <c r="Q275" s="39">
        <v>0</v>
      </c>
      <c r="R275" s="39">
        <v>0</v>
      </c>
      <c r="S275" s="39">
        <v>0</v>
      </c>
      <c r="T275" s="39">
        <v>0</v>
      </c>
      <c r="U275" s="39">
        <f>SUM(V275:AC275)</f>
        <v>0</v>
      </c>
      <c r="V275" s="39">
        <v>0</v>
      </c>
      <c r="W275" s="39">
        <v>0</v>
      </c>
      <c r="X275" s="39">
        <v>0</v>
      </c>
      <c r="Y275" s="39">
        <v>0</v>
      </c>
      <c r="Z275" s="39">
        <v>0</v>
      </c>
      <c r="AA275" s="39">
        <v>0</v>
      </c>
      <c r="AB275" s="39">
        <v>0</v>
      </c>
      <c r="AC275" s="39">
        <v>0</v>
      </c>
      <c r="AD275" s="39">
        <f>SUM(AE275:AY275)</f>
        <v>0</v>
      </c>
      <c r="AE275" s="39"/>
      <c r="AF275" s="39"/>
      <c r="AG275" s="39">
        <v>0</v>
      </c>
      <c r="AH275" s="39">
        <v>0</v>
      </c>
      <c r="AI275" s="39">
        <v>0</v>
      </c>
      <c r="AJ275" s="39">
        <v>0</v>
      </c>
      <c r="AK275" s="39">
        <v>0</v>
      </c>
      <c r="AL275" s="39">
        <v>0</v>
      </c>
      <c r="AM275" s="39">
        <v>0</v>
      </c>
      <c r="AN275" s="39">
        <v>0</v>
      </c>
      <c r="AO275" s="39">
        <v>0</v>
      </c>
      <c r="AP275" s="39">
        <v>0</v>
      </c>
      <c r="AQ275" s="39">
        <v>0</v>
      </c>
      <c r="AR275" s="39">
        <v>0</v>
      </c>
      <c r="AS275" s="39">
        <v>0</v>
      </c>
      <c r="AT275" s="39">
        <v>0</v>
      </c>
      <c r="AU275" s="39">
        <v>0</v>
      </c>
      <c r="AV275" s="39">
        <v>0</v>
      </c>
      <c r="AW275" s="39">
        <v>0</v>
      </c>
      <c r="AX275" s="39">
        <v>0</v>
      </c>
      <c r="AY275" s="39">
        <v>0</v>
      </c>
      <c r="AZ275" s="39"/>
      <c r="BA275" s="39"/>
      <c r="BB275" s="39"/>
      <c r="BC275" s="39">
        <f>SUM(BD275+BH275+BL275+BN275+BQ275)</f>
        <v>0</v>
      </c>
      <c r="BD275" s="39">
        <f>SUM(BE275:BG275)</f>
        <v>0</v>
      </c>
      <c r="BE275" s="39">
        <v>0</v>
      </c>
      <c r="BF275" s="39">
        <v>0</v>
      </c>
      <c r="BG275" s="39">
        <v>0</v>
      </c>
      <c r="BH275" s="39">
        <f>SUM(BK275:BK275)</f>
        <v>0</v>
      </c>
      <c r="BI275" s="39">
        <v>0</v>
      </c>
      <c r="BJ275" s="39">
        <v>0</v>
      </c>
      <c r="BK275" s="39">
        <v>0</v>
      </c>
      <c r="BL275" s="39">
        <v>0</v>
      </c>
      <c r="BM275" s="39">
        <v>0</v>
      </c>
      <c r="BN275" s="39">
        <f>SUM(BO275)</f>
        <v>0</v>
      </c>
      <c r="BO275" s="39">
        <v>0</v>
      </c>
      <c r="BP275" s="39">
        <v>0</v>
      </c>
      <c r="BQ275" s="39">
        <f>SUM(BR275:CB275)</f>
        <v>0</v>
      </c>
      <c r="BR275" s="39">
        <v>0</v>
      </c>
      <c r="BS275" s="39">
        <v>0</v>
      </c>
      <c r="BT275" s="39">
        <v>0</v>
      </c>
      <c r="BU275" s="39">
        <v>0</v>
      </c>
      <c r="BV275" s="39">
        <v>0</v>
      </c>
      <c r="BW275" s="39">
        <v>0</v>
      </c>
      <c r="BX275" s="39">
        <v>0</v>
      </c>
      <c r="BY275" s="39">
        <v>0</v>
      </c>
      <c r="BZ275" s="39">
        <v>0</v>
      </c>
      <c r="CA275" s="39">
        <v>0</v>
      </c>
      <c r="CB275" s="39">
        <v>0</v>
      </c>
      <c r="CC275" s="39">
        <f t="shared" si="857"/>
        <v>1647215</v>
      </c>
      <c r="CD275" s="39">
        <f>SUM(CE275+CH275+CN275)</f>
        <v>0</v>
      </c>
      <c r="CE275" s="39">
        <f>SUM(CF275:CG275)</f>
        <v>0</v>
      </c>
      <c r="CF275" s="39">
        <v>0</v>
      </c>
      <c r="CG275" s="39">
        <v>0</v>
      </c>
      <c r="CH275" s="19">
        <f>SUM(CI275:CM275)</f>
        <v>0</v>
      </c>
      <c r="CI275" s="39">
        <v>0</v>
      </c>
      <c r="CJ275" s="39">
        <v>0</v>
      </c>
      <c r="CK275" s="39">
        <v>0</v>
      </c>
      <c r="CL275" s="39">
        <v>0</v>
      </c>
      <c r="CM275" s="39">
        <v>0</v>
      </c>
      <c r="CN275" s="39">
        <f t="shared" si="858"/>
        <v>0</v>
      </c>
      <c r="CO275" s="39">
        <v>0</v>
      </c>
      <c r="CP275" s="39">
        <v>0</v>
      </c>
      <c r="CQ275" s="39">
        <v>0</v>
      </c>
      <c r="CR275" s="39"/>
      <c r="CS275" s="39"/>
      <c r="CT275" s="39"/>
      <c r="CU275" s="35">
        <f>6588858-4941643</f>
        <v>1647215</v>
      </c>
      <c r="CV275" s="75"/>
      <c r="CW275" s="75"/>
      <c r="CX275" s="75"/>
      <c r="CY275" s="75"/>
      <c r="CZ275" s="39">
        <f>SUM(DA275)</f>
        <v>0</v>
      </c>
      <c r="DA275" s="39">
        <f>SUM(DB275:DC275)</f>
        <v>0</v>
      </c>
      <c r="DB275" s="39">
        <v>0</v>
      </c>
      <c r="DC275" s="41">
        <v>0</v>
      </c>
      <c r="DD275" s="52"/>
    </row>
    <row r="276" spans="1:108" ht="19.95" customHeight="1" x14ac:dyDescent="0.3">
      <c r="A276" s="97" t="s">
        <v>1</v>
      </c>
      <c r="B276" s="36" t="s">
        <v>56</v>
      </c>
      <c r="C276" s="37" t="s">
        <v>288</v>
      </c>
      <c r="D276" s="39">
        <f t="shared" si="841"/>
        <v>4315541</v>
      </c>
      <c r="E276" s="39">
        <f t="shared" si="842"/>
        <v>0</v>
      </c>
      <c r="F276" s="39">
        <f t="shared" si="854"/>
        <v>0</v>
      </c>
      <c r="G276" s="39">
        <v>0</v>
      </c>
      <c r="H276" s="39">
        <v>0</v>
      </c>
      <c r="I276" s="39">
        <f t="shared" ref="I276:I279" si="881">SUM(J276:O276)</f>
        <v>0</v>
      </c>
      <c r="J276" s="39">
        <v>0</v>
      </c>
      <c r="K276" s="39">
        <v>0</v>
      </c>
      <c r="L276" s="39">
        <v>0</v>
      </c>
      <c r="M276" s="39">
        <v>0</v>
      </c>
      <c r="N276" s="39">
        <v>0</v>
      </c>
      <c r="O276" s="39">
        <v>0</v>
      </c>
      <c r="P276" s="39">
        <f t="shared" ref="P276:P279" si="882">SUM(Q276:R276)</f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f t="shared" si="874"/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0</v>
      </c>
      <c r="AA276" s="39">
        <v>0</v>
      </c>
      <c r="AB276" s="39">
        <v>0</v>
      </c>
      <c r="AC276" s="39">
        <v>0</v>
      </c>
      <c r="AD276" s="39">
        <f t="shared" si="875"/>
        <v>0</v>
      </c>
      <c r="AE276" s="39"/>
      <c r="AF276" s="39"/>
      <c r="AG276" s="39">
        <v>0</v>
      </c>
      <c r="AH276" s="39">
        <v>0</v>
      </c>
      <c r="AI276" s="39">
        <v>0</v>
      </c>
      <c r="AJ276" s="39">
        <v>0</v>
      </c>
      <c r="AK276" s="39">
        <v>0</v>
      </c>
      <c r="AL276" s="39">
        <v>0</v>
      </c>
      <c r="AM276" s="39">
        <v>0</v>
      </c>
      <c r="AN276" s="39">
        <v>0</v>
      </c>
      <c r="AO276" s="39">
        <v>0</v>
      </c>
      <c r="AP276" s="39">
        <v>0</v>
      </c>
      <c r="AQ276" s="39">
        <v>0</v>
      </c>
      <c r="AR276" s="39">
        <v>0</v>
      </c>
      <c r="AS276" s="39">
        <v>0</v>
      </c>
      <c r="AT276" s="39">
        <v>0</v>
      </c>
      <c r="AU276" s="39">
        <v>0</v>
      </c>
      <c r="AV276" s="39">
        <v>0</v>
      </c>
      <c r="AW276" s="39">
        <v>0</v>
      </c>
      <c r="AX276" s="39">
        <v>0</v>
      </c>
      <c r="AY276" s="39">
        <v>0</v>
      </c>
      <c r="AZ276" s="39"/>
      <c r="BA276" s="39"/>
      <c r="BB276" s="39"/>
      <c r="BC276" s="39">
        <f t="shared" si="876"/>
        <v>0</v>
      </c>
      <c r="BD276" s="39">
        <f t="shared" si="877"/>
        <v>0</v>
      </c>
      <c r="BE276" s="39">
        <v>0</v>
      </c>
      <c r="BF276" s="39">
        <v>0</v>
      </c>
      <c r="BG276" s="39">
        <v>0</v>
      </c>
      <c r="BH276" s="39">
        <f t="shared" si="878"/>
        <v>0</v>
      </c>
      <c r="BI276" s="39">
        <v>0</v>
      </c>
      <c r="BJ276" s="39">
        <v>0</v>
      </c>
      <c r="BK276" s="39">
        <v>0</v>
      </c>
      <c r="BL276" s="39">
        <v>0</v>
      </c>
      <c r="BM276" s="39">
        <v>0</v>
      </c>
      <c r="BN276" s="39">
        <f t="shared" ref="BN276:BN279" si="883">SUM(BO276)</f>
        <v>0</v>
      </c>
      <c r="BO276" s="39">
        <v>0</v>
      </c>
      <c r="BP276" s="39">
        <v>0</v>
      </c>
      <c r="BQ276" s="39">
        <f t="shared" si="879"/>
        <v>0</v>
      </c>
      <c r="BR276" s="39">
        <v>0</v>
      </c>
      <c r="BS276" s="39">
        <v>0</v>
      </c>
      <c r="BT276" s="39">
        <v>0</v>
      </c>
      <c r="BU276" s="39">
        <v>0</v>
      </c>
      <c r="BV276" s="39">
        <v>0</v>
      </c>
      <c r="BW276" s="39">
        <v>0</v>
      </c>
      <c r="BX276" s="39">
        <v>0</v>
      </c>
      <c r="BY276" s="39">
        <v>0</v>
      </c>
      <c r="BZ276" s="39">
        <v>0</v>
      </c>
      <c r="CA276" s="39">
        <v>0</v>
      </c>
      <c r="CB276" s="39">
        <v>0</v>
      </c>
      <c r="CC276" s="39">
        <f t="shared" si="857"/>
        <v>4315541</v>
      </c>
      <c r="CD276" s="39">
        <f t="shared" si="880"/>
        <v>0</v>
      </c>
      <c r="CE276" s="39">
        <f t="shared" ref="CE276:CE279" si="884">SUM(CF276:CG276)</f>
        <v>0</v>
      </c>
      <c r="CF276" s="39">
        <v>0</v>
      </c>
      <c r="CG276" s="39">
        <v>0</v>
      </c>
      <c r="CH276" s="19">
        <f t="shared" si="852"/>
        <v>0</v>
      </c>
      <c r="CI276" s="39">
        <v>0</v>
      </c>
      <c r="CJ276" s="39">
        <v>0</v>
      </c>
      <c r="CK276" s="39">
        <v>0</v>
      </c>
      <c r="CL276" s="39">
        <v>0</v>
      </c>
      <c r="CM276" s="39">
        <v>0</v>
      </c>
      <c r="CN276" s="39">
        <f t="shared" si="858"/>
        <v>0</v>
      </c>
      <c r="CO276" s="39">
        <v>0</v>
      </c>
      <c r="CP276" s="39">
        <v>0</v>
      </c>
      <c r="CQ276" s="39">
        <v>0</v>
      </c>
      <c r="CR276" s="39"/>
      <c r="CS276" s="39"/>
      <c r="CT276" s="39"/>
      <c r="CU276" s="35">
        <v>4315541</v>
      </c>
      <c r="CV276" s="75"/>
      <c r="CW276" s="75"/>
      <c r="CX276" s="75"/>
      <c r="CY276" s="75"/>
      <c r="CZ276" s="39">
        <f t="shared" ref="CZ276:CZ279" si="885">SUM(DA276)</f>
        <v>0</v>
      </c>
      <c r="DA276" s="39">
        <f t="shared" ref="DA276:DA279" si="886">SUM(DB276:DC276)</f>
        <v>0</v>
      </c>
      <c r="DB276" s="39">
        <v>0</v>
      </c>
      <c r="DC276" s="41">
        <v>0</v>
      </c>
      <c r="DD276" s="52"/>
    </row>
    <row r="277" spans="1:108" ht="19.95" customHeight="1" x14ac:dyDescent="0.3">
      <c r="A277" s="94" t="s">
        <v>1</v>
      </c>
      <c r="B277" s="21" t="s">
        <v>58</v>
      </c>
      <c r="C277" s="22" t="s">
        <v>461</v>
      </c>
      <c r="D277" s="19">
        <f t="shared" si="841"/>
        <v>0</v>
      </c>
      <c r="E277" s="19">
        <f t="shared" si="842"/>
        <v>0</v>
      </c>
      <c r="F277" s="19">
        <f t="shared" si="854"/>
        <v>0</v>
      </c>
      <c r="G277" s="19">
        <v>0</v>
      </c>
      <c r="H277" s="19">
        <v>0</v>
      </c>
      <c r="I277" s="19">
        <f t="shared" si="881"/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f t="shared" si="882"/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f t="shared" si="874"/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f t="shared" si="875"/>
        <v>0</v>
      </c>
      <c r="AE277" s="19"/>
      <c r="AF277" s="19"/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0</v>
      </c>
      <c r="AP277" s="19">
        <v>0</v>
      </c>
      <c r="AQ277" s="19">
        <v>0</v>
      </c>
      <c r="AR277" s="19">
        <v>0</v>
      </c>
      <c r="AS277" s="19">
        <v>0</v>
      </c>
      <c r="AT277" s="19">
        <v>0</v>
      </c>
      <c r="AU277" s="19">
        <v>0</v>
      </c>
      <c r="AV277" s="19">
        <v>0</v>
      </c>
      <c r="AW277" s="19">
        <v>0</v>
      </c>
      <c r="AX277" s="19">
        <v>0</v>
      </c>
      <c r="AY277" s="19">
        <v>0</v>
      </c>
      <c r="AZ277" s="19"/>
      <c r="BA277" s="19"/>
      <c r="BB277" s="19"/>
      <c r="BC277" s="19">
        <f t="shared" si="876"/>
        <v>0</v>
      </c>
      <c r="BD277" s="19">
        <f t="shared" si="877"/>
        <v>0</v>
      </c>
      <c r="BE277" s="19">
        <v>0</v>
      </c>
      <c r="BF277" s="19">
        <v>0</v>
      </c>
      <c r="BG277" s="19">
        <v>0</v>
      </c>
      <c r="BH277" s="19">
        <f t="shared" si="878"/>
        <v>0</v>
      </c>
      <c r="BI277" s="19">
        <v>0</v>
      </c>
      <c r="BJ277" s="19">
        <v>0</v>
      </c>
      <c r="BK277" s="19">
        <v>0</v>
      </c>
      <c r="BL277" s="19">
        <v>0</v>
      </c>
      <c r="BM277" s="19">
        <v>0</v>
      </c>
      <c r="BN277" s="19">
        <f t="shared" si="883"/>
        <v>0</v>
      </c>
      <c r="BO277" s="19">
        <v>0</v>
      </c>
      <c r="BP277" s="19">
        <v>0</v>
      </c>
      <c r="BQ277" s="19">
        <f t="shared" si="879"/>
        <v>0</v>
      </c>
      <c r="BR277" s="19">
        <v>0</v>
      </c>
      <c r="BS277" s="19">
        <v>0</v>
      </c>
      <c r="BT277" s="19">
        <v>0</v>
      </c>
      <c r="BU277" s="19">
        <v>0</v>
      </c>
      <c r="BV277" s="19">
        <v>0</v>
      </c>
      <c r="BW277" s="19">
        <v>0</v>
      </c>
      <c r="BX277" s="19">
        <v>0</v>
      </c>
      <c r="BY277" s="19">
        <v>0</v>
      </c>
      <c r="BZ277" s="19">
        <v>0</v>
      </c>
      <c r="CA277" s="19">
        <v>0</v>
      </c>
      <c r="CB277" s="19">
        <v>0</v>
      </c>
      <c r="CC277" s="19">
        <f t="shared" si="857"/>
        <v>0</v>
      </c>
      <c r="CD277" s="19">
        <f t="shared" si="880"/>
        <v>0</v>
      </c>
      <c r="CE277" s="19">
        <f t="shared" si="884"/>
        <v>0</v>
      </c>
      <c r="CF277" s="19">
        <v>0</v>
      </c>
      <c r="CG277" s="19">
        <v>0</v>
      </c>
      <c r="CH277" s="19">
        <f t="shared" si="852"/>
        <v>0</v>
      </c>
      <c r="CI277" s="19">
        <v>0</v>
      </c>
      <c r="CJ277" s="19">
        <v>0</v>
      </c>
      <c r="CK277" s="19">
        <v>0</v>
      </c>
      <c r="CL277" s="19">
        <v>0</v>
      </c>
      <c r="CM277" s="19">
        <v>0</v>
      </c>
      <c r="CN277" s="19">
        <f t="shared" si="858"/>
        <v>0</v>
      </c>
      <c r="CO277" s="19">
        <v>0</v>
      </c>
      <c r="CP277" s="19">
        <v>0</v>
      </c>
      <c r="CQ277" s="19">
        <v>0</v>
      </c>
      <c r="CR277" s="19"/>
      <c r="CS277" s="19"/>
      <c r="CT277" s="19"/>
      <c r="CU277" s="35">
        <f>947000-947000</f>
        <v>0</v>
      </c>
      <c r="CV277" s="75"/>
      <c r="CW277" s="75"/>
      <c r="CX277" s="75"/>
      <c r="CY277" s="75"/>
      <c r="CZ277" s="19">
        <f t="shared" si="885"/>
        <v>0</v>
      </c>
      <c r="DA277" s="19">
        <f t="shared" si="886"/>
        <v>0</v>
      </c>
      <c r="DB277" s="19">
        <v>0</v>
      </c>
      <c r="DC277" s="20">
        <v>0</v>
      </c>
      <c r="DD277" s="52"/>
    </row>
    <row r="278" spans="1:108" ht="31.5" customHeight="1" x14ac:dyDescent="0.3">
      <c r="A278" s="97"/>
      <c r="B278" s="42" t="s">
        <v>124</v>
      </c>
      <c r="C278" s="43" t="s">
        <v>508</v>
      </c>
      <c r="D278" s="39">
        <f t="shared" si="841"/>
        <v>0</v>
      </c>
      <c r="E278" s="39">
        <f t="shared" si="842"/>
        <v>0</v>
      </c>
      <c r="F278" s="39">
        <f t="shared" si="854"/>
        <v>0</v>
      </c>
      <c r="G278" s="39">
        <v>0</v>
      </c>
      <c r="H278" s="39">
        <v>0</v>
      </c>
      <c r="I278" s="39">
        <f t="shared" si="881"/>
        <v>0</v>
      </c>
      <c r="J278" s="39">
        <v>0</v>
      </c>
      <c r="K278" s="39">
        <v>0</v>
      </c>
      <c r="L278" s="39">
        <v>0</v>
      </c>
      <c r="M278" s="39">
        <v>0</v>
      </c>
      <c r="N278" s="39">
        <v>0</v>
      </c>
      <c r="O278" s="39">
        <v>0</v>
      </c>
      <c r="P278" s="39">
        <f t="shared" si="882"/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f t="shared" si="874"/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0</v>
      </c>
      <c r="AB278" s="39">
        <v>0</v>
      </c>
      <c r="AC278" s="39">
        <v>0</v>
      </c>
      <c r="AD278" s="39">
        <f t="shared" si="875"/>
        <v>0</v>
      </c>
      <c r="AE278" s="40"/>
      <c r="AF278" s="40"/>
      <c r="AG278" s="39">
        <v>0</v>
      </c>
      <c r="AH278" s="39">
        <v>0</v>
      </c>
      <c r="AI278" s="39">
        <v>0</v>
      </c>
      <c r="AJ278" s="39">
        <v>0</v>
      </c>
      <c r="AK278" s="39">
        <v>0</v>
      </c>
      <c r="AL278" s="39">
        <v>0</v>
      </c>
      <c r="AM278" s="39">
        <v>0</v>
      </c>
      <c r="AN278" s="39">
        <v>0</v>
      </c>
      <c r="AO278" s="39">
        <v>0</v>
      </c>
      <c r="AP278" s="39">
        <v>0</v>
      </c>
      <c r="AQ278" s="39">
        <v>0</v>
      </c>
      <c r="AR278" s="39">
        <v>0</v>
      </c>
      <c r="AS278" s="39">
        <v>0</v>
      </c>
      <c r="AT278" s="39">
        <v>0</v>
      </c>
      <c r="AU278" s="39">
        <v>0</v>
      </c>
      <c r="AV278" s="39">
        <v>0</v>
      </c>
      <c r="AW278" s="39">
        <v>0</v>
      </c>
      <c r="AX278" s="39">
        <v>0</v>
      </c>
      <c r="AY278" s="39">
        <v>0</v>
      </c>
      <c r="AZ278" s="39"/>
      <c r="BA278" s="39"/>
      <c r="BB278" s="39"/>
      <c r="BC278" s="39">
        <f t="shared" si="876"/>
        <v>0</v>
      </c>
      <c r="BD278" s="39">
        <f t="shared" si="877"/>
        <v>0</v>
      </c>
      <c r="BE278" s="39">
        <v>0</v>
      </c>
      <c r="BF278" s="39">
        <v>0</v>
      </c>
      <c r="BG278" s="39">
        <v>0</v>
      </c>
      <c r="BH278" s="39">
        <f t="shared" si="878"/>
        <v>0</v>
      </c>
      <c r="BI278" s="39">
        <v>0</v>
      </c>
      <c r="BJ278" s="39">
        <v>0</v>
      </c>
      <c r="BK278" s="39">
        <v>0</v>
      </c>
      <c r="BL278" s="39">
        <v>0</v>
      </c>
      <c r="BM278" s="39">
        <v>0</v>
      </c>
      <c r="BN278" s="39">
        <f t="shared" si="883"/>
        <v>0</v>
      </c>
      <c r="BO278" s="39">
        <v>0</v>
      </c>
      <c r="BP278" s="39">
        <v>0</v>
      </c>
      <c r="BQ278" s="39">
        <f t="shared" si="879"/>
        <v>0</v>
      </c>
      <c r="BR278" s="39">
        <v>0</v>
      </c>
      <c r="BS278" s="39">
        <v>0</v>
      </c>
      <c r="BT278" s="39">
        <v>0</v>
      </c>
      <c r="BU278" s="39">
        <v>0</v>
      </c>
      <c r="BV278" s="39">
        <v>0</v>
      </c>
      <c r="BW278" s="39">
        <v>0</v>
      </c>
      <c r="BX278" s="39">
        <v>0</v>
      </c>
      <c r="BY278" s="39">
        <v>0</v>
      </c>
      <c r="BZ278" s="39">
        <v>0</v>
      </c>
      <c r="CA278" s="39">
        <v>0</v>
      </c>
      <c r="CB278" s="39">
        <v>0</v>
      </c>
      <c r="CC278" s="39">
        <f t="shared" si="857"/>
        <v>0</v>
      </c>
      <c r="CD278" s="39">
        <f t="shared" si="880"/>
        <v>0</v>
      </c>
      <c r="CE278" s="39">
        <f t="shared" si="884"/>
        <v>0</v>
      </c>
      <c r="CF278" s="39">
        <v>0</v>
      </c>
      <c r="CG278" s="35">
        <f>8631700-8631700</f>
        <v>0</v>
      </c>
      <c r="CH278" s="19">
        <f t="shared" si="852"/>
        <v>0</v>
      </c>
      <c r="CI278" s="39">
        <v>0</v>
      </c>
      <c r="CJ278" s="39">
        <v>0</v>
      </c>
      <c r="CK278" s="39">
        <v>0</v>
      </c>
      <c r="CL278" s="39">
        <v>0</v>
      </c>
      <c r="CM278" s="39">
        <v>0</v>
      </c>
      <c r="CN278" s="39">
        <f t="shared" si="858"/>
        <v>0</v>
      </c>
      <c r="CO278" s="39">
        <v>0</v>
      </c>
      <c r="CP278" s="39">
        <v>0</v>
      </c>
      <c r="CQ278" s="39">
        <v>0</v>
      </c>
      <c r="CR278" s="39"/>
      <c r="CS278" s="39"/>
      <c r="CT278" s="39"/>
      <c r="CU278" s="35">
        <f>13224000-13224000</f>
        <v>0</v>
      </c>
      <c r="CV278" s="75"/>
      <c r="CW278" s="75"/>
      <c r="CX278" s="75"/>
      <c r="CY278" s="75"/>
      <c r="CZ278" s="39">
        <f t="shared" si="885"/>
        <v>0</v>
      </c>
      <c r="DA278" s="39">
        <f t="shared" si="886"/>
        <v>0</v>
      </c>
      <c r="DB278" s="39">
        <v>0</v>
      </c>
      <c r="DC278" s="41">
        <v>0</v>
      </c>
      <c r="DD278" s="52"/>
    </row>
    <row r="279" spans="1:108" ht="31.2" x14ac:dyDescent="0.3">
      <c r="A279" s="97"/>
      <c r="B279" s="42" t="s">
        <v>64</v>
      </c>
      <c r="C279" s="43" t="s">
        <v>607</v>
      </c>
      <c r="D279" s="39">
        <f t="shared" si="841"/>
        <v>866916</v>
      </c>
      <c r="E279" s="39">
        <f t="shared" si="842"/>
        <v>866916</v>
      </c>
      <c r="F279" s="39">
        <f t="shared" si="854"/>
        <v>866916</v>
      </c>
      <c r="G279" s="39">
        <v>0</v>
      </c>
      <c r="H279" s="39">
        <v>0</v>
      </c>
      <c r="I279" s="39">
        <f t="shared" si="881"/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f t="shared" si="882"/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f t="shared" si="874"/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f t="shared" si="875"/>
        <v>866916</v>
      </c>
      <c r="AE279" s="40"/>
      <c r="AF279" s="40"/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9">
        <v>0</v>
      </c>
      <c r="AT279" s="39">
        <v>0</v>
      </c>
      <c r="AU279" s="39">
        <v>0</v>
      </c>
      <c r="AV279" s="39">
        <v>0</v>
      </c>
      <c r="AW279" s="39">
        <v>0</v>
      </c>
      <c r="AX279" s="39">
        <v>0</v>
      </c>
      <c r="AY279" s="35">
        <f>1368317-501401</f>
        <v>866916</v>
      </c>
      <c r="AZ279" s="35"/>
      <c r="BA279" s="35"/>
      <c r="BB279" s="35"/>
      <c r="BC279" s="39">
        <f t="shared" si="876"/>
        <v>0</v>
      </c>
      <c r="BD279" s="39">
        <f t="shared" si="877"/>
        <v>0</v>
      </c>
      <c r="BE279" s="39">
        <v>0</v>
      </c>
      <c r="BF279" s="39">
        <v>0</v>
      </c>
      <c r="BG279" s="39">
        <v>0</v>
      </c>
      <c r="BH279" s="39">
        <f t="shared" si="878"/>
        <v>0</v>
      </c>
      <c r="BI279" s="39">
        <v>0</v>
      </c>
      <c r="BJ279" s="39">
        <v>0</v>
      </c>
      <c r="BK279" s="39">
        <v>0</v>
      </c>
      <c r="BL279" s="39">
        <v>0</v>
      </c>
      <c r="BM279" s="39">
        <v>0</v>
      </c>
      <c r="BN279" s="39">
        <f t="shared" si="883"/>
        <v>0</v>
      </c>
      <c r="BO279" s="39">
        <v>0</v>
      </c>
      <c r="BP279" s="39">
        <v>0</v>
      </c>
      <c r="BQ279" s="39">
        <f t="shared" si="879"/>
        <v>0</v>
      </c>
      <c r="BR279" s="39">
        <v>0</v>
      </c>
      <c r="BS279" s="39">
        <v>0</v>
      </c>
      <c r="BT279" s="39">
        <v>0</v>
      </c>
      <c r="BU279" s="39">
        <v>0</v>
      </c>
      <c r="BV279" s="39">
        <v>0</v>
      </c>
      <c r="BW279" s="39">
        <v>0</v>
      </c>
      <c r="BX279" s="39">
        <v>0</v>
      </c>
      <c r="BY279" s="39">
        <v>0</v>
      </c>
      <c r="BZ279" s="39">
        <v>0</v>
      </c>
      <c r="CA279" s="39">
        <v>0</v>
      </c>
      <c r="CB279" s="39">
        <v>0</v>
      </c>
      <c r="CC279" s="39">
        <f t="shared" si="857"/>
        <v>0</v>
      </c>
      <c r="CD279" s="39">
        <f t="shared" si="880"/>
        <v>0</v>
      </c>
      <c r="CE279" s="39">
        <f t="shared" si="884"/>
        <v>0</v>
      </c>
      <c r="CF279" s="39">
        <v>0</v>
      </c>
      <c r="CG279" s="39">
        <v>0</v>
      </c>
      <c r="CH279" s="19">
        <f t="shared" si="852"/>
        <v>0</v>
      </c>
      <c r="CI279" s="39">
        <v>0</v>
      </c>
      <c r="CJ279" s="39">
        <v>0</v>
      </c>
      <c r="CK279" s="39">
        <v>0</v>
      </c>
      <c r="CL279" s="39">
        <v>0</v>
      </c>
      <c r="CM279" s="39">
        <v>0</v>
      </c>
      <c r="CN279" s="39">
        <f t="shared" si="858"/>
        <v>0</v>
      </c>
      <c r="CO279" s="39">
        <v>0</v>
      </c>
      <c r="CP279" s="39">
        <v>0</v>
      </c>
      <c r="CQ279" s="39">
        <v>0</v>
      </c>
      <c r="CR279" s="39"/>
      <c r="CS279" s="39"/>
      <c r="CT279" s="39"/>
      <c r="CU279" s="35">
        <v>0</v>
      </c>
      <c r="CV279" s="75"/>
      <c r="CW279" s="75"/>
      <c r="CX279" s="75"/>
      <c r="CY279" s="75"/>
      <c r="CZ279" s="39">
        <f t="shared" si="885"/>
        <v>0</v>
      </c>
      <c r="DA279" s="39">
        <f t="shared" si="886"/>
        <v>0</v>
      </c>
      <c r="DB279" s="39">
        <v>0</v>
      </c>
      <c r="DC279" s="41">
        <v>0</v>
      </c>
      <c r="DD279" s="52"/>
    </row>
    <row r="280" spans="1:108" ht="15.6" x14ac:dyDescent="0.3">
      <c r="A280" s="97"/>
      <c r="B280" s="42" t="s">
        <v>160</v>
      </c>
      <c r="C280" s="43" t="s">
        <v>592</v>
      </c>
      <c r="D280" s="39">
        <f t="shared" si="841"/>
        <v>6151724</v>
      </c>
      <c r="E280" s="39">
        <f t="shared" si="842"/>
        <v>0</v>
      </c>
      <c r="F280" s="39">
        <f t="shared" si="854"/>
        <v>0</v>
      </c>
      <c r="G280" s="39">
        <v>0</v>
      </c>
      <c r="H280" s="39">
        <v>0</v>
      </c>
      <c r="I280" s="39">
        <f t="shared" ref="I280" si="887">SUM(J280:O280)</f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0</v>
      </c>
      <c r="P280" s="39">
        <f t="shared" ref="P280" si="888">SUM(Q280:R280)</f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f t="shared" ref="U280" si="889">SUM(V280:AC280)</f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0</v>
      </c>
      <c r="AA280" s="39">
        <v>0</v>
      </c>
      <c r="AB280" s="39">
        <v>0</v>
      </c>
      <c r="AC280" s="39">
        <v>0</v>
      </c>
      <c r="AD280" s="39">
        <f t="shared" ref="AD280" si="890">SUM(AE280:AY280)</f>
        <v>0</v>
      </c>
      <c r="AE280" s="40"/>
      <c r="AF280" s="40"/>
      <c r="AG280" s="39">
        <v>0</v>
      </c>
      <c r="AH280" s="39">
        <v>0</v>
      </c>
      <c r="AI280" s="39">
        <v>0</v>
      </c>
      <c r="AJ280" s="39">
        <v>0</v>
      </c>
      <c r="AK280" s="39">
        <v>0</v>
      </c>
      <c r="AL280" s="39">
        <v>0</v>
      </c>
      <c r="AM280" s="39">
        <v>0</v>
      </c>
      <c r="AN280" s="39">
        <v>0</v>
      </c>
      <c r="AO280" s="39">
        <v>0</v>
      </c>
      <c r="AP280" s="39">
        <v>0</v>
      </c>
      <c r="AQ280" s="39">
        <v>0</v>
      </c>
      <c r="AR280" s="39">
        <v>0</v>
      </c>
      <c r="AS280" s="39">
        <v>0</v>
      </c>
      <c r="AT280" s="39">
        <v>0</v>
      </c>
      <c r="AU280" s="39">
        <v>0</v>
      </c>
      <c r="AV280" s="39">
        <v>0</v>
      </c>
      <c r="AW280" s="39">
        <v>0</v>
      </c>
      <c r="AX280" s="39">
        <v>0</v>
      </c>
      <c r="AY280" s="35"/>
      <c r="AZ280" s="35"/>
      <c r="BA280" s="35"/>
      <c r="BB280" s="35"/>
      <c r="BC280" s="39">
        <f t="shared" ref="BC280" si="891">SUM(BD280+BH280+BL280+BN280+BQ280)</f>
        <v>0</v>
      </c>
      <c r="BD280" s="39">
        <f t="shared" ref="BD280" si="892">SUM(BE280:BG280)</f>
        <v>0</v>
      </c>
      <c r="BE280" s="39">
        <v>0</v>
      </c>
      <c r="BF280" s="39">
        <v>0</v>
      </c>
      <c r="BG280" s="39">
        <v>0</v>
      </c>
      <c r="BH280" s="39">
        <f t="shared" ref="BH280" si="893">SUM(BK280:BK280)</f>
        <v>0</v>
      </c>
      <c r="BI280" s="39">
        <v>0</v>
      </c>
      <c r="BJ280" s="39">
        <v>0</v>
      </c>
      <c r="BK280" s="39">
        <v>0</v>
      </c>
      <c r="BL280" s="39">
        <v>0</v>
      </c>
      <c r="BM280" s="39">
        <v>0</v>
      </c>
      <c r="BN280" s="39">
        <f t="shared" ref="BN280" si="894">SUM(BO280)</f>
        <v>0</v>
      </c>
      <c r="BO280" s="39">
        <v>0</v>
      </c>
      <c r="BP280" s="39">
        <v>0</v>
      </c>
      <c r="BQ280" s="39">
        <f t="shared" ref="BQ280" si="895">SUM(BR280:CB280)</f>
        <v>0</v>
      </c>
      <c r="BR280" s="39">
        <v>0</v>
      </c>
      <c r="BS280" s="39">
        <v>0</v>
      </c>
      <c r="BT280" s="39">
        <v>0</v>
      </c>
      <c r="BU280" s="39">
        <v>0</v>
      </c>
      <c r="BV280" s="39">
        <v>0</v>
      </c>
      <c r="BW280" s="39">
        <v>0</v>
      </c>
      <c r="BX280" s="39">
        <v>0</v>
      </c>
      <c r="BY280" s="39">
        <v>0</v>
      </c>
      <c r="BZ280" s="39">
        <v>0</v>
      </c>
      <c r="CA280" s="39">
        <v>0</v>
      </c>
      <c r="CB280" s="39">
        <v>0</v>
      </c>
      <c r="CC280" s="39">
        <f t="shared" si="857"/>
        <v>6151724</v>
      </c>
      <c r="CD280" s="39">
        <f t="shared" ref="CD280" si="896">SUM(CE280+CH280+CN280)</f>
        <v>0</v>
      </c>
      <c r="CE280" s="39">
        <f t="shared" ref="CE280" si="897">SUM(CF280:CG280)</f>
        <v>0</v>
      </c>
      <c r="CF280" s="39">
        <v>0</v>
      </c>
      <c r="CG280" s="39">
        <v>0</v>
      </c>
      <c r="CH280" s="19">
        <f t="shared" ref="CH280" si="898">SUM(CI280:CM280)</f>
        <v>0</v>
      </c>
      <c r="CI280" s="39">
        <v>0</v>
      </c>
      <c r="CJ280" s="39">
        <v>0</v>
      </c>
      <c r="CK280" s="39">
        <v>0</v>
      </c>
      <c r="CL280" s="39">
        <v>0</v>
      </c>
      <c r="CM280" s="39">
        <v>0</v>
      </c>
      <c r="CN280" s="39">
        <f t="shared" si="858"/>
        <v>0</v>
      </c>
      <c r="CO280" s="39">
        <v>0</v>
      </c>
      <c r="CP280" s="39">
        <v>0</v>
      </c>
      <c r="CQ280" s="39">
        <v>0</v>
      </c>
      <c r="CR280" s="39"/>
      <c r="CS280" s="39"/>
      <c r="CT280" s="39"/>
      <c r="CU280" s="35">
        <f>16151724-10000000</f>
        <v>6151724</v>
      </c>
      <c r="CV280" s="75"/>
      <c r="CW280" s="75"/>
      <c r="CX280" s="75"/>
      <c r="CY280" s="75"/>
      <c r="CZ280" s="39">
        <f t="shared" ref="CZ280" si="899">SUM(DA280)</f>
        <v>0</v>
      </c>
      <c r="DA280" s="39">
        <f t="shared" ref="DA280" si="900">SUM(DB280:DC280)</f>
        <v>0</v>
      </c>
      <c r="DB280" s="39">
        <v>0</v>
      </c>
      <c r="DC280" s="41">
        <v>0</v>
      </c>
      <c r="DD280" s="52"/>
    </row>
    <row r="281" spans="1:108" ht="15.6" x14ac:dyDescent="0.3">
      <c r="A281" s="97"/>
      <c r="B281" s="42" t="s">
        <v>266</v>
      </c>
      <c r="C281" s="43" t="s">
        <v>641</v>
      </c>
      <c r="D281" s="39">
        <f t="shared" ref="D281:D288" si="901">SUM(E281+CC281+CZ281)</f>
        <v>0</v>
      </c>
      <c r="E281" s="39">
        <f t="shared" ref="E281:E288" si="902">SUM(F281+BC281)</f>
        <v>0</v>
      </c>
      <c r="F281" s="39">
        <f t="shared" ref="F281:F288" si="903">SUM(G281+H281+I281+P281+S281+T281+U281+AD281)</f>
        <v>0</v>
      </c>
      <c r="G281" s="39">
        <v>0</v>
      </c>
      <c r="H281" s="39">
        <v>0</v>
      </c>
      <c r="I281" s="39">
        <f t="shared" ref="I281:I288" si="904">SUM(J281:O281)</f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39">
        <f t="shared" ref="P281:P288" si="905">SUM(Q281:R281)</f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f t="shared" ref="U281:U288" si="906">SUM(V281:AC281)</f>
        <v>0</v>
      </c>
      <c r="V281" s="39">
        <v>0</v>
      </c>
      <c r="W281" s="39">
        <v>0</v>
      </c>
      <c r="X281" s="39">
        <v>0</v>
      </c>
      <c r="Y281" s="39">
        <v>0</v>
      </c>
      <c r="Z281" s="39">
        <v>0</v>
      </c>
      <c r="AA281" s="39">
        <v>0</v>
      </c>
      <c r="AB281" s="39">
        <v>0</v>
      </c>
      <c r="AC281" s="39">
        <v>0</v>
      </c>
      <c r="AD281" s="39">
        <f t="shared" ref="AD281:AD288" si="907">SUM(AE281:AY281)</f>
        <v>0</v>
      </c>
      <c r="AE281" s="40"/>
      <c r="AF281" s="40"/>
      <c r="AG281" s="39">
        <v>0</v>
      </c>
      <c r="AH281" s="39">
        <v>0</v>
      </c>
      <c r="AI281" s="39">
        <v>0</v>
      </c>
      <c r="AJ281" s="39">
        <v>0</v>
      </c>
      <c r="AK281" s="39">
        <v>0</v>
      </c>
      <c r="AL281" s="39">
        <v>0</v>
      </c>
      <c r="AM281" s="39">
        <v>0</v>
      </c>
      <c r="AN281" s="39">
        <v>0</v>
      </c>
      <c r="AO281" s="39">
        <v>0</v>
      </c>
      <c r="AP281" s="39">
        <v>0</v>
      </c>
      <c r="AQ281" s="39">
        <v>0</v>
      </c>
      <c r="AR281" s="39">
        <v>0</v>
      </c>
      <c r="AS281" s="39">
        <v>0</v>
      </c>
      <c r="AT281" s="39">
        <v>0</v>
      </c>
      <c r="AU281" s="39">
        <v>0</v>
      </c>
      <c r="AV281" s="39">
        <v>0</v>
      </c>
      <c r="AW281" s="39">
        <v>0</v>
      </c>
      <c r="AX281" s="39">
        <v>0</v>
      </c>
      <c r="AY281" s="35"/>
      <c r="AZ281" s="35"/>
      <c r="BA281" s="35"/>
      <c r="BB281" s="35"/>
      <c r="BC281" s="39">
        <f t="shared" ref="BC281:BC288" si="908">SUM(BD281+BH281+BL281+BN281+BQ281)</f>
        <v>0</v>
      </c>
      <c r="BD281" s="39">
        <f t="shared" ref="BD281:BD288" si="909">SUM(BE281:BG281)</f>
        <v>0</v>
      </c>
      <c r="BE281" s="39">
        <v>0</v>
      </c>
      <c r="BF281" s="39">
        <v>0</v>
      </c>
      <c r="BG281" s="39">
        <v>0</v>
      </c>
      <c r="BH281" s="39">
        <f t="shared" ref="BH281:BH288" si="910">SUM(BK281:BK281)</f>
        <v>0</v>
      </c>
      <c r="BI281" s="39">
        <v>0</v>
      </c>
      <c r="BJ281" s="39">
        <v>0</v>
      </c>
      <c r="BK281" s="39">
        <v>0</v>
      </c>
      <c r="BL281" s="39">
        <v>0</v>
      </c>
      <c r="BM281" s="39">
        <v>0</v>
      </c>
      <c r="BN281" s="39">
        <f t="shared" ref="BN281:BN288" si="911">SUM(BO281)</f>
        <v>0</v>
      </c>
      <c r="BO281" s="39">
        <v>0</v>
      </c>
      <c r="BP281" s="39">
        <v>0</v>
      </c>
      <c r="BQ281" s="39">
        <f t="shared" ref="BQ281:BQ288" si="912">SUM(BR281:CB281)</f>
        <v>0</v>
      </c>
      <c r="BR281" s="39">
        <v>0</v>
      </c>
      <c r="BS281" s="39">
        <v>0</v>
      </c>
      <c r="BT281" s="39">
        <v>0</v>
      </c>
      <c r="BU281" s="39">
        <v>0</v>
      </c>
      <c r="BV281" s="39">
        <v>0</v>
      </c>
      <c r="BW281" s="39">
        <v>0</v>
      </c>
      <c r="BX281" s="39">
        <v>0</v>
      </c>
      <c r="BY281" s="39">
        <v>0</v>
      </c>
      <c r="BZ281" s="39">
        <v>0</v>
      </c>
      <c r="CA281" s="39">
        <v>0</v>
      </c>
      <c r="CB281" s="39">
        <v>0</v>
      </c>
      <c r="CC281" s="39">
        <f t="shared" ref="CC281:CC288" si="913">SUM(CD281+CU281)</f>
        <v>0</v>
      </c>
      <c r="CD281" s="39">
        <f t="shared" ref="CD281:CD288" si="914">SUM(CE281+CH281+CN281)</f>
        <v>0</v>
      </c>
      <c r="CE281" s="39">
        <f t="shared" ref="CE281:CE288" si="915">SUM(CF281:CG281)</f>
        <v>0</v>
      </c>
      <c r="CF281" s="39">
        <v>0</v>
      </c>
      <c r="CG281" s="39">
        <v>0</v>
      </c>
      <c r="CH281" s="19">
        <f t="shared" ref="CH281:CH288" si="916">SUM(CI281:CM281)</f>
        <v>0</v>
      </c>
      <c r="CI281" s="39">
        <v>0</v>
      </c>
      <c r="CJ281" s="39">
        <v>0</v>
      </c>
      <c r="CK281" s="39">
        <v>0</v>
      </c>
      <c r="CL281" s="39">
        <v>0</v>
      </c>
      <c r="CM281" s="39">
        <v>0</v>
      </c>
      <c r="CN281" s="39">
        <f t="shared" ref="CN281:CN288" si="917">SUM(CO281:CQ281)</f>
        <v>0</v>
      </c>
      <c r="CO281" s="39">
        <v>0</v>
      </c>
      <c r="CP281" s="39">
        <v>0</v>
      </c>
      <c r="CQ281" s="39">
        <v>0</v>
      </c>
      <c r="CR281" s="39"/>
      <c r="CS281" s="39"/>
      <c r="CT281" s="39"/>
      <c r="CU281" s="35">
        <f>57072-57072</f>
        <v>0</v>
      </c>
      <c r="CV281" s="75"/>
      <c r="CW281" s="75"/>
      <c r="CX281" s="75"/>
      <c r="CY281" s="75"/>
      <c r="CZ281" s="39">
        <f t="shared" ref="CZ281:CZ288" si="918">SUM(DA281)</f>
        <v>0</v>
      </c>
      <c r="DA281" s="39">
        <f t="shared" ref="DA281:DA288" si="919">SUM(DB281:DC281)</f>
        <v>0</v>
      </c>
      <c r="DB281" s="39">
        <v>0</v>
      </c>
      <c r="DC281" s="41">
        <v>0</v>
      </c>
      <c r="DD281" s="52"/>
    </row>
    <row r="282" spans="1:108" ht="31.2" x14ac:dyDescent="0.3">
      <c r="A282" s="97"/>
      <c r="B282" s="42" t="s">
        <v>266</v>
      </c>
      <c r="C282" s="43" t="s">
        <v>614</v>
      </c>
      <c r="D282" s="39">
        <f t="shared" si="901"/>
        <v>0</v>
      </c>
      <c r="E282" s="39">
        <f t="shared" si="902"/>
        <v>0</v>
      </c>
      <c r="F282" s="39">
        <f t="shared" si="903"/>
        <v>0</v>
      </c>
      <c r="G282" s="39">
        <v>0</v>
      </c>
      <c r="H282" s="39">
        <v>0</v>
      </c>
      <c r="I282" s="39">
        <f t="shared" si="904"/>
        <v>0</v>
      </c>
      <c r="J282" s="39">
        <v>0</v>
      </c>
      <c r="K282" s="39">
        <v>0</v>
      </c>
      <c r="L282" s="39">
        <v>0</v>
      </c>
      <c r="M282" s="39">
        <v>0</v>
      </c>
      <c r="N282" s="39">
        <v>0</v>
      </c>
      <c r="O282" s="39">
        <v>0</v>
      </c>
      <c r="P282" s="39">
        <f t="shared" si="905"/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f t="shared" si="906"/>
        <v>0</v>
      </c>
      <c r="V282" s="39">
        <v>0</v>
      </c>
      <c r="W282" s="39">
        <v>0</v>
      </c>
      <c r="X282" s="39">
        <v>0</v>
      </c>
      <c r="Y282" s="39">
        <v>0</v>
      </c>
      <c r="Z282" s="39">
        <v>0</v>
      </c>
      <c r="AA282" s="39">
        <v>0</v>
      </c>
      <c r="AB282" s="39">
        <v>0</v>
      </c>
      <c r="AC282" s="39">
        <v>0</v>
      </c>
      <c r="AD282" s="39">
        <f t="shared" si="907"/>
        <v>0</v>
      </c>
      <c r="AE282" s="40"/>
      <c r="AF282" s="40"/>
      <c r="AG282" s="39">
        <v>0</v>
      </c>
      <c r="AH282" s="39">
        <v>0</v>
      </c>
      <c r="AI282" s="39">
        <v>0</v>
      </c>
      <c r="AJ282" s="39">
        <v>0</v>
      </c>
      <c r="AK282" s="39">
        <v>0</v>
      </c>
      <c r="AL282" s="39">
        <v>0</v>
      </c>
      <c r="AM282" s="39">
        <v>0</v>
      </c>
      <c r="AN282" s="39">
        <v>0</v>
      </c>
      <c r="AO282" s="39">
        <v>0</v>
      </c>
      <c r="AP282" s="39">
        <v>0</v>
      </c>
      <c r="AQ282" s="39">
        <v>0</v>
      </c>
      <c r="AR282" s="39">
        <v>0</v>
      </c>
      <c r="AS282" s="39">
        <v>0</v>
      </c>
      <c r="AT282" s="39">
        <v>0</v>
      </c>
      <c r="AU282" s="39">
        <v>0</v>
      </c>
      <c r="AV282" s="39">
        <v>0</v>
      </c>
      <c r="AW282" s="39">
        <v>0</v>
      </c>
      <c r="AX282" s="39">
        <v>0</v>
      </c>
      <c r="AY282" s="35"/>
      <c r="AZ282" s="35"/>
      <c r="BA282" s="35"/>
      <c r="BB282" s="35"/>
      <c r="BC282" s="39">
        <f t="shared" si="908"/>
        <v>0</v>
      </c>
      <c r="BD282" s="39">
        <f t="shared" si="909"/>
        <v>0</v>
      </c>
      <c r="BE282" s="39">
        <v>0</v>
      </c>
      <c r="BF282" s="39">
        <v>0</v>
      </c>
      <c r="BG282" s="39">
        <v>0</v>
      </c>
      <c r="BH282" s="39">
        <f t="shared" si="910"/>
        <v>0</v>
      </c>
      <c r="BI282" s="39">
        <v>0</v>
      </c>
      <c r="BJ282" s="39">
        <v>0</v>
      </c>
      <c r="BK282" s="39">
        <v>0</v>
      </c>
      <c r="BL282" s="39">
        <v>0</v>
      </c>
      <c r="BM282" s="39">
        <v>0</v>
      </c>
      <c r="BN282" s="39">
        <f t="shared" si="911"/>
        <v>0</v>
      </c>
      <c r="BO282" s="39">
        <v>0</v>
      </c>
      <c r="BP282" s="39">
        <v>0</v>
      </c>
      <c r="BQ282" s="39">
        <f t="shared" si="912"/>
        <v>0</v>
      </c>
      <c r="BR282" s="39">
        <v>0</v>
      </c>
      <c r="BS282" s="39">
        <v>0</v>
      </c>
      <c r="BT282" s="39">
        <v>0</v>
      </c>
      <c r="BU282" s="39">
        <v>0</v>
      </c>
      <c r="BV282" s="39">
        <v>0</v>
      </c>
      <c r="BW282" s="39">
        <v>0</v>
      </c>
      <c r="BX282" s="39">
        <v>0</v>
      </c>
      <c r="BY282" s="39">
        <v>0</v>
      </c>
      <c r="BZ282" s="39">
        <v>0</v>
      </c>
      <c r="CA282" s="39">
        <v>0</v>
      </c>
      <c r="CB282" s="39">
        <v>0</v>
      </c>
      <c r="CC282" s="39">
        <f t="shared" si="913"/>
        <v>0</v>
      </c>
      <c r="CD282" s="39">
        <f t="shared" si="914"/>
        <v>0</v>
      </c>
      <c r="CE282" s="39">
        <f t="shared" si="915"/>
        <v>0</v>
      </c>
      <c r="CF282" s="39">
        <v>0</v>
      </c>
      <c r="CG282" s="39">
        <v>0</v>
      </c>
      <c r="CH282" s="19">
        <f t="shared" si="916"/>
        <v>0</v>
      </c>
      <c r="CI282" s="39">
        <v>0</v>
      </c>
      <c r="CJ282" s="39">
        <v>0</v>
      </c>
      <c r="CK282" s="39">
        <v>0</v>
      </c>
      <c r="CL282" s="39">
        <v>0</v>
      </c>
      <c r="CM282" s="39">
        <v>0</v>
      </c>
      <c r="CN282" s="39">
        <f t="shared" si="917"/>
        <v>0</v>
      </c>
      <c r="CO282" s="39">
        <v>0</v>
      </c>
      <c r="CP282" s="39">
        <v>0</v>
      </c>
      <c r="CQ282" s="39">
        <v>0</v>
      </c>
      <c r="CR282" s="39"/>
      <c r="CS282" s="39"/>
      <c r="CT282" s="39"/>
      <c r="CU282" s="35">
        <f>110000-110000</f>
        <v>0</v>
      </c>
      <c r="CV282" s="75"/>
      <c r="CW282" s="75"/>
      <c r="CX282" s="75"/>
      <c r="CY282" s="75"/>
      <c r="CZ282" s="39">
        <f t="shared" si="918"/>
        <v>0</v>
      </c>
      <c r="DA282" s="39">
        <f t="shared" si="919"/>
        <v>0</v>
      </c>
      <c r="DB282" s="39">
        <v>0</v>
      </c>
      <c r="DC282" s="41">
        <v>0</v>
      </c>
      <c r="DD282" s="52"/>
    </row>
    <row r="283" spans="1:108" ht="18" customHeight="1" x14ac:dyDescent="0.3">
      <c r="A283" s="97"/>
      <c r="B283" s="42" t="s">
        <v>266</v>
      </c>
      <c r="C283" s="43" t="s">
        <v>615</v>
      </c>
      <c r="D283" s="39">
        <f t="shared" ref="D283:D286" si="920">SUM(E283+CC283+CZ283)</f>
        <v>0</v>
      </c>
      <c r="E283" s="39">
        <f t="shared" ref="E283:E286" si="921">SUM(F283+BC283)</f>
        <v>0</v>
      </c>
      <c r="F283" s="39">
        <f t="shared" ref="F283:F286" si="922">SUM(G283+H283+I283+P283+S283+T283+U283+AD283)</f>
        <v>0</v>
      </c>
      <c r="G283" s="39">
        <v>0</v>
      </c>
      <c r="H283" s="39">
        <v>0</v>
      </c>
      <c r="I283" s="39">
        <f t="shared" ref="I283:I286" si="923">SUM(J283:O283)</f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f t="shared" ref="P283:P286" si="924">SUM(Q283:R283)</f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f t="shared" ref="U283:U286" si="925">SUM(V283:AC283)</f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f t="shared" ref="AD283:AD286" si="926">SUM(AE283:AY283)</f>
        <v>0</v>
      </c>
      <c r="AE283" s="40"/>
      <c r="AF283" s="40"/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9">
        <v>0</v>
      </c>
      <c r="AT283" s="39">
        <v>0</v>
      </c>
      <c r="AU283" s="39">
        <v>0</v>
      </c>
      <c r="AV283" s="39">
        <v>0</v>
      </c>
      <c r="AW283" s="39">
        <v>0</v>
      </c>
      <c r="AX283" s="39">
        <v>0</v>
      </c>
      <c r="AY283" s="35"/>
      <c r="AZ283" s="35"/>
      <c r="BA283" s="35"/>
      <c r="BB283" s="35"/>
      <c r="BC283" s="39">
        <f t="shared" ref="BC283:BC286" si="927">SUM(BD283+BH283+BL283+BN283+BQ283)</f>
        <v>0</v>
      </c>
      <c r="BD283" s="39">
        <f t="shared" ref="BD283:BD286" si="928">SUM(BE283:BG283)</f>
        <v>0</v>
      </c>
      <c r="BE283" s="39">
        <v>0</v>
      </c>
      <c r="BF283" s="39">
        <v>0</v>
      </c>
      <c r="BG283" s="39">
        <v>0</v>
      </c>
      <c r="BH283" s="39">
        <f t="shared" ref="BH283:BH286" si="929">SUM(BK283:BK283)</f>
        <v>0</v>
      </c>
      <c r="BI283" s="39">
        <v>0</v>
      </c>
      <c r="BJ283" s="39">
        <v>0</v>
      </c>
      <c r="BK283" s="39">
        <v>0</v>
      </c>
      <c r="BL283" s="39">
        <v>0</v>
      </c>
      <c r="BM283" s="39">
        <v>0</v>
      </c>
      <c r="BN283" s="39">
        <f t="shared" ref="BN283:BN286" si="930">SUM(BO283)</f>
        <v>0</v>
      </c>
      <c r="BO283" s="39">
        <v>0</v>
      </c>
      <c r="BP283" s="39">
        <v>0</v>
      </c>
      <c r="BQ283" s="39">
        <f t="shared" ref="BQ283:BQ286" si="931">SUM(BR283:CB283)</f>
        <v>0</v>
      </c>
      <c r="BR283" s="39">
        <v>0</v>
      </c>
      <c r="BS283" s="39">
        <v>0</v>
      </c>
      <c r="BT283" s="39">
        <v>0</v>
      </c>
      <c r="BU283" s="39">
        <v>0</v>
      </c>
      <c r="BV283" s="39">
        <v>0</v>
      </c>
      <c r="BW283" s="39">
        <v>0</v>
      </c>
      <c r="BX283" s="39">
        <v>0</v>
      </c>
      <c r="BY283" s="39">
        <v>0</v>
      </c>
      <c r="BZ283" s="39">
        <v>0</v>
      </c>
      <c r="CA283" s="39">
        <v>0</v>
      </c>
      <c r="CB283" s="39">
        <v>0</v>
      </c>
      <c r="CC283" s="39">
        <f t="shared" ref="CC283:CC286" si="932">SUM(CD283+CU283)</f>
        <v>0</v>
      </c>
      <c r="CD283" s="39">
        <f t="shared" ref="CD283:CD286" si="933">SUM(CE283+CH283+CN283)</f>
        <v>0</v>
      </c>
      <c r="CE283" s="39">
        <f t="shared" ref="CE283:CE286" si="934">SUM(CF283:CG283)</f>
        <v>0</v>
      </c>
      <c r="CF283" s="39">
        <v>0</v>
      </c>
      <c r="CG283" s="39">
        <v>0</v>
      </c>
      <c r="CH283" s="19">
        <f t="shared" ref="CH283:CH286" si="935">SUM(CI283:CM283)</f>
        <v>0</v>
      </c>
      <c r="CI283" s="39">
        <v>0</v>
      </c>
      <c r="CJ283" s="39">
        <v>0</v>
      </c>
      <c r="CK283" s="39">
        <v>0</v>
      </c>
      <c r="CL283" s="39">
        <v>0</v>
      </c>
      <c r="CM283" s="39">
        <v>0</v>
      </c>
      <c r="CN283" s="39">
        <f t="shared" ref="CN283:CN286" si="936">SUM(CO283:CQ283)</f>
        <v>0</v>
      </c>
      <c r="CO283" s="39">
        <v>0</v>
      </c>
      <c r="CP283" s="39">
        <v>0</v>
      </c>
      <c r="CQ283" s="39">
        <v>0</v>
      </c>
      <c r="CR283" s="39"/>
      <c r="CS283" s="39"/>
      <c r="CT283" s="39"/>
      <c r="CU283" s="35">
        <f>38000-38000</f>
        <v>0</v>
      </c>
      <c r="CV283" s="75"/>
      <c r="CW283" s="75"/>
      <c r="CX283" s="75"/>
      <c r="CY283" s="75"/>
      <c r="CZ283" s="39">
        <f t="shared" ref="CZ283:CZ286" si="937">SUM(DA283)</f>
        <v>0</v>
      </c>
      <c r="DA283" s="39">
        <f t="shared" ref="DA283:DA286" si="938">SUM(DB283:DC283)</f>
        <v>0</v>
      </c>
      <c r="DB283" s="39">
        <v>0</v>
      </c>
      <c r="DC283" s="41">
        <v>0</v>
      </c>
      <c r="DD283" s="52"/>
    </row>
    <row r="284" spans="1:108" ht="33.75" customHeight="1" x14ac:dyDescent="0.3">
      <c r="A284" s="97"/>
      <c r="B284" s="42" t="s">
        <v>266</v>
      </c>
      <c r="C284" s="43" t="s">
        <v>616</v>
      </c>
      <c r="D284" s="39">
        <f t="shared" si="920"/>
        <v>0</v>
      </c>
      <c r="E284" s="39">
        <f t="shared" si="921"/>
        <v>0</v>
      </c>
      <c r="F284" s="39">
        <f t="shared" si="922"/>
        <v>0</v>
      </c>
      <c r="G284" s="39">
        <v>0</v>
      </c>
      <c r="H284" s="39">
        <v>0</v>
      </c>
      <c r="I284" s="39">
        <f t="shared" si="923"/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39">
        <f t="shared" si="924"/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f t="shared" si="925"/>
        <v>0</v>
      </c>
      <c r="V284" s="39">
        <v>0</v>
      </c>
      <c r="W284" s="39">
        <v>0</v>
      </c>
      <c r="X284" s="39">
        <v>0</v>
      </c>
      <c r="Y284" s="39">
        <v>0</v>
      </c>
      <c r="Z284" s="39">
        <v>0</v>
      </c>
      <c r="AA284" s="39">
        <v>0</v>
      </c>
      <c r="AB284" s="39">
        <v>0</v>
      </c>
      <c r="AC284" s="39">
        <v>0</v>
      </c>
      <c r="AD284" s="39">
        <f t="shared" si="926"/>
        <v>0</v>
      </c>
      <c r="AE284" s="40"/>
      <c r="AF284" s="40"/>
      <c r="AG284" s="39">
        <v>0</v>
      </c>
      <c r="AH284" s="39">
        <v>0</v>
      </c>
      <c r="AI284" s="39">
        <v>0</v>
      </c>
      <c r="AJ284" s="39">
        <v>0</v>
      </c>
      <c r="AK284" s="39">
        <v>0</v>
      </c>
      <c r="AL284" s="39">
        <v>0</v>
      </c>
      <c r="AM284" s="39">
        <v>0</v>
      </c>
      <c r="AN284" s="39">
        <v>0</v>
      </c>
      <c r="AO284" s="39">
        <v>0</v>
      </c>
      <c r="AP284" s="39">
        <v>0</v>
      </c>
      <c r="AQ284" s="39">
        <v>0</v>
      </c>
      <c r="AR284" s="39">
        <v>0</v>
      </c>
      <c r="AS284" s="39">
        <v>0</v>
      </c>
      <c r="AT284" s="39">
        <v>0</v>
      </c>
      <c r="AU284" s="39">
        <v>0</v>
      </c>
      <c r="AV284" s="39">
        <v>0</v>
      </c>
      <c r="AW284" s="39">
        <v>0</v>
      </c>
      <c r="AX284" s="39">
        <v>0</v>
      </c>
      <c r="AY284" s="35"/>
      <c r="AZ284" s="35"/>
      <c r="BA284" s="35"/>
      <c r="BB284" s="35"/>
      <c r="BC284" s="39">
        <f t="shared" si="927"/>
        <v>0</v>
      </c>
      <c r="BD284" s="39">
        <f t="shared" si="928"/>
        <v>0</v>
      </c>
      <c r="BE284" s="39">
        <v>0</v>
      </c>
      <c r="BF284" s="39">
        <v>0</v>
      </c>
      <c r="BG284" s="39">
        <v>0</v>
      </c>
      <c r="BH284" s="39">
        <f t="shared" si="929"/>
        <v>0</v>
      </c>
      <c r="BI284" s="39">
        <v>0</v>
      </c>
      <c r="BJ284" s="39">
        <v>0</v>
      </c>
      <c r="BK284" s="39">
        <v>0</v>
      </c>
      <c r="BL284" s="39">
        <v>0</v>
      </c>
      <c r="BM284" s="39">
        <v>0</v>
      </c>
      <c r="BN284" s="39">
        <f t="shared" si="930"/>
        <v>0</v>
      </c>
      <c r="BO284" s="39">
        <v>0</v>
      </c>
      <c r="BP284" s="39">
        <v>0</v>
      </c>
      <c r="BQ284" s="39">
        <f t="shared" si="931"/>
        <v>0</v>
      </c>
      <c r="BR284" s="39">
        <v>0</v>
      </c>
      <c r="BS284" s="39">
        <v>0</v>
      </c>
      <c r="BT284" s="39">
        <v>0</v>
      </c>
      <c r="BU284" s="39">
        <v>0</v>
      </c>
      <c r="BV284" s="39">
        <v>0</v>
      </c>
      <c r="BW284" s="39">
        <v>0</v>
      </c>
      <c r="BX284" s="39">
        <v>0</v>
      </c>
      <c r="BY284" s="39">
        <v>0</v>
      </c>
      <c r="BZ284" s="39">
        <v>0</v>
      </c>
      <c r="CA284" s="39">
        <v>0</v>
      </c>
      <c r="CB284" s="39">
        <v>0</v>
      </c>
      <c r="CC284" s="39">
        <f t="shared" si="932"/>
        <v>0</v>
      </c>
      <c r="CD284" s="39">
        <f t="shared" si="933"/>
        <v>0</v>
      </c>
      <c r="CE284" s="39">
        <f t="shared" si="934"/>
        <v>0</v>
      </c>
      <c r="CF284" s="39">
        <v>0</v>
      </c>
      <c r="CG284" s="39">
        <v>0</v>
      </c>
      <c r="CH284" s="19">
        <f t="shared" si="935"/>
        <v>0</v>
      </c>
      <c r="CI284" s="39">
        <v>0</v>
      </c>
      <c r="CJ284" s="39">
        <v>0</v>
      </c>
      <c r="CK284" s="39">
        <v>0</v>
      </c>
      <c r="CL284" s="39">
        <v>0</v>
      </c>
      <c r="CM284" s="39">
        <v>0</v>
      </c>
      <c r="CN284" s="39">
        <f t="shared" si="936"/>
        <v>0</v>
      </c>
      <c r="CO284" s="39">
        <v>0</v>
      </c>
      <c r="CP284" s="39">
        <v>0</v>
      </c>
      <c r="CQ284" s="39">
        <v>0</v>
      </c>
      <c r="CR284" s="39"/>
      <c r="CS284" s="39"/>
      <c r="CT284" s="39"/>
      <c r="CU284" s="35">
        <f>1225100-1225100</f>
        <v>0</v>
      </c>
      <c r="CV284" s="75"/>
      <c r="CW284" s="75"/>
      <c r="CX284" s="75"/>
      <c r="CY284" s="75"/>
      <c r="CZ284" s="39">
        <f t="shared" si="937"/>
        <v>0</v>
      </c>
      <c r="DA284" s="39">
        <f t="shared" si="938"/>
        <v>0</v>
      </c>
      <c r="DB284" s="39">
        <v>0</v>
      </c>
      <c r="DC284" s="41">
        <v>0</v>
      </c>
      <c r="DD284" s="52"/>
    </row>
    <row r="285" spans="1:108" ht="15.6" x14ac:dyDescent="0.3">
      <c r="A285" s="97"/>
      <c r="B285" s="42" t="s">
        <v>266</v>
      </c>
      <c r="C285" s="43" t="s">
        <v>593</v>
      </c>
      <c r="D285" s="39">
        <f t="shared" si="920"/>
        <v>0</v>
      </c>
      <c r="E285" s="39">
        <f t="shared" si="921"/>
        <v>0</v>
      </c>
      <c r="F285" s="39">
        <f t="shared" si="922"/>
        <v>0</v>
      </c>
      <c r="G285" s="39">
        <v>0</v>
      </c>
      <c r="H285" s="39">
        <v>0</v>
      </c>
      <c r="I285" s="39">
        <f t="shared" si="923"/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0</v>
      </c>
      <c r="P285" s="39">
        <f t="shared" si="924"/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f t="shared" si="925"/>
        <v>0</v>
      </c>
      <c r="V285" s="39">
        <v>0</v>
      </c>
      <c r="W285" s="39">
        <v>0</v>
      </c>
      <c r="X285" s="39">
        <v>0</v>
      </c>
      <c r="Y285" s="39">
        <v>0</v>
      </c>
      <c r="Z285" s="39">
        <v>0</v>
      </c>
      <c r="AA285" s="39">
        <v>0</v>
      </c>
      <c r="AB285" s="39">
        <v>0</v>
      </c>
      <c r="AC285" s="39">
        <v>0</v>
      </c>
      <c r="AD285" s="39">
        <f t="shared" si="926"/>
        <v>0</v>
      </c>
      <c r="AE285" s="40"/>
      <c r="AF285" s="40"/>
      <c r="AG285" s="39">
        <v>0</v>
      </c>
      <c r="AH285" s="39">
        <v>0</v>
      </c>
      <c r="AI285" s="39">
        <v>0</v>
      </c>
      <c r="AJ285" s="39">
        <v>0</v>
      </c>
      <c r="AK285" s="39">
        <v>0</v>
      </c>
      <c r="AL285" s="39">
        <v>0</v>
      </c>
      <c r="AM285" s="39">
        <v>0</v>
      </c>
      <c r="AN285" s="39">
        <v>0</v>
      </c>
      <c r="AO285" s="39">
        <v>0</v>
      </c>
      <c r="AP285" s="39">
        <v>0</v>
      </c>
      <c r="AQ285" s="39">
        <v>0</v>
      </c>
      <c r="AR285" s="39">
        <v>0</v>
      </c>
      <c r="AS285" s="39">
        <v>0</v>
      </c>
      <c r="AT285" s="39">
        <v>0</v>
      </c>
      <c r="AU285" s="39">
        <v>0</v>
      </c>
      <c r="AV285" s="39">
        <v>0</v>
      </c>
      <c r="AW285" s="39">
        <v>0</v>
      </c>
      <c r="AX285" s="39">
        <v>0</v>
      </c>
      <c r="AY285" s="35"/>
      <c r="AZ285" s="35"/>
      <c r="BA285" s="35"/>
      <c r="BB285" s="35"/>
      <c r="BC285" s="39">
        <f t="shared" si="927"/>
        <v>0</v>
      </c>
      <c r="BD285" s="39">
        <f t="shared" si="928"/>
        <v>0</v>
      </c>
      <c r="BE285" s="39">
        <v>0</v>
      </c>
      <c r="BF285" s="39">
        <v>0</v>
      </c>
      <c r="BG285" s="39">
        <v>0</v>
      </c>
      <c r="BH285" s="39">
        <f t="shared" si="929"/>
        <v>0</v>
      </c>
      <c r="BI285" s="39">
        <v>0</v>
      </c>
      <c r="BJ285" s="39">
        <v>0</v>
      </c>
      <c r="BK285" s="39">
        <v>0</v>
      </c>
      <c r="BL285" s="39">
        <v>0</v>
      </c>
      <c r="BM285" s="39">
        <v>0</v>
      </c>
      <c r="BN285" s="39">
        <f t="shared" si="930"/>
        <v>0</v>
      </c>
      <c r="BO285" s="39">
        <v>0</v>
      </c>
      <c r="BP285" s="39">
        <v>0</v>
      </c>
      <c r="BQ285" s="39">
        <f t="shared" si="931"/>
        <v>0</v>
      </c>
      <c r="BR285" s="39">
        <v>0</v>
      </c>
      <c r="BS285" s="39">
        <v>0</v>
      </c>
      <c r="BT285" s="39">
        <v>0</v>
      </c>
      <c r="BU285" s="39">
        <v>0</v>
      </c>
      <c r="BV285" s="39">
        <v>0</v>
      </c>
      <c r="BW285" s="39">
        <v>0</v>
      </c>
      <c r="BX285" s="39">
        <v>0</v>
      </c>
      <c r="BY285" s="39">
        <v>0</v>
      </c>
      <c r="BZ285" s="39">
        <v>0</v>
      </c>
      <c r="CA285" s="39">
        <v>0</v>
      </c>
      <c r="CB285" s="39">
        <v>0</v>
      </c>
      <c r="CC285" s="39">
        <f t="shared" si="932"/>
        <v>0</v>
      </c>
      <c r="CD285" s="39">
        <f t="shared" si="933"/>
        <v>0</v>
      </c>
      <c r="CE285" s="39">
        <f t="shared" si="934"/>
        <v>0</v>
      </c>
      <c r="CF285" s="39">
        <v>0</v>
      </c>
      <c r="CG285" s="39">
        <v>0</v>
      </c>
      <c r="CH285" s="19">
        <f t="shared" si="935"/>
        <v>0</v>
      </c>
      <c r="CI285" s="39">
        <v>0</v>
      </c>
      <c r="CJ285" s="39">
        <v>0</v>
      </c>
      <c r="CK285" s="39">
        <v>0</v>
      </c>
      <c r="CL285" s="39">
        <v>0</v>
      </c>
      <c r="CM285" s="39">
        <v>0</v>
      </c>
      <c r="CN285" s="39">
        <f t="shared" si="936"/>
        <v>0</v>
      </c>
      <c r="CO285" s="39">
        <v>0</v>
      </c>
      <c r="CP285" s="39">
        <v>0</v>
      </c>
      <c r="CQ285" s="39">
        <v>0</v>
      </c>
      <c r="CR285" s="39"/>
      <c r="CS285" s="39"/>
      <c r="CT285" s="39"/>
      <c r="CU285" s="35">
        <f>236000-236000</f>
        <v>0</v>
      </c>
      <c r="CV285" s="75"/>
      <c r="CW285" s="75"/>
      <c r="CX285" s="75"/>
      <c r="CY285" s="75"/>
      <c r="CZ285" s="39">
        <f t="shared" si="937"/>
        <v>0</v>
      </c>
      <c r="DA285" s="39">
        <f t="shared" si="938"/>
        <v>0</v>
      </c>
      <c r="DB285" s="39">
        <v>0</v>
      </c>
      <c r="DC285" s="41">
        <v>0</v>
      </c>
      <c r="DD285" s="52"/>
    </row>
    <row r="286" spans="1:108" ht="33.75" customHeight="1" x14ac:dyDescent="0.3">
      <c r="A286" s="97"/>
      <c r="B286" s="42" t="s">
        <v>266</v>
      </c>
      <c r="C286" s="43" t="s">
        <v>594</v>
      </c>
      <c r="D286" s="39">
        <f t="shared" si="920"/>
        <v>0</v>
      </c>
      <c r="E286" s="39">
        <f t="shared" si="921"/>
        <v>0</v>
      </c>
      <c r="F286" s="39">
        <f t="shared" si="922"/>
        <v>0</v>
      </c>
      <c r="G286" s="39">
        <v>0</v>
      </c>
      <c r="H286" s="39">
        <v>0</v>
      </c>
      <c r="I286" s="39">
        <f t="shared" si="923"/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f t="shared" si="924"/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f t="shared" si="925"/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0</v>
      </c>
      <c r="AB286" s="39">
        <v>0</v>
      </c>
      <c r="AC286" s="39">
        <v>0</v>
      </c>
      <c r="AD286" s="39">
        <f t="shared" si="926"/>
        <v>0</v>
      </c>
      <c r="AE286" s="40"/>
      <c r="AF286" s="40"/>
      <c r="AG286" s="39">
        <v>0</v>
      </c>
      <c r="AH286" s="39">
        <v>0</v>
      </c>
      <c r="AI286" s="39">
        <v>0</v>
      </c>
      <c r="AJ286" s="39">
        <v>0</v>
      </c>
      <c r="AK286" s="39">
        <v>0</v>
      </c>
      <c r="AL286" s="39">
        <v>0</v>
      </c>
      <c r="AM286" s="39">
        <v>0</v>
      </c>
      <c r="AN286" s="39">
        <v>0</v>
      </c>
      <c r="AO286" s="39">
        <v>0</v>
      </c>
      <c r="AP286" s="39">
        <v>0</v>
      </c>
      <c r="AQ286" s="39">
        <v>0</v>
      </c>
      <c r="AR286" s="39">
        <v>0</v>
      </c>
      <c r="AS286" s="39">
        <v>0</v>
      </c>
      <c r="AT286" s="39">
        <v>0</v>
      </c>
      <c r="AU286" s="39">
        <v>0</v>
      </c>
      <c r="AV286" s="39">
        <v>0</v>
      </c>
      <c r="AW286" s="39">
        <v>0</v>
      </c>
      <c r="AX286" s="39">
        <v>0</v>
      </c>
      <c r="AY286" s="35"/>
      <c r="AZ286" s="35"/>
      <c r="BA286" s="35"/>
      <c r="BB286" s="35"/>
      <c r="BC286" s="39">
        <f t="shared" si="927"/>
        <v>0</v>
      </c>
      <c r="BD286" s="39">
        <f t="shared" si="928"/>
        <v>0</v>
      </c>
      <c r="BE286" s="39">
        <v>0</v>
      </c>
      <c r="BF286" s="39">
        <v>0</v>
      </c>
      <c r="BG286" s="39">
        <v>0</v>
      </c>
      <c r="BH286" s="39">
        <f t="shared" si="929"/>
        <v>0</v>
      </c>
      <c r="BI286" s="39">
        <v>0</v>
      </c>
      <c r="BJ286" s="39">
        <v>0</v>
      </c>
      <c r="BK286" s="39">
        <v>0</v>
      </c>
      <c r="BL286" s="39">
        <v>0</v>
      </c>
      <c r="BM286" s="39">
        <v>0</v>
      </c>
      <c r="BN286" s="39">
        <f t="shared" si="930"/>
        <v>0</v>
      </c>
      <c r="BO286" s="39">
        <v>0</v>
      </c>
      <c r="BP286" s="39">
        <v>0</v>
      </c>
      <c r="BQ286" s="39">
        <f t="shared" si="931"/>
        <v>0</v>
      </c>
      <c r="BR286" s="39">
        <v>0</v>
      </c>
      <c r="BS286" s="39">
        <v>0</v>
      </c>
      <c r="BT286" s="39">
        <v>0</v>
      </c>
      <c r="BU286" s="39">
        <v>0</v>
      </c>
      <c r="BV286" s="39">
        <v>0</v>
      </c>
      <c r="BW286" s="39">
        <v>0</v>
      </c>
      <c r="BX286" s="39">
        <v>0</v>
      </c>
      <c r="BY286" s="39">
        <v>0</v>
      </c>
      <c r="BZ286" s="39">
        <v>0</v>
      </c>
      <c r="CA286" s="39">
        <v>0</v>
      </c>
      <c r="CB286" s="39">
        <v>0</v>
      </c>
      <c r="CC286" s="39">
        <f t="shared" si="932"/>
        <v>0</v>
      </c>
      <c r="CD286" s="39">
        <f t="shared" si="933"/>
        <v>0</v>
      </c>
      <c r="CE286" s="39">
        <f t="shared" si="934"/>
        <v>0</v>
      </c>
      <c r="CF286" s="39">
        <v>0</v>
      </c>
      <c r="CG286" s="39">
        <v>0</v>
      </c>
      <c r="CH286" s="19">
        <f t="shared" si="935"/>
        <v>0</v>
      </c>
      <c r="CI286" s="39">
        <v>0</v>
      </c>
      <c r="CJ286" s="39">
        <v>0</v>
      </c>
      <c r="CK286" s="39">
        <v>0</v>
      </c>
      <c r="CL286" s="39">
        <v>0</v>
      </c>
      <c r="CM286" s="39">
        <v>0</v>
      </c>
      <c r="CN286" s="39">
        <f t="shared" si="936"/>
        <v>0</v>
      </c>
      <c r="CO286" s="39">
        <v>0</v>
      </c>
      <c r="CP286" s="39">
        <v>0</v>
      </c>
      <c r="CQ286" s="39">
        <v>0</v>
      </c>
      <c r="CR286" s="39"/>
      <c r="CS286" s="39"/>
      <c r="CT286" s="39"/>
      <c r="CU286" s="35">
        <f>562625-562625</f>
        <v>0</v>
      </c>
      <c r="CV286" s="75"/>
      <c r="CW286" s="75"/>
      <c r="CX286" s="75"/>
      <c r="CY286" s="75"/>
      <c r="CZ286" s="39">
        <f t="shared" si="937"/>
        <v>0</v>
      </c>
      <c r="DA286" s="39">
        <f t="shared" si="938"/>
        <v>0</v>
      </c>
      <c r="DB286" s="39">
        <v>0</v>
      </c>
      <c r="DC286" s="41">
        <v>0</v>
      </c>
      <c r="DD286" s="52"/>
    </row>
    <row r="287" spans="1:108" ht="31.2" x14ac:dyDescent="0.3">
      <c r="A287" s="97"/>
      <c r="B287" s="42" t="s">
        <v>266</v>
      </c>
      <c r="C287" s="43" t="s">
        <v>595</v>
      </c>
      <c r="D287" s="39">
        <f t="shared" si="901"/>
        <v>0</v>
      </c>
      <c r="E287" s="39">
        <f t="shared" si="902"/>
        <v>0</v>
      </c>
      <c r="F287" s="39">
        <f t="shared" si="903"/>
        <v>0</v>
      </c>
      <c r="G287" s="39">
        <v>0</v>
      </c>
      <c r="H287" s="39">
        <v>0</v>
      </c>
      <c r="I287" s="39">
        <f t="shared" si="904"/>
        <v>0</v>
      </c>
      <c r="J287" s="39">
        <v>0</v>
      </c>
      <c r="K287" s="39">
        <v>0</v>
      </c>
      <c r="L287" s="39">
        <v>0</v>
      </c>
      <c r="M287" s="39">
        <v>0</v>
      </c>
      <c r="N287" s="39">
        <v>0</v>
      </c>
      <c r="O287" s="39">
        <v>0</v>
      </c>
      <c r="P287" s="39">
        <f t="shared" si="905"/>
        <v>0</v>
      </c>
      <c r="Q287" s="39">
        <v>0</v>
      </c>
      <c r="R287" s="39">
        <v>0</v>
      </c>
      <c r="S287" s="39">
        <v>0</v>
      </c>
      <c r="T287" s="39">
        <v>0</v>
      </c>
      <c r="U287" s="39">
        <f t="shared" si="906"/>
        <v>0</v>
      </c>
      <c r="V287" s="39">
        <v>0</v>
      </c>
      <c r="W287" s="39">
        <v>0</v>
      </c>
      <c r="X287" s="39">
        <v>0</v>
      </c>
      <c r="Y287" s="39">
        <v>0</v>
      </c>
      <c r="Z287" s="39">
        <v>0</v>
      </c>
      <c r="AA287" s="39">
        <v>0</v>
      </c>
      <c r="AB287" s="39">
        <v>0</v>
      </c>
      <c r="AC287" s="39">
        <v>0</v>
      </c>
      <c r="AD287" s="39">
        <f t="shared" si="907"/>
        <v>0</v>
      </c>
      <c r="AE287" s="40"/>
      <c r="AF287" s="40"/>
      <c r="AG287" s="39">
        <v>0</v>
      </c>
      <c r="AH287" s="39">
        <v>0</v>
      </c>
      <c r="AI287" s="39">
        <v>0</v>
      </c>
      <c r="AJ287" s="39">
        <v>0</v>
      </c>
      <c r="AK287" s="39">
        <v>0</v>
      </c>
      <c r="AL287" s="39">
        <v>0</v>
      </c>
      <c r="AM287" s="39">
        <v>0</v>
      </c>
      <c r="AN287" s="39">
        <v>0</v>
      </c>
      <c r="AO287" s="39">
        <v>0</v>
      </c>
      <c r="AP287" s="39">
        <v>0</v>
      </c>
      <c r="AQ287" s="39">
        <v>0</v>
      </c>
      <c r="AR287" s="39">
        <v>0</v>
      </c>
      <c r="AS287" s="39">
        <v>0</v>
      </c>
      <c r="AT287" s="39">
        <v>0</v>
      </c>
      <c r="AU287" s="39">
        <v>0</v>
      </c>
      <c r="AV287" s="39">
        <v>0</v>
      </c>
      <c r="AW287" s="39">
        <v>0</v>
      </c>
      <c r="AX287" s="39">
        <v>0</v>
      </c>
      <c r="AY287" s="35"/>
      <c r="AZ287" s="35"/>
      <c r="BA287" s="35"/>
      <c r="BB287" s="35"/>
      <c r="BC287" s="39">
        <f t="shared" si="908"/>
        <v>0</v>
      </c>
      <c r="BD287" s="39">
        <f t="shared" si="909"/>
        <v>0</v>
      </c>
      <c r="BE287" s="39">
        <v>0</v>
      </c>
      <c r="BF287" s="39">
        <v>0</v>
      </c>
      <c r="BG287" s="39">
        <v>0</v>
      </c>
      <c r="BH287" s="39">
        <f t="shared" si="910"/>
        <v>0</v>
      </c>
      <c r="BI287" s="39">
        <v>0</v>
      </c>
      <c r="BJ287" s="39">
        <v>0</v>
      </c>
      <c r="BK287" s="39">
        <v>0</v>
      </c>
      <c r="BL287" s="39">
        <v>0</v>
      </c>
      <c r="BM287" s="39">
        <v>0</v>
      </c>
      <c r="BN287" s="39">
        <f t="shared" si="911"/>
        <v>0</v>
      </c>
      <c r="BO287" s="39">
        <v>0</v>
      </c>
      <c r="BP287" s="39">
        <v>0</v>
      </c>
      <c r="BQ287" s="39">
        <f t="shared" si="912"/>
        <v>0</v>
      </c>
      <c r="BR287" s="39">
        <v>0</v>
      </c>
      <c r="BS287" s="39">
        <v>0</v>
      </c>
      <c r="BT287" s="39">
        <v>0</v>
      </c>
      <c r="BU287" s="39">
        <v>0</v>
      </c>
      <c r="BV287" s="39">
        <v>0</v>
      </c>
      <c r="BW287" s="39">
        <v>0</v>
      </c>
      <c r="BX287" s="39">
        <v>0</v>
      </c>
      <c r="BY287" s="39">
        <v>0</v>
      </c>
      <c r="BZ287" s="39">
        <v>0</v>
      </c>
      <c r="CA287" s="39">
        <v>0</v>
      </c>
      <c r="CB287" s="39">
        <v>0</v>
      </c>
      <c r="CC287" s="39">
        <f t="shared" si="913"/>
        <v>0</v>
      </c>
      <c r="CD287" s="39">
        <f t="shared" si="914"/>
        <v>0</v>
      </c>
      <c r="CE287" s="39">
        <f t="shared" si="915"/>
        <v>0</v>
      </c>
      <c r="CF287" s="39">
        <v>0</v>
      </c>
      <c r="CG287" s="39">
        <v>0</v>
      </c>
      <c r="CH287" s="19">
        <f t="shared" si="916"/>
        <v>0</v>
      </c>
      <c r="CI287" s="39">
        <v>0</v>
      </c>
      <c r="CJ287" s="39">
        <v>0</v>
      </c>
      <c r="CK287" s="39">
        <v>0</v>
      </c>
      <c r="CL287" s="39">
        <v>0</v>
      </c>
      <c r="CM287" s="39">
        <v>0</v>
      </c>
      <c r="CN287" s="39">
        <f t="shared" si="917"/>
        <v>0</v>
      </c>
      <c r="CO287" s="39">
        <v>0</v>
      </c>
      <c r="CP287" s="39">
        <v>0</v>
      </c>
      <c r="CQ287" s="39">
        <v>0</v>
      </c>
      <c r="CR287" s="39"/>
      <c r="CS287" s="39"/>
      <c r="CT287" s="39"/>
      <c r="CU287" s="35">
        <f>135585-135585</f>
        <v>0</v>
      </c>
      <c r="CV287" s="75"/>
      <c r="CW287" s="75"/>
      <c r="CX287" s="75"/>
      <c r="CY287" s="75"/>
      <c r="CZ287" s="39">
        <f t="shared" si="918"/>
        <v>0</v>
      </c>
      <c r="DA287" s="39">
        <f t="shared" si="919"/>
        <v>0</v>
      </c>
      <c r="DB287" s="39">
        <v>0</v>
      </c>
      <c r="DC287" s="41">
        <v>0</v>
      </c>
      <c r="DD287" s="52"/>
    </row>
    <row r="288" spans="1:108" ht="31.2" x14ac:dyDescent="0.3">
      <c r="A288" s="97"/>
      <c r="B288" s="42" t="s">
        <v>266</v>
      </c>
      <c r="C288" s="43" t="s">
        <v>596</v>
      </c>
      <c r="D288" s="39">
        <f t="shared" si="901"/>
        <v>0</v>
      </c>
      <c r="E288" s="39">
        <f t="shared" si="902"/>
        <v>0</v>
      </c>
      <c r="F288" s="39">
        <f t="shared" si="903"/>
        <v>0</v>
      </c>
      <c r="G288" s="39">
        <v>0</v>
      </c>
      <c r="H288" s="39">
        <v>0</v>
      </c>
      <c r="I288" s="39">
        <f t="shared" si="904"/>
        <v>0</v>
      </c>
      <c r="J288" s="39">
        <v>0</v>
      </c>
      <c r="K288" s="39">
        <v>0</v>
      </c>
      <c r="L288" s="39">
        <v>0</v>
      </c>
      <c r="M288" s="39">
        <v>0</v>
      </c>
      <c r="N288" s="39">
        <v>0</v>
      </c>
      <c r="O288" s="39">
        <v>0</v>
      </c>
      <c r="P288" s="39">
        <f t="shared" si="905"/>
        <v>0</v>
      </c>
      <c r="Q288" s="39">
        <v>0</v>
      </c>
      <c r="R288" s="39">
        <v>0</v>
      </c>
      <c r="S288" s="39">
        <v>0</v>
      </c>
      <c r="T288" s="39">
        <v>0</v>
      </c>
      <c r="U288" s="39">
        <f t="shared" si="906"/>
        <v>0</v>
      </c>
      <c r="V288" s="39">
        <v>0</v>
      </c>
      <c r="W288" s="39">
        <v>0</v>
      </c>
      <c r="X288" s="39">
        <v>0</v>
      </c>
      <c r="Y288" s="39">
        <v>0</v>
      </c>
      <c r="Z288" s="39">
        <v>0</v>
      </c>
      <c r="AA288" s="39">
        <v>0</v>
      </c>
      <c r="AB288" s="39">
        <v>0</v>
      </c>
      <c r="AC288" s="39">
        <v>0</v>
      </c>
      <c r="AD288" s="39">
        <f t="shared" si="907"/>
        <v>0</v>
      </c>
      <c r="AE288" s="40"/>
      <c r="AF288" s="40"/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39">
        <v>0</v>
      </c>
      <c r="AR288" s="39">
        <v>0</v>
      </c>
      <c r="AS288" s="39">
        <v>0</v>
      </c>
      <c r="AT288" s="39">
        <v>0</v>
      </c>
      <c r="AU288" s="39">
        <v>0</v>
      </c>
      <c r="AV288" s="39">
        <v>0</v>
      </c>
      <c r="AW288" s="39">
        <v>0</v>
      </c>
      <c r="AX288" s="39">
        <v>0</v>
      </c>
      <c r="AY288" s="35"/>
      <c r="AZ288" s="35"/>
      <c r="BA288" s="35"/>
      <c r="BB288" s="35"/>
      <c r="BC288" s="39">
        <f t="shared" si="908"/>
        <v>0</v>
      </c>
      <c r="BD288" s="39">
        <f t="shared" si="909"/>
        <v>0</v>
      </c>
      <c r="BE288" s="39">
        <v>0</v>
      </c>
      <c r="BF288" s="39">
        <v>0</v>
      </c>
      <c r="BG288" s="39">
        <v>0</v>
      </c>
      <c r="BH288" s="39">
        <f t="shared" si="910"/>
        <v>0</v>
      </c>
      <c r="BI288" s="39">
        <v>0</v>
      </c>
      <c r="BJ288" s="39">
        <v>0</v>
      </c>
      <c r="BK288" s="39">
        <v>0</v>
      </c>
      <c r="BL288" s="39">
        <v>0</v>
      </c>
      <c r="BM288" s="39">
        <v>0</v>
      </c>
      <c r="BN288" s="39">
        <f t="shared" si="911"/>
        <v>0</v>
      </c>
      <c r="BO288" s="39">
        <v>0</v>
      </c>
      <c r="BP288" s="39">
        <v>0</v>
      </c>
      <c r="BQ288" s="39">
        <f t="shared" si="912"/>
        <v>0</v>
      </c>
      <c r="BR288" s="39">
        <v>0</v>
      </c>
      <c r="BS288" s="39">
        <v>0</v>
      </c>
      <c r="BT288" s="39">
        <v>0</v>
      </c>
      <c r="BU288" s="39">
        <v>0</v>
      </c>
      <c r="BV288" s="39">
        <v>0</v>
      </c>
      <c r="BW288" s="39">
        <v>0</v>
      </c>
      <c r="BX288" s="39">
        <v>0</v>
      </c>
      <c r="BY288" s="39">
        <v>0</v>
      </c>
      <c r="BZ288" s="39">
        <v>0</v>
      </c>
      <c r="CA288" s="39">
        <v>0</v>
      </c>
      <c r="CB288" s="39">
        <v>0</v>
      </c>
      <c r="CC288" s="39">
        <f t="shared" si="913"/>
        <v>0</v>
      </c>
      <c r="CD288" s="39">
        <f t="shared" si="914"/>
        <v>0</v>
      </c>
      <c r="CE288" s="39">
        <f t="shared" si="915"/>
        <v>0</v>
      </c>
      <c r="CF288" s="39">
        <v>0</v>
      </c>
      <c r="CG288" s="39">
        <v>0</v>
      </c>
      <c r="CH288" s="19">
        <f t="shared" si="916"/>
        <v>0</v>
      </c>
      <c r="CI288" s="39">
        <v>0</v>
      </c>
      <c r="CJ288" s="39">
        <v>0</v>
      </c>
      <c r="CK288" s="39">
        <v>0</v>
      </c>
      <c r="CL288" s="39">
        <v>0</v>
      </c>
      <c r="CM288" s="39">
        <v>0</v>
      </c>
      <c r="CN288" s="39">
        <f t="shared" si="917"/>
        <v>0</v>
      </c>
      <c r="CO288" s="39">
        <v>0</v>
      </c>
      <c r="CP288" s="39">
        <v>0</v>
      </c>
      <c r="CQ288" s="39">
        <v>0</v>
      </c>
      <c r="CR288" s="39"/>
      <c r="CS288" s="39"/>
      <c r="CT288" s="39"/>
      <c r="CU288" s="35">
        <f>260537-260537</f>
        <v>0</v>
      </c>
      <c r="CV288" s="75"/>
      <c r="CW288" s="75"/>
      <c r="CX288" s="75"/>
      <c r="CY288" s="75"/>
      <c r="CZ288" s="39">
        <f t="shared" si="918"/>
        <v>0</v>
      </c>
      <c r="DA288" s="39">
        <f t="shared" si="919"/>
        <v>0</v>
      </c>
      <c r="DB288" s="39">
        <v>0</v>
      </c>
      <c r="DC288" s="41">
        <v>0</v>
      </c>
      <c r="DD288" s="52"/>
    </row>
    <row r="289" spans="1:108" s="52" customFormat="1" ht="15.6" x14ac:dyDescent="0.3">
      <c r="A289" s="93" t="s">
        <v>289</v>
      </c>
      <c r="B289" s="16" t="s">
        <v>1</v>
      </c>
      <c r="C289" s="17" t="s">
        <v>290</v>
      </c>
      <c r="D289" s="18">
        <f t="shared" ref="D289:BT291" si="939">SUM(D290)</f>
        <v>11530000</v>
      </c>
      <c r="E289" s="18">
        <f t="shared" si="939"/>
        <v>0</v>
      </c>
      <c r="F289" s="18">
        <f t="shared" si="939"/>
        <v>0</v>
      </c>
      <c r="G289" s="18">
        <f t="shared" si="939"/>
        <v>0</v>
      </c>
      <c r="H289" s="18">
        <f t="shared" si="939"/>
        <v>0</v>
      </c>
      <c r="I289" s="18">
        <f t="shared" si="939"/>
        <v>0</v>
      </c>
      <c r="J289" s="18">
        <f t="shared" si="939"/>
        <v>0</v>
      </c>
      <c r="K289" s="18">
        <f t="shared" si="939"/>
        <v>0</v>
      </c>
      <c r="L289" s="18">
        <f t="shared" si="939"/>
        <v>0</v>
      </c>
      <c r="M289" s="18">
        <f t="shared" si="939"/>
        <v>0</v>
      </c>
      <c r="N289" s="18">
        <f t="shared" si="939"/>
        <v>0</v>
      </c>
      <c r="O289" s="18">
        <f t="shared" si="939"/>
        <v>0</v>
      </c>
      <c r="P289" s="18">
        <f t="shared" si="939"/>
        <v>0</v>
      </c>
      <c r="Q289" s="18">
        <f t="shared" si="939"/>
        <v>0</v>
      </c>
      <c r="R289" s="18">
        <f t="shared" si="939"/>
        <v>0</v>
      </c>
      <c r="S289" s="18">
        <f t="shared" si="939"/>
        <v>0</v>
      </c>
      <c r="T289" s="18">
        <f t="shared" si="939"/>
        <v>0</v>
      </c>
      <c r="U289" s="18">
        <f t="shared" si="939"/>
        <v>0</v>
      </c>
      <c r="V289" s="18">
        <f t="shared" si="939"/>
        <v>0</v>
      </c>
      <c r="W289" s="18">
        <f t="shared" si="939"/>
        <v>0</v>
      </c>
      <c r="X289" s="18">
        <f t="shared" si="939"/>
        <v>0</v>
      </c>
      <c r="Y289" s="18">
        <f t="shared" si="939"/>
        <v>0</v>
      </c>
      <c r="Z289" s="18">
        <f t="shared" si="939"/>
        <v>0</v>
      </c>
      <c r="AA289" s="18">
        <f t="shared" si="939"/>
        <v>0</v>
      </c>
      <c r="AB289" s="18">
        <f t="shared" si="939"/>
        <v>0</v>
      </c>
      <c r="AC289" s="18">
        <f t="shared" si="939"/>
        <v>0</v>
      </c>
      <c r="AD289" s="18">
        <f t="shared" si="939"/>
        <v>0</v>
      </c>
      <c r="AE289" s="18">
        <f t="shared" si="939"/>
        <v>0</v>
      </c>
      <c r="AF289" s="18">
        <f t="shared" si="939"/>
        <v>0</v>
      </c>
      <c r="AG289" s="18">
        <f t="shared" si="939"/>
        <v>0</v>
      </c>
      <c r="AH289" s="18">
        <f t="shared" si="939"/>
        <v>0</v>
      </c>
      <c r="AI289" s="18">
        <f t="shared" si="939"/>
        <v>0</v>
      </c>
      <c r="AJ289" s="18">
        <f t="shared" si="939"/>
        <v>0</v>
      </c>
      <c r="AK289" s="18">
        <f t="shared" si="939"/>
        <v>0</v>
      </c>
      <c r="AL289" s="18">
        <f t="shared" si="939"/>
        <v>0</v>
      </c>
      <c r="AM289" s="18">
        <f t="shared" si="939"/>
        <v>0</v>
      </c>
      <c r="AN289" s="18">
        <f t="shared" si="939"/>
        <v>0</v>
      </c>
      <c r="AO289" s="18">
        <f t="shared" si="939"/>
        <v>0</v>
      </c>
      <c r="AP289" s="18">
        <f t="shared" si="939"/>
        <v>0</v>
      </c>
      <c r="AQ289" s="18">
        <f t="shared" si="939"/>
        <v>0</v>
      </c>
      <c r="AR289" s="18">
        <f t="shared" si="939"/>
        <v>0</v>
      </c>
      <c r="AS289" s="18">
        <f t="shared" si="939"/>
        <v>0</v>
      </c>
      <c r="AT289" s="18">
        <f t="shared" si="939"/>
        <v>0</v>
      </c>
      <c r="AU289" s="18">
        <f t="shared" si="939"/>
        <v>0</v>
      </c>
      <c r="AV289" s="18">
        <f t="shared" si="939"/>
        <v>0</v>
      </c>
      <c r="AW289" s="18">
        <f t="shared" si="939"/>
        <v>0</v>
      </c>
      <c r="AX289" s="18"/>
      <c r="AY289" s="18">
        <f t="shared" si="939"/>
        <v>0</v>
      </c>
      <c r="AZ289" s="18"/>
      <c r="BA289" s="18"/>
      <c r="BB289" s="18"/>
      <c r="BC289" s="18">
        <f t="shared" si="939"/>
        <v>0</v>
      </c>
      <c r="BD289" s="18">
        <f t="shared" si="939"/>
        <v>0</v>
      </c>
      <c r="BE289" s="18">
        <f t="shared" si="939"/>
        <v>0</v>
      </c>
      <c r="BF289" s="18">
        <f t="shared" si="939"/>
        <v>0</v>
      </c>
      <c r="BG289" s="18">
        <f t="shared" si="939"/>
        <v>0</v>
      </c>
      <c r="BH289" s="18">
        <f t="shared" si="939"/>
        <v>0</v>
      </c>
      <c r="BI289" s="18">
        <f t="shared" si="939"/>
        <v>0</v>
      </c>
      <c r="BJ289" s="18">
        <f t="shared" si="939"/>
        <v>0</v>
      </c>
      <c r="BK289" s="18">
        <f t="shared" si="939"/>
        <v>0</v>
      </c>
      <c r="BL289" s="18">
        <f t="shared" si="939"/>
        <v>0</v>
      </c>
      <c r="BM289" s="18">
        <f t="shared" si="939"/>
        <v>0</v>
      </c>
      <c r="BN289" s="18">
        <f t="shared" si="939"/>
        <v>0</v>
      </c>
      <c r="BO289" s="18">
        <f t="shared" si="939"/>
        <v>0</v>
      </c>
      <c r="BP289" s="18">
        <f t="shared" si="939"/>
        <v>0</v>
      </c>
      <c r="BQ289" s="18">
        <f t="shared" si="939"/>
        <v>0</v>
      </c>
      <c r="BR289" s="18">
        <f t="shared" si="939"/>
        <v>0</v>
      </c>
      <c r="BS289" s="18">
        <f t="shared" si="939"/>
        <v>0</v>
      </c>
      <c r="BT289" s="18">
        <f t="shared" si="939"/>
        <v>0</v>
      </c>
      <c r="BU289" s="18">
        <f t="shared" ref="BU289:DC291" si="940">SUM(BU290)</f>
        <v>0</v>
      </c>
      <c r="BV289" s="18">
        <f t="shared" si="940"/>
        <v>0</v>
      </c>
      <c r="BW289" s="18">
        <f t="shared" si="940"/>
        <v>0</v>
      </c>
      <c r="BX289" s="18">
        <f t="shared" si="940"/>
        <v>0</v>
      </c>
      <c r="BY289" s="18">
        <f t="shared" si="940"/>
        <v>0</v>
      </c>
      <c r="BZ289" s="18">
        <f t="shared" si="940"/>
        <v>0</v>
      </c>
      <c r="CA289" s="18">
        <f t="shared" si="940"/>
        <v>0</v>
      </c>
      <c r="CB289" s="18">
        <f t="shared" si="940"/>
        <v>0</v>
      </c>
      <c r="CC289" s="18">
        <f t="shared" si="940"/>
        <v>11530000</v>
      </c>
      <c r="CD289" s="18">
        <f t="shared" si="940"/>
        <v>0</v>
      </c>
      <c r="CE289" s="18">
        <f t="shared" si="940"/>
        <v>0</v>
      </c>
      <c r="CF289" s="18">
        <f t="shared" si="940"/>
        <v>0</v>
      </c>
      <c r="CG289" s="18">
        <f t="shared" si="940"/>
        <v>0</v>
      </c>
      <c r="CH289" s="18">
        <f t="shared" si="940"/>
        <v>0</v>
      </c>
      <c r="CI289" s="18">
        <f t="shared" si="940"/>
        <v>0</v>
      </c>
      <c r="CJ289" s="18">
        <f t="shared" si="940"/>
        <v>0</v>
      </c>
      <c r="CK289" s="18">
        <f t="shared" si="940"/>
        <v>0</v>
      </c>
      <c r="CL289" s="18">
        <f t="shared" si="940"/>
        <v>0</v>
      </c>
      <c r="CM289" s="18">
        <f t="shared" si="940"/>
        <v>0</v>
      </c>
      <c r="CN289" s="18">
        <f t="shared" si="940"/>
        <v>0</v>
      </c>
      <c r="CO289" s="18">
        <f t="shared" si="940"/>
        <v>0</v>
      </c>
      <c r="CP289" s="18">
        <f t="shared" si="940"/>
        <v>0</v>
      </c>
      <c r="CQ289" s="18"/>
      <c r="CR289" s="18"/>
      <c r="CS289" s="18"/>
      <c r="CT289" s="18"/>
      <c r="CU289" s="38">
        <f t="shared" si="940"/>
        <v>11530000</v>
      </c>
      <c r="CV289" s="73"/>
      <c r="CW289" s="73"/>
      <c r="CX289" s="73"/>
      <c r="CY289" s="73"/>
      <c r="CZ289" s="18">
        <f t="shared" si="940"/>
        <v>0</v>
      </c>
      <c r="DA289" s="18">
        <f t="shared" si="940"/>
        <v>0</v>
      </c>
      <c r="DB289" s="18">
        <f t="shared" si="940"/>
        <v>0</v>
      </c>
      <c r="DC289" s="46">
        <f t="shared" si="940"/>
        <v>0</v>
      </c>
      <c r="DD289" s="57"/>
    </row>
    <row r="290" spans="1:108" s="52" customFormat="1" ht="15.6" x14ac:dyDescent="0.3">
      <c r="A290" s="94" t="s">
        <v>1</v>
      </c>
      <c r="B290" s="21" t="s">
        <v>291</v>
      </c>
      <c r="C290" s="22" t="s">
        <v>290</v>
      </c>
      <c r="D290" s="19">
        <f>SUM(E290+CC290+CZ290)</f>
        <v>11530000</v>
      </c>
      <c r="E290" s="19">
        <f>SUM(F290+BC290)</f>
        <v>0</v>
      </c>
      <c r="F290" s="19">
        <f>SUM(G290+H290+I290+P290+S290+T290+U290+AD290)</f>
        <v>0</v>
      </c>
      <c r="G290" s="19">
        <v>0</v>
      </c>
      <c r="H290" s="19">
        <v>0</v>
      </c>
      <c r="I290" s="19">
        <f t="shared" si="747"/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f t="shared" si="755"/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f t="shared" ref="U290" si="941">SUM(V290:AC290)</f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19">
        <f>SUM(AE290:AY290)</f>
        <v>0</v>
      </c>
      <c r="AE290" s="19">
        <v>0</v>
      </c>
      <c r="AF290" s="19">
        <v>0</v>
      </c>
      <c r="AG290" s="19">
        <v>0</v>
      </c>
      <c r="AH290" s="19">
        <v>0</v>
      </c>
      <c r="AI290" s="19">
        <v>0</v>
      </c>
      <c r="AJ290" s="19">
        <v>0</v>
      </c>
      <c r="AK290" s="19">
        <v>0</v>
      </c>
      <c r="AL290" s="19">
        <v>0</v>
      </c>
      <c r="AM290" s="19">
        <v>0</v>
      </c>
      <c r="AN290" s="19">
        <v>0</v>
      </c>
      <c r="AO290" s="19">
        <v>0</v>
      </c>
      <c r="AP290" s="19">
        <v>0</v>
      </c>
      <c r="AQ290" s="19">
        <v>0</v>
      </c>
      <c r="AR290" s="19">
        <v>0</v>
      </c>
      <c r="AS290" s="19">
        <v>0</v>
      </c>
      <c r="AT290" s="19">
        <v>0</v>
      </c>
      <c r="AU290" s="19">
        <v>0</v>
      </c>
      <c r="AV290" s="19">
        <v>0</v>
      </c>
      <c r="AW290" s="19">
        <v>0</v>
      </c>
      <c r="AX290" s="19"/>
      <c r="AY290" s="19">
        <v>0</v>
      </c>
      <c r="AZ290" s="19"/>
      <c r="BA290" s="19"/>
      <c r="BB290" s="19"/>
      <c r="BC290" s="19">
        <f>SUM(BD290+BH290+BL290+BN290+BQ290)</f>
        <v>0</v>
      </c>
      <c r="BD290" s="19">
        <f>SUM(BE290:BG290)</f>
        <v>0</v>
      </c>
      <c r="BE290" s="19">
        <v>0</v>
      </c>
      <c r="BF290" s="19">
        <v>0</v>
      </c>
      <c r="BG290" s="19">
        <v>0</v>
      </c>
      <c r="BH290" s="19">
        <f>SUM(BK290:BK290)</f>
        <v>0</v>
      </c>
      <c r="BI290" s="19">
        <v>0</v>
      </c>
      <c r="BJ290" s="19">
        <v>0</v>
      </c>
      <c r="BK290" s="19">
        <v>0</v>
      </c>
      <c r="BL290" s="19">
        <v>0</v>
      </c>
      <c r="BM290" s="19">
        <v>0</v>
      </c>
      <c r="BN290" s="19">
        <f t="shared" si="760"/>
        <v>0</v>
      </c>
      <c r="BO290" s="19">
        <v>0</v>
      </c>
      <c r="BP290" s="19">
        <v>0</v>
      </c>
      <c r="BQ290" s="19">
        <f>SUM(BR290:CB290)</f>
        <v>0</v>
      </c>
      <c r="BR290" s="19">
        <v>0</v>
      </c>
      <c r="BS290" s="19">
        <v>0</v>
      </c>
      <c r="BT290" s="19">
        <v>0</v>
      </c>
      <c r="BU290" s="19">
        <v>0</v>
      </c>
      <c r="BV290" s="19">
        <v>0</v>
      </c>
      <c r="BW290" s="19">
        <v>0</v>
      </c>
      <c r="BX290" s="19">
        <v>0</v>
      </c>
      <c r="BY290" s="19">
        <v>0</v>
      </c>
      <c r="BZ290" s="19">
        <v>0</v>
      </c>
      <c r="CA290" s="19">
        <v>0</v>
      </c>
      <c r="CB290" s="19">
        <v>0</v>
      </c>
      <c r="CC290" s="19">
        <f>SUM(CD290+CU290)</f>
        <v>11530000</v>
      </c>
      <c r="CD290" s="19">
        <f>SUM(CE290+CH290+CN290)</f>
        <v>0</v>
      </c>
      <c r="CE290" s="19">
        <f t="shared" si="764"/>
        <v>0</v>
      </c>
      <c r="CF290" s="19">
        <v>0</v>
      </c>
      <c r="CG290" s="19">
        <v>0</v>
      </c>
      <c r="CH290" s="19">
        <f>SUM(CI290:CM290)</f>
        <v>0</v>
      </c>
      <c r="CI290" s="19">
        <v>0</v>
      </c>
      <c r="CJ290" s="19">
        <v>0</v>
      </c>
      <c r="CK290" s="19">
        <v>0</v>
      </c>
      <c r="CL290" s="19">
        <v>0</v>
      </c>
      <c r="CM290" s="19">
        <v>0</v>
      </c>
      <c r="CN290" s="19">
        <f>SUM(CO290:CQ290)</f>
        <v>0</v>
      </c>
      <c r="CO290" s="19">
        <v>0</v>
      </c>
      <c r="CP290" s="19">
        <v>0</v>
      </c>
      <c r="CQ290" s="19"/>
      <c r="CR290" s="19"/>
      <c r="CS290" s="19"/>
      <c r="CT290" s="19"/>
      <c r="CU290" s="39">
        <f>11800000-270000</f>
        <v>11530000</v>
      </c>
      <c r="CV290" s="74"/>
      <c r="CW290" s="74"/>
      <c r="CX290" s="74"/>
      <c r="CY290" s="74"/>
      <c r="CZ290" s="19">
        <f t="shared" si="767"/>
        <v>0</v>
      </c>
      <c r="DA290" s="19">
        <f t="shared" si="768"/>
        <v>0</v>
      </c>
      <c r="DB290" s="19">
        <v>0</v>
      </c>
      <c r="DC290" s="20">
        <v>0</v>
      </c>
    </row>
    <row r="291" spans="1:108" s="57" customFormat="1" ht="31.5" customHeight="1" x14ac:dyDescent="0.3">
      <c r="A291" s="93" t="s">
        <v>292</v>
      </c>
      <c r="B291" s="16" t="s">
        <v>1</v>
      </c>
      <c r="C291" s="30" t="s">
        <v>575</v>
      </c>
      <c r="D291" s="18">
        <f t="shared" si="939"/>
        <v>1367975</v>
      </c>
      <c r="E291" s="18">
        <f t="shared" si="939"/>
        <v>1367975</v>
      </c>
      <c r="F291" s="18">
        <f t="shared" si="939"/>
        <v>0</v>
      </c>
      <c r="G291" s="18">
        <f t="shared" si="939"/>
        <v>0</v>
      </c>
      <c r="H291" s="18">
        <f t="shared" si="939"/>
        <v>0</v>
      </c>
      <c r="I291" s="18">
        <f t="shared" si="939"/>
        <v>0</v>
      </c>
      <c r="J291" s="18">
        <f t="shared" si="939"/>
        <v>0</v>
      </c>
      <c r="K291" s="18">
        <f t="shared" si="939"/>
        <v>0</v>
      </c>
      <c r="L291" s="18">
        <f t="shared" si="939"/>
        <v>0</v>
      </c>
      <c r="M291" s="18">
        <f t="shared" si="939"/>
        <v>0</v>
      </c>
      <c r="N291" s="18">
        <f t="shared" si="939"/>
        <v>0</v>
      </c>
      <c r="O291" s="18">
        <f t="shared" si="939"/>
        <v>0</v>
      </c>
      <c r="P291" s="18">
        <f t="shared" si="939"/>
        <v>0</v>
      </c>
      <c r="Q291" s="18">
        <f t="shared" si="939"/>
        <v>0</v>
      </c>
      <c r="R291" s="18">
        <f t="shared" si="939"/>
        <v>0</v>
      </c>
      <c r="S291" s="18">
        <f t="shared" si="939"/>
        <v>0</v>
      </c>
      <c r="T291" s="18">
        <f t="shared" si="939"/>
        <v>0</v>
      </c>
      <c r="U291" s="18">
        <f t="shared" si="939"/>
        <v>0</v>
      </c>
      <c r="V291" s="18">
        <f t="shared" si="939"/>
        <v>0</v>
      </c>
      <c r="W291" s="18">
        <f t="shared" si="939"/>
        <v>0</v>
      </c>
      <c r="X291" s="18">
        <f t="shared" si="939"/>
        <v>0</v>
      </c>
      <c r="Y291" s="18">
        <f t="shared" si="939"/>
        <v>0</v>
      </c>
      <c r="Z291" s="18">
        <f t="shared" si="939"/>
        <v>0</v>
      </c>
      <c r="AA291" s="18">
        <f t="shared" si="939"/>
        <v>0</v>
      </c>
      <c r="AB291" s="18">
        <f t="shared" si="939"/>
        <v>0</v>
      </c>
      <c r="AC291" s="18">
        <f t="shared" si="939"/>
        <v>0</v>
      </c>
      <c r="AD291" s="18">
        <f t="shared" si="939"/>
        <v>0</v>
      </c>
      <c r="AE291" s="18">
        <f t="shared" si="939"/>
        <v>0</v>
      </c>
      <c r="AF291" s="18">
        <f t="shared" si="939"/>
        <v>0</v>
      </c>
      <c r="AG291" s="18">
        <f t="shared" si="939"/>
        <v>0</v>
      </c>
      <c r="AH291" s="18">
        <f t="shared" si="939"/>
        <v>0</v>
      </c>
      <c r="AI291" s="18">
        <f t="shared" si="939"/>
        <v>0</v>
      </c>
      <c r="AJ291" s="18">
        <f t="shared" si="939"/>
        <v>0</v>
      </c>
      <c r="AK291" s="18">
        <f t="shared" si="939"/>
        <v>0</v>
      </c>
      <c r="AL291" s="18">
        <f t="shared" si="939"/>
        <v>0</v>
      </c>
      <c r="AM291" s="18">
        <f t="shared" si="939"/>
        <v>0</v>
      </c>
      <c r="AN291" s="18">
        <f t="shared" si="939"/>
        <v>0</v>
      </c>
      <c r="AO291" s="18">
        <f t="shared" si="939"/>
        <v>0</v>
      </c>
      <c r="AP291" s="18">
        <f t="shared" si="939"/>
        <v>0</v>
      </c>
      <c r="AQ291" s="18">
        <f t="shared" si="939"/>
        <v>0</v>
      </c>
      <c r="AR291" s="18">
        <f t="shared" si="939"/>
        <v>0</v>
      </c>
      <c r="AS291" s="18">
        <f t="shared" si="939"/>
        <v>0</v>
      </c>
      <c r="AT291" s="18">
        <f t="shared" si="939"/>
        <v>0</v>
      </c>
      <c r="AU291" s="18">
        <f t="shared" si="939"/>
        <v>0</v>
      </c>
      <c r="AV291" s="18">
        <f t="shared" si="939"/>
        <v>0</v>
      </c>
      <c r="AW291" s="18">
        <f t="shared" si="939"/>
        <v>0</v>
      </c>
      <c r="AX291" s="18"/>
      <c r="AY291" s="18">
        <f t="shared" si="939"/>
        <v>0</v>
      </c>
      <c r="AZ291" s="18"/>
      <c r="BA291" s="18"/>
      <c r="BB291" s="18"/>
      <c r="BC291" s="18">
        <f t="shared" si="939"/>
        <v>1367975</v>
      </c>
      <c r="BD291" s="18">
        <f t="shared" si="939"/>
        <v>0</v>
      </c>
      <c r="BE291" s="18">
        <f t="shared" si="939"/>
        <v>0</v>
      </c>
      <c r="BF291" s="18">
        <f t="shared" si="939"/>
        <v>0</v>
      </c>
      <c r="BG291" s="18">
        <f t="shared" si="939"/>
        <v>0</v>
      </c>
      <c r="BH291" s="18">
        <f t="shared" si="939"/>
        <v>0</v>
      </c>
      <c r="BI291" s="18">
        <f t="shared" si="939"/>
        <v>0</v>
      </c>
      <c r="BJ291" s="18">
        <f t="shared" si="939"/>
        <v>0</v>
      </c>
      <c r="BK291" s="18">
        <f t="shared" si="939"/>
        <v>0</v>
      </c>
      <c r="BL291" s="18">
        <f t="shared" si="939"/>
        <v>1367975</v>
      </c>
      <c r="BM291" s="18">
        <f t="shared" si="939"/>
        <v>0</v>
      </c>
      <c r="BN291" s="18">
        <f t="shared" si="939"/>
        <v>0</v>
      </c>
      <c r="BO291" s="18">
        <f t="shared" si="939"/>
        <v>0</v>
      </c>
      <c r="BP291" s="18">
        <f t="shared" si="939"/>
        <v>0</v>
      </c>
      <c r="BQ291" s="18">
        <f t="shared" si="939"/>
        <v>0</v>
      </c>
      <c r="BR291" s="18">
        <f t="shared" si="939"/>
        <v>0</v>
      </c>
      <c r="BS291" s="18">
        <f t="shared" si="939"/>
        <v>0</v>
      </c>
      <c r="BT291" s="18">
        <f t="shared" si="939"/>
        <v>0</v>
      </c>
      <c r="BU291" s="18">
        <f t="shared" si="940"/>
        <v>0</v>
      </c>
      <c r="BV291" s="18">
        <f t="shared" si="940"/>
        <v>0</v>
      </c>
      <c r="BW291" s="18">
        <f t="shared" si="940"/>
        <v>0</v>
      </c>
      <c r="BX291" s="18">
        <f t="shared" si="940"/>
        <v>0</v>
      </c>
      <c r="BY291" s="18">
        <f t="shared" si="940"/>
        <v>0</v>
      </c>
      <c r="BZ291" s="18">
        <f t="shared" si="940"/>
        <v>0</v>
      </c>
      <c r="CA291" s="18">
        <f t="shared" si="940"/>
        <v>0</v>
      </c>
      <c r="CB291" s="18">
        <f t="shared" si="940"/>
        <v>0</v>
      </c>
      <c r="CC291" s="18">
        <f t="shared" si="940"/>
        <v>0</v>
      </c>
      <c r="CD291" s="18">
        <f t="shared" si="940"/>
        <v>0</v>
      </c>
      <c r="CE291" s="18">
        <f t="shared" si="940"/>
        <v>0</v>
      </c>
      <c r="CF291" s="18">
        <f t="shared" si="940"/>
        <v>0</v>
      </c>
      <c r="CG291" s="18">
        <f t="shared" si="940"/>
        <v>0</v>
      </c>
      <c r="CH291" s="18">
        <f t="shared" si="940"/>
        <v>0</v>
      </c>
      <c r="CI291" s="18">
        <f t="shared" si="940"/>
        <v>0</v>
      </c>
      <c r="CJ291" s="18">
        <f t="shared" si="940"/>
        <v>0</v>
      </c>
      <c r="CK291" s="18">
        <f t="shared" si="940"/>
        <v>0</v>
      </c>
      <c r="CL291" s="18">
        <f t="shared" si="940"/>
        <v>0</v>
      </c>
      <c r="CM291" s="18">
        <f t="shared" si="940"/>
        <v>0</v>
      </c>
      <c r="CN291" s="18">
        <f t="shared" si="940"/>
        <v>0</v>
      </c>
      <c r="CO291" s="18">
        <f t="shared" si="940"/>
        <v>0</v>
      </c>
      <c r="CP291" s="18">
        <f t="shared" si="940"/>
        <v>0</v>
      </c>
      <c r="CQ291" s="18"/>
      <c r="CR291" s="18"/>
      <c r="CS291" s="18"/>
      <c r="CT291" s="18"/>
      <c r="CU291" s="18">
        <f t="shared" si="940"/>
        <v>0</v>
      </c>
      <c r="CV291" s="73"/>
      <c r="CW291" s="73"/>
      <c r="CX291" s="73"/>
      <c r="CY291" s="73"/>
      <c r="CZ291" s="18">
        <f t="shared" si="940"/>
        <v>0</v>
      </c>
      <c r="DA291" s="18">
        <f t="shared" si="940"/>
        <v>0</v>
      </c>
      <c r="DB291" s="18">
        <f t="shared" si="940"/>
        <v>0</v>
      </c>
      <c r="DC291" s="46">
        <f t="shared" si="940"/>
        <v>0</v>
      </c>
    </row>
    <row r="292" spans="1:108" s="52" customFormat="1" ht="31.5" customHeight="1" x14ac:dyDescent="0.3">
      <c r="A292" s="94" t="s">
        <v>1</v>
      </c>
      <c r="B292" s="21" t="s">
        <v>75</v>
      </c>
      <c r="C292" s="31" t="s">
        <v>575</v>
      </c>
      <c r="D292" s="19">
        <f>SUM(E292+CC292+CZ292)</f>
        <v>1367975</v>
      </c>
      <c r="E292" s="19">
        <f>SUM(F292+BC292)</f>
        <v>1367975</v>
      </c>
      <c r="F292" s="19">
        <f>SUM(G292+H292+I292+P292+S292+T292+U292+AD292)</f>
        <v>0</v>
      </c>
      <c r="G292" s="19">
        <v>0</v>
      </c>
      <c r="H292" s="19">
        <v>0</v>
      </c>
      <c r="I292" s="19">
        <f t="shared" ref="I292" si="942">SUM(J292:O292)</f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f t="shared" ref="P292" si="943">SUM(Q292:R292)</f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f t="shared" ref="U292" si="944">SUM(V292:AC292)</f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f>SUM(AE292:AY292)</f>
        <v>0</v>
      </c>
      <c r="AE292" s="19">
        <v>0</v>
      </c>
      <c r="AF292" s="19">
        <v>0</v>
      </c>
      <c r="AG292" s="19">
        <v>0</v>
      </c>
      <c r="AH292" s="19">
        <v>0</v>
      </c>
      <c r="AI292" s="19">
        <v>0</v>
      </c>
      <c r="AJ292" s="19">
        <v>0</v>
      </c>
      <c r="AK292" s="19">
        <v>0</v>
      </c>
      <c r="AL292" s="19">
        <v>0</v>
      </c>
      <c r="AM292" s="19">
        <v>0</v>
      </c>
      <c r="AN292" s="19">
        <v>0</v>
      </c>
      <c r="AO292" s="19">
        <v>0</v>
      </c>
      <c r="AP292" s="19">
        <v>0</v>
      </c>
      <c r="AQ292" s="19">
        <v>0</v>
      </c>
      <c r="AR292" s="19">
        <v>0</v>
      </c>
      <c r="AS292" s="19">
        <v>0</v>
      </c>
      <c r="AT292" s="19">
        <v>0</v>
      </c>
      <c r="AU292" s="19">
        <v>0</v>
      </c>
      <c r="AV292" s="19">
        <v>0</v>
      </c>
      <c r="AW292" s="19">
        <v>0</v>
      </c>
      <c r="AX292" s="19"/>
      <c r="AY292" s="19">
        <v>0</v>
      </c>
      <c r="AZ292" s="19"/>
      <c r="BA292" s="19"/>
      <c r="BB292" s="19"/>
      <c r="BC292" s="19">
        <f>SUM(BD292+BH292+BL292+BN292+BQ292)</f>
        <v>1367975</v>
      </c>
      <c r="BD292" s="19">
        <f>SUM(BE292:BG292)</f>
        <v>0</v>
      </c>
      <c r="BE292" s="19">
        <v>0</v>
      </c>
      <c r="BF292" s="19">
        <v>0</v>
      </c>
      <c r="BG292" s="19">
        <v>0</v>
      </c>
      <c r="BH292" s="19">
        <f>SUM(BK292:BK292)</f>
        <v>0</v>
      </c>
      <c r="BI292" s="19">
        <v>0</v>
      </c>
      <c r="BJ292" s="19">
        <v>0</v>
      </c>
      <c r="BK292" s="19">
        <v>0</v>
      </c>
      <c r="BL292" s="23">
        <f>2733606-1365631</f>
        <v>1367975</v>
      </c>
      <c r="BM292" s="19">
        <v>0</v>
      </c>
      <c r="BN292" s="19">
        <f t="shared" ref="BN292" si="945">SUM(BO292)</f>
        <v>0</v>
      </c>
      <c r="BO292" s="19">
        <v>0</v>
      </c>
      <c r="BP292" s="19">
        <v>0</v>
      </c>
      <c r="BQ292" s="19">
        <f>SUM(BR292:CB292)</f>
        <v>0</v>
      </c>
      <c r="BR292" s="19">
        <v>0</v>
      </c>
      <c r="BS292" s="19">
        <v>0</v>
      </c>
      <c r="BT292" s="19">
        <v>0</v>
      </c>
      <c r="BU292" s="19">
        <v>0</v>
      </c>
      <c r="BV292" s="19">
        <v>0</v>
      </c>
      <c r="BW292" s="19">
        <v>0</v>
      </c>
      <c r="BX292" s="19">
        <v>0</v>
      </c>
      <c r="BY292" s="19">
        <v>0</v>
      </c>
      <c r="BZ292" s="19">
        <v>0</v>
      </c>
      <c r="CA292" s="19">
        <v>0</v>
      </c>
      <c r="CB292" s="19">
        <v>0</v>
      </c>
      <c r="CC292" s="19">
        <f>SUM(CD292+CU292)</f>
        <v>0</v>
      </c>
      <c r="CD292" s="19">
        <f>SUM(CE292+CH292+CN292)</f>
        <v>0</v>
      </c>
      <c r="CE292" s="19">
        <f t="shared" ref="CE292" si="946">SUM(CF292:CG292)</f>
        <v>0</v>
      </c>
      <c r="CF292" s="19">
        <v>0</v>
      </c>
      <c r="CG292" s="19">
        <v>0</v>
      </c>
      <c r="CH292" s="19">
        <f>SUM(CI292:CM292)</f>
        <v>0</v>
      </c>
      <c r="CI292" s="19">
        <v>0</v>
      </c>
      <c r="CJ292" s="19">
        <v>0</v>
      </c>
      <c r="CK292" s="19">
        <v>0</v>
      </c>
      <c r="CL292" s="19">
        <v>0</v>
      </c>
      <c r="CM292" s="19">
        <v>0</v>
      </c>
      <c r="CN292" s="19">
        <f>SUM(CO292:CQ292)</f>
        <v>0</v>
      </c>
      <c r="CO292" s="19">
        <v>0</v>
      </c>
      <c r="CP292" s="19">
        <v>0</v>
      </c>
      <c r="CQ292" s="19"/>
      <c r="CR292" s="19"/>
      <c r="CS292" s="19"/>
      <c r="CT292" s="19"/>
      <c r="CU292" s="19"/>
      <c r="CV292" s="74"/>
      <c r="CW292" s="74"/>
      <c r="CX292" s="74"/>
      <c r="CY292" s="74"/>
      <c r="CZ292" s="19">
        <f t="shared" ref="CZ292" si="947">SUM(DA292)</f>
        <v>0</v>
      </c>
      <c r="DA292" s="19">
        <f t="shared" ref="DA292" si="948">SUM(DB292:DC292)</f>
        <v>0</v>
      </c>
      <c r="DB292" s="19">
        <v>0</v>
      </c>
      <c r="DC292" s="20">
        <v>0</v>
      </c>
    </row>
    <row r="293" spans="1:108" s="57" customFormat="1" ht="31.5" customHeight="1" x14ac:dyDescent="0.3">
      <c r="A293" s="95" t="s">
        <v>293</v>
      </c>
      <c r="B293" s="25" t="s">
        <v>1</v>
      </c>
      <c r="C293" s="26" t="s">
        <v>294</v>
      </c>
      <c r="D293" s="27">
        <f>SUM(D294)</f>
        <v>105611741</v>
      </c>
      <c r="E293" s="28">
        <f t="shared" ref="E293:BW294" si="949">SUM(E294)</f>
        <v>0</v>
      </c>
      <c r="F293" s="28">
        <f t="shared" si="949"/>
        <v>0</v>
      </c>
      <c r="G293" s="28">
        <f t="shared" si="949"/>
        <v>0</v>
      </c>
      <c r="H293" s="28">
        <f t="shared" si="949"/>
        <v>0</v>
      </c>
      <c r="I293" s="28">
        <f t="shared" si="949"/>
        <v>0</v>
      </c>
      <c r="J293" s="28">
        <f t="shared" si="949"/>
        <v>0</v>
      </c>
      <c r="K293" s="28">
        <f t="shared" si="949"/>
        <v>0</v>
      </c>
      <c r="L293" s="28">
        <f t="shared" si="949"/>
        <v>0</v>
      </c>
      <c r="M293" s="28">
        <f t="shared" si="949"/>
        <v>0</v>
      </c>
      <c r="N293" s="28">
        <f t="shared" si="949"/>
        <v>0</v>
      </c>
      <c r="O293" s="28">
        <f t="shared" si="949"/>
        <v>0</v>
      </c>
      <c r="P293" s="28">
        <f t="shared" si="949"/>
        <v>0</v>
      </c>
      <c r="Q293" s="28">
        <f t="shared" si="949"/>
        <v>0</v>
      </c>
      <c r="R293" s="28">
        <f t="shared" si="949"/>
        <v>0</v>
      </c>
      <c r="S293" s="28">
        <f t="shared" si="949"/>
        <v>0</v>
      </c>
      <c r="T293" s="28">
        <f t="shared" si="949"/>
        <v>0</v>
      </c>
      <c r="U293" s="28">
        <f t="shared" si="949"/>
        <v>0</v>
      </c>
      <c r="V293" s="28">
        <f t="shared" si="949"/>
        <v>0</v>
      </c>
      <c r="W293" s="28">
        <f t="shared" si="949"/>
        <v>0</v>
      </c>
      <c r="X293" s="28">
        <f t="shared" si="949"/>
        <v>0</v>
      </c>
      <c r="Y293" s="28">
        <f t="shared" si="949"/>
        <v>0</v>
      </c>
      <c r="Z293" s="28">
        <f t="shared" si="949"/>
        <v>0</v>
      </c>
      <c r="AA293" s="28">
        <f t="shared" si="949"/>
        <v>0</v>
      </c>
      <c r="AB293" s="28">
        <f t="shared" si="949"/>
        <v>0</v>
      </c>
      <c r="AC293" s="28">
        <f t="shared" si="949"/>
        <v>0</v>
      </c>
      <c r="AD293" s="28">
        <f t="shared" si="949"/>
        <v>0</v>
      </c>
      <c r="AE293" s="28">
        <f t="shared" si="949"/>
        <v>0</v>
      </c>
      <c r="AF293" s="28">
        <f t="shared" si="949"/>
        <v>0</v>
      </c>
      <c r="AG293" s="28">
        <f t="shared" si="949"/>
        <v>0</v>
      </c>
      <c r="AH293" s="28">
        <f t="shared" si="949"/>
        <v>0</v>
      </c>
      <c r="AI293" s="28">
        <f t="shared" si="949"/>
        <v>0</v>
      </c>
      <c r="AJ293" s="28">
        <f t="shared" si="949"/>
        <v>0</v>
      </c>
      <c r="AK293" s="28">
        <f t="shared" si="949"/>
        <v>0</v>
      </c>
      <c r="AL293" s="28">
        <f t="shared" si="949"/>
        <v>0</v>
      </c>
      <c r="AM293" s="28">
        <f t="shared" si="949"/>
        <v>0</v>
      </c>
      <c r="AN293" s="28">
        <f t="shared" si="949"/>
        <v>0</v>
      </c>
      <c r="AO293" s="28">
        <f t="shared" si="949"/>
        <v>0</v>
      </c>
      <c r="AP293" s="28">
        <f t="shared" si="949"/>
        <v>0</v>
      </c>
      <c r="AQ293" s="28">
        <f t="shared" si="949"/>
        <v>0</v>
      </c>
      <c r="AR293" s="28">
        <f t="shared" si="949"/>
        <v>0</v>
      </c>
      <c r="AS293" s="28">
        <f t="shared" si="949"/>
        <v>0</v>
      </c>
      <c r="AT293" s="28">
        <f t="shared" si="949"/>
        <v>0</v>
      </c>
      <c r="AU293" s="28">
        <f t="shared" si="949"/>
        <v>0</v>
      </c>
      <c r="AV293" s="28">
        <f t="shared" si="949"/>
        <v>0</v>
      </c>
      <c r="AW293" s="28">
        <f t="shared" si="949"/>
        <v>0</v>
      </c>
      <c r="AX293" s="28"/>
      <c r="AY293" s="28">
        <f t="shared" si="949"/>
        <v>0</v>
      </c>
      <c r="AZ293" s="28"/>
      <c r="BA293" s="28"/>
      <c r="BB293" s="28"/>
      <c r="BC293" s="28">
        <f t="shared" si="949"/>
        <v>0</v>
      </c>
      <c r="BD293" s="28">
        <f t="shared" si="949"/>
        <v>0</v>
      </c>
      <c r="BE293" s="28">
        <f t="shared" si="949"/>
        <v>0</v>
      </c>
      <c r="BF293" s="28">
        <f t="shared" si="949"/>
        <v>0</v>
      </c>
      <c r="BG293" s="28">
        <f t="shared" si="949"/>
        <v>0</v>
      </c>
      <c r="BH293" s="28">
        <f t="shared" si="949"/>
        <v>0</v>
      </c>
      <c r="BI293" s="28">
        <f t="shared" si="949"/>
        <v>0</v>
      </c>
      <c r="BJ293" s="28">
        <f t="shared" si="949"/>
        <v>0</v>
      </c>
      <c r="BK293" s="28">
        <f t="shared" si="949"/>
        <v>0</v>
      </c>
      <c r="BL293" s="28">
        <f t="shared" si="949"/>
        <v>0</v>
      </c>
      <c r="BM293" s="28">
        <f t="shared" si="949"/>
        <v>0</v>
      </c>
      <c r="BN293" s="28">
        <f t="shared" si="949"/>
        <v>0</v>
      </c>
      <c r="BO293" s="28">
        <f t="shared" si="949"/>
        <v>0</v>
      </c>
      <c r="BP293" s="28">
        <f t="shared" si="949"/>
        <v>0</v>
      </c>
      <c r="BQ293" s="28">
        <f t="shared" si="949"/>
        <v>0</v>
      </c>
      <c r="BR293" s="28">
        <f t="shared" si="949"/>
        <v>0</v>
      </c>
      <c r="BS293" s="28">
        <f t="shared" si="949"/>
        <v>0</v>
      </c>
      <c r="BT293" s="28">
        <f t="shared" si="949"/>
        <v>0</v>
      </c>
      <c r="BU293" s="28">
        <f t="shared" si="949"/>
        <v>0</v>
      </c>
      <c r="BV293" s="28">
        <f t="shared" si="949"/>
        <v>0</v>
      </c>
      <c r="BW293" s="28">
        <f t="shared" si="949"/>
        <v>0</v>
      </c>
      <c r="BX293" s="28">
        <f t="shared" ref="BX293:DC294" si="950">SUM(BX294)</f>
        <v>0</v>
      </c>
      <c r="BY293" s="28">
        <f t="shared" si="950"/>
        <v>0</v>
      </c>
      <c r="BZ293" s="28">
        <f t="shared" si="950"/>
        <v>0</v>
      </c>
      <c r="CA293" s="28">
        <f t="shared" si="950"/>
        <v>0</v>
      </c>
      <c r="CB293" s="28">
        <f t="shared" si="950"/>
        <v>0</v>
      </c>
      <c r="CC293" s="28">
        <f t="shared" si="950"/>
        <v>0</v>
      </c>
      <c r="CD293" s="28">
        <f t="shared" si="950"/>
        <v>0</v>
      </c>
      <c r="CE293" s="28">
        <f t="shared" si="950"/>
        <v>0</v>
      </c>
      <c r="CF293" s="28">
        <f t="shared" si="950"/>
        <v>0</v>
      </c>
      <c r="CG293" s="28">
        <f t="shared" si="950"/>
        <v>0</v>
      </c>
      <c r="CH293" s="28">
        <f t="shared" si="950"/>
        <v>0</v>
      </c>
      <c r="CI293" s="28">
        <f t="shared" si="950"/>
        <v>0</v>
      </c>
      <c r="CJ293" s="28">
        <f t="shared" si="950"/>
        <v>0</v>
      </c>
      <c r="CK293" s="28">
        <f t="shared" si="950"/>
        <v>0</v>
      </c>
      <c r="CL293" s="28">
        <f t="shared" si="950"/>
        <v>0</v>
      </c>
      <c r="CM293" s="28">
        <f t="shared" si="950"/>
        <v>0</v>
      </c>
      <c r="CN293" s="28">
        <f t="shared" si="950"/>
        <v>0</v>
      </c>
      <c r="CO293" s="28">
        <f t="shared" si="950"/>
        <v>0</v>
      </c>
      <c r="CP293" s="28">
        <f t="shared" si="950"/>
        <v>0</v>
      </c>
      <c r="CQ293" s="28"/>
      <c r="CR293" s="28"/>
      <c r="CS293" s="28"/>
      <c r="CT293" s="28"/>
      <c r="CU293" s="28">
        <f t="shared" si="950"/>
        <v>0</v>
      </c>
      <c r="CV293" s="106"/>
      <c r="CW293" s="106"/>
      <c r="CX293" s="106"/>
      <c r="CY293" s="106"/>
      <c r="CZ293" s="106">
        <f t="shared" si="950"/>
        <v>105611741</v>
      </c>
      <c r="DA293" s="28">
        <f t="shared" si="950"/>
        <v>105611741</v>
      </c>
      <c r="DB293" s="28">
        <f t="shared" si="950"/>
        <v>0</v>
      </c>
      <c r="DC293" s="29">
        <f t="shared" si="950"/>
        <v>105611741</v>
      </c>
      <c r="DD293" s="52"/>
    </row>
    <row r="294" spans="1:108" s="57" customFormat="1" ht="31.5" customHeight="1" x14ac:dyDescent="0.3">
      <c r="A294" s="93" t="s">
        <v>295</v>
      </c>
      <c r="B294" s="16" t="s">
        <v>1</v>
      </c>
      <c r="C294" s="17" t="s">
        <v>296</v>
      </c>
      <c r="D294" s="18">
        <f>SUM(D295)</f>
        <v>105611741</v>
      </c>
      <c r="E294" s="18">
        <f t="shared" si="949"/>
        <v>0</v>
      </c>
      <c r="F294" s="18">
        <f t="shared" si="949"/>
        <v>0</v>
      </c>
      <c r="G294" s="18">
        <f t="shared" si="949"/>
        <v>0</v>
      </c>
      <c r="H294" s="18">
        <f t="shared" si="949"/>
        <v>0</v>
      </c>
      <c r="I294" s="18">
        <f t="shared" si="949"/>
        <v>0</v>
      </c>
      <c r="J294" s="18">
        <f t="shared" si="949"/>
        <v>0</v>
      </c>
      <c r="K294" s="18">
        <f t="shared" si="949"/>
        <v>0</v>
      </c>
      <c r="L294" s="18">
        <f t="shared" si="949"/>
        <v>0</v>
      </c>
      <c r="M294" s="18">
        <f t="shared" si="949"/>
        <v>0</v>
      </c>
      <c r="N294" s="18">
        <f t="shared" si="949"/>
        <v>0</v>
      </c>
      <c r="O294" s="18">
        <f t="shared" si="949"/>
        <v>0</v>
      </c>
      <c r="P294" s="18">
        <f t="shared" si="949"/>
        <v>0</v>
      </c>
      <c r="Q294" s="18">
        <f t="shared" si="949"/>
        <v>0</v>
      </c>
      <c r="R294" s="18">
        <f t="shared" si="949"/>
        <v>0</v>
      </c>
      <c r="S294" s="18">
        <f t="shared" si="949"/>
        <v>0</v>
      </c>
      <c r="T294" s="18">
        <f t="shared" si="949"/>
        <v>0</v>
      </c>
      <c r="U294" s="18">
        <f t="shared" si="949"/>
        <v>0</v>
      </c>
      <c r="V294" s="18">
        <f t="shared" si="949"/>
        <v>0</v>
      </c>
      <c r="W294" s="18">
        <f t="shared" si="949"/>
        <v>0</v>
      </c>
      <c r="X294" s="18">
        <f t="shared" si="949"/>
        <v>0</v>
      </c>
      <c r="Y294" s="18">
        <f t="shared" si="949"/>
        <v>0</v>
      </c>
      <c r="Z294" s="18">
        <f t="shared" si="949"/>
        <v>0</v>
      </c>
      <c r="AA294" s="18">
        <f t="shared" si="949"/>
        <v>0</v>
      </c>
      <c r="AB294" s="18">
        <f t="shared" si="949"/>
        <v>0</v>
      </c>
      <c r="AC294" s="18">
        <f t="shared" si="949"/>
        <v>0</v>
      </c>
      <c r="AD294" s="18">
        <f t="shared" si="949"/>
        <v>0</v>
      </c>
      <c r="AE294" s="18">
        <f t="shared" si="949"/>
        <v>0</v>
      </c>
      <c r="AF294" s="18">
        <f t="shared" si="949"/>
        <v>0</v>
      </c>
      <c r="AG294" s="18">
        <f t="shared" si="949"/>
        <v>0</v>
      </c>
      <c r="AH294" s="18">
        <f t="shared" si="949"/>
        <v>0</v>
      </c>
      <c r="AI294" s="18">
        <f t="shared" si="949"/>
        <v>0</v>
      </c>
      <c r="AJ294" s="18">
        <f t="shared" si="949"/>
        <v>0</v>
      </c>
      <c r="AK294" s="18">
        <f t="shared" si="949"/>
        <v>0</v>
      </c>
      <c r="AL294" s="18">
        <f t="shared" si="949"/>
        <v>0</v>
      </c>
      <c r="AM294" s="18">
        <f t="shared" si="949"/>
        <v>0</v>
      </c>
      <c r="AN294" s="18">
        <f t="shared" si="949"/>
        <v>0</v>
      </c>
      <c r="AO294" s="18">
        <f t="shared" si="949"/>
        <v>0</v>
      </c>
      <c r="AP294" s="18">
        <f t="shared" si="949"/>
        <v>0</v>
      </c>
      <c r="AQ294" s="18">
        <f t="shared" si="949"/>
        <v>0</v>
      </c>
      <c r="AR294" s="18">
        <f t="shared" si="949"/>
        <v>0</v>
      </c>
      <c r="AS294" s="18">
        <f t="shared" si="949"/>
        <v>0</v>
      </c>
      <c r="AT294" s="18">
        <f t="shared" si="949"/>
        <v>0</v>
      </c>
      <c r="AU294" s="18">
        <f t="shared" si="949"/>
        <v>0</v>
      </c>
      <c r="AV294" s="18">
        <f t="shared" si="949"/>
        <v>0</v>
      </c>
      <c r="AW294" s="18">
        <f t="shared" si="949"/>
        <v>0</v>
      </c>
      <c r="AX294" s="18"/>
      <c r="AY294" s="18">
        <f t="shared" si="949"/>
        <v>0</v>
      </c>
      <c r="AZ294" s="18"/>
      <c r="BA294" s="18"/>
      <c r="BB294" s="18"/>
      <c r="BC294" s="18">
        <f t="shared" si="949"/>
        <v>0</v>
      </c>
      <c r="BD294" s="18">
        <f t="shared" si="949"/>
        <v>0</v>
      </c>
      <c r="BE294" s="18">
        <f t="shared" si="949"/>
        <v>0</v>
      </c>
      <c r="BF294" s="18">
        <f t="shared" si="949"/>
        <v>0</v>
      </c>
      <c r="BG294" s="18">
        <f t="shared" si="949"/>
        <v>0</v>
      </c>
      <c r="BH294" s="18">
        <f t="shared" si="949"/>
        <v>0</v>
      </c>
      <c r="BI294" s="18">
        <f t="shared" si="949"/>
        <v>0</v>
      </c>
      <c r="BJ294" s="18">
        <f t="shared" si="949"/>
        <v>0</v>
      </c>
      <c r="BK294" s="18">
        <f t="shared" si="949"/>
        <v>0</v>
      </c>
      <c r="BL294" s="18">
        <f t="shared" si="949"/>
        <v>0</v>
      </c>
      <c r="BM294" s="18">
        <f t="shared" si="949"/>
        <v>0</v>
      </c>
      <c r="BN294" s="18">
        <f t="shared" si="949"/>
        <v>0</v>
      </c>
      <c r="BO294" s="18">
        <f t="shared" si="949"/>
        <v>0</v>
      </c>
      <c r="BP294" s="18">
        <f t="shared" si="949"/>
        <v>0</v>
      </c>
      <c r="BQ294" s="18">
        <f t="shared" si="949"/>
        <v>0</v>
      </c>
      <c r="BR294" s="18">
        <f t="shared" si="949"/>
        <v>0</v>
      </c>
      <c r="BS294" s="18">
        <f t="shared" si="949"/>
        <v>0</v>
      </c>
      <c r="BT294" s="18">
        <f t="shared" si="949"/>
        <v>0</v>
      </c>
      <c r="BU294" s="18">
        <f t="shared" si="949"/>
        <v>0</v>
      </c>
      <c r="BV294" s="18">
        <f t="shared" si="949"/>
        <v>0</v>
      </c>
      <c r="BW294" s="18">
        <f t="shared" si="949"/>
        <v>0</v>
      </c>
      <c r="BX294" s="18">
        <f t="shared" si="950"/>
        <v>0</v>
      </c>
      <c r="BY294" s="18">
        <f t="shared" si="950"/>
        <v>0</v>
      </c>
      <c r="BZ294" s="18">
        <f t="shared" si="950"/>
        <v>0</v>
      </c>
      <c r="CA294" s="18">
        <f t="shared" si="950"/>
        <v>0</v>
      </c>
      <c r="CB294" s="18">
        <f t="shared" si="950"/>
        <v>0</v>
      </c>
      <c r="CC294" s="18">
        <f t="shared" si="950"/>
        <v>0</v>
      </c>
      <c r="CD294" s="18">
        <f t="shared" si="950"/>
        <v>0</v>
      </c>
      <c r="CE294" s="18">
        <f t="shared" si="950"/>
        <v>0</v>
      </c>
      <c r="CF294" s="18">
        <f t="shared" si="950"/>
        <v>0</v>
      </c>
      <c r="CG294" s="18">
        <f t="shared" si="950"/>
        <v>0</v>
      </c>
      <c r="CH294" s="18">
        <f t="shared" si="950"/>
        <v>0</v>
      </c>
      <c r="CI294" s="18">
        <f t="shared" si="950"/>
        <v>0</v>
      </c>
      <c r="CJ294" s="18">
        <f t="shared" si="950"/>
        <v>0</v>
      </c>
      <c r="CK294" s="18">
        <f t="shared" si="950"/>
        <v>0</v>
      </c>
      <c r="CL294" s="18">
        <f t="shared" si="950"/>
        <v>0</v>
      </c>
      <c r="CM294" s="18">
        <f t="shared" si="950"/>
        <v>0</v>
      </c>
      <c r="CN294" s="18">
        <f t="shared" si="950"/>
        <v>0</v>
      </c>
      <c r="CO294" s="18">
        <f t="shared" si="950"/>
        <v>0</v>
      </c>
      <c r="CP294" s="18">
        <f t="shared" si="950"/>
        <v>0</v>
      </c>
      <c r="CQ294" s="18"/>
      <c r="CR294" s="18"/>
      <c r="CS294" s="18"/>
      <c r="CT294" s="18"/>
      <c r="CU294" s="18">
        <f t="shared" si="950"/>
        <v>0</v>
      </c>
      <c r="CV294" s="73"/>
      <c r="CW294" s="73"/>
      <c r="CX294" s="73"/>
      <c r="CY294" s="73"/>
      <c r="CZ294" s="18">
        <f t="shared" si="950"/>
        <v>105611741</v>
      </c>
      <c r="DA294" s="18">
        <f t="shared" si="950"/>
        <v>105611741</v>
      </c>
      <c r="DB294" s="18">
        <f t="shared" si="950"/>
        <v>0</v>
      </c>
      <c r="DC294" s="46">
        <f t="shared" si="950"/>
        <v>105611741</v>
      </c>
    </row>
    <row r="295" spans="1:108" s="52" customFormat="1" ht="31.5" customHeight="1" x14ac:dyDescent="0.3">
      <c r="A295" s="94" t="s">
        <v>1</v>
      </c>
      <c r="B295" s="21" t="s">
        <v>75</v>
      </c>
      <c r="C295" s="22" t="s">
        <v>296</v>
      </c>
      <c r="D295" s="18">
        <f>SUM(E295+CC295+CZ295)</f>
        <v>105611741</v>
      </c>
      <c r="E295" s="19">
        <f>SUM(F295+BC295)</f>
        <v>0</v>
      </c>
      <c r="F295" s="19">
        <f>SUM(G295+H295+I295+P295+S295+T295+U295+AD295)</f>
        <v>0</v>
      </c>
      <c r="G295" s="19">
        <v>0</v>
      </c>
      <c r="H295" s="19">
        <v>0</v>
      </c>
      <c r="I295" s="19">
        <f t="shared" si="747"/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f t="shared" si="755"/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f t="shared" ref="U295" si="951">SUM(V295:AC295)</f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19">
        <f>SUM(AE295:AY295)</f>
        <v>0</v>
      </c>
      <c r="AE295" s="19">
        <v>0</v>
      </c>
      <c r="AF295" s="19">
        <v>0</v>
      </c>
      <c r="AG295" s="19">
        <v>0</v>
      </c>
      <c r="AH295" s="19">
        <v>0</v>
      </c>
      <c r="AI295" s="19">
        <v>0</v>
      </c>
      <c r="AJ295" s="19">
        <v>0</v>
      </c>
      <c r="AK295" s="19">
        <v>0</v>
      </c>
      <c r="AL295" s="19">
        <v>0</v>
      </c>
      <c r="AM295" s="19">
        <v>0</v>
      </c>
      <c r="AN295" s="19">
        <v>0</v>
      </c>
      <c r="AO295" s="19">
        <v>0</v>
      </c>
      <c r="AP295" s="19">
        <v>0</v>
      </c>
      <c r="AQ295" s="19">
        <v>0</v>
      </c>
      <c r="AR295" s="19">
        <v>0</v>
      </c>
      <c r="AS295" s="19">
        <v>0</v>
      </c>
      <c r="AT295" s="19">
        <v>0</v>
      </c>
      <c r="AU295" s="19">
        <v>0</v>
      </c>
      <c r="AV295" s="19">
        <v>0</v>
      </c>
      <c r="AW295" s="19">
        <v>0</v>
      </c>
      <c r="AX295" s="19"/>
      <c r="AY295" s="19">
        <v>0</v>
      </c>
      <c r="AZ295" s="19"/>
      <c r="BA295" s="19"/>
      <c r="BB295" s="19"/>
      <c r="BC295" s="19">
        <f>SUM(BD295+BH295+BL295+BN295+BQ295)</f>
        <v>0</v>
      </c>
      <c r="BD295" s="19">
        <f>SUM(BE295:BG295)</f>
        <v>0</v>
      </c>
      <c r="BE295" s="19">
        <v>0</v>
      </c>
      <c r="BF295" s="19">
        <v>0</v>
      </c>
      <c r="BG295" s="19">
        <v>0</v>
      </c>
      <c r="BH295" s="19">
        <f>SUM(BK295:BK295)</f>
        <v>0</v>
      </c>
      <c r="BI295" s="19">
        <v>0</v>
      </c>
      <c r="BJ295" s="19">
        <v>0</v>
      </c>
      <c r="BK295" s="19">
        <v>0</v>
      </c>
      <c r="BL295" s="19">
        <v>0</v>
      </c>
      <c r="BM295" s="19">
        <v>0</v>
      </c>
      <c r="BN295" s="19">
        <f t="shared" si="760"/>
        <v>0</v>
      </c>
      <c r="BO295" s="19">
        <v>0</v>
      </c>
      <c r="BP295" s="19">
        <v>0</v>
      </c>
      <c r="BQ295" s="19">
        <f>SUM(BR295:CB295)</f>
        <v>0</v>
      </c>
      <c r="BR295" s="19">
        <v>0</v>
      </c>
      <c r="BS295" s="19">
        <v>0</v>
      </c>
      <c r="BT295" s="19">
        <v>0</v>
      </c>
      <c r="BU295" s="19">
        <v>0</v>
      </c>
      <c r="BV295" s="19">
        <v>0</v>
      </c>
      <c r="BW295" s="19">
        <v>0</v>
      </c>
      <c r="BX295" s="19">
        <v>0</v>
      </c>
      <c r="BY295" s="19">
        <v>0</v>
      </c>
      <c r="BZ295" s="19">
        <v>0</v>
      </c>
      <c r="CA295" s="19">
        <v>0</v>
      </c>
      <c r="CB295" s="19">
        <v>0</v>
      </c>
      <c r="CC295" s="19">
        <f>SUM(CD295+CU295)</f>
        <v>0</v>
      </c>
      <c r="CD295" s="19">
        <f>SUM(CE295+CH295+CN295)</f>
        <v>0</v>
      </c>
      <c r="CE295" s="19">
        <f t="shared" si="764"/>
        <v>0</v>
      </c>
      <c r="CF295" s="19">
        <v>0</v>
      </c>
      <c r="CG295" s="19">
        <v>0</v>
      </c>
      <c r="CH295" s="19">
        <f>SUM(CI295:CM295)</f>
        <v>0</v>
      </c>
      <c r="CI295" s="19">
        <v>0</v>
      </c>
      <c r="CJ295" s="19">
        <v>0</v>
      </c>
      <c r="CK295" s="19">
        <v>0</v>
      </c>
      <c r="CL295" s="19">
        <v>0</v>
      </c>
      <c r="CM295" s="19">
        <v>0</v>
      </c>
      <c r="CN295" s="19">
        <f>SUM(CO295:CQ295)</f>
        <v>0</v>
      </c>
      <c r="CO295" s="19">
        <v>0</v>
      </c>
      <c r="CP295" s="19">
        <v>0</v>
      </c>
      <c r="CQ295" s="19"/>
      <c r="CR295" s="19"/>
      <c r="CS295" s="19"/>
      <c r="CT295" s="19"/>
      <c r="CU295" s="19">
        <v>0</v>
      </c>
      <c r="CV295" s="74"/>
      <c r="CW295" s="74"/>
      <c r="CX295" s="74"/>
      <c r="CY295" s="74"/>
      <c r="CZ295" s="19">
        <f t="shared" si="767"/>
        <v>105611741</v>
      </c>
      <c r="DA295" s="19">
        <f t="shared" si="768"/>
        <v>105611741</v>
      </c>
      <c r="DB295" s="19">
        <v>0</v>
      </c>
      <c r="DC295" s="20">
        <f>0+105611741-105611741+105611741</f>
        <v>105611741</v>
      </c>
    </row>
    <row r="296" spans="1:108" s="52" customFormat="1" ht="15.6" x14ac:dyDescent="0.3">
      <c r="A296" s="95" t="s">
        <v>297</v>
      </c>
      <c r="B296" s="25" t="s">
        <v>1</v>
      </c>
      <c r="C296" s="26" t="s">
        <v>298</v>
      </c>
      <c r="D296" s="27">
        <f>SUM(D309+D311+D314+D316+D318+D320+D297)</f>
        <v>416175434</v>
      </c>
      <c r="E296" s="27">
        <f t="shared" ref="E296:BP296" si="952">SUM(E309+E311+E314+E316+E318+E320+E297)</f>
        <v>305492929</v>
      </c>
      <c r="F296" s="27">
        <f t="shared" si="952"/>
        <v>32816851</v>
      </c>
      <c r="G296" s="27">
        <f t="shared" si="952"/>
        <v>0</v>
      </c>
      <c r="H296" s="27">
        <f t="shared" si="952"/>
        <v>0</v>
      </c>
      <c r="I296" s="27">
        <f t="shared" si="952"/>
        <v>0</v>
      </c>
      <c r="J296" s="27">
        <f t="shared" si="952"/>
        <v>0</v>
      </c>
      <c r="K296" s="27">
        <f t="shared" si="952"/>
        <v>0</v>
      </c>
      <c r="L296" s="27">
        <f t="shared" si="952"/>
        <v>0</v>
      </c>
      <c r="M296" s="27">
        <f t="shared" si="952"/>
        <v>0</v>
      </c>
      <c r="N296" s="27">
        <f t="shared" si="952"/>
        <v>0</v>
      </c>
      <c r="O296" s="27">
        <f t="shared" si="952"/>
        <v>0</v>
      </c>
      <c r="P296" s="27">
        <f t="shared" si="952"/>
        <v>0</v>
      </c>
      <c r="Q296" s="27">
        <f t="shared" si="952"/>
        <v>0</v>
      </c>
      <c r="R296" s="27">
        <f t="shared" si="952"/>
        <v>0</v>
      </c>
      <c r="S296" s="27">
        <f t="shared" si="952"/>
        <v>0</v>
      </c>
      <c r="T296" s="27">
        <f t="shared" si="952"/>
        <v>0</v>
      </c>
      <c r="U296" s="27">
        <f t="shared" si="952"/>
        <v>0</v>
      </c>
      <c r="V296" s="27">
        <f t="shared" si="952"/>
        <v>0</v>
      </c>
      <c r="W296" s="27">
        <f t="shared" si="952"/>
        <v>0</v>
      </c>
      <c r="X296" s="27">
        <f t="shared" si="952"/>
        <v>0</v>
      </c>
      <c r="Y296" s="27">
        <f t="shared" si="952"/>
        <v>0</v>
      </c>
      <c r="Z296" s="27">
        <f t="shared" si="952"/>
        <v>0</v>
      </c>
      <c r="AA296" s="27">
        <f t="shared" si="952"/>
        <v>0</v>
      </c>
      <c r="AB296" s="27">
        <f t="shared" si="952"/>
        <v>0</v>
      </c>
      <c r="AC296" s="27">
        <f t="shared" si="952"/>
        <v>0</v>
      </c>
      <c r="AD296" s="27">
        <f t="shared" si="952"/>
        <v>32816851</v>
      </c>
      <c r="AE296" s="27">
        <f t="shared" si="952"/>
        <v>0</v>
      </c>
      <c r="AF296" s="27">
        <f t="shared" si="952"/>
        <v>0</v>
      </c>
      <c r="AG296" s="27">
        <f t="shared" si="952"/>
        <v>0</v>
      </c>
      <c r="AH296" s="27">
        <f t="shared" si="952"/>
        <v>0</v>
      </c>
      <c r="AI296" s="27">
        <f t="shared" si="952"/>
        <v>0</v>
      </c>
      <c r="AJ296" s="27">
        <f t="shared" si="952"/>
        <v>0</v>
      </c>
      <c r="AK296" s="27">
        <f t="shared" si="952"/>
        <v>0</v>
      </c>
      <c r="AL296" s="27">
        <f t="shared" si="952"/>
        <v>0</v>
      </c>
      <c r="AM296" s="27">
        <f t="shared" si="952"/>
        <v>0</v>
      </c>
      <c r="AN296" s="27">
        <f t="shared" si="952"/>
        <v>0</v>
      </c>
      <c r="AO296" s="27">
        <f t="shared" si="952"/>
        <v>0</v>
      </c>
      <c r="AP296" s="27">
        <f t="shared" si="952"/>
        <v>0</v>
      </c>
      <c r="AQ296" s="27">
        <f t="shared" si="952"/>
        <v>0</v>
      </c>
      <c r="AR296" s="27">
        <f t="shared" si="952"/>
        <v>0</v>
      </c>
      <c r="AS296" s="27">
        <f t="shared" si="952"/>
        <v>0</v>
      </c>
      <c r="AT296" s="27">
        <f t="shared" si="952"/>
        <v>0</v>
      </c>
      <c r="AU296" s="27">
        <f t="shared" si="952"/>
        <v>0</v>
      </c>
      <c r="AV296" s="27">
        <f t="shared" si="952"/>
        <v>0</v>
      </c>
      <c r="AW296" s="27">
        <f t="shared" si="952"/>
        <v>0</v>
      </c>
      <c r="AX296" s="27">
        <f t="shared" si="952"/>
        <v>0</v>
      </c>
      <c r="AY296" s="27">
        <f t="shared" si="952"/>
        <v>32816851</v>
      </c>
      <c r="AZ296" s="27">
        <f t="shared" si="952"/>
        <v>0</v>
      </c>
      <c r="BA296" s="27">
        <f t="shared" si="952"/>
        <v>0</v>
      </c>
      <c r="BB296" s="27">
        <f t="shared" si="952"/>
        <v>0</v>
      </c>
      <c r="BC296" s="27">
        <f t="shared" si="952"/>
        <v>272676078</v>
      </c>
      <c r="BD296" s="27">
        <f t="shared" si="952"/>
        <v>49310069</v>
      </c>
      <c r="BE296" s="27">
        <f t="shared" si="952"/>
        <v>49310069</v>
      </c>
      <c r="BF296" s="27">
        <f t="shared" si="952"/>
        <v>0</v>
      </c>
      <c r="BG296" s="27">
        <f t="shared" si="952"/>
        <v>0</v>
      </c>
      <c r="BH296" s="27">
        <f t="shared" si="952"/>
        <v>30821510</v>
      </c>
      <c r="BI296" s="27">
        <f t="shared" si="952"/>
        <v>26606500</v>
      </c>
      <c r="BJ296" s="27">
        <f t="shared" si="952"/>
        <v>0</v>
      </c>
      <c r="BK296" s="27">
        <f t="shared" si="952"/>
        <v>4215010</v>
      </c>
      <c r="BL296" s="27">
        <f t="shared" si="952"/>
        <v>147718746</v>
      </c>
      <c r="BM296" s="27">
        <f t="shared" si="952"/>
        <v>0</v>
      </c>
      <c r="BN296" s="27">
        <f t="shared" si="952"/>
        <v>0</v>
      </c>
      <c r="BO296" s="27">
        <f t="shared" si="952"/>
        <v>0</v>
      </c>
      <c r="BP296" s="27">
        <f t="shared" si="952"/>
        <v>0</v>
      </c>
      <c r="BQ296" s="27">
        <f t="shared" ref="BQ296:DC296" si="953">SUM(BQ309+BQ311+BQ314+BQ316+BQ318+BQ320+BQ297)</f>
        <v>44825753</v>
      </c>
      <c r="BR296" s="27">
        <f t="shared" si="953"/>
        <v>0</v>
      </c>
      <c r="BS296" s="27">
        <f t="shared" si="953"/>
        <v>0</v>
      </c>
      <c r="BT296" s="27">
        <f t="shared" si="953"/>
        <v>0</v>
      </c>
      <c r="BU296" s="27">
        <f t="shared" si="953"/>
        <v>0</v>
      </c>
      <c r="BV296" s="27">
        <f t="shared" si="953"/>
        <v>0</v>
      </c>
      <c r="BW296" s="27">
        <f t="shared" si="953"/>
        <v>0</v>
      </c>
      <c r="BX296" s="27">
        <f t="shared" si="953"/>
        <v>0</v>
      </c>
      <c r="BY296" s="27">
        <f t="shared" si="953"/>
        <v>0</v>
      </c>
      <c r="BZ296" s="27">
        <f t="shared" si="953"/>
        <v>0</v>
      </c>
      <c r="CA296" s="27">
        <f t="shared" si="953"/>
        <v>0</v>
      </c>
      <c r="CB296" s="27">
        <f t="shared" si="953"/>
        <v>44825753</v>
      </c>
      <c r="CC296" s="27">
        <f t="shared" si="953"/>
        <v>110682505</v>
      </c>
      <c r="CD296" s="27">
        <f t="shared" si="953"/>
        <v>99672262</v>
      </c>
      <c r="CE296" s="27">
        <f t="shared" si="953"/>
        <v>0</v>
      </c>
      <c r="CF296" s="27">
        <f t="shared" si="953"/>
        <v>0</v>
      </c>
      <c r="CG296" s="27">
        <f t="shared" si="953"/>
        <v>0</v>
      </c>
      <c r="CH296" s="27">
        <f t="shared" si="953"/>
        <v>51714947</v>
      </c>
      <c r="CI296" s="27">
        <f t="shared" si="953"/>
        <v>0</v>
      </c>
      <c r="CJ296" s="27">
        <f t="shared" si="953"/>
        <v>48252679</v>
      </c>
      <c r="CK296" s="27">
        <f t="shared" si="953"/>
        <v>0</v>
      </c>
      <c r="CL296" s="27">
        <f t="shared" si="953"/>
        <v>3462268</v>
      </c>
      <c r="CM296" s="27">
        <f t="shared" si="953"/>
        <v>0</v>
      </c>
      <c r="CN296" s="27">
        <f t="shared" si="953"/>
        <v>47957315</v>
      </c>
      <c r="CO296" s="27">
        <f t="shared" si="953"/>
        <v>41900160</v>
      </c>
      <c r="CP296" s="27">
        <f t="shared" si="953"/>
        <v>6057155</v>
      </c>
      <c r="CQ296" s="27">
        <f t="shared" si="953"/>
        <v>0</v>
      </c>
      <c r="CR296" s="27">
        <f t="shared" si="953"/>
        <v>0</v>
      </c>
      <c r="CS296" s="27">
        <f t="shared" si="953"/>
        <v>0</v>
      </c>
      <c r="CT296" s="27">
        <f t="shared" si="953"/>
        <v>0</v>
      </c>
      <c r="CU296" s="27">
        <f t="shared" si="953"/>
        <v>11010243</v>
      </c>
      <c r="CV296" s="27">
        <f t="shared" si="953"/>
        <v>0</v>
      </c>
      <c r="CW296" s="27">
        <f t="shared" si="953"/>
        <v>0</v>
      </c>
      <c r="CX296" s="27">
        <f t="shared" si="953"/>
        <v>0</v>
      </c>
      <c r="CY296" s="27">
        <f t="shared" ref="CY296" si="954">SUM(CY309+CY311+CY314+CY316+CY318+CY320+CY297)</f>
        <v>0</v>
      </c>
      <c r="CZ296" s="27">
        <f t="shared" si="953"/>
        <v>0</v>
      </c>
      <c r="DA296" s="27">
        <f t="shared" si="953"/>
        <v>0</v>
      </c>
      <c r="DB296" s="27">
        <f t="shared" si="953"/>
        <v>0</v>
      </c>
      <c r="DC296" s="60">
        <f t="shared" si="953"/>
        <v>0</v>
      </c>
      <c r="DD296" s="57"/>
    </row>
    <row r="297" spans="1:108" s="52" customFormat="1" ht="15.6" x14ac:dyDescent="0.3">
      <c r="A297" s="93" t="s">
        <v>299</v>
      </c>
      <c r="B297" s="16" t="s">
        <v>1</v>
      </c>
      <c r="C297" s="30" t="s">
        <v>300</v>
      </c>
      <c r="D297" s="18">
        <f>SUM(D298:D308)</f>
        <v>180748417</v>
      </c>
      <c r="E297" s="18">
        <f t="shared" ref="E297:BP297" si="955">SUM(E298:E308)</f>
        <v>180748417</v>
      </c>
      <c r="F297" s="18">
        <f t="shared" si="955"/>
        <v>6423171</v>
      </c>
      <c r="G297" s="18">
        <f t="shared" si="955"/>
        <v>0</v>
      </c>
      <c r="H297" s="18">
        <f t="shared" si="955"/>
        <v>0</v>
      </c>
      <c r="I297" s="18">
        <f t="shared" si="955"/>
        <v>0</v>
      </c>
      <c r="J297" s="18">
        <f t="shared" si="955"/>
        <v>0</v>
      </c>
      <c r="K297" s="18">
        <f t="shared" si="955"/>
        <v>0</v>
      </c>
      <c r="L297" s="18">
        <f t="shared" si="955"/>
        <v>0</v>
      </c>
      <c r="M297" s="18">
        <f t="shared" si="955"/>
        <v>0</v>
      </c>
      <c r="N297" s="18">
        <f t="shared" si="955"/>
        <v>0</v>
      </c>
      <c r="O297" s="18">
        <f t="shared" si="955"/>
        <v>0</v>
      </c>
      <c r="P297" s="18">
        <f t="shared" si="955"/>
        <v>0</v>
      </c>
      <c r="Q297" s="18">
        <f t="shared" si="955"/>
        <v>0</v>
      </c>
      <c r="R297" s="18">
        <f t="shared" si="955"/>
        <v>0</v>
      </c>
      <c r="S297" s="18">
        <f t="shared" si="955"/>
        <v>0</v>
      </c>
      <c r="T297" s="18">
        <f t="shared" si="955"/>
        <v>0</v>
      </c>
      <c r="U297" s="18">
        <f t="shared" si="955"/>
        <v>0</v>
      </c>
      <c r="V297" s="18">
        <f t="shared" si="955"/>
        <v>0</v>
      </c>
      <c r="W297" s="18">
        <f t="shared" si="955"/>
        <v>0</v>
      </c>
      <c r="X297" s="18">
        <f t="shared" si="955"/>
        <v>0</v>
      </c>
      <c r="Y297" s="18">
        <f t="shared" si="955"/>
        <v>0</v>
      </c>
      <c r="Z297" s="18">
        <f t="shared" si="955"/>
        <v>0</v>
      </c>
      <c r="AA297" s="18">
        <f t="shared" si="955"/>
        <v>0</v>
      </c>
      <c r="AB297" s="18">
        <f t="shared" si="955"/>
        <v>0</v>
      </c>
      <c r="AC297" s="18">
        <f t="shared" si="955"/>
        <v>0</v>
      </c>
      <c r="AD297" s="18">
        <f t="shared" si="955"/>
        <v>6423171</v>
      </c>
      <c r="AE297" s="18">
        <f t="shared" si="955"/>
        <v>0</v>
      </c>
      <c r="AF297" s="18">
        <f t="shared" si="955"/>
        <v>0</v>
      </c>
      <c r="AG297" s="18">
        <f t="shared" si="955"/>
        <v>0</v>
      </c>
      <c r="AH297" s="18">
        <f t="shared" si="955"/>
        <v>0</v>
      </c>
      <c r="AI297" s="18">
        <f t="shared" si="955"/>
        <v>0</v>
      </c>
      <c r="AJ297" s="18">
        <f t="shared" si="955"/>
        <v>0</v>
      </c>
      <c r="AK297" s="18">
        <f t="shared" si="955"/>
        <v>0</v>
      </c>
      <c r="AL297" s="18">
        <f t="shared" si="955"/>
        <v>0</v>
      </c>
      <c r="AM297" s="18">
        <f t="shared" si="955"/>
        <v>0</v>
      </c>
      <c r="AN297" s="18">
        <f t="shared" si="955"/>
        <v>0</v>
      </c>
      <c r="AO297" s="18">
        <f t="shared" si="955"/>
        <v>0</v>
      </c>
      <c r="AP297" s="18">
        <f t="shared" si="955"/>
        <v>0</v>
      </c>
      <c r="AQ297" s="18">
        <f t="shared" si="955"/>
        <v>0</v>
      </c>
      <c r="AR297" s="18">
        <f t="shared" si="955"/>
        <v>0</v>
      </c>
      <c r="AS297" s="18">
        <f t="shared" si="955"/>
        <v>0</v>
      </c>
      <c r="AT297" s="18">
        <f t="shared" si="955"/>
        <v>0</v>
      </c>
      <c r="AU297" s="18">
        <f t="shared" si="955"/>
        <v>0</v>
      </c>
      <c r="AV297" s="18">
        <f t="shared" si="955"/>
        <v>0</v>
      </c>
      <c r="AW297" s="18">
        <f t="shared" si="955"/>
        <v>0</v>
      </c>
      <c r="AX297" s="18">
        <f t="shared" si="955"/>
        <v>0</v>
      </c>
      <c r="AY297" s="18">
        <f t="shared" si="955"/>
        <v>6423171</v>
      </c>
      <c r="AZ297" s="18">
        <f t="shared" si="955"/>
        <v>0</v>
      </c>
      <c r="BA297" s="18">
        <f t="shared" si="955"/>
        <v>0</v>
      </c>
      <c r="BB297" s="18">
        <f t="shared" si="955"/>
        <v>0</v>
      </c>
      <c r="BC297" s="18">
        <f t="shared" si="955"/>
        <v>174325246</v>
      </c>
      <c r="BD297" s="18">
        <f t="shared" si="955"/>
        <v>0</v>
      </c>
      <c r="BE297" s="18">
        <f t="shared" si="955"/>
        <v>0</v>
      </c>
      <c r="BF297" s="18">
        <f t="shared" si="955"/>
        <v>0</v>
      </c>
      <c r="BG297" s="18">
        <f t="shared" si="955"/>
        <v>0</v>
      </c>
      <c r="BH297" s="18">
        <f t="shared" si="955"/>
        <v>26606500</v>
      </c>
      <c r="BI297" s="18">
        <f t="shared" si="955"/>
        <v>26606500</v>
      </c>
      <c r="BJ297" s="18">
        <f t="shared" si="955"/>
        <v>0</v>
      </c>
      <c r="BK297" s="18">
        <f t="shared" si="955"/>
        <v>0</v>
      </c>
      <c r="BL297" s="18">
        <f t="shared" si="955"/>
        <v>147718746</v>
      </c>
      <c r="BM297" s="18">
        <f t="shared" si="955"/>
        <v>0</v>
      </c>
      <c r="BN297" s="18">
        <f t="shared" si="955"/>
        <v>0</v>
      </c>
      <c r="BO297" s="18">
        <f t="shared" si="955"/>
        <v>0</v>
      </c>
      <c r="BP297" s="18">
        <f t="shared" si="955"/>
        <v>0</v>
      </c>
      <c r="BQ297" s="18">
        <f t="shared" ref="BQ297:CX297" si="956">SUM(BQ298:BQ308)</f>
        <v>0</v>
      </c>
      <c r="BR297" s="18">
        <f t="shared" si="956"/>
        <v>0</v>
      </c>
      <c r="BS297" s="18">
        <f t="shared" si="956"/>
        <v>0</v>
      </c>
      <c r="BT297" s="18">
        <f t="shared" si="956"/>
        <v>0</v>
      </c>
      <c r="BU297" s="18">
        <f t="shared" si="956"/>
        <v>0</v>
      </c>
      <c r="BV297" s="18">
        <f t="shared" si="956"/>
        <v>0</v>
      </c>
      <c r="BW297" s="18">
        <f t="shared" si="956"/>
        <v>0</v>
      </c>
      <c r="BX297" s="18">
        <f t="shared" si="956"/>
        <v>0</v>
      </c>
      <c r="BY297" s="18">
        <f t="shared" si="956"/>
        <v>0</v>
      </c>
      <c r="BZ297" s="18">
        <f t="shared" si="956"/>
        <v>0</v>
      </c>
      <c r="CA297" s="18">
        <f t="shared" si="956"/>
        <v>0</v>
      </c>
      <c r="CB297" s="18">
        <f t="shared" si="956"/>
        <v>0</v>
      </c>
      <c r="CC297" s="18">
        <f t="shared" si="956"/>
        <v>0</v>
      </c>
      <c r="CD297" s="18">
        <f t="shared" si="956"/>
        <v>0</v>
      </c>
      <c r="CE297" s="18">
        <f t="shared" si="956"/>
        <v>0</v>
      </c>
      <c r="CF297" s="18">
        <f t="shared" si="956"/>
        <v>0</v>
      </c>
      <c r="CG297" s="18">
        <f t="shared" si="956"/>
        <v>0</v>
      </c>
      <c r="CH297" s="18">
        <f t="shared" si="956"/>
        <v>0</v>
      </c>
      <c r="CI297" s="18">
        <f t="shared" si="956"/>
        <v>0</v>
      </c>
      <c r="CJ297" s="18">
        <f t="shared" si="956"/>
        <v>0</v>
      </c>
      <c r="CK297" s="18">
        <f t="shared" si="956"/>
        <v>0</v>
      </c>
      <c r="CL297" s="18">
        <f t="shared" si="956"/>
        <v>0</v>
      </c>
      <c r="CM297" s="18">
        <f t="shared" si="956"/>
        <v>0</v>
      </c>
      <c r="CN297" s="18">
        <f t="shared" si="956"/>
        <v>0</v>
      </c>
      <c r="CO297" s="18">
        <f t="shared" si="956"/>
        <v>0</v>
      </c>
      <c r="CP297" s="18">
        <f t="shared" si="956"/>
        <v>0</v>
      </c>
      <c r="CQ297" s="18">
        <f t="shared" si="956"/>
        <v>0</v>
      </c>
      <c r="CR297" s="18">
        <f t="shared" si="956"/>
        <v>0</v>
      </c>
      <c r="CS297" s="18">
        <f t="shared" si="956"/>
        <v>0</v>
      </c>
      <c r="CT297" s="18">
        <f t="shared" si="956"/>
        <v>0</v>
      </c>
      <c r="CU297" s="18">
        <f t="shared" si="956"/>
        <v>0</v>
      </c>
      <c r="CV297" s="73">
        <f t="shared" si="956"/>
        <v>0</v>
      </c>
      <c r="CW297" s="73">
        <f t="shared" si="956"/>
        <v>0</v>
      </c>
      <c r="CX297" s="73">
        <f t="shared" si="956"/>
        <v>0</v>
      </c>
      <c r="CY297" s="73">
        <f t="shared" ref="CY297" si="957">SUM(CY298:CY308)</f>
        <v>0</v>
      </c>
      <c r="CZ297" s="18">
        <f>SUM(CZ299:CZ308)</f>
        <v>0</v>
      </c>
      <c r="DA297" s="18">
        <f>SUM(DA299:DA308)</f>
        <v>0</v>
      </c>
      <c r="DB297" s="18">
        <f>SUM(DB299:DB308)</f>
        <v>0</v>
      </c>
      <c r="DC297" s="46">
        <f>SUM(DC299:DC308)</f>
        <v>0</v>
      </c>
      <c r="DD297" s="57"/>
    </row>
    <row r="298" spans="1:108" s="52" customFormat="1" ht="15.6" x14ac:dyDescent="0.3">
      <c r="A298" s="97" t="s">
        <v>1</v>
      </c>
      <c r="B298" s="42" t="s">
        <v>301</v>
      </c>
      <c r="C298" s="43" t="s">
        <v>605</v>
      </c>
      <c r="D298" s="39">
        <f t="shared" ref="D298:D308" si="958">SUM(E298+CC298+CZ298)</f>
        <v>6423171</v>
      </c>
      <c r="E298" s="39">
        <f t="shared" ref="E298:E308" si="959">SUM(F298+BC298)</f>
        <v>6423171</v>
      </c>
      <c r="F298" s="39">
        <f t="shared" ref="F298" si="960">SUM(G298+H298+I298+P298+S298+T298+U298+AD298)</f>
        <v>6423171</v>
      </c>
      <c r="G298" s="39"/>
      <c r="H298" s="39"/>
      <c r="I298" s="39">
        <f t="shared" ref="I298" si="961">SUM(J298:O298)</f>
        <v>0</v>
      </c>
      <c r="J298" s="39">
        <v>0</v>
      </c>
      <c r="K298" s="39">
        <v>0</v>
      </c>
      <c r="L298" s="39">
        <v>0</v>
      </c>
      <c r="M298" s="39">
        <v>0</v>
      </c>
      <c r="N298" s="39"/>
      <c r="O298" s="39"/>
      <c r="P298" s="39">
        <f t="shared" ref="P298" si="962">SUM(Q298:R298)</f>
        <v>0</v>
      </c>
      <c r="Q298" s="39">
        <v>0</v>
      </c>
      <c r="R298" s="39"/>
      <c r="S298" s="39">
        <v>0</v>
      </c>
      <c r="T298" s="39"/>
      <c r="U298" s="39">
        <f t="shared" ref="U298" si="963">SUM(V298:AC298)</f>
        <v>0</v>
      </c>
      <c r="V298" s="39">
        <v>0</v>
      </c>
      <c r="W298" s="39"/>
      <c r="X298" s="39"/>
      <c r="Y298" s="39"/>
      <c r="Z298" s="39">
        <v>0</v>
      </c>
      <c r="AA298" s="39">
        <v>0</v>
      </c>
      <c r="AB298" s="39">
        <v>0</v>
      </c>
      <c r="AC298" s="39">
        <v>0</v>
      </c>
      <c r="AD298" s="39">
        <f t="shared" ref="AD298" si="964">SUM(AE298:AY298)</f>
        <v>6423171</v>
      </c>
      <c r="AE298" s="39">
        <v>0</v>
      </c>
      <c r="AF298" s="39">
        <v>0</v>
      </c>
      <c r="AG298" s="39">
        <v>0</v>
      </c>
      <c r="AH298" s="39">
        <v>0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0</v>
      </c>
      <c r="AR298" s="39">
        <v>0</v>
      </c>
      <c r="AS298" s="39">
        <v>0</v>
      </c>
      <c r="AT298" s="39">
        <v>0</v>
      </c>
      <c r="AU298" s="39">
        <v>0</v>
      </c>
      <c r="AV298" s="39">
        <v>0</v>
      </c>
      <c r="AW298" s="39">
        <v>0</v>
      </c>
      <c r="AX298" s="39">
        <v>0</v>
      </c>
      <c r="AY298" s="39">
        <f>10598860-4175689</f>
        <v>6423171</v>
      </c>
      <c r="AZ298" s="39"/>
      <c r="BA298" s="39"/>
      <c r="BB298" s="39"/>
      <c r="BC298" s="39">
        <f t="shared" ref="BC298" si="965">SUM(BD298+BH298+BL298+BN298+BQ298)</f>
        <v>0</v>
      </c>
      <c r="BD298" s="39">
        <f t="shared" ref="BD298" si="966">SUM(BE298:BG298)</f>
        <v>0</v>
      </c>
      <c r="BE298" s="39">
        <v>0</v>
      </c>
      <c r="BF298" s="39">
        <v>0</v>
      </c>
      <c r="BG298" s="39">
        <v>0</v>
      </c>
      <c r="BH298" s="39">
        <f t="shared" ref="BH298" si="967">SUM(BK298:BK298)</f>
        <v>0</v>
      </c>
      <c r="BI298" s="39">
        <v>0</v>
      </c>
      <c r="BJ298" s="39">
        <v>0</v>
      </c>
      <c r="BK298" s="39">
        <v>0</v>
      </c>
      <c r="BL298" s="35"/>
      <c r="BM298" s="39">
        <v>0</v>
      </c>
      <c r="BN298" s="39">
        <f t="shared" ref="BN298" si="968">SUM(BO298)</f>
        <v>0</v>
      </c>
      <c r="BO298" s="39">
        <v>0</v>
      </c>
      <c r="BP298" s="39">
        <v>0</v>
      </c>
      <c r="BQ298" s="39">
        <f t="shared" ref="BQ298" si="969">SUM(BR298:CB298)</f>
        <v>0</v>
      </c>
      <c r="BR298" s="39">
        <v>0</v>
      </c>
      <c r="BS298" s="39">
        <v>0</v>
      </c>
      <c r="BT298" s="39">
        <v>0</v>
      </c>
      <c r="BU298" s="39">
        <v>0</v>
      </c>
      <c r="BV298" s="39">
        <v>0</v>
      </c>
      <c r="BW298" s="39">
        <v>0</v>
      </c>
      <c r="BX298" s="39">
        <v>0</v>
      </c>
      <c r="BY298" s="39">
        <v>0</v>
      </c>
      <c r="BZ298" s="39">
        <v>0</v>
      </c>
      <c r="CA298" s="39"/>
      <c r="CB298" s="39">
        <v>0</v>
      </c>
      <c r="CC298" s="39">
        <f t="shared" ref="CC298" si="970">SUM(CD298+CU298)</f>
        <v>0</v>
      </c>
      <c r="CD298" s="39">
        <f t="shared" ref="CD298" si="971">SUM(CE298+CH298+CN298)</f>
        <v>0</v>
      </c>
      <c r="CE298" s="39">
        <f t="shared" ref="CE298" si="972">SUM(CF298:CG298)</f>
        <v>0</v>
      </c>
      <c r="CF298" s="39">
        <v>0</v>
      </c>
      <c r="CG298" s="39"/>
      <c r="CH298" s="19">
        <f t="shared" ref="CH298" si="973">SUM(CI298:CM298)</f>
        <v>0</v>
      </c>
      <c r="CI298" s="39">
        <v>0</v>
      </c>
      <c r="CJ298" s="39">
        <v>0</v>
      </c>
      <c r="CK298" s="39">
        <v>0</v>
      </c>
      <c r="CL298" s="39">
        <v>0</v>
      </c>
      <c r="CM298" s="39">
        <v>0</v>
      </c>
      <c r="CN298" s="39">
        <f t="shared" ref="CN298" si="974">SUM(CO298:CQ298)</f>
        <v>0</v>
      </c>
      <c r="CO298" s="39">
        <v>0</v>
      </c>
      <c r="CP298" s="39">
        <v>0</v>
      </c>
      <c r="CQ298" s="39"/>
      <c r="CR298" s="39"/>
      <c r="CS298" s="39"/>
      <c r="CT298" s="39"/>
      <c r="CU298" s="39">
        <v>0</v>
      </c>
      <c r="CV298" s="74"/>
      <c r="CW298" s="74"/>
      <c r="CX298" s="74"/>
      <c r="CY298" s="74"/>
      <c r="CZ298" s="39">
        <f t="shared" ref="CZ298" si="975">SUM(DA298)</f>
        <v>0</v>
      </c>
      <c r="DA298" s="39">
        <f t="shared" ref="DA298" si="976">SUM(DB298:DC298)</f>
        <v>0</v>
      </c>
      <c r="DB298" s="39">
        <v>0</v>
      </c>
      <c r="DC298" s="41">
        <v>0</v>
      </c>
    </row>
    <row r="299" spans="1:108" s="52" customFormat="1" ht="15.6" x14ac:dyDescent="0.3">
      <c r="A299" s="97" t="s">
        <v>1</v>
      </c>
      <c r="B299" s="42" t="s">
        <v>301</v>
      </c>
      <c r="C299" s="43" t="s">
        <v>634</v>
      </c>
      <c r="D299" s="39">
        <f t="shared" si="958"/>
        <v>52935</v>
      </c>
      <c r="E299" s="39">
        <f t="shared" si="959"/>
        <v>52935</v>
      </c>
      <c r="F299" s="39">
        <f t="shared" ref="F299:F300" si="977">SUM(G299+H299+I299+P299+S299+T299+U299+AD299)</f>
        <v>0</v>
      </c>
      <c r="G299" s="39"/>
      <c r="H299" s="39"/>
      <c r="I299" s="39">
        <f t="shared" ref="I299:I300" si="978">SUM(J299:O299)</f>
        <v>0</v>
      </c>
      <c r="J299" s="39">
        <v>0</v>
      </c>
      <c r="K299" s="39">
        <v>0</v>
      </c>
      <c r="L299" s="39">
        <v>0</v>
      </c>
      <c r="M299" s="39">
        <v>0</v>
      </c>
      <c r="N299" s="39"/>
      <c r="O299" s="39"/>
      <c r="P299" s="39">
        <f t="shared" ref="P299:P305" si="979">SUM(Q299:R299)</f>
        <v>0</v>
      </c>
      <c r="Q299" s="39">
        <v>0</v>
      </c>
      <c r="R299" s="39"/>
      <c r="S299" s="39">
        <v>0</v>
      </c>
      <c r="T299" s="39"/>
      <c r="U299" s="39">
        <f t="shared" ref="U299:U305" si="980">SUM(V299:AC299)</f>
        <v>0</v>
      </c>
      <c r="V299" s="39">
        <v>0</v>
      </c>
      <c r="W299" s="39"/>
      <c r="X299" s="39"/>
      <c r="Y299" s="39"/>
      <c r="Z299" s="39">
        <v>0</v>
      </c>
      <c r="AA299" s="39">
        <v>0</v>
      </c>
      <c r="AB299" s="39">
        <v>0</v>
      </c>
      <c r="AC299" s="39">
        <v>0</v>
      </c>
      <c r="AD299" s="39">
        <f t="shared" ref="AD299:AD300" si="981">SUM(AE299:AY299)</f>
        <v>0</v>
      </c>
      <c r="AE299" s="39">
        <v>0</v>
      </c>
      <c r="AF299" s="39">
        <v>0</v>
      </c>
      <c r="AG299" s="39">
        <v>0</v>
      </c>
      <c r="AH299" s="39">
        <v>0</v>
      </c>
      <c r="AI299" s="39">
        <v>0</v>
      </c>
      <c r="AJ299" s="39">
        <v>0</v>
      </c>
      <c r="AK299" s="39">
        <v>0</v>
      </c>
      <c r="AL299" s="39">
        <v>0</v>
      </c>
      <c r="AM299" s="39">
        <v>0</v>
      </c>
      <c r="AN299" s="39">
        <v>0</v>
      </c>
      <c r="AO299" s="39">
        <v>0</v>
      </c>
      <c r="AP299" s="39">
        <v>0</v>
      </c>
      <c r="AQ299" s="39">
        <v>0</v>
      </c>
      <c r="AR299" s="39">
        <v>0</v>
      </c>
      <c r="AS299" s="39">
        <v>0</v>
      </c>
      <c r="AT299" s="39">
        <v>0</v>
      </c>
      <c r="AU299" s="39">
        <v>0</v>
      </c>
      <c r="AV299" s="39">
        <v>0</v>
      </c>
      <c r="AW299" s="39">
        <v>0</v>
      </c>
      <c r="AX299" s="39">
        <v>0</v>
      </c>
      <c r="AY299" s="39">
        <v>0</v>
      </c>
      <c r="AZ299" s="39"/>
      <c r="BA299" s="39"/>
      <c r="BB299" s="39"/>
      <c r="BC299" s="39">
        <f t="shared" ref="BC299:BC300" si="982">SUM(BD299+BH299+BL299+BN299+BQ299)</f>
        <v>52935</v>
      </c>
      <c r="BD299" s="39">
        <f t="shared" ref="BD299:BD300" si="983">SUM(BE299:BG299)</f>
        <v>0</v>
      </c>
      <c r="BE299" s="39">
        <v>0</v>
      </c>
      <c r="BF299" s="39">
        <v>0</v>
      </c>
      <c r="BG299" s="39">
        <v>0</v>
      </c>
      <c r="BH299" s="39">
        <f t="shared" ref="BH299:BH300" si="984">SUM(BK299:BK299)</f>
        <v>0</v>
      </c>
      <c r="BI299" s="39">
        <v>0</v>
      </c>
      <c r="BJ299" s="39">
        <v>0</v>
      </c>
      <c r="BK299" s="39">
        <v>0</v>
      </c>
      <c r="BL299" s="35">
        <f>0+52935</f>
        <v>52935</v>
      </c>
      <c r="BM299" s="39">
        <v>0</v>
      </c>
      <c r="BN299" s="39">
        <f t="shared" ref="BN299:BN305" si="985">SUM(BO299)</f>
        <v>0</v>
      </c>
      <c r="BO299" s="39">
        <v>0</v>
      </c>
      <c r="BP299" s="39">
        <v>0</v>
      </c>
      <c r="BQ299" s="39">
        <f t="shared" ref="BQ299:BQ300" si="986">SUM(BR299:CB299)</f>
        <v>0</v>
      </c>
      <c r="BR299" s="39">
        <v>0</v>
      </c>
      <c r="BS299" s="39">
        <v>0</v>
      </c>
      <c r="BT299" s="39">
        <v>0</v>
      </c>
      <c r="BU299" s="39">
        <v>0</v>
      </c>
      <c r="BV299" s="39">
        <v>0</v>
      </c>
      <c r="BW299" s="39">
        <v>0</v>
      </c>
      <c r="BX299" s="39">
        <v>0</v>
      </c>
      <c r="BY299" s="39">
        <v>0</v>
      </c>
      <c r="BZ299" s="39">
        <v>0</v>
      </c>
      <c r="CA299" s="39"/>
      <c r="CB299" s="39">
        <v>0</v>
      </c>
      <c r="CC299" s="39">
        <f t="shared" ref="CC299:CC310" si="987">SUM(CD299+CU299)</f>
        <v>0</v>
      </c>
      <c r="CD299" s="39">
        <f t="shared" ref="CD299:CD300" si="988">SUM(CE299+CH299+CN299)</f>
        <v>0</v>
      </c>
      <c r="CE299" s="39">
        <f t="shared" ref="CE299:CE300" si="989">SUM(CF299:CG299)</f>
        <v>0</v>
      </c>
      <c r="CF299" s="39">
        <v>0</v>
      </c>
      <c r="CG299" s="39"/>
      <c r="CH299" s="19">
        <f t="shared" ref="CH299:CH300" si="990">SUM(CI299:CM299)</f>
        <v>0</v>
      </c>
      <c r="CI299" s="39">
        <v>0</v>
      </c>
      <c r="CJ299" s="39">
        <v>0</v>
      </c>
      <c r="CK299" s="39">
        <v>0</v>
      </c>
      <c r="CL299" s="39">
        <v>0</v>
      </c>
      <c r="CM299" s="39">
        <v>0</v>
      </c>
      <c r="CN299" s="39">
        <f t="shared" ref="CN299:CN300" si="991">SUM(CO299:CQ299)</f>
        <v>0</v>
      </c>
      <c r="CO299" s="39">
        <v>0</v>
      </c>
      <c r="CP299" s="39">
        <v>0</v>
      </c>
      <c r="CQ299" s="39"/>
      <c r="CR299" s="39"/>
      <c r="CS299" s="39"/>
      <c r="CT299" s="39"/>
      <c r="CU299" s="39">
        <v>0</v>
      </c>
      <c r="CV299" s="74"/>
      <c r="CW299" s="74"/>
      <c r="CX299" s="74"/>
      <c r="CY299" s="74"/>
      <c r="CZ299" s="39">
        <f t="shared" ref="CZ299:CZ300" si="992">SUM(DA299)</f>
        <v>0</v>
      </c>
      <c r="DA299" s="39">
        <f t="shared" ref="DA299:DA305" si="993">SUM(DB299:DC299)</f>
        <v>0</v>
      </c>
      <c r="DB299" s="39">
        <v>0</v>
      </c>
      <c r="DC299" s="41">
        <v>0</v>
      </c>
    </row>
    <row r="300" spans="1:108" s="52" customFormat="1" ht="15.6" x14ac:dyDescent="0.3">
      <c r="A300" s="97" t="s">
        <v>1</v>
      </c>
      <c r="B300" s="42" t="s">
        <v>301</v>
      </c>
      <c r="C300" s="43" t="s">
        <v>636</v>
      </c>
      <c r="D300" s="39">
        <f t="shared" si="958"/>
        <v>5594056</v>
      </c>
      <c r="E300" s="39">
        <f t="shared" si="959"/>
        <v>5594056</v>
      </c>
      <c r="F300" s="39">
        <f t="shared" si="977"/>
        <v>0</v>
      </c>
      <c r="G300" s="39"/>
      <c r="H300" s="39"/>
      <c r="I300" s="39">
        <f t="shared" si="978"/>
        <v>0</v>
      </c>
      <c r="J300" s="39">
        <v>0</v>
      </c>
      <c r="K300" s="39">
        <v>0</v>
      </c>
      <c r="L300" s="39">
        <v>0</v>
      </c>
      <c r="M300" s="39">
        <v>0</v>
      </c>
      <c r="N300" s="39"/>
      <c r="O300" s="39"/>
      <c r="P300" s="39">
        <f t="shared" si="979"/>
        <v>0</v>
      </c>
      <c r="Q300" s="39">
        <v>0</v>
      </c>
      <c r="R300" s="39"/>
      <c r="S300" s="39">
        <v>0</v>
      </c>
      <c r="T300" s="39"/>
      <c r="U300" s="39">
        <f t="shared" si="980"/>
        <v>0</v>
      </c>
      <c r="V300" s="39">
        <v>0</v>
      </c>
      <c r="W300" s="39"/>
      <c r="X300" s="39"/>
      <c r="Y300" s="39"/>
      <c r="Z300" s="39">
        <v>0</v>
      </c>
      <c r="AA300" s="39">
        <v>0</v>
      </c>
      <c r="AB300" s="39">
        <v>0</v>
      </c>
      <c r="AC300" s="39">
        <v>0</v>
      </c>
      <c r="AD300" s="39">
        <f t="shared" si="981"/>
        <v>0</v>
      </c>
      <c r="AE300" s="39">
        <v>0</v>
      </c>
      <c r="AF300" s="39">
        <v>0</v>
      </c>
      <c r="AG300" s="39">
        <v>0</v>
      </c>
      <c r="AH300" s="39">
        <v>0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0</v>
      </c>
      <c r="AR300" s="39">
        <v>0</v>
      </c>
      <c r="AS300" s="39">
        <v>0</v>
      </c>
      <c r="AT300" s="39">
        <v>0</v>
      </c>
      <c r="AU300" s="39">
        <v>0</v>
      </c>
      <c r="AV300" s="39">
        <v>0</v>
      </c>
      <c r="AW300" s="39">
        <v>0</v>
      </c>
      <c r="AX300" s="39">
        <v>0</v>
      </c>
      <c r="AY300" s="39">
        <v>0</v>
      </c>
      <c r="AZ300" s="39"/>
      <c r="BA300" s="39"/>
      <c r="BB300" s="39"/>
      <c r="BC300" s="39">
        <f t="shared" si="982"/>
        <v>5594056</v>
      </c>
      <c r="BD300" s="39">
        <f t="shared" si="983"/>
        <v>0</v>
      </c>
      <c r="BE300" s="39">
        <v>0</v>
      </c>
      <c r="BF300" s="39">
        <v>0</v>
      </c>
      <c r="BG300" s="39">
        <v>0</v>
      </c>
      <c r="BH300" s="39">
        <f t="shared" si="984"/>
        <v>0</v>
      </c>
      <c r="BI300" s="39">
        <v>0</v>
      </c>
      <c r="BJ300" s="39">
        <v>0</v>
      </c>
      <c r="BK300" s="39">
        <v>0</v>
      </c>
      <c r="BL300" s="35">
        <f>0+5594056</f>
        <v>5594056</v>
      </c>
      <c r="BM300" s="39">
        <v>0</v>
      </c>
      <c r="BN300" s="39">
        <f t="shared" si="985"/>
        <v>0</v>
      </c>
      <c r="BO300" s="39">
        <v>0</v>
      </c>
      <c r="BP300" s="39">
        <v>0</v>
      </c>
      <c r="BQ300" s="39">
        <f t="shared" si="986"/>
        <v>0</v>
      </c>
      <c r="BR300" s="39">
        <v>0</v>
      </c>
      <c r="BS300" s="39">
        <v>0</v>
      </c>
      <c r="BT300" s="39">
        <v>0</v>
      </c>
      <c r="BU300" s="39">
        <v>0</v>
      </c>
      <c r="BV300" s="39">
        <v>0</v>
      </c>
      <c r="BW300" s="39">
        <v>0</v>
      </c>
      <c r="BX300" s="39">
        <v>0</v>
      </c>
      <c r="BY300" s="39">
        <v>0</v>
      </c>
      <c r="BZ300" s="39">
        <v>0</v>
      </c>
      <c r="CA300" s="39"/>
      <c r="CB300" s="39">
        <v>0</v>
      </c>
      <c r="CC300" s="39">
        <f t="shared" si="987"/>
        <v>0</v>
      </c>
      <c r="CD300" s="39">
        <f t="shared" si="988"/>
        <v>0</v>
      </c>
      <c r="CE300" s="39">
        <f t="shared" si="989"/>
        <v>0</v>
      </c>
      <c r="CF300" s="39">
        <v>0</v>
      </c>
      <c r="CG300" s="39"/>
      <c r="CH300" s="19">
        <f t="shared" si="990"/>
        <v>0</v>
      </c>
      <c r="CI300" s="39">
        <v>0</v>
      </c>
      <c r="CJ300" s="39">
        <v>0</v>
      </c>
      <c r="CK300" s="39">
        <v>0</v>
      </c>
      <c r="CL300" s="39">
        <v>0</v>
      </c>
      <c r="CM300" s="39">
        <v>0</v>
      </c>
      <c r="CN300" s="39">
        <f t="shared" si="991"/>
        <v>0</v>
      </c>
      <c r="CO300" s="39">
        <v>0</v>
      </c>
      <c r="CP300" s="39">
        <v>0</v>
      </c>
      <c r="CQ300" s="39"/>
      <c r="CR300" s="39"/>
      <c r="CS300" s="39"/>
      <c r="CT300" s="39"/>
      <c r="CU300" s="39">
        <v>0</v>
      </c>
      <c r="CV300" s="74"/>
      <c r="CW300" s="74"/>
      <c r="CX300" s="74"/>
      <c r="CY300" s="74"/>
      <c r="CZ300" s="39">
        <f t="shared" si="992"/>
        <v>0</v>
      </c>
      <c r="DA300" s="39">
        <f t="shared" si="993"/>
        <v>0</v>
      </c>
      <c r="DB300" s="39">
        <v>0</v>
      </c>
      <c r="DC300" s="41">
        <v>0</v>
      </c>
    </row>
    <row r="301" spans="1:108" s="52" customFormat="1" ht="31.2" x14ac:dyDescent="0.3">
      <c r="A301" s="97" t="s">
        <v>1</v>
      </c>
      <c r="B301" s="42" t="s">
        <v>301</v>
      </c>
      <c r="C301" s="43" t="s">
        <v>635</v>
      </c>
      <c r="D301" s="39">
        <f t="shared" ref="D301" si="994">SUM(E301+CC301+CZ301)</f>
        <v>240822</v>
      </c>
      <c r="E301" s="39">
        <f t="shared" ref="E301" si="995">SUM(F301+BC301)</f>
        <v>240822</v>
      </c>
      <c r="F301" s="39">
        <f t="shared" ref="F301" si="996">SUM(G301+H301+I301+P301+S301+T301+U301+AD301)</f>
        <v>0</v>
      </c>
      <c r="G301" s="39"/>
      <c r="H301" s="39"/>
      <c r="I301" s="39">
        <f t="shared" ref="I301" si="997">SUM(J301:O301)</f>
        <v>0</v>
      </c>
      <c r="J301" s="39">
        <v>0</v>
      </c>
      <c r="K301" s="39">
        <v>0</v>
      </c>
      <c r="L301" s="39">
        <v>0</v>
      </c>
      <c r="M301" s="39">
        <v>0</v>
      </c>
      <c r="N301" s="39"/>
      <c r="O301" s="39"/>
      <c r="P301" s="39">
        <f t="shared" ref="P301" si="998">SUM(Q301:R301)</f>
        <v>0</v>
      </c>
      <c r="Q301" s="39">
        <v>0</v>
      </c>
      <c r="R301" s="39"/>
      <c r="S301" s="39">
        <v>0</v>
      </c>
      <c r="T301" s="39"/>
      <c r="U301" s="39">
        <f t="shared" ref="U301" si="999">SUM(V301:AC301)</f>
        <v>0</v>
      </c>
      <c r="V301" s="39">
        <v>0</v>
      </c>
      <c r="W301" s="39"/>
      <c r="X301" s="39"/>
      <c r="Y301" s="39"/>
      <c r="Z301" s="39">
        <v>0</v>
      </c>
      <c r="AA301" s="39">
        <v>0</v>
      </c>
      <c r="AB301" s="39">
        <v>0</v>
      </c>
      <c r="AC301" s="39">
        <v>0</v>
      </c>
      <c r="AD301" s="39">
        <f t="shared" ref="AD301" si="1000">SUM(AE301:AY301)</f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9">
        <v>0</v>
      </c>
      <c r="AT301" s="39">
        <v>0</v>
      </c>
      <c r="AU301" s="39">
        <v>0</v>
      </c>
      <c r="AV301" s="39">
        <v>0</v>
      </c>
      <c r="AW301" s="39">
        <v>0</v>
      </c>
      <c r="AX301" s="39">
        <v>0</v>
      </c>
      <c r="AY301" s="39">
        <v>0</v>
      </c>
      <c r="AZ301" s="39"/>
      <c r="BA301" s="39"/>
      <c r="BB301" s="39"/>
      <c r="BC301" s="39">
        <f t="shared" ref="BC301" si="1001">SUM(BD301+BH301+BL301+BN301+BQ301)</f>
        <v>240822</v>
      </c>
      <c r="BD301" s="39">
        <f t="shared" ref="BD301" si="1002">SUM(BE301:BG301)</f>
        <v>0</v>
      </c>
      <c r="BE301" s="39">
        <v>0</v>
      </c>
      <c r="BF301" s="39">
        <v>0</v>
      </c>
      <c r="BG301" s="39">
        <v>0</v>
      </c>
      <c r="BH301" s="39">
        <f t="shared" ref="BH301" si="1003">SUM(BK301:BK301)</f>
        <v>0</v>
      </c>
      <c r="BI301" s="39">
        <v>0</v>
      </c>
      <c r="BJ301" s="39">
        <v>0</v>
      </c>
      <c r="BK301" s="39">
        <v>0</v>
      </c>
      <c r="BL301" s="35">
        <f>0+240822</f>
        <v>240822</v>
      </c>
      <c r="BM301" s="39">
        <v>0</v>
      </c>
      <c r="BN301" s="39">
        <f t="shared" ref="BN301" si="1004">SUM(BO301)</f>
        <v>0</v>
      </c>
      <c r="BO301" s="39">
        <v>0</v>
      </c>
      <c r="BP301" s="39">
        <v>0</v>
      </c>
      <c r="BQ301" s="39">
        <f t="shared" ref="BQ301" si="1005">SUM(BR301:CB301)</f>
        <v>0</v>
      </c>
      <c r="BR301" s="39">
        <v>0</v>
      </c>
      <c r="BS301" s="39">
        <v>0</v>
      </c>
      <c r="BT301" s="39">
        <v>0</v>
      </c>
      <c r="BU301" s="39">
        <v>0</v>
      </c>
      <c r="BV301" s="39">
        <v>0</v>
      </c>
      <c r="BW301" s="39">
        <v>0</v>
      </c>
      <c r="BX301" s="39">
        <v>0</v>
      </c>
      <c r="BY301" s="39">
        <v>0</v>
      </c>
      <c r="BZ301" s="39">
        <v>0</v>
      </c>
      <c r="CA301" s="39"/>
      <c r="CB301" s="39">
        <v>0</v>
      </c>
      <c r="CC301" s="39">
        <f t="shared" ref="CC301" si="1006">SUM(CD301+CU301)</f>
        <v>0</v>
      </c>
      <c r="CD301" s="39">
        <f t="shared" ref="CD301" si="1007">SUM(CE301+CH301+CN301)</f>
        <v>0</v>
      </c>
      <c r="CE301" s="39">
        <f t="shared" ref="CE301" si="1008">SUM(CF301:CG301)</f>
        <v>0</v>
      </c>
      <c r="CF301" s="39">
        <v>0</v>
      </c>
      <c r="CG301" s="39"/>
      <c r="CH301" s="19">
        <f t="shared" ref="CH301" si="1009">SUM(CI301:CM301)</f>
        <v>0</v>
      </c>
      <c r="CI301" s="39">
        <v>0</v>
      </c>
      <c r="CJ301" s="39">
        <v>0</v>
      </c>
      <c r="CK301" s="39">
        <v>0</v>
      </c>
      <c r="CL301" s="39">
        <v>0</v>
      </c>
      <c r="CM301" s="39">
        <v>0</v>
      </c>
      <c r="CN301" s="39">
        <f t="shared" ref="CN301" si="1010">SUM(CO301:CQ301)</f>
        <v>0</v>
      </c>
      <c r="CO301" s="39">
        <v>0</v>
      </c>
      <c r="CP301" s="39">
        <v>0</v>
      </c>
      <c r="CQ301" s="39"/>
      <c r="CR301" s="39"/>
      <c r="CS301" s="39"/>
      <c r="CT301" s="39"/>
      <c r="CU301" s="39">
        <v>0</v>
      </c>
      <c r="CV301" s="74"/>
      <c r="CW301" s="74"/>
      <c r="CX301" s="74"/>
      <c r="CY301" s="74"/>
      <c r="CZ301" s="39">
        <f t="shared" ref="CZ301" si="1011">SUM(DA301)</f>
        <v>0</v>
      </c>
      <c r="DA301" s="39">
        <f t="shared" ref="DA301" si="1012">SUM(DB301:DC301)</f>
        <v>0</v>
      </c>
      <c r="DB301" s="39">
        <v>0</v>
      </c>
      <c r="DC301" s="41">
        <v>0</v>
      </c>
    </row>
    <row r="302" spans="1:108" s="52" customFormat="1" ht="31.2" x14ac:dyDescent="0.3">
      <c r="A302" s="97" t="s">
        <v>1</v>
      </c>
      <c r="B302" s="42" t="s">
        <v>301</v>
      </c>
      <c r="C302" s="43" t="s">
        <v>637</v>
      </c>
      <c r="D302" s="39">
        <f t="shared" ref="D302" si="1013">SUM(E302+CC302+CZ302)</f>
        <v>5293226</v>
      </c>
      <c r="E302" s="39">
        <f t="shared" ref="E302" si="1014">SUM(F302+BC302)</f>
        <v>5293226</v>
      </c>
      <c r="F302" s="39">
        <f t="shared" ref="F302" si="1015">SUM(G302+H302+I302+P302+S302+T302+U302+AD302)</f>
        <v>0</v>
      </c>
      <c r="G302" s="39"/>
      <c r="H302" s="39"/>
      <c r="I302" s="39">
        <f t="shared" ref="I302" si="1016">SUM(J302:O302)</f>
        <v>0</v>
      </c>
      <c r="J302" s="39">
        <v>0</v>
      </c>
      <c r="K302" s="39">
        <v>0</v>
      </c>
      <c r="L302" s="39">
        <v>0</v>
      </c>
      <c r="M302" s="39">
        <v>0</v>
      </c>
      <c r="N302" s="39"/>
      <c r="O302" s="39"/>
      <c r="P302" s="39">
        <f t="shared" ref="P302" si="1017">SUM(Q302:R302)</f>
        <v>0</v>
      </c>
      <c r="Q302" s="39">
        <v>0</v>
      </c>
      <c r="R302" s="39"/>
      <c r="S302" s="39">
        <v>0</v>
      </c>
      <c r="T302" s="39"/>
      <c r="U302" s="39">
        <f t="shared" ref="U302" si="1018">SUM(V302:AC302)</f>
        <v>0</v>
      </c>
      <c r="V302" s="39">
        <v>0</v>
      </c>
      <c r="W302" s="39"/>
      <c r="X302" s="39"/>
      <c r="Y302" s="39"/>
      <c r="Z302" s="39">
        <v>0</v>
      </c>
      <c r="AA302" s="39">
        <v>0</v>
      </c>
      <c r="AB302" s="39">
        <v>0</v>
      </c>
      <c r="AC302" s="39">
        <v>0</v>
      </c>
      <c r="AD302" s="39">
        <f t="shared" ref="AD302" si="1019">SUM(AE302:AY302)</f>
        <v>0</v>
      </c>
      <c r="AE302" s="39">
        <v>0</v>
      </c>
      <c r="AF302" s="39">
        <v>0</v>
      </c>
      <c r="AG302" s="39">
        <v>0</v>
      </c>
      <c r="AH302" s="39">
        <v>0</v>
      </c>
      <c r="AI302" s="39">
        <v>0</v>
      </c>
      <c r="AJ302" s="39">
        <v>0</v>
      </c>
      <c r="AK302" s="39">
        <v>0</v>
      </c>
      <c r="AL302" s="39">
        <v>0</v>
      </c>
      <c r="AM302" s="39">
        <v>0</v>
      </c>
      <c r="AN302" s="39">
        <v>0</v>
      </c>
      <c r="AO302" s="39">
        <v>0</v>
      </c>
      <c r="AP302" s="39">
        <v>0</v>
      </c>
      <c r="AQ302" s="39">
        <v>0</v>
      </c>
      <c r="AR302" s="39">
        <v>0</v>
      </c>
      <c r="AS302" s="39">
        <v>0</v>
      </c>
      <c r="AT302" s="39">
        <v>0</v>
      </c>
      <c r="AU302" s="39">
        <v>0</v>
      </c>
      <c r="AV302" s="39">
        <v>0</v>
      </c>
      <c r="AW302" s="39">
        <v>0</v>
      </c>
      <c r="AX302" s="39">
        <v>0</v>
      </c>
      <c r="AY302" s="39">
        <v>0</v>
      </c>
      <c r="AZ302" s="39"/>
      <c r="BA302" s="39"/>
      <c r="BB302" s="39"/>
      <c r="BC302" s="39">
        <f t="shared" ref="BC302" si="1020">SUM(BD302+BH302+BL302+BN302+BQ302)</f>
        <v>5293226</v>
      </c>
      <c r="BD302" s="39">
        <f t="shared" ref="BD302" si="1021">SUM(BE302:BG302)</f>
        <v>0</v>
      </c>
      <c r="BE302" s="39">
        <v>0</v>
      </c>
      <c r="BF302" s="39">
        <v>0</v>
      </c>
      <c r="BG302" s="39">
        <v>0</v>
      </c>
      <c r="BH302" s="39">
        <f t="shared" ref="BH302" si="1022">SUM(BK302:BK302)</f>
        <v>0</v>
      </c>
      <c r="BI302" s="39">
        <v>0</v>
      </c>
      <c r="BJ302" s="39">
        <v>0</v>
      </c>
      <c r="BK302" s="39">
        <v>0</v>
      </c>
      <c r="BL302" s="35">
        <f>0+5295200-1974</f>
        <v>5293226</v>
      </c>
      <c r="BM302" s="39">
        <v>0</v>
      </c>
      <c r="BN302" s="39">
        <f t="shared" ref="BN302" si="1023">SUM(BO302)</f>
        <v>0</v>
      </c>
      <c r="BO302" s="39">
        <v>0</v>
      </c>
      <c r="BP302" s="39">
        <v>0</v>
      </c>
      <c r="BQ302" s="39">
        <f t="shared" ref="BQ302" si="1024">SUM(BR302:CB302)</f>
        <v>0</v>
      </c>
      <c r="BR302" s="39">
        <v>0</v>
      </c>
      <c r="BS302" s="39">
        <v>0</v>
      </c>
      <c r="BT302" s="39">
        <v>0</v>
      </c>
      <c r="BU302" s="39">
        <v>0</v>
      </c>
      <c r="BV302" s="39">
        <v>0</v>
      </c>
      <c r="BW302" s="39">
        <v>0</v>
      </c>
      <c r="BX302" s="39">
        <v>0</v>
      </c>
      <c r="BY302" s="39">
        <v>0</v>
      </c>
      <c r="BZ302" s="39">
        <v>0</v>
      </c>
      <c r="CA302" s="39"/>
      <c r="CB302" s="39">
        <v>0</v>
      </c>
      <c r="CC302" s="39">
        <f t="shared" ref="CC302" si="1025">SUM(CD302+CU302)</f>
        <v>0</v>
      </c>
      <c r="CD302" s="39">
        <f t="shared" ref="CD302" si="1026">SUM(CE302+CH302+CN302)</f>
        <v>0</v>
      </c>
      <c r="CE302" s="39">
        <f t="shared" ref="CE302" si="1027">SUM(CF302:CG302)</f>
        <v>0</v>
      </c>
      <c r="CF302" s="39">
        <v>0</v>
      </c>
      <c r="CG302" s="39"/>
      <c r="CH302" s="19">
        <f t="shared" ref="CH302" si="1028">SUM(CI302:CM302)</f>
        <v>0</v>
      </c>
      <c r="CI302" s="39">
        <v>0</v>
      </c>
      <c r="CJ302" s="39">
        <v>0</v>
      </c>
      <c r="CK302" s="39">
        <v>0</v>
      </c>
      <c r="CL302" s="39">
        <v>0</v>
      </c>
      <c r="CM302" s="39">
        <v>0</v>
      </c>
      <c r="CN302" s="39">
        <f t="shared" ref="CN302" si="1029">SUM(CO302:CQ302)</f>
        <v>0</v>
      </c>
      <c r="CO302" s="39">
        <v>0</v>
      </c>
      <c r="CP302" s="39">
        <v>0</v>
      </c>
      <c r="CQ302" s="39"/>
      <c r="CR302" s="39"/>
      <c r="CS302" s="39"/>
      <c r="CT302" s="39"/>
      <c r="CU302" s="39">
        <v>0</v>
      </c>
      <c r="CV302" s="74"/>
      <c r="CW302" s="74"/>
      <c r="CX302" s="74"/>
      <c r="CY302" s="74"/>
      <c r="CZ302" s="39">
        <f t="shared" ref="CZ302" si="1030">SUM(DA302)</f>
        <v>0</v>
      </c>
      <c r="DA302" s="39">
        <f t="shared" ref="DA302" si="1031">SUM(DB302:DC302)</f>
        <v>0</v>
      </c>
      <c r="DB302" s="39">
        <v>0</v>
      </c>
      <c r="DC302" s="41">
        <v>0</v>
      </c>
    </row>
    <row r="303" spans="1:108" s="52" customFormat="1" ht="31.2" x14ac:dyDescent="0.3">
      <c r="A303" s="97" t="s">
        <v>1</v>
      </c>
      <c r="B303" s="42" t="s">
        <v>301</v>
      </c>
      <c r="C303" s="43" t="s">
        <v>638</v>
      </c>
      <c r="D303" s="39">
        <f t="shared" ref="D303" si="1032">SUM(E303+CC303+CZ303)</f>
        <v>96964</v>
      </c>
      <c r="E303" s="39">
        <f t="shared" ref="E303" si="1033">SUM(F303+BC303)</f>
        <v>96964</v>
      </c>
      <c r="F303" s="39">
        <f t="shared" ref="F303" si="1034">SUM(G303+H303+I303+P303+S303+T303+U303+AD303)</f>
        <v>0</v>
      </c>
      <c r="G303" s="39"/>
      <c r="H303" s="39"/>
      <c r="I303" s="39">
        <f t="shared" ref="I303" si="1035">SUM(J303:O303)</f>
        <v>0</v>
      </c>
      <c r="J303" s="39">
        <v>0</v>
      </c>
      <c r="K303" s="39">
        <v>0</v>
      </c>
      <c r="L303" s="39">
        <v>0</v>
      </c>
      <c r="M303" s="39">
        <v>0</v>
      </c>
      <c r="N303" s="39"/>
      <c r="O303" s="39"/>
      <c r="P303" s="39">
        <f t="shared" ref="P303" si="1036">SUM(Q303:R303)</f>
        <v>0</v>
      </c>
      <c r="Q303" s="39">
        <v>0</v>
      </c>
      <c r="R303" s="39"/>
      <c r="S303" s="39">
        <v>0</v>
      </c>
      <c r="T303" s="39"/>
      <c r="U303" s="39">
        <f t="shared" ref="U303" si="1037">SUM(V303:AC303)</f>
        <v>0</v>
      </c>
      <c r="V303" s="39">
        <v>0</v>
      </c>
      <c r="W303" s="39"/>
      <c r="X303" s="39"/>
      <c r="Y303" s="39"/>
      <c r="Z303" s="39">
        <v>0</v>
      </c>
      <c r="AA303" s="39">
        <v>0</v>
      </c>
      <c r="AB303" s="39">
        <v>0</v>
      </c>
      <c r="AC303" s="39">
        <v>0</v>
      </c>
      <c r="AD303" s="39">
        <f t="shared" ref="AD303" si="1038">SUM(AE303:AY303)</f>
        <v>0</v>
      </c>
      <c r="AE303" s="39">
        <v>0</v>
      </c>
      <c r="AF303" s="39">
        <v>0</v>
      </c>
      <c r="AG303" s="39">
        <v>0</v>
      </c>
      <c r="AH303" s="39">
        <v>0</v>
      </c>
      <c r="AI303" s="39">
        <v>0</v>
      </c>
      <c r="AJ303" s="39">
        <v>0</v>
      </c>
      <c r="AK303" s="39">
        <v>0</v>
      </c>
      <c r="AL303" s="39">
        <v>0</v>
      </c>
      <c r="AM303" s="39">
        <v>0</v>
      </c>
      <c r="AN303" s="39">
        <v>0</v>
      </c>
      <c r="AO303" s="39">
        <v>0</v>
      </c>
      <c r="AP303" s="39">
        <v>0</v>
      </c>
      <c r="AQ303" s="39">
        <v>0</v>
      </c>
      <c r="AR303" s="39">
        <v>0</v>
      </c>
      <c r="AS303" s="39">
        <v>0</v>
      </c>
      <c r="AT303" s="39">
        <v>0</v>
      </c>
      <c r="AU303" s="39">
        <v>0</v>
      </c>
      <c r="AV303" s="39">
        <v>0</v>
      </c>
      <c r="AW303" s="39">
        <v>0</v>
      </c>
      <c r="AX303" s="39">
        <v>0</v>
      </c>
      <c r="AY303" s="39">
        <v>0</v>
      </c>
      <c r="AZ303" s="39"/>
      <c r="BA303" s="39"/>
      <c r="BB303" s="39"/>
      <c r="BC303" s="39">
        <f t="shared" ref="BC303" si="1039">SUM(BD303+BH303+BL303+BN303+BQ303)</f>
        <v>96964</v>
      </c>
      <c r="BD303" s="39">
        <f t="shared" ref="BD303" si="1040">SUM(BE303:BG303)</f>
        <v>0</v>
      </c>
      <c r="BE303" s="39">
        <v>0</v>
      </c>
      <c r="BF303" s="39">
        <v>0</v>
      </c>
      <c r="BG303" s="39">
        <v>0</v>
      </c>
      <c r="BH303" s="39">
        <f t="shared" ref="BH303" si="1041">SUM(BK303:BK303)</f>
        <v>0</v>
      </c>
      <c r="BI303" s="39">
        <v>0</v>
      </c>
      <c r="BJ303" s="39">
        <v>0</v>
      </c>
      <c r="BK303" s="39">
        <v>0</v>
      </c>
      <c r="BL303" s="35">
        <f>0+96964</f>
        <v>96964</v>
      </c>
      <c r="BM303" s="39">
        <v>0</v>
      </c>
      <c r="BN303" s="39">
        <f t="shared" ref="BN303" si="1042">SUM(BO303)</f>
        <v>0</v>
      </c>
      <c r="BO303" s="39">
        <v>0</v>
      </c>
      <c r="BP303" s="39">
        <v>0</v>
      </c>
      <c r="BQ303" s="39">
        <f t="shared" ref="BQ303" si="1043">SUM(BR303:CB303)</f>
        <v>0</v>
      </c>
      <c r="BR303" s="39">
        <v>0</v>
      </c>
      <c r="BS303" s="39">
        <v>0</v>
      </c>
      <c r="BT303" s="39">
        <v>0</v>
      </c>
      <c r="BU303" s="39">
        <v>0</v>
      </c>
      <c r="BV303" s="39">
        <v>0</v>
      </c>
      <c r="BW303" s="39">
        <v>0</v>
      </c>
      <c r="BX303" s="39">
        <v>0</v>
      </c>
      <c r="BY303" s="39">
        <v>0</v>
      </c>
      <c r="BZ303" s="39">
        <v>0</v>
      </c>
      <c r="CA303" s="39"/>
      <c r="CB303" s="39">
        <v>0</v>
      </c>
      <c r="CC303" s="39">
        <f t="shared" ref="CC303" si="1044">SUM(CD303+CU303)</f>
        <v>0</v>
      </c>
      <c r="CD303" s="39">
        <f t="shared" ref="CD303" si="1045">SUM(CE303+CH303+CN303)</f>
        <v>0</v>
      </c>
      <c r="CE303" s="39">
        <f t="shared" ref="CE303" si="1046">SUM(CF303:CG303)</f>
        <v>0</v>
      </c>
      <c r="CF303" s="39">
        <v>0</v>
      </c>
      <c r="CG303" s="39"/>
      <c r="CH303" s="19">
        <f t="shared" ref="CH303" si="1047">SUM(CI303:CM303)</f>
        <v>0</v>
      </c>
      <c r="CI303" s="39">
        <v>0</v>
      </c>
      <c r="CJ303" s="39">
        <v>0</v>
      </c>
      <c r="CK303" s="39">
        <v>0</v>
      </c>
      <c r="CL303" s="39">
        <v>0</v>
      </c>
      <c r="CM303" s="39">
        <v>0</v>
      </c>
      <c r="CN303" s="39">
        <f t="shared" ref="CN303" si="1048">SUM(CO303:CQ303)</f>
        <v>0</v>
      </c>
      <c r="CO303" s="39">
        <v>0</v>
      </c>
      <c r="CP303" s="39">
        <v>0</v>
      </c>
      <c r="CQ303" s="39"/>
      <c r="CR303" s="39"/>
      <c r="CS303" s="39"/>
      <c r="CT303" s="39"/>
      <c r="CU303" s="39">
        <v>0</v>
      </c>
      <c r="CV303" s="74"/>
      <c r="CW303" s="74"/>
      <c r="CX303" s="74"/>
      <c r="CY303" s="74"/>
      <c r="CZ303" s="39">
        <f t="shared" ref="CZ303" si="1049">SUM(DA303)</f>
        <v>0</v>
      </c>
      <c r="DA303" s="39">
        <f t="shared" ref="DA303" si="1050">SUM(DB303:DC303)</f>
        <v>0</v>
      </c>
      <c r="DB303" s="39">
        <v>0</v>
      </c>
      <c r="DC303" s="41">
        <v>0</v>
      </c>
    </row>
    <row r="304" spans="1:108" s="52" customFormat="1" ht="31.2" x14ac:dyDescent="0.3">
      <c r="A304" s="97" t="s">
        <v>1</v>
      </c>
      <c r="B304" s="42" t="s">
        <v>301</v>
      </c>
      <c r="C304" s="43" t="s">
        <v>576</v>
      </c>
      <c r="D304" s="39">
        <f t="shared" ref="D304" si="1051">SUM(E304+CC304+CZ304)</f>
        <v>798923</v>
      </c>
      <c r="E304" s="39">
        <f t="shared" ref="E304" si="1052">SUM(F304+BC304)</f>
        <v>798923</v>
      </c>
      <c r="F304" s="39">
        <f t="shared" ref="F304" si="1053">SUM(G304+H304+I304+P304+S304+T304+U304+AD304)</f>
        <v>0</v>
      </c>
      <c r="G304" s="39"/>
      <c r="H304" s="39"/>
      <c r="I304" s="39">
        <f t="shared" ref="I304" si="1054">SUM(J304:O304)</f>
        <v>0</v>
      </c>
      <c r="J304" s="39">
        <v>0</v>
      </c>
      <c r="K304" s="39">
        <v>0</v>
      </c>
      <c r="L304" s="39">
        <v>0</v>
      </c>
      <c r="M304" s="39">
        <v>0</v>
      </c>
      <c r="N304" s="39"/>
      <c r="O304" s="39"/>
      <c r="P304" s="39">
        <f t="shared" ref="P304" si="1055">SUM(Q304:R304)</f>
        <v>0</v>
      </c>
      <c r="Q304" s="39">
        <v>0</v>
      </c>
      <c r="R304" s="39"/>
      <c r="S304" s="39">
        <v>0</v>
      </c>
      <c r="T304" s="39"/>
      <c r="U304" s="39">
        <f t="shared" ref="U304" si="1056">SUM(V304:AC304)</f>
        <v>0</v>
      </c>
      <c r="V304" s="39">
        <v>0</v>
      </c>
      <c r="W304" s="39"/>
      <c r="X304" s="39"/>
      <c r="Y304" s="39"/>
      <c r="Z304" s="39">
        <v>0</v>
      </c>
      <c r="AA304" s="39">
        <v>0</v>
      </c>
      <c r="AB304" s="39">
        <v>0</v>
      </c>
      <c r="AC304" s="39">
        <v>0</v>
      </c>
      <c r="AD304" s="39">
        <f t="shared" ref="AD304" si="1057">SUM(AE304:AY304)</f>
        <v>0</v>
      </c>
      <c r="AE304" s="39">
        <v>0</v>
      </c>
      <c r="AF304" s="39">
        <v>0</v>
      </c>
      <c r="AG304" s="39">
        <v>0</v>
      </c>
      <c r="AH304" s="39">
        <v>0</v>
      </c>
      <c r="AI304" s="39">
        <v>0</v>
      </c>
      <c r="AJ304" s="39">
        <v>0</v>
      </c>
      <c r="AK304" s="39">
        <v>0</v>
      </c>
      <c r="AL304" s="39">
        <v>0</v>
      </c>
      <c r="AM304" s="39">
        <v>0</v>
      </c>
      <c r="AN304" s="39">
        <v>0</v>
      </c>
      <c r="AO304" s="39">
        <v>0</v>
      </c>
      <c r="AP304" s="39">
        <v>0</v>
      </c>
      <c r="AQ304" s="39">
        <v>0</v>
      </c>
      <c r="AR304" s="39">
        <v>0</v>
      </c>
      <c r="AS304" s="39">
        <v>0</v>
      </c>
      <c r="AT304" s="39">
        <v>0</v>
      </c>
      <c r="AU304" s="39">
        <v>0</v>
      </c>
      <c r="AV304" s="39">
        <v>0</v>
      </c>
      <c r="AW304" s="39">
        <v>0</v>
      </c>
      <c r="AX304" s="39">
        <v>0</v>
      </c>
      <c r="AY304" s="39">
        <v>0</v>
      </c>
      <c r="AZ304" s="39"/>
      <c r="BA304" s="39"/>
      <c r="BB304" s="39"/>
      <c r="BC304" s="39">
        <f t="shared" ref="BC304" si="1058">SUM(BD304+BH304+BL304+BN304+BQ304)</f>
        <v>798923</v>
      </c>
      <c r="BD304" s="39">
        <f t="shared" ref="BD304" si="1059">SUM(BE304:BG304)</f>
        <v>0</v>
      </c>
      <c r="BE304" s="39">
        <v>0</v>
      </c>
      <c r="BF304" s="39">
        <v>0</v>
      </c>
      <c r="BG304" s="39">
        <v>0</v>
      </c>
      <c r="BH304" s="39">
        <f t="shared" ref="BH304" si="1060">SUM(BK304:BK304)</f>
        <v>0</v>
      </c>
      <c r="BI304" s="39">
        <v>0</v>
      </c>
      <c r="BJ304" s="39">
        <v>0</v>
      </c>
      <c r="BK304" s="39">
        <v>0</v>
      </c>
      <c r="BL304" s="35">
        <v>798923</v>
      </c>
      <c r="BM304" s="39">
        <v>0</v>
      </c>
      <c r="BN304" s="39">
        <f t="shared" ref="BN304" si="1061">SUM(BO304)</f>
        <v>0</v>
      </c>
      <c r="BO304" s="39">
        <v>0</v>
      </c>
      <c r="BP304" s="39">
        <v>0</v>
      </c>
      <c r="BQ304" s="39">
        <f t="shared" ref="BQ304" si="1062">SUM(BR304:CB304)</f>
        <v>0</v>
      </c>
      <c r="BR304" s="39">
        <v>0</v>
      </c>
      <c r="BS304" s="39">
        <v>0</v>
      </c>
      <c r="BT304" s="39">
        <v>0</v>
      </c>
      <c r="BU304" s="39">
        <v>0</v>
      </c>
      <c r="BV304" s="39">
        <v>0</v>
      </c>
      <c r="BW304" s="39">
        <v>0</v>
      </c>
      <c r="BX304" s="39">
        <v>0</v>
      </c>
      <c r="BY304" s="39">
        <v>0</v>
      </c>
      <c r="BZ304" s="39">
        <v>0</v>
      </c>
      <c r="CA304" s="39"/>
      <c r="CB304" s="39">
        <v>0</v>
      </c>
      <c r="CC304" s="39">
        <f t="shared" ref="CC304" si="1063">SUM(CD304+CU304)</f>
        <v>0</v>
      </c>
      <c r="CD304" s="39">
        <f t="shared" ref="CD304" si="1064">SUM(CE304+CH304+CN304)</f>
        <v>0</v>
      </c>
      <c r="CE304" s="39">
        <f t="shared" ref="CE304" si="1065">SUM(CF304:CG304)</f>
        <v>0</v>
      </c>
      <c r="CF304" s="39">
        <v>0</v>
      </c>
      <c r="CG304" s="39"/>
      <c r="CH304" s="19">
        <f t="shared" ref="CH304" si="1066">SUM(CI304:CM304)</f>
        <v>0</v>
      </c>
      <c r="CI304" s="39">
        <v>0</v>
      </c>
      <c r="CJ304" s="39">
        <v>0</v>
      </c>
      <c r="CK304" s="39">
        <v>0</v>
      </c>
      <c r="CL304" s="39">
        <v>0</v>
      </c>
      <c r="CM304" s="39">
        <v>0</v>
      </c>
      <c r="CN304" s="39">
        <f t="shared" ref="CN304" si="1067">SUM(CO304:CQ304)</f>
        <v>0</v>
      </c>
      <c r="CO304" s="39">
        <v>0</v>
      </c>
      <c r="CP304" s="39">
        <v>0</v>
      </c>
      <c r="CQ304" s="39"/>
      <c r="CR304" s="39"/>
      <c r="CS304" s="39"/>
      <c r="CT304" s="39"/>
      <c r="CU304" s="39">
        <v>0</v>
      </c>
      <c r="CV304" s="74"/>
      <c r="CW304" s="74"/>
      <c r="CX304" s="74"/>
      <c r="CY304" s="74"/>
      <c r="CZ304" s="39">
        <f t="shared" ref="CZ304" si="1068">SUM(DA304)</f>
        <v>0</v>
      </c>
      <c r="DA304" s="39">
        <f t="shared" ref="DA304" si="1069">SUM(DB304:DC304)</f>
        <v>0</v>
      </c>
      <c r="DB304" s="39">
        <v>0</v>
      </c>
      <c r="DC304" s="41">
        <v>0</v>
      </c>
    </row>
    <row r="305" spans="1:108" s="78" customFormat="1" ht="15.6" x14ac:dyDescent="0.3">
      <c r="A305" s="96" t="s">
        <v>1</v>
      </c>
      <c r="B305" s="89" t="s">
        <v>301</v>
      </c>
      <c r="C305" s="90" t="s">
        <v>303</v>
      </c>
      <c r="D305" s="74">
        <f t="shared" si="958"/>
        <v>135641820</v>
      </c>
      <c r="E305" s="74">
        <f t="shared" si="959"/>
        <v>135641820</v>
      </c>
      <c r="F305" s="74">
        <f t="shared" ref="F305" si="1070">SUM(G305+H305+I305+P305+S305+T305+U305+AD305)</f>
        <v>0</v>
      </c>
      <c r="G305" s="74"/>
      <c r="H305" s="74"/>
      <c r="I305" s="74">
        <f t="shared" ref="I305" si="1071">SUM(J305:O305)</f>
        <v>0</v>
      </c>
      <c r="J305" s="74">
        <v>0</v>
      </c>
      <c r="K305" s="74">
        <v>0</v>
      </c>
      <c r="L305" s="74">
        <v>0</v>
      </c>
      <c r="M305" s="74">
        <v>0</v>
      </c>
      <c r="N305" s="74"/>
      <c r="O305" s="74"/>
      <c r="P305" s="74">
        <f t="shared" si="979"/>
        <v>0</v>
      </c>
      <c r="Q305" s="74">
        <v>0</v>
      </c>
      <c r="R305" s="74"/>
      <c r="S305" s="74">
        <v>0</v>
      </c>
      <c r="T305" s="74"/>
      <c r="U305" s="74">
        <f t="shared" si="980"/>
        <v>0</v>
      </c>
      <c r="V305" s="74">
        <v>0</v>
      </c>
      <c r="W305" s="74"/>
      <c r="X305" s="74"/>
      <c r="Y305" s="74"/>
      <c r="Z305" s="74">
        <v>0</v>
      </c>
      <c r="AA305" s="74">
        <v>0</v>
      </c>
      <c r="AB305" s="74">
        <v>0</v>
      </c>
      <c r="AC305" s="74">
        <v>0</v>
      </c>
      <c r="AD305" s="74">
        <f>SUM(AE305:AY305)</f>
        <v>0</v>
      </c>
      <c r="AE305" s="74">
        <v>0</v>
      </c>
      <c r="AF305" s="74">
        <v>0</v>
      </c>
      <c r="AG305" s="74">
        <v>0</v>
      </c>
      <c r="AH305" s="74">
        <v>0</v>
      </c>
      <c r="AI305" s="74">
        <v>0</v>
      </c>
      <c r="AJ305" s="74">
        <v>0</v>
      </c>
      <c r="AK305" s="74">
        <v>0</v>
      </c>
      <c r="AL305" s="74">
        <v>0</v>
      </c>
      <c r="AM305" s="74">
        <v>0</v>
      </c>
      <c r="AN305" s="74">
        <v>0</v>
      </c>
      <c r="AO305" s="74">
        <v>0</v>
      </c>
      <c r="AP305" s="74">
        <v>0</v>
      </c>
      <c r="AQ305" s="74">
        <v>0</v>
      </c>
      <c r="AR305" s="74">
        <v>0</v>
      </c>
      <c r="AS305" s="74">
        <v>0</v>
      </c>
      <c r="AT305" s="74">
        <v>0</v>
      </c>
      <c r="AU305" s="74">
        <v>0</v>
      </c>
      <c r="AV305" s="74">
        <v>0</v>
      </c>
      <c r="AW305" s="74">
        <v>0</v>
      </c>
      <c r="AX305" s="74">
        <v>0</v>
      </c>
      <c r="AY305" s="74">
        <v>0</v>
      </c>
      <c r="AZ305" s="74"/>
      <c r="BA305" s="74"/>
      <c r="BB305" s="74"/>
      <c r="BC305" s="74">
        <f>SUM(BD305+BH305+BL305+BN305+BQ305)</f>
        <v>135641820</v>
      </c>
      <c r="BD305" s="74">
        <f t="shared" ref="BD305" si="1072">SUM(BE305:BG305)</f>
        <v>0</v>
      </c>
      <c r="BE305" s="74">
        <v>0</v>
      </c>
      <c r="BF305" s="74">
        <v>0</v>
      </c>
      <c r="BG305" s="74">
        <v>0</v>
      </c>
      <c r="BH305" s="74">
        <f>SUM(BK305:BK305)</f>
        <v>0</v>
      </c>
      <c r="BI305" s="74">
        <v>0</v>
      </c>
      <c r="BJ305" s="74">
        <v>0</v>
      </c>
      <c r="BK305" s="74">
        <v>0</v>
      </c>
      <c r="BL305" s="75">
        <f>235641820-100000000</f>
        <v>135641820</v>
      </c>
      <c r="BM305" s="74">
        <v>0</v>
      </c>
      <c r="BN305" s="74">
        <f t="shared" si="985"/>
        <v>0</v>
      </c>
      <c r="BO305" s="74">
        <v>0</v>
      </c>
      <c r="BP305" s="74">
        <v>0</v>
      </c>
      <c r="BQ305" s="74">
        <f t="shared" ref="BQ305" si="1073">SUM(BR305:CB305)</f>
        <v>0</v>
      </c>
      <c r="BR305" s="74">
        <v>0</v>
      </c>
      <c r="BS305" s="74">
        <v>0</v>
      </c>
      <c r="BT305" s="74">
        <v>0</v>
      </c>
      <c r="BU305" s="74">
        <v>0</v>
      </c>
      <c r="BV305" s="74">
        <v>0</v>
      </c>
      <c r="BW305" s="74">
        <v>0</v>
      </c>
      <c r="BX305" s="74">
        <v>0</v>
      </c>
      <c r="BY305" s="74">
        <v>0</v>
      </c>
      <c r="BZ305" s="74">
        <v>0</v>
      </c>
      <c r="CA305" s="74"/>
      <c r="CB305" s="74">
        <v>0</v>
      </c>
      <c r="CC305" s="74">
        <f t="shared" ref="CC305" si="1074">SUM(CD305+CU305)</f>
        <v>0</v>
      </c>
      <c r="CD305" s="74">
        <f>SUM(CE305+CH305+CN305)</f>
        <v>0</v>
      </c>
      <c r="CE305" s="74">
        <f t="shared" ref="CE305" si="1075">SUM(CF305:CG305)</f>
        <v>0</v>
      </c>
      <c r="CF305" s="74">
        <v>0</v>
      </c>
      <c r="CG305" s="74"/>
      <c r="CH305" s="74">
        <f>SUM(CI305:CM305)</f>
        <v>0</v>
      </c>
      <c r="CI305" s="74">
        <v>0</v>
      </c>
      <c r="CJ305" s="74">
        <v>0</v>
      </c>
      <c r="CK305" s="74">
        <v>0</v>
      </c>
      <c r="CL305" s="74">
        <v>0</v>
      </c>
      <c r="CM305" s="74">
        <v>0</v>
      </c>
      <c r="CN305" s="74">
        <f t="shared" ref="CN305" si="1076">SUM(CO305:CQ305)</f>
        <v>0</v>
      </c>
      <c r="CO305" s="74">
        <v>0</v>
      </c>
      <c r="CP305" s="74">
        <v>0</v>
      </c>
      <c r="CQ305" s="74"/>
      <c r="CR305" s="74"/>
      <c r="CS305" s="74"/>
      <c r="CT305" s="74"/>
      <c r="CU305" s="74">
        <v>0</v>
      </c>
      <c r="CV305" s="74"/>
      <c r="CW305" s="74"/>
      <c r="CX305" s="74"/>
      <c r="CY305" s="74"/>
      <c r="CZ305" s="74">
        <f t="shared" ref="CZ305" si="1077">SUM(DA305)</f>
        <v>0</v>
      </c>
      <c r="DA305" s="74">
        <f t="shared" si="993"/>
        <v>0</v>
      </c>
      <c r="DB305" s="74">
        <v>0</v>
      </c>
      <c r="DC305" s="77">
        <v>0</v>
      </c>
    </row>
    <row r="306" spans="1:108" s="88" customFormat="1" ht="15.6" x14ac:dyDescent="0.3">
      <c r="A306" s="96" t="s">
        <v>1</v>
      </c>
      <c r="B306" s="89" t="s">
        <v>301</v>
      </c>
      <c r="C306" s="90" t="s">
        <v>506</v>
      </c>
      <c r="D306" s="74">
        <f t="shared" si="958"/>
        <v>24682425</v>
      </c>
      <c r="E306" s="74">
        <f t="shared" si="959"/>
        <v>24682425</v>
      </c>
      <c r="F306" s="74">
        <f t="shared" ref="F306" si="1078">SUM(G306+H306+I306+P306+S306+T306+U306+AD306)</f>
        <v>0</v>
      </c>
      <c r="G306" s="74"/>
      <c r="H306" s="74"/>
      <c r="I306" s="74">
        <f t="shared" ref="I306" si="1079">SUM(J306:O306)</f>
        <v>0</v>
      </c>
      <c r="J306" s="74">
        <v>0</v>
      </c>
      <c r="K306" s="74">
        <v>0</v>
      </c>
      <c r="L306" s="74">
        <v>0</v>
      </c>
      <c r="M306" s="74">
        <v>0</v>
      </c>
      <c r="N306" s="74"/>
      <c r="O306" s="74"/>
      <c r="P306" s="74">
        <f t="shared" ref="P306" si="1080">SUM(Q306:R306)</f>
        <v>0</v>
      </c>
      <c r="Q306" s="74">
        <v>0</v>
      </c>
      <c r="R306" s="74"/>
      <c r="S306" s="74">
        <v>0</v>
      </c>
      <c r="T306" s="74"/>
      <c r="U306" s="74">
        <f t="shared" ref="U306" si="1081">SUM(V306:AC306)</f>
        <v>0</v>
      </c>
      <c r="V306" s="74">
        <v>0</v>
      </c>
      <c r="W306" s="74"/>
      <c r="X306" s="74"/>
      <c r="Y306" s="74"/>
      <c r="Z306" s="74">
        <v>0</v>
      </c>
      <c r="AA306" s="74">
        <v>0</v>
      </c>
      <c r="AB306" s="74">
        <v>0</v>
      </c>
      <c r="AC306" s="74">
        <v>0</v>
      </c>
      <c r="AD306" s="74">
        <f>SUM(AE306:AY306)</f>
        <v>0</v>
      </c>
      <c r="AE306" s="74">
        <v>0</v>
      </c>
      <c r="AF306" s="74">
        <v>0</v>
      </c>
      <c r="AG306" s="74">
        <v>0</v>
      </c>
      <c r="AH306" s="74">
        <v>0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0</v>
      </c>
      <c r="AP306" s="74">
        <v>0</v>
      </c>
      <c r="AQ306" s="74">
        <v>0</v>
      </c>
      <c r="AR306" s="74">
        <v>0</v>
      </c>
      <c r="AS306" s="74">
        <v>0</v>
      </c>
      <c r="AT306" s="74">
        <v>0</v>
      </c>
      <c r="AU306" s="74">
        <v>0</v>
      </c>
      <c r="AV306" s="74">
        <v>0</v>
      </c>
      <c r="AW306" s="74">
        <v>0</v>
      </c>
      <c r="AX306" s="74">
        <v>0</v>
      </c>
      <c r="AY306" s="74">
        <v>0</v>
      </c>
      <c r="AZ306" s="74"/>
      <c r="BA306" s="74"/>
      <c r="BB306" s="74"/>
      <c r="BC306" s="74">
        <f>SUM(BD306+BH306+BL306+BN306+BQ306)</f>
        <v>24682425</v>
      </c>
      <c r="BD306" s="74">
        <f t="shared" ref="BD306" si="1082">SUM(BE306:BG306)</f>
        <v>0</v>
      </c>
      <c r="BE306" s="74">
        <v>0</v>
      </c>
      <c r="BF306" s="74">
        <v>0</v>
      </c>
      <c r="BG306" s="74">
        <v>0</v>
      </c>
      <c r="BH306" s="74">
        <f>SUM(BI306:BK306)</f>
        <v>24682425</v>
      </c>
      <c r="BI306" s="74">
        <f>30000880-10598860+5280405</f>
        <v>24682425</v>
      </c>
      <c r="BJ306" s="74">
        <v>0</v>
      </c>
      <c r="BK306" s="74">
        <v>0</v>
      </c>
      <c r="BL306" s="75"/>
      <c r="BM306" s="74">
        <v>0</v>
      </c>
      <c r="BN306" s="74">
        <f t="shared" ref="BN306" si="1083">SUM(BO306)</f>
        <v>0</v>
      </c>
      <c r="BO306" s="74">
        <v>0</v>
      </c>
      <c r="BP306" s="74">
        <v>0</v>
      </c>
      <c r="BQ306" s="74">
        <f t="shared" ref="BQ306" si="1084">SUM(BR306:CB306)</f>
        <v>0</v>
      </c>
      <c r="BR306" s="74">
        <v>0</v>
      </c>
      <c r="BS306" s="74">
        <v>0</v>
      </c>
      <c r="BT306" s="74">
        <v>0</v>
      </c>
      <c r="BU306" s="74">
        <v>0</v>
      </c>
      <c r="BV306" s="74">
        <v>0</v>
      </c>
      <c r="BW306" s="74">
        <v>0</v>
      </c>
      <c r="BX306" s="74">
        <v>0</v>
      </c>
      <c r="BY306" s="74">
        <v>0</v>
      </c>
      <c r="BZ306" s="74">
        <v>0</v>
      </c>
      <c r="CA306" s="74"/>
      <c r="CB306" s="74">
        <v>0</v>
      </c>
      <c r="CC306" s="74">
        <f>SUM(CD306+CU306)</f>
        <v>0</v>
      </c>
      <c r="CD306" s="74">
        <f>SUM(CE306+CH306+CN306)</f>
        <v>0</v>
      </c>
      <c r="CE306" s="74">
        <f t="shared" ref="CE306" si="1085">SUM(CF306:CG306)</f>
        <v>0</v>
      </c>
      <c r="CF306" s="74">
        <v>0</v>
      </c>
      <c r="CG306" s="74"/>
      <c r="CH306" s="74">
        <f>SUM(CI306:CM306)</f>
        <v>0</v>
      </c>
      <c r="CI306" s="74">
        <v>0</v>
      </c>
      <c r="CJ306" s="74">
        <v>0</v>
      </c>
      <c r="CK306" s="74">
        <v>0</v>
      </c>
      <c r="CL306" s="74">
        <v>0</v>
      </c>
      <c r="CM306" s="74">
        <v>0</v>
      </c>
      <c r="CN306" s="74">
        <f>SUM(CO306:CQ306)</f>
        <v>0</v>
      </c>
      <c r="CO306" s="74">
        <v>0</v>
      </c>
      <c r="CP306" s="74">
        <v>0</v>
      </c>
      <c r="CQ306" s="74"/>
      <c r="CR306" s="74"/>
      <c r="CS306" s="74"/>
      <c r="CT306" s="74"/>
      <c r="CU306" s="74">
        <v>0</v>
      </c>
      <c r="CV306" s="74"/>
      <c r="CW306" s="74"/>
      <c r="CX306" s="74"/>
      <c r="CY306" s="74"/>
      <c r="CZ306" s="74">
        <f t="shared" ref="CZ306" si="1086">SUM(DA306)</f>
        <v>0</v>
      </c>
      <c r="DA306" s="74">
        <f t="shared" ref="DA306" si="1087">SUM(DB306:DC306)</f>
        <v>0</v>
      </c>
      <c r="DB306" s="74">
        <v>0</v>
      </c>
      <c r="DC306" s="77">
        <v>0</v>
      </c>
      <c r="DD306" s="78"/>
    </row>
    <row r="307" spans="1:108" s="52" customFormat="1" ht="15.6" x14ac:dyDescent="0.3">
      <c r="A307" s="97" t="s">
        <v>1</v>
      </c>
      <c r="B307" s="42" t="s">
        <v>301</v>
      </c>
      <c r="C307" s="43" t="s">
        <v>302</v>
      </c>
      <c r="D307" s="39">
        <f t="shared" si="958"/>
        <v>1924075</v>
      </c>
      <c r="E307" s="39">
        <f t="shared" si="959"/>
        <v>1924075</v>
      </c>
      <c r="F307" s="39">
        <f t="shared" ref="F307" si="1088">SUM(G307+H307+I307+P307+S307+T307+U307+AD307)</f>
        <v>0</v>
      </c>
      <c r="G307" s="39">
        <v>0</v>
      </c>
      <c r="H307" s="39">
        <v>0</v>
      </c>
      <c r="I307" s="39">
        <f t="shared" ref="I307" si="1089">SUM(J307:O307)</f>
        <v>0</v>
      </c>
      <c r="J307" s="39">
        <v>0</v>
      </c>
      <c r="K307" s="39">
        <v>0</v>
      </c>
      <c r="L307" s="39">
        <v>0</v>
      </c>
      <c r="M307" s="39">
        <v>0</v>
      </c>
      <c r="N307" s="39">
        <v>0</v>
      </c>
      <c r="O307" s="39">
        <v>0</v>
      </c>
      <c r="P307" s="39">
        <f t="shared" ref="P307:P308" si="1090">SUM(Q307:R307)</f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f t="shared" ref="U307:U308" si="1091">SUM(V307:AC307)</f>
        <v>0</v>
      </c>
      <c r="V307" s="39">
        <v>0</v>
      </c>
      <c r="W307" s="39">
        <v>0</v>
      </c>
      <c r="X307" s="39">
        <v>0</v>
      </c>
      <c r="Y307" s="39">
        <v>0</v>
      </c>
      <c r="Z307" s="39">
        <v>0</v>
      </c>
      <c r="AA307" s="39">
        <v>0</v>
      </c>
      <c r="AB307" s="39">
        <v>0</v>
      </c>
      <c r="AC307" s="39">
        <v>0</v>
      </c>
      <c r="AD307" s="39">
        <f>SUM(AE307:AY307)</f>
        <v>0</v>
      </c>
      <c r="AE307" s="39">
        <v>0</v>
      </c>
      <c r="AF307" s="39">
        <v>0</v>
      </c>
      <c r="AG307" s="39">
        <v>0</v>
      </c>
      <c r="AH307" s="39">
        <v>0</v>
      </c>
      <c r="AI307" s="39">
        <v>0</v>
      </c>
      <c r="AJ307" s="39">
        <v>0</v>
      </c>
      <c r="AK307" s="39">
        <v>0</v>
      </c>
      <c r="AL307" s="39">
        <v>0</v>
      </c>
      <c r="AM307" s="39">
        <v>0</v>
      </c>
      <c r="AN307" s="39">
        <v>0</v>
      </c>
      <c r="AO307" s="39">
        <v>0</v>
      </c>
      <c r="AP307" s="39">
        <v>0</v>
      </c>
      <c r="AQ307" s="39">
        <v>0</v>
      </c>
      <c r="AR307" s="39">
        <v>0</v>
      </c>
      <c r="AS307" s="39">
        <v>0</v>
      </c>
      <c r="AT307" s="39">
        <v>0</v>
      </c>
      <c r="AU307" s="39">
        <v>0</v>
      </c>
      <c r="AV307" s="39">
        <v>0</v>
      </c>
      <c r="AW307" s="39">
        <v>0</v>
      </c>
      <c r="AX307" s="39">
        <v>0</v>
      </c>
      <c r="AY307" s="39">
        <v>0</v>
      </c>
      <c r="AZ307" s="39"/>
      <c r="BA307" s="39"/>
      <c r="BB307" s="39"/>
      <c r="BC307" s="39">
        <f>SUM(BD307+BH307+BL307+BN307+BQ307)</f>
        <v>1924075</v>
      </c>
      <c r="BD307" s="39">
        <f t="shared" ref="BD307:BD308" si="1092">SUM(BE307:BG307)</f>
        <v>0</v>
      </c>
      <c r="BE307" s="39">
        <v>0</v>
      </c>
      <c r="BF307" s="39">
        <v>0</v>
      </c>
      <c r="BG307" s="39">
        <v>0</v>
      </c>
      <c r="BH307" s="39">
        <f>SUM(BI307:BK307)</f>
        <v>1924075</v>
      </c>
      <c r="BI307" s="35">
        <f>1544075+380000</f>
        <v>1924075</v>
      </c>
      <c r="BJ307" s="39">
        <v>0</v>
      </c>
      <c r="BK307" s="39">
        <v>0</v>
      </c>
      <c r="BL307" s="35">
        <v>0</v>
      </c>
      <c r="BM307" s="39">
        <v>0</v>
      </c>
      <c r="BN307" s="39">
        <f t="shared" ref="BN307:BN308" si="1093">SUM(BO307)</f>
        <v>0</v>
      </c>
      <c r="BO307" s="39">
        <v>0</v>
      </c>
      <c r="BP307" s="39">
        <v>0</v>
      </c>
      <c r="BQ307" s="39">
        <f t="shared" ref="BQ307:BQ308" si="1094">SUM(BR307:CB307)</f>
        <v>0</v>
      </c>
      <c r="BR307" s="39">
        <v>0</v>
      </c>
      <c r="BS307" s="39">
        <v>0</v>
      </c>
      <c r="BT307" s="39">
        <v>0</v>
      </c>
      <c r="BU307" s="39">
        <v>0</v>
      </c>
      <c r="BV307" s="39">
        <v>0</v>
      </c>
      <c r="BW307" s="39">
        <v>0</v>
      </c>
      <c r="BX307" s="39">
        <v>0</v>
      </c>
      <c r="BY307" s="39">
        <v>0</v>
      </c>
      <c r="BZ307" s="39">
        <v>0</v>
      </c>
      <c r="CA307" s="39">
        <v>0</v>
      </c>
      <c r="CB307" s="39">
        <v>0</v>
      </c>
      <c r="CC307" s="39">
        <f t="shared" ref="CC307:CC308" si="1095">SUM(CD307+CU307)</f>
        <v>0</v>
      </c>
      <c r="CD307" s="39">
        <f>SUM(CE307+CH307+CN307)</f>
        <v>0</v>
      </c>
      <c r="CE307" s="39">
        <f t="shared" ref="CE307" si="1096">SUM(CF307:CG307)</f>
        <v>0</v>
      </c>
      <c r="CF307" s="39">
        <v>0</v>
      </c>
      <c r="CG307" s="39">
        <v>0</v>
      </c>
      <c r="CH307" s="19">
        <f>SUM(CI307:CM307)</f>
        <v>0</v>
      </c>
      <c r="CI307" s="39">
        <v>0</v>
      </c>
      <c r="CJ307" s="39">
        <v>0</v>
      </c>
      <c r="CK307" s="39">
        <v>0</v>
      </c>
      <c r="CL307" s="39">
        <v>0</v>
      </c>
      <c r="CM307" s="39">
        <v>0</v>
      </c>
      <c r="CN307" s="39">
        <f t="shared" ref="CN307:CN308" si="1097">SUM(CO307:CQ307)</f>
        <v>0</v>
      </c>
      <c r="CO307" s="39">
        <v>0</v>
      </c>
      <c r="CP307" s="39">
        <v>0</v>
      </c>
      <c r="CQ307" s="39"/>
      <c r="CR307" s="39"/>
      <c r="CS307" s="39"/>
      <c r="CT307" s="39"/>
      <c r="CU307" s="39">
        <v>0</v>
      </c>
      <c r="CV307" s="74"/>
      <c r="CW307" s="74"/>
      <c r="CX307" s="74"/>
      <c r="CY307" s="74"/>
      <c r="CZ307" s="39">
        <f t="shared" ref="CZ307" si="1098">SUM(DA307)</f>
        <v>0</v>
      </c>
      <c r="DA307" s="39">
        <f t="shared" ref="DA307:DA308" si="1099">SUM(DB307:DC307)</f>
        <v>0</v>
      </c>
      <c r="DB307" s="39">
        <v>0</v>
      </c>
      <c r="DC307" s="41">
        <v>0</v>
      </c>
    </row>
    <row r="308" spans="1:108" s="52" customFormat="1" ht="31.2" x14ac:dyDescent="0.3">
      <c r="A308" s="97"/>
      <c r="B308" s="42" t="s">
        <v>301</v>
      </c>
      <c r="C308" s="43" t="s">
        <v>617</v>
      </c>
      <c r="D308" s="39">
        <f t="shared" si="958"/>
        <v>0</v>
      </c>
      <c r="E308" s="39">
        <f t="shared" si="959"/>
        <v>0</v>
      </c>
      <c r="F308" s="39">
        <f>SUM(G308+H308+I308+P308+S308+T308+U308+AD308)</f>
        <v>0</v>
      </c>
      <c r="G308" s="39">
        <v>0</v>
      </c>
      <c r="H308" s="39">
        <v>0</v>
      </c>
      <c r="I308" s="39">
        <f t="shared" ref="I308" si="1100">SUM(J308:O308)</f>
        <v>0</v>
      </c>
      <c r="J308" s="39">
        <v>0</v>
      </c>
      <c r="K308" s="39">
        <v>0</v>
      </c>
      <c r="L308" s="39">
        <v>0</v>
      </c>
      <c r="M308" s="39">
        <v>0</v>
      </c>
      <c r="N308" s="39">
        <v>0</v>
      </c>
      <c r="O308" s="39">
        <v>0</v>
      </c>
      <c r="P308" s="39">
        <f t="shared" si="1090"/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f t="shared" si="1091"/>
        <v>0</v>
      </c>
      <c r="V308" s="39">
        <v>0</v>
      </c>
      <c r="W308" s="39">
        <v>0</v>
      </c>
      <c r="X308" s="39">
        <v>0</v>
      </c>
      <c r="Y308" s="39">
        <v>0</v>
      </c>
      <c r="Z308" s="39">
        <v>0</v>
      </c>
      <c r="AA308" s="39">
        <v>0</v>
      </c>
      <c r="AB308" s="39">
        <v>0</v>
      </c>
      <c r="AC308" s="39">
        <v>0</v>
      </c>
      <c r="AD308" s="39">
        <f>SUM(AE308:AY308)</f>
        <v>0</v>
      </c>
      <c r="AE308" s="39">
        <v>0</v>
      </c>
      <c r="AF308" s="39">
        <v>0</v>
      </c>
      <c r="AG308" s="39">
        <v>0</v>
      </c>
      <c r="AH308" s="39">
        <v>0</v>
      </c>
      <c r="AI308" s="39">
        <v>0</v>
      </c>
      <c r="AJ308" s="39">
        <v>0</v>
      </c>
      <c r="AK308" s="39">
        <v>0</v>
      </c>
      <c r="AL308" s="39">
        <v>0</v>
      </c>
      <c r="AM308" s="39">
        <v>0</v>
      </c>
      <c r="AN308" s="39">
        <v>0</v>
      </c>
      <c r="AO308" s="39">
        <v>0</v>
      </c>
      <c r="AP308" s="39">
        <v>0</v>
      </c>
      <c r="AQ308" s="39">
        <v>0</v>
      </c>
      <c r="AR308" s="39">
        <v>0</v>
      </c>
      <c r="AS308" s="39">
        <v>0</v>
      </c>
      <c r="AT308" s="39">
        <v>0</v>
      </c>
      <c r="AU308" s="39">
        <v>0</v>
      </c>
      <c r="AV308" s="39">
        <v>0</v>
      </c>
      <c r="AW308" s="39">
        <v>0</v>
      </c>
      <c r="AX308" s="39">
        <v>0</v>
      </c>
      <c r="AY308" s="35">
        <f>4518769-4518769</f>
        <v>0</v>
      </c>
      <c r="AZ308" s="35"/>
      <c r="BA308" s="35"/>
      <c r="BB308" s="35"/>
      <c r="BC308" s="39">
        <f>SUM(BD308+BH308+BL308+BN308+BQ308)</f>
        <v>0</v>
      </c>
      <c r="BD308" s="39">
        <f t="shared" si="1092"/>
        <v>0</v>
      </c>
      <c r="BE308" s="39">
        <v>0</v>
      </c>
      <c r="BF308" s="39">
        <v>0</v>
      </c>
      <c r="BG308" s="39">
        <v>0</v>
      </c>
      <c r="BH308" s="39">
        <f>SUM(BI308:BK308)</f>
        <v>0</v>
      </c>
      <c r="BI308" s="39"/>
      <c r="BJ308" s="39">
        <v>0</v>
      </c>
      <c r="BK308" s="39">
        <v>0</v>
      </c>
      <c r="BL308" s="35">
        <v>0</v>
      </c>
      <c r="BM308" s="39">
        <v>0</v>
      </c>
      <c r="BN308" s="39">
        <f t="shared" si="1093"/>
        <v>0</v>
      </c>
      <c r="BO308" s="39">
        <v>0</v>
      </c>
      <c r="BP308" s="39">
        <v>0</v>
      </c>
      <c r="BQ308" s="39">
        <f t="shared" si="1094"/>
        <v>0</v>
      </c>
      <c r="BR308" s="39">
        <v>0</v>
      </c>
      <c r="BS308" s="39">
        <v>0</v>
      </c>
      <c r="BT308" s="39">
        <v>0</v>
      </c>
      <c r="BU308" s="39">
        <v>0</v>
      </c>
      <c r="BV308" s="39">
        <v>0</v>
      </c>
      <c r="BW308" s="39">
        <v>0</v>
      </c>
      <c r="BX308" s="39">
        <v>0</v>
      </c>
      <c r="BY308" s="39">
        <v>0</v>
      </c>
      <c r="BZ308" s="39">
        <v>0</v>
      </c>
      <c r="CA308" s="39">
        <v>0</v>
      </c>
      <c r="CB308" s="39">
        <v>0</v>
      </c>
      <c r="CC308" s="39">
        <f t="shared" si="1095"/>
        <v>0</v>
      </c>
      <c r="CD308" s="39">
        <f>SUM(CE308+CH308+CN308)</f>
        <v>0</v>
      </c>
      <c r="CE308" s="39">
        <f t="shared" ref="CE308" si="1101">SUM(CF308:CG308)</f>
        <v>0</v>
      </c>
      <c r="CF308" s="39">
        <v>0</v>
      </c>
      <c r="CG308" s="39">
        <v>0</v>
      </c>
      <c r="CH308" s="19">
        <f>SUM(CI308:CM308)</f>
        <v>0</v>
      </c>
      <c r="CI308" s="39">
        <v>0</v>
      </c>
      <c r="CJ308" s="39">
        <v>0</v>
      </c>
      <c r="CK308" s="39">
        <v>0</v>
      </c>
      <c r="CL308" s="39">
        <v>0</v>
      </c>
      <c r="CM308" s="39">
        <v>0</v>
      </c>
      <c r="CN308" s="39">
        <f t="shared" si="1097"/>
        <v>0</v>
      </c>
      <c r="CO308" s="39">
        <v>0</v>
      </c>
      <c r="CP308" s="39">
        <v>0</v>
      </c>
      <c r="CQ308" s="39"/>
      <c r="CR308" s="39"/>
      <c r="CS308" s="39"/>
      <c r="CT308" s="39"/>
      <c r="CU308" s="39">
        <v>0</v>
      </c>
      <c r="CV308" s="74"/>
      <c r="CW308" s="74"/>
      <c r="CX308" s="74"/>
      <c r="CY308" s="74"/>
      <c r="CZ308" s="39">
        <f t="shared" ref="CZ308" si="1102">SUM(DA308)</f>
        <v>0</v>
      </c>
      <c r="DA308" s="39">
        <f t="shared" si="1099"/>
        <v>0</v>
      </c>
      <c r="DB308" s="39">
        <v>0</v>
      </c>
      <c r="DC308" s="41">
        <v>0</v>
      </c>
    </row>
    <row r="309" spans="1:108" s="52" customFormat="1" ht="30.75" customHeight="1" x14ac:dyDescent="0.3">
      <c r="A309" s="93" t="s">
        <v>304</v>
      </c>
      <c r="B309" s="16" t="s">
        <v>1</v>
      </c>
      <c r="C309" s="17" t="s">
        <v>305</v>
      </c>
      <c r="D309" s="18">
        <f t="shared" ref="D309:AH309" si="1103">SUM(D310)</f>
        <v>4215010</v>
      </c>
      <c r="E309" s="18">
        <f t="shared" si="1103"/>
        <v>4215010</v>
      </c>
      <c r="F309" s="18">
        <f t="shared" si="1103"/>
        <v>0</v>
      </c>
      <c r="G309" s="18">
        <f t="shared" si="1103"/>
        <v>0</v>
      </c>
      <c r="H309" s="18">
        <f t="shared" si="1103"/>
        <v>0</v>
      </c>
      <c r="I309" s="18">
        <f t="shared" si="1103"/>
        <v>0</v>
      </c>
      <c r="J309" s="18">
        <f t="shared" si="1103"/>
        <v>0</v>
      </c>
      <c r="K309" s="18">
        <f t="shared" si="1103"/>
        <v>0</v>
      </c>
      <c r="L309" s="18">
        <f t="shared" si="1103"/>
        <v>0</v>
      </c>
      <c r="M309" s="18">
        <f t="shared" si="1103"/>
        <v>0</v>
      </c>
      <c r="N309" s="18">
        <f t="shared" si="1103"/>
        <v>0</v>
      </c>
      <c r="O309" s="18">
        <f t="shared" si="1103"/>
        <v>0</v>
      </c>
      <c r="P309" s="18">
        <f t="shared" si="1103"/>
        <v>0</v>
      </c>
      <c r="Q309" s="18">
        <f t="shared" si="1103"/>
        <v>0</v>
      </c>
      <c r="R309" s="18">
        <f t="shared" si="1103"/>
        <v>0</v>
      </c>
      <c r="S309" s="18">
        <f t="shared" si="1103"/>
        <v>0</v>
      </c>
      <c r="T309" s="18">
        <f t="shared" si="1103"/>
        <v>0</v>
      </c>
      <c r="U309" s="18">
        <f t="shared" si="1103"/>
        <v>0</v>
      </c>
      <c r="V309" s="18">
        <f t="shared" si="1103"/>
        <v>0</v>
      </c>
      <c r="W309" s="18">
        <f t="shared" si="1103"/>
        <v>0</v>
      </c>
      <c r="X309" s="18">
        <f t="shared" si="1103"/>
        <v>0</v>
      </c>
      <c r="Y309" s="18">
        <f t="shared" si="1103"/>
        <v>0</v>
      </c>
      <c r="Z309" s="18">
        <f t="shared" si="1103"/>
        <v>0</v>
      </c>
      <c r="AA309" s="18">
        <f t="shared" si="1103"/>
        <v>0</v>
      </c>
      <c r="AB309" s="18">
        <f t="shared" si="1103"/>
        <v>0</v>
      </c>
      <c r="AC309" s="18">
        <f t="shared" si="1103"/>
        <v>0</v>
      </c>
      <c r="AD309" s="18">
        <f t="shared" si="1103"/>
        <v>0</v>
      </c>
      <c r="AE309" s="18">
        <f t="shared" si="1103"/>
        <v>0</v>
      </c>
      <c r="AF309" s="18">
        <f t="shared" si="1103"/>
        <v>0</v>
      </c>
      <c r="AG309" s="18">
        <f t="shared" si="1103"/>
        <v>0</v>
      </c>
      <c r="AH309" s="18">
        <f t="shared" si="1103"/>
        <v>0</v>
      </c>
      <c r="AI309" s="18">
        <f t="shared" ref="AI309:DA309" si="1104">SUM(AI310)</f>
        <v>0</v>
      </c>
      <c r="AJ309" s="18">
        <f t="shared" si="1104"/>
        <v>0</v>
      </c>
      <c r="AK309" s="18">
        <f t="shared" si="1104"/>
        <v>0</v>
      </c>
      <c r="AL309" s="18">
        <f t="shared" si="1104"/>
        <v>0</v>
      </c>
      <c r="AM309" s="18">
        <f t="shared" si="1104"/>
        <v>0</v>
      </c>
      <c r="AN309" s="18">
        <f t="shared" si="1104"/>
        <v>0</v>
      </c>
      <c r="AO309" s="18">
        <f t="shared" si="1104"/>
        <v>0</v>
      </c>
      <c r="AP309" s="18">
        <f t="shared" si="1104"/>
        <v>0</v>
      </c>
      <c r="AQ309" s="18">
        <f t="shared" si="1104"/>
        <v>0</v>
      </c>
      <c r="AR309" s="18">
        <f t="shared" si="1104"/>
        <v>0</v>
      </c>
      <c r="AS309" s="18">
        <f t="shared" si="1104"/>
        <v>0</v>
      </c>
      <c r="AT309" s="18">
        <f t="shared" si="1104"/>
        <v>0</v>
      </c>
      <c r="AU309" s="18">
        <f t="shared" si="1104"/>
        <v>0</v>
      </c>
      <c r="AV309" s="18">
        <f t="shared" si="1104"/>
        <v>0</v>
      </c>
      <c r="AW309" s="18">
        <f t="shared" si="1104"/>
        <v>0</v>
      </c>
      <c r="AX309" s="18"/>
      <c r="AY309" s="18">
        <f t="shared" si="1104"/>
        <v>0</v>
      </c>
      <c r="AZ309" s="18"/>
      <c r="BA309" s="18"/>
      <c r="BB309" s="18"/>
      <c r="BC309" s="18">
        <f t="shared" si="1104"/>
        <v>4215010</v>
      </c>
      <c r="BD309" s="18">
        <f t="shared" si="1104"/>
        <v>0</v>
      </c>
      <c r="BE309" s="18">
        <f t="shared" si="1104"/>
        <v>0</v>
      </c>
      <c r="BF309" s="18">
        <f t="shared" si="1104"/>
        <v>0</v>
      </c>
      <c r="BG309" s="18">
        <f t="shared" si="1104"/>
        <v>0</v>
      </c>
      <c r="BH309" s="38">
        <f>SUM(BI309:BK309)</f>
        <v>4215010</v>
      </c>
      <c r="BI309" s="18">
        <f t="shared" si="1104"/>
        <v>0</v>
      </c>
      <c r="BJ309" s="18">
        <f t="shared" si="1104"/>
        <v>0</v>
      </c>
      <c r="BK309" s="18">
        <f t="shared" si="1104"/>
        <v>4215010</v>
      </c>
      <c r="BL309" s="18">
        <f t="shared" si="1104"/>
        <v>0</v>
      </c>
      <c r="BM309" s="18">
        <f t="shared" si="1104"/>
        <v>0</v>
      </c>
      <c r="BN309" s="18">
        <f t="shared" si="1104"/>
        <v>0</v>
      </c>
      <c r="BO309" s="18">
        <f t="shared" si="1104"/>
        <v>0</v>
      </c>
      <c r="BP309" s="18">
        <f t="shared" si="1104"/>
        <v>0</v>
      </c>
      <c r="BQ309" s="18">
        <f t="shared" si="1104"/>
        <v>0</v>
      </c>
      <c r="BR309" s="18">
        <f t="shared" si="1104"/>
        <v>0</v>
      </c>
      <c r="BS309" s="18">
        <f t="shared" si="1104"/>
        <v>0</v>
      </c>
      <c r="BT309" s="18">
        <f t="shared" si="1104"/>
        <v>0</v>
      </c>
      <c r="BU309" s="18">
        <f t="shared" si="1104"/>
        <v>0</v>
      </c>
      <c r="BV309" s="18">
        <f t="shared" si="1104"/>
        <v>0</v>
      </c>
      <c r="BW309" s="18">
        <f t="shared" si="1104"/>
        <v>0</v>
      </c>
      <c r="BX309" s="18">
        <f t="shared" si="1104"/>
        <v>0</v>
      </c>
      <c r="BY309" s="18">
        <f t="shared" si="1104"/>
        <v>0</v>
      </c>
      <c r="BZ309" s="18">
        <f t="shared" si="1104"/>
        <v>0</v>
      </c>
      <c r="CA309" s="18">
        <f t="shared" si="1104"/>
        <v>0</v>
      </c>
      <c r="CB309" s="18">
        <f t="shared" si="1104"/>
        <v>0</v>
      </c>
      <c r="CC309" s="18">
        <f t="shared" si="987"/>
        <v>0</v>
      </c>
      <c r="CD309" s="18">
        <f t="shared" si="1104"/>
        <v>0</v>
      </c>
      <c r="CE309" s="18">
        <f t="shared" si="1104"/>
        <v>0</v>
      </c>
      <c r="CF309" s="18">
        <f t="shared" si="1104"/>
        <v>0</v>
      </c>
      <c r="CG309" s="18">
        <f t="shared" si="1104"/>
        <v>0</v>
      </c>
      <c r="CH309" s="18">
        <f t="shared" si="1104"/>
        <v>0</v>
      </c>
      <c r="CI309" s="18">
        <f t="shared" si="1104"/>
        <v>0</v>
      </c>
      <c r="CJ309" s="18">
        <f t="shared" si="1104"/>
        <v>0</v>
      </c>
      <c r="CK309" s="18">
        <f t="shared" si="1104"/>
        <v>0</v>
      </c>
      <c r="CL309" s="18">
        <f t="shared" si="1104"/>
        <v>0</v>
      </c>
      <c r="CM309" s="18">
        <f t="shared" si="1104"/>
        <v>0</v>
      </c>
      <c r="CN309" s="18">
        <f t="shared" si="1104"/>
        <v>0</v>
      </c>
      <c r="CO309" s="18">
        <f t="shared" si="1104"/>
        <v>0</v>
      </c>
      <c r="CP309" s="18">
        <f t="shared" si="1104"/>
        <v>0</v>
      </c>
      <c r="CQ309" s="18"/>
      <c r="CR309" s="18"/>
      <c r="CS309" s="18"/>
      <c r="CT309" s="18"/>
      <c r="CU309" s="18">
        <f t="shared" si="1104"/>
        <v>0</v>
      </c>
      <c r="CV309" s="73"/>
      <c r="CW309" s="73"/>
      <c r="CX309" s="73"/>
      <c r="CY309" s="73"/>
      <c r="CZ309" s="18">
        <f t="shared" si="1104"/>
        <v>0</v>
      </c>
      <c r="DA309" s="18">
        <f t="shared" si="1104"/>
        <v>0</v>
      </c>
      <c r="DB309" s="18">
        <f t="shared" ref="DB309:DC309" si="1105">SUM(DB310)</f>
        <v>0</v>
      </c>
      <c r="DC309" s="46">
        <f t="shared" si="1105"/>
        <v>0</v>
      </c>
    </row>
    <row r="310" spans="1:108" s="52" customFormat="1" ht="15.6" x14ac:dyDescent="0.3">
      <c r="A310" s="94" t="s">
        <v>1</v>
      </c>
      <c r="B310" s="21" t="s">
        <v>306</v>
      </c>
      <c r="C310" s="22" t="s">
        <v>305</v>
      </c>
      <c r="D310" s="19">
        <f>SUM(E310+CC310+CZ310)</f>
        <v>4215010</v>
      </c>
      <c r="E310" s="19">
        <f>SUM(F310+BC310)</f>
        <v>4215010</v>
      </c>
      <c r="F310" s="19">
        <f>SUM(G310+H310+I310+P310+S310+T310+U310+AD310)</f>
        <v>0</v>
      </c>
      <c r="G310" s="19">
        <v>0</v>
      </c>
      <c r="H310" s="19">
        <v>0</v>
      </c>
      <c r="I310" s="19">
        <f>SUM(J310:O310)</f>
        <v>0</v>
      </c>
      <c r="J310" s="19">
        <v>0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f>SUM(Q310:R310)</f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f t="shared" ref="U310" si="1106">SUM(V310:AC310)</f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f>SUM(AE310:AY310)</f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9">
        <v>0</v>
      </c>
      <c r="AK310" s="19">
        <v>0</v>
      </c>
      <c r="AL310" s="19">
        <v>0</v>
      </c>
      <c r="AM310" s="19">
        <v>0</v>
      </c>
      <c r="AN310" s="19">
        <v>0</v>
      </c>
      <c r="AO310" s="19">
        <v>0</v>
      </c>
      <c r="AP310" s="19">
        <v>0</v>
      </c>
      <c r="AQ310" s="19">
        <v>0</v>
      </c>
      <c r="AR310" s="19">
        <v>0</v>
      </c>
      <c r="AS310" s="19">
        <v>0</v>
      </c>
      <c r="AT310" s="19">
        <v>0</v>
      </c>
      <c r="AU310" s="19">
        <v>0</v>
      </c>
      <c r="AV310" s="19">
        <v>0</v>
      </c>
      <c r="AW310" s="19">
        <v>0</v>
      </c>
      <c r="AX310" s="19"/>
      <c r="AY310" s="19">
        <v>0</v>
      </c>
      <c r="AZ310" s="19"/>
      <c r="BA310" s="19"/>
      <c r="BB310" s="19"/>
      <c r="BC310" s="19">
        <f>SUM(BD310+BH310+BL310+BN310+BQ310)</f>
        <v>4215010</v>
      </c>
      <c r="BD310" s="19">
        <f>SUM(BE310:BG310)</f>
        <v>0</v>
      </c>
      <c r="BE310" s="19">
        <v>0</v>
      </c>
      <c r="BF310" s="19">
        <v>0</v>
      </c>
      <c r="BG310" s="19">
        <v>0</v>
      </c>
      <c r="BH310" s="39">
        <f>SUM(BI310:BK310)</f>
        <v>4215010</v>
      </c>
      <c r="BI310" s="19">
        <v>0</v>
      </c>
      <c r="BJ310" s="23"/>
      <c r="BK310" s="23">
        <f>6732400-2517390</f>
        <v>4215010</v>
      </c>
      <c r="BL310" s="19">
        <v>0</v>
      </c>
      <c r="BM310" s="19">
        <v>0</v>
      </c>
      <c r="BN310" s="19">
        <f>SUM(BO310)</f>
        <v>0</v>
      </c>
      <c r="BO310" s="19">
        <v>0</v>
      </c>
      <c r="BP310" s="19">
        <v>0</v>
      </c>
      <c r="BQ310" s="19">
        <f>SUM(BR310:CB310)</f>
        <v>0</v>
      </c>
      <c r="BR310" s="19">
        <v>0</v>
      </c>
      <c r="BS310" s="19">
        <v>0</v>
      </c>
      <c r="BT310" s="19">
        <v>0</v>
      </c>
      <c r="BU310" s="19">
        <v>0</v>
      </c>
      <c r="BV310" s="19">
        <v>0</v>
      </c>
      <c r="BW310" s="19">
        <v>0</v>
      </c>
      <c r="BX310" s="19">
        <v>0</v>
      </c>
      <c r="BY310" s="19">
        <v>0</v>
      </c>
      <c r="BZ310" s="19">
        <v>0</v>
      </c>
      <c r="CA310" s="19">
        <v>0</v>
      </c>
      <c r="CB310" s="19">
        <v>0</v>
      </c>
      <c r="CC310" s="19">
        <f t="shared" si="987"/>
        <v>0</v>
      </c>
      <c r="CD310" s="19">
        <f>SUM(CE310+CH310+CN310)</f>
        <v>0</v>
      </c>
      <c r="CE310" s="19">
        <f>SUM(CF310:CG310)</f>
        <v>0</v>
      </c>
      <c r="CF310" s="19">
        <v>0</v>
      </c>
      <c r="CG310" s="19">
        <v>0</v>
      </c>
      <c r="CH310" s="19">
        <f>SUM(CI310:CM310)</f>
        <v>0</v>
      </c>
      <c r="CI310" s="19">
        <v>0</v>
      </c>
      <c r="CJ310" s="19">
        <v>0</v>
      </c>
      <c r="CK310" s="19">
        <v>0</v>
      </c>
      <c r="CL310" s="19">
        <v>0</v>
      </c>
      <c r="CM310" s="19">
        <v>0</v>
      </c>
      <c r="CN310" s="19">
        <f>SUM(CO310:CQ310)</f>
        <v>0</v>
      </c>
      <c r="CO310" s="19">
        <v>0</v>
      </c>
      <c r="CP310" s="19">
        <v>0</v>
      </c>
      <c r="CQ310" s="19"/>
      <c r="CR310" s="19"/>
      <c r="CS310" s="19"/>
      <c r="CT310" s="19"/>
      <c r="CU310" s="19">
        <v>0</v>
      </c>
      <c r="CV310" s="74"/>
      <c r="CW310" s="74"/>
      <c r="CX310" s="74"/>
      <c r="CY310" s="74"/>
      <c r="CZ310" s="19">
        <f>SUM(DA310)</f>
        <v>0</v>
      </c>
      <c r="DA310" s="19">
        <f>SUM(DB310:DC310)</f>
        <v>0</v>
      </c>
      <c r="DB310" s="19">
        <v>0</v>
      </c>
      <c r="DC310" s="20">
        <v>0</v>
      </c>
      <c r="DD310" s="57"/>
    </row>
    <row r="311" spans="1:108" s="57" customFormat="1" ht="78" x14ac:dyDescent="0.3">
      <c r="A311" s="93" t="s">
        <v>307</v>
      </c>
      <c r="B311" s="16" t="s">
        <v>1</v>
      </c>
      <c r="C311" s="17" t="s">
        <v>618</v>
      </c>
      <c r="D311" s="18">
        <f>SUM(D312:D313)</f>
        <v>43605086</v>
      </c>
      <c r="E311" s="18">
        <f t="shared" ref="E311:BS311" si="1107">SUM(E312:E313)</f>
        <v>40142818</v>
      </c>
      <c r="F311" s="18">
        <f t="shared" si="1107"/>
        <v>0</v>
      </c>
      <c r="G311" s="18">
        <f t="shared" si="1107"/>
        <v>0</v>
      </c>
      <c r="H311" s="18">
        <f t="shared" si="1107"/>
        <v>0</v>
      </c>
      <c r="I311" s="18">
        <f t="shared" si="1107"/>
        <v>0</v>
      </c>
      <c r="J311" s="18">
        <f t="shared" si="1107"/>
        <v>0</v>
      </c>
      <c r="K311" s="18">
        <f t="shared" si="1107"/>
        <v>0</v>
      </c>
      <c r="L311" s="18">
        <f t="shared" si="1107"/>
        <v>0</v>
      </c>
      <c r="M311" s="18">
        <f t="shared" si="1107"/>
        <v>0</v>
      </c>
      <c r="N311" s="18">
        <f t="shared" si="1107"/>
        <v>0</v>
      </c>
      <c r="O311" s="18">
        <f t="shared" si="1107"/>
        <v>0</v>
      </c>
      <c r="P311" s="18">
        <f t="shared" si="1107"/>
        <v>0</v>
      </c>
      <c r="Q311" s="18">
        <f t="shared" si="1107"/>
        <v>0</v>
      </c>
      <c r="R311" s="18">
        <f t="shared" si="1107"/>
        <v>0</v>
      </c>
      <c r="S311" s="18">
        <f t="shared" si="1107"/>
        <v>0</v>
      </c>
      <c r="T311" s="18">
        <f t="shared" si="1107"/>
        <v>0</v>
      </c>
      <c r="U311" s="18">
        <f t="shared" si="1107"/>
        <v>0</v>
      </c>
      <c r="V311" s="18">
        <f t="shared" si="1107"/>
        <v>0</v>
      </c>
      <c r="W311" s="18">
        <f t="shared" si="1107"/>
        <v>0</v>
      </c>
      <c r="X311" s="18">
        <f t="shared" si="1107"/>
        <v>0</v>
      </c>
      <c r="Y311" s="18">
        <f t="shared" si="1107"/>
        <v>0</v>
      </c>
      <c r="Z311" s="18">
        <f t="shared" si="1107"/>
        <v>0</v>
      </c>
      <c r="AA311" s="18">
        <f t="shared" si="1107"/>
        <v>0</v>
      </c>
      <c r="AB311" s="18">
        <f t="shared" si="1107"/>
        <v>0</v>
      </c>
      <c r="AC311" s="18">
        <f t="shared" si="1107"/>
        <v>0</v>
      </c>
      <c r="AD311" s="18">
        <f t="shared" si="1107"/>
        <v>0</v>
      </c>
      <c r="AE311" s="18">
        <f t="shared" si="1107"/>
        <v>0</v>
      </c>
      <c r="AF311" s="18">
        <f t="shared" si="1107"/>
        <v>0</v>
      </c>
      <c r="AG311" s="18">
        <f t="shared" si="1107"/>
        <v>0</v>
      </c>
      <c r="AH311" s="18">
        <f t="shared" si="1107"/>
        <v>0</v>
      </c>
      <c r="AI311" s="18">
        <f t="shared" si="1107"/>
        <v>0</v>
      </c>
      <c r="AJ311" s="18">
        <f t="shared" si="1107"/>
        <v>0</v>
      </c>
      <c r="AK311" s="18">
        <f t="shared" si="1107"/>
        <v>0</v>
      </c>
      <c r="AL311" s="18">
        <f t="shared" si="1107"/>
        <v>0</v>
      </c>
      <c r="AM311" s="18">
        <f t="shared" si="1107"/>
        <v>0</v>
      </c>
      <c r="AN311" s="18">
        <f t="shared" si="1107"/>
        <v>0</v>
      </c>
      <c r="AO311" s="18">
        <f t="shared" si="1107"/>
        <v>0</v>
      </c>
      <c r="AP311" s="18">
        <f t="shared" si="1107"/>
        <v>0</v>
      </c>
      <c r="AQ311" s="18">
        <f t="shared" si="1107"/>
        <v>0</v>
      </c>
      <c r="AR311" s="18">
        <f t="shared" si="1107"/>
        <v>0</v>
      </c>
      <c r="AS311" s="18">
        <f t="shared" si="1107"/>
        <v>0</v>
      </c>
      <c r="AT311" s="18">
        <f t="shared" si="1107"/>
        <v>0</v>
      </c>
      <c r="AU311" s="18">
        <f t="shared" si="1107"/>
        <v>0</v>
      </c>
      <c r="AV311" s="18">
        <f t="shared" si="1107"/>
        <v>0</v>
      </c>
      <c r="AW311" s="18">
        <f t="shared" si="1107"/>
        <v>0</v>
      </c>
      <c r="AX311" s="18">
        <f t="shared" si="1107"/>
        <v>0</v>
      </c>
      <c r="AY311" s="18">
        <f t="shared" si="1107"/>
        <v>0</v>
      </c>
      <c r="AZ311" s="18"/>
      <c r="BA311" s="18"/>
      <c r="BB311" s="18"/>
      <c r="BC311" s="18">
        <f t="shared" si="1107"/>
        <v>40142818</v>
      </c>
      <c r="BD311" s="18">
        <f t="shared" si="1107"/>
        <v>0</v>
      </c>
      <c r="BE311" s="18">
        <f t="shared" si="1107"/>
        <v>0</v>
      </c>
      <c r="BF311" s="18">
        <f t="shared" si="1107"/>
        <v>0</v>
      </c>
      <c r="BG311" s="18">
        <f t="shared" si="1107"/>
        <v>0</v>
      </c>
      <c r="BH311" s="18">
        <f t="shared" si="1107"/>
        <v>0</v>
      </c>
      <c r="BI311" s="18">
        <f t="shared" si="1107"/>
        <v>0</v>
      </c>
      <c r="BJ311" s="18">
        <f t="shared" ref="BJ311" si="1108">SUM(BJ312:BJ313)</f>
        <v>0</v>
      </c>
      <c r="BK311" s="18">
        <f t="shared" si="1107"/>
        <v>0</v>
      </c>
      <c r="BL311" s="18">
        <f t="shared" si="1107"/>
        <v>0</v>
      </c>
      <c r="BM311" s="18">
        <f t="shared" si="1107"/>
        <v>0</v>
      </c>
      <c r="BN311" s="18">
        <f t="shared" si="1107"/>
        <v>0</v>
      </c>
      <c r="BO311" s="18">
        <f t="shared" si="1107"/>
        <v>0</v>
      </c>
      <c r="BP311" s="18">
        <f t="shared" si="1107"/>
        <v>0</v>
      </c>
      <c r="BQ311" s="18">
        <f t="shared" si="1107"/>
        <v>40142818</v>
      </c>
      <c r="BR311" s="18">
        <f t="shared" si="1107"/>
        <v>0</v>
      </c>
      <c r="BS311" s="18">
        <f t="shared" si="1107"/>
        <v>0</v>
      </c>
      <c r="BT311" s="18">
        <f t="shared" ref="BT311:DC311" si="1109">SUM(BT312:BT313)</f>
        <v>0</v>
      </c>
      <c r="BU311" s="18">
        <f t="shared" si="1109"/>
        <v>0</v>
      </c>
      <c r="BV311" s="18">
        <f t="shared" si="1109"/>
        <v>0</v>
      </c>
      <c r="BW311" s="18">
        <f t="shared" si="1109"/>
        <v>0</v>
      </c>
      <c r="BX311" s="18">
        <f t="shared" si="1109"/>
        <v>0</v>
      </c>
      <c r="BY311" s="18">
        <f t="shared" si="1109"/>
        <v>0</v>
      </c>
      <c r="BZ311" s="18">
        <f t="shared" si="1109"/>
        <v>0</v>
      </c>
      <c r="CA311" s="18">
        <f t="shared" si="1109"/>
        <v>0</v>
      </c>
      <c r="CB311" s="18">
        <f t="shared" si="1109"/>
        <v>40142818</v>
      </c>
      <c r="CC311" s="18">
        <f t="shared" si="1109"/>
        <v>3462268</v>
      </c>
      <c r="CD311" s="18">
        <f t="shared" si="1109"/>
        <v>3462268</v>
      </c>
      <c r="CE311" s="18">
        <f t="shared" si="1109"/>
        <v>0</v>
      </c>
      <c r="CF311" s="18">
        <f t="shared" si="1109"/>
        <v>0</v>
      </c>
      <c r="CG311" s="18">
        <f t="shared" si="1109"/>
        <v>0</v>
      </c>
      <c r="CH311" s="18">
        <f t="shared" si="1109"/>
        <v>3462268</v>
      </c>
      <c r="CI311" s="18">
        <f t="shared" si="1109"/>
        <v>0</v>
      </c>
      <c r="CJ311" s="18">
        <f t="shared" si="1109"/>
        <v>0</v>
      </c>
      <c r="CK311" s="18">
        <f t="shared" si="1109"/>
        <v>0</v>
      </c>
      <c r="CL311" s="18">
        <f t="shared" si="1109"/>
        <v>3462268</v>
      </c>
      <c r="CM311" s="18">
        <f t="shared" si="1109"/>
        <v>0</v>
      </c>
      <c r="CN311" s="18">
        <f t="shared" si="1109"/>
        <v>0</v>
      </c>
      <c r="CO311" s="18">
        <f t="shared" si="1109"/>
        <v>0</v>
      </c>
      <c r="CP311" s="18">
        <f t="shared" si="1109"/>
        <v>0</v>
      </c>
      <c r="CQ311" s="18">
        <f t="shared" si="1109"/>
        <v>0</v>
      </c>
      <c r="CR311" s="18"/>
      <c r="CS311" s="18"/>
      <c r="CT311" s="18"/>
      <c r="CU311" s="18">
        <f t="shared" si="1109"/>
        <v>0</v>
      </c>
      <c r="CV311" s="73">
        <f t="shared" si="1109"/>
        <v>0</v>
      </c>
      <c r="CW311" s="73">
        <f t="shared" si="1109"/>
        <v>0</v>
      </c>
      <c r="CX311" s="73">
        <f t="shared" si="1109"/>
        <v>0</v>
      </c>
      <c r="CY311" s="73">
        <f t="shared" ref="CY311" si="1110">SUM(CY312:CY313)</f>
        <v>0</v>
      </c>
      <c r="CZ311" s="18">
        <f t="shared" si="1109"/>
        <v>0</v>
      </c>
      <c r="DA311" s="18">
        <f t="shared" si="1109"/>
        <v>0</v>
      </c>
      <c r="DB311" s="18">
        <f t="shared" si="1109"/>
        <v>0</v>
      </c>
      <c r="DC311" s="46">
        <f t="shared" si="1109"/>
        <v>0</v>
      </c>
      <c r="DD311" s="52"/>
    </row>
    <row r="312" spans="1:108" s="52" customFormat="1" ht="46.8" x14ac:dyDescent="0.3">
      <c r="A312" s="94" t="s">
        <v>1</v>
      </c>
      <c r="B312" s="21" t="s">
        <v>64</v>
      </c>
      <c r="C312" s="22" t="s">
        <v>604</v>
      </c>
      <c r="D312" s="19">
        <f>SUM(E312+CC312+CZ312)</f>
        <v>40142818</v>
      </c>
      <c r="E312" s="19">
        <f>SUM(F312+BC312)</f>
        <v>40142818</v>
      </c>
      <c r="F312" s="19">
        <f t="shared" ref="F312:F313" si="1111">SUM(G312+H312+I312+P312+S312+T312+U312+AD312)</f>
        <v>0</v>
      </c>
      <c r="G312" s="19">
        <v>0</v>
      </c>
      <c r="H312" s="19">
        <v>0</v>
      </c>
      <c r="I312" s="19">
        <f t="shared" ref="I312:I321" si="1112">SUM(J312:O312)</f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f t="shared" ref="P312:P321" si="1113">SUM(Q312:R312)</f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f t="shared" ref="U312" si="1114">SUM(V312:AC312)</f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f>SUM(AE312:AY312)</f>
        <v>0</v>
      </c>
      <c r="AE312" s="19">
        <v>0</v>
      </c>
      <c r="AF312" s="19">
        <v>0</v>
      </c>
      <c r="AG312" s="19">
        <v>0</v>
      </c>
      <c r="AH312" s="19">
        <v>0</v>
      </c>
      <c r="AI312" s="19">
        <v>0</v>
      </c>
      <c r="AJ312" s="19">
        <v>0</v>
      </c>
      <c r="AK312" s="19">
        <v>0</v>
      </c>
      <c r="AL312" s="19">
        <v>0</v>
      </c>
      <c r="AM312" s="19">
        <v>0</v>
      </c>
      <c r="AN312" s="19">
        <v>0</v>
      </c>
      <c r="AO312" s="19">
        <v>0</v>
      </c>
      <c r="AP312" s="19">
        <v>0</v>
      </c>
      <c r="AQ312" s="19">
        <v>0</v>
      </c>
      <c r="AR312" s="19">
        <v>0</v>
      </c>
      <c r="AS312" s="19">
        <v>0</v>
      </c>
      <c r="AT312" s="19">
        <v>0</v>
      </c>
      <c r="AU312" s="19">
        <v>0</v>
      </c>
      <c r="AV312" s="19">
        <v>0</v>
      </c>
      <c r="AW312" s="19">
        <v>0</v>
      </c>
      <c r="AX312" s="19"/>
      <c r="AY312" s="19"/>
      <c r="AZ312" s="19"/>
      <c r="BA312" s="19"/>
      <c r="BB312" s="19"/>
      <c r="BC312" s="19">
        <f>SUM(BD312+BH312+BL312+BN312+BQ312)</f>
        <v>40142818</v>
      </c>
      <c r="BD312" s="19">
        <f>SUM(BE312:BG312)</f>
        <v>0</v>
      </c>
      <c r="BE312" s="19">
        <v>0</v>
      </c>
      <c r="BF312" s="19">
        <v>0</v>
      </c>
      <c r="BG312" s="19">
        <v>0</v>
      </c>
      <c r="BH312" s="19">
        <f>SUM(BK312:BK312)</f>
        <v>0</v>
      </c>
      <c r="BI312" s="19">
        <v>0</v>
      </c>
      <c r="BJ312" s="19">
        <v>0</v>
      </c>
      <c r="BK312" s="19">
        <v>0</v>
      </c>
      <c r="BL312" s="19">
        <f>22780831-22780831</f>
        <v>0</v>
      </c>
      <c r="BM312" s="19">
        <v>0</v>
      </c>
      <c r="BN312" s="19">
        <f t="shared" ref="BN312:BN321" si="1115">SUM(BO312)</f>
        <v>0</v>
      </c>
      <c r="BO312" s="19">
        <v>0</v>
      </c>
      <c r="BP312" s="19">
        <v>0</v>
      </c>
      <c r="BQ312" s="19">
        <f>SUM(BR312:CB312)</f>
        <v>40142818</v>
      </c>
      <c r="BR312" s="19">
        <v>0</v>
      </c>
      <c r="BS312" s="19">
        <v>0</v>
      </c>
      <c r="BT312" s="19">
        <v>0</v>
      </c>
      <c r="BU312" s="19">
        <v>0</v>
      </c>
      <c r="BV312" s="19">
        <v>0</v>
      </c>
      <c r="BW312" s="19">
        <v>0</v>
      </c>
      <c r="BX312" s="19">
        <v>0</v>
      </c>
      <c r="BY312" s="19">
        <v>0</v>
      </c>
      <c r="BZ312" s="19">
        <v>0</v>
      </c>
      <c r="CA312" s="19">
        <v>0</v>
      </c>
      <c r="CB312" s="19">
        <v>40142818</v>
      </c>
      <c r="CC312" s="19">
        <f t="shared" ref="CC312:CC321" si="1116">SUM(CD312+CU312)</f>
        <v>0</v>
      </c>
      <c r="CD312" s="19">
        <f>SUM(CE312+CH312+CN312)</f>
        <v>0</v>
      </c>
      <c r="CE312" s="19">
        <f t="shared" ref="CE312:CE321" si="1117">SUM(CF312:CG312)</f>
        <v>0</v>
      </c>
      <c r="CF312" s="19">
        <v>0</v>
      </c>
      <c r="CG312" s="19">
        <v>0</v>
      </c>
      <c r="CH312" s="19">
        <f>SUM(CI312:CM312)</f>
        <v>0</v>
      </c>
      <c r="CI312" s="19">
        <v>0</v>
      </c>
      <c r="CJ312" s="19"/>
      <c r="CK312" s="19">
        <v>0</v>
      </c>
      <c r="CL312" s="19">
        <v>0</v>
      </c>
      <c r="CM312" s="19">
        <v>0</v>
      </c>
      <c r="CN312" s="19">
        <f>SUM(CO312:CQ312)</f>
        <v>0</v>
      </c>
      <c r="CO312" s="19"/>
      <c r="CP312" s="19">
        <v>0</v>
      </c>
      <c r="CQ312" s="19"/>
      <c r="CR312" s="19"/>
      <c r="CS312" s="19"/>
      <c r="CT312" s="19"/>
      <c r="CU312" s="19">
        <v>0</v>
      </c>
      <c r="CV312" s="74"/>
      <c r="CW312" s="74"/>
      <c r="CX312" s="74"/>
      <c r="CY312" s="74"/>
      <c r="CZ312" s="19">
        <f t="shared" ref="CZ312:CZ321" si="1118">SUM(DA312)</f>
        <v>0</v>
      </c>
      <c r="DA312" s="19">
        <f t="shared" ref="DA312:DA321" si="1119">SUM(DB312:DC312)</f>
        <v>0</v>
      </c>
      <c r="DB312" s="19">
        <v>0</v>
      </c>
      <c r="DC312" s="20">
        <v>0</v>
      </c>
      <c r="DD312" s="57"/>
    </row>
    <row r="313" spans="1:108" s="57" customFormat="1" ht="46.8" x14ac:dyDescent="0.3">
      <c r="A313" s="94"/>
      <c r="B313" s="21" t="s">
        <v>266</v>
      </c>
      <c r="C313" s="22" t="s">
        <v>604</v>
      </c>
      <c r="D313" s="19">
        <f>SUM(E313+CC313+CZ313)</f>
        <v>3462268</v>
      </c>
      <c r="E313" s="19">
        <f>SUM(F313+BC313)</f>
        <v>0</v>
      </c>
      <c r="F313" s="19">
        <f t="shared" si="1111"/>
        <v>0</v>
      </c>
      <c r="G313" s="19">
        <v>0</v>
      </c>
      <c r="H313" s="19">
        <v>0</v>
      </c>
      <c r="I313" s="19">
        <f t="shared" ref="I313" si="1120">SUM(J313:O313)</f>
        <v>0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f t="shared" ref="P313" si="1121">SUM(Q313:R313)</f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f t="shared" ref="U313" si="1122">SUM(V313:AC313)</f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f>SUM(AE313:AY313)</f>
        <v>0</v>
      </c>
      <c r="AE313" s="19">
        <v>0</v>
      </c>
      <c r="AF313" s="19">
        <v>0</v>
      </c>
      <c r="AG313" s="19">
        <v>0</v>
      </c>
      <c r="AH313" s="19">
        <v>0</v>
      </c>
      <c r="AI313" s="19">
        <v>0</v>
      </c>
      <c r="AJ313" s="19">
        <v>0</v>
      </c>
      <c r="AK313" s="19">
        <v>0</v>
      </c>
      <c r="AL313" s="19">
        <v>0</v>
      </c>
      <c r="AM313" s="19">
        <v>0</v>
      </c>
      <c r="AN313" s="19">
        <v>0</v>
      </c>
      <c r="AO313" s="19">
        <v>0</v>
      </c>
      <c r="AP313" s="19">
        <v>0</v>
      </c>
      <c r="AQ313" s="19">
        <v>0</v>
      </c>
      <c r="AR313" s="19">
        <v>0</v>
      </c>
      <c r="AS313" s="19">
        <v>0</v>
      </c>
      <c r="AT313" s="19">
        <v>0</v>
      </c>
      <c r="AU313" s="19">
        <v>0</v>
      </c>
      <c r="AV313" s="19">
        <v>0</v>
      </c>
      <c r="AW313" s="19">
        <v>0</v>
      </c>
      <c r="AX313" s="19"/>
      <c r="AY313" s="19"/>
      <c r="AZ313" s="19"/>
      <c r="BA313" s="19"/>
      <c r="BB313" s="19"/>
      <c r="BC313" s="19">
        <f>SUM(BD313+BH313+BL313+BN313+BQ313)</f>
        <v>0</v>
      </c>
      <c r="BD313" s="19">
        <f>SUM(BE313:BG313)</f>
        <v>0</v>
      </c>
      <c r="BE313" s="19">
        <v>0</v>
      </c>
      <c r="BF313" s="19">
        <v>0</v>
      </c>
      <c r="BG313" s="19">
        <v>0</v>
      </c>
      <c r="BH313" s="19">
        <f>SUM(BK313:BK313)</f>
        <v>0</v>
      </c>
      <c r="BI313" s="19">
        <v>0</v>
      </c>
      <c r="BJ313" s="19">
        <v>0</v>
      </c>
      <c r="BK313" s="19">
        <v>0</v>
      </c>
      <c r="BL313" s="19"/>
      <c r="BM313" s="19">
        <v>0</v>
      </c>
      <c r="BN313" s="19">
        <f t="shared" ref="BN313" si="1123">SUM(BO313)</f>
        <v>0</v>
      </c>
      <c r="BO313" s="19">
        <v>0</v>
      </c>
      <c r="BP313" s="19">
        <v>0</v>
      </c>
      <c r="BQ313" s="19">
        <f>SUM(BR313:CB313)</f>
        <v>0</v>
      </c>
      <c r="BR313" s="19">
        <v>0</v>
      </c>
      <c r="BS313" s="19">
        <v>0</v>
      </c>
      <c r="BT313" s="19">
        <v>0</v>
      </c>
      <c r="BU313" s="19">
        <v>0</v>
      </c>
      <c r="BV313" s="19">
        <v>0</v>
      </c>
      <c r="BW313" s="19">
        <v>0</v>
      </c>
      <c r="BX313" s="19">
        <v>0</v>
      </c>
      <c r="BY313" s="19">
        <v>0</v>
      </c>
      <c r="BZ313" s="19">
        <v>0</v>
      </c>
      <c r="CA313" s="19">
        <v>0</v>
      </c>
      <c r="CB313" s="19"/>
      <c r="CC313" s="19">
        <f t="shared" si="1116"/>
        <v>3462268</v>
      </c>
      <c r="CD313" s="19">
        <f>SUM(CE313+CH313+CN313)</f>
        <v>3462268</v>
      </c>
      <c r="CE313" s="19">
        <f t="shared" ref="CE313" si="1124">SUM(CF313:CG313)</f>
        <v>0</v>
      </c>
      <c r="CF313" s="19">
        <v>0</v>
      </c>
      <c r="CG313" s="19">
        <v>0</v>
      </c>
      <c r="CH313" s="19">
        <f>SUM(CI313:CM313)</f>
        <v>3462268</v>
      </c>
      <c r="CI313" s="19">
        <v>0</v>
      </c>
      <c r="CJ313" s="19"/>
      <c r="CK313" s="19">
        <v>0</v>
      </c>
      <c r="CL313" s="19">
        <f>12045765-2372208-6211289</f>
        <v>3462268</v>
      </c>
      <c r="CM313" s="19"/>
      <c r="CN313" s="19">
        <f>SUM(CO313:CQ313)</f>
        <v>0</v>
      </c>
      <c r="CO313" s="19"/>
      <c r="CP313" s="19">
        <v>0</v>
      </c>
      <c r="CQ313" s="19"/>
      <c r="CR313" s="19"/>
      <c r="CS313" s="19"/>
      <c r="CT313" s="19"/>
      <c r="CU313" s="19">
        <v>0</v>
      </c>
      <c r="CV313" s="74"/>
      <c r="CW313" s="74"/>
      <c r="CX313" s="74"/>
      <c r="CY313" s="74"/>
      <c r="CZ313" s="19">
        <f t="shared" ref="CZ313" si="1125">SUM(DA313)</f>
        <v>0</v>
      </c>
      <c r="DA313" s="19">
        <f t="shared" ref="DA313" si="1126">SUM(DB313:DC313)</f>
        <v>0</v>
      </c>
      <c r="DB313" s="19">
        <v>0</v>
      </c>
      <c r="DC313" s="20">
        <v>0</v>
      </c>
    </row>
    <row r="314" spans="1:108" s="52" customFormat="1" ht="15.6" x14ac:dyDescent="0.3">
      <c r="A314" s="93" t="s">
        <v>308</v>
      </c>
      <c r="B314" s="16" t="s">
        <v>1</v>
      </c>
      <c r="C314" s="17" t="s">
        <v>309</v>
      </c>
      <c r="D314" s="18">
        <f t="shared" ref="D314:AJ314" si="1127">SUM(D315)</f>
        <v>111140846</v>
      </c>
      <c r="E314" s="18">
        <f t="shared" si="1127"/>
        <v>3920609</v>
      </c>
      <c r="F314" s="18">
        <f t="shared" si="1127"/>
        <v>3920609</v>
      </c>
      <c r="G314" s="18">
        <f t="shared" si="1127"/>
        <v>0</v>
      </c>
      <c r="H314" s="18">
        <f t="shared" si="1127"/>
        <v>0</v>
      </c>
      <c r="I314" s="18">
        <f t="shared" si="1127"/>
        <v>0</v>
      </c>
      <c r="J314" s="18">
        <f t="shared" si="1127"/>
        <v>0</v>
      </c>
      <c r="K314" s="18">
        <f t="shared" si="1127"/>
        <v>0</v>
      </c>
      <c r="L314" s="18">
        <f t="shared" si="1127"/>
        <v>0</v>
      </c>
      <c r="M314" s="18">
        <f t="shared" si="1127"/>
        <v>0</v>
      </c>
      <c r="N314" s="18">
        <f t="shared" si="1127"/>
        <v>0</v>
      </c>
      <c r="O314" s="18">
        <f t="shared" si="1127"/>
        <v>0</v>
      </c>
      <c r="P314" s="18">
        <f t="shared" si="1127"/>
        <v>0</v>
      </c>
      <c r="Q314" s="18">
        <f t="shared" si="1127"/>
        <v>0</v>
      </c>
      <c r="R314" s="18">
        <f t="shared" si="1127"/>
        <v>0</v>
      </c>
      <c r="S314" s="18">
        <f t="shared" si="1127"/>
        <v>0</v>
      </c>
      <c r="T314" s="18">
        <f t="shared" si="1127"/>
        <v>0</v>
      </c>
      <c r="U314" s="18">
        <f t="shared" si="1127"/>
        <v>0</v>
      </c>
      <c r="V314" s="18">
        <f t="shared" si="1127"/>
        <v>0</v>
      </c>
      <c r="W314" s="18">
        <f t="shared" si="1127"/>
        <v>0</v>
      </c>
      <c r="X314" s="18">
        <f t="shared" si="1127"/>
        <v>0</v>
      </c>
      <c r="Y314" s="18">
        <f t="shared" si="1127"/>
        <v>0</v>
      </c>
      <c r="Z314" s="18">
        <f t="shared" si="1127"/>
        <v>0</v>
      </c>
      <c r="AA314" s="18">
        <f t="shared" si="1127"/>
        <v>0</v>
      </c>
      <c r="AB314" s="18">
        <f t="shared" si="1127"/>
        <v>0</v>
      </c>
      <c r="AC314" s="18">
        <f t="shared" si="1127"/>
        <v>0</v>
      </c>
      <c r="AD314" s="18">
        <f t="shared" si="1127"/>
        <v>3920609</v>
      </c>
      <c r="AE314" s="18">
        <f t="shared" si="1127"/>
        <v>0</v>
      </c>
      <c r="AF314" s="18">
        <f t="shared" si="1127"/>
        <v>0</v>
      </c>
      <c r="AG314" s="18">
        <f t="shared" si="1127"/>
        <v>0</v>
      </c>
      <c r="AH314" s="18">
        <f t="shared" si="1127"/>
        <v>0</v>
      </c>
      <c r="AI314" s="18">
        <f t="shared" si="1127"/>
        <v>0</v>
      </c>
      <c r="AJ314" s="18">
        <f t="shared" si="1127"/>
        <v>0</v>
      </c>
      <c r="AK314" s="18">
        <f t="shared" ref="AK314:DC314" si="1128">SUM(AK315)</f>
        <v>0</v>
      </c>
      <c r="AL314" s="18">
        <f t="shared" si="1128"/>
        <v>0</v>
      </c>
      <c r="AM314" s="18">
        <f t="shared" si="1128"/>
        <v>0</v>
      </c>
      <c r="AN314" s="18">
        <f t="shared" si="1128"/>
        <v>0</v>
      </c>
      <c r="AO314" s="18">
        <f t="shared" si="1128"/>
        <v>0</v>
      </c>
      <c r="AP314" s="18">
        <f t="shared" si="1128"/>
        <v>0</v>
      </c>
      <c r="AQ314" s="18">
        <f t="shared" si="1128"/>
        <v>0</v>
      </c>
      <c r="AR314" s="18">
        <f t="shared" si="1128"/>
        <v>0</v>
      </c>
      <c r="AS314" s="18">
        <f t="shared" si="1128"/>
        <v>0</v>
      </c>
      <c r="AT314" s="18">
        <f t="shared" si="1128"/>
        <v>0</v>
      </c>
      <c r="AU314" s="18">
        <f t="shared" si="1128"/>
        <v>0</v>
      </c>
      <c r="AV314" s="18">
        <f t="shared" si="1128"/>
        <v>0</v>
      </c>
      <c r="AW314" s="18">
        <f t="shared" si="1128"/>
        <v>0</v>
      </c>
      <c r="AX314" s="18"/>
      <c r="AY314" s="18">
        <f t="shared" si="1128"/>
        <v>3920609</v>
      </c>
      <c r="AZ314" s="18"/>
      <c r="BA314" s="18"/>
      <c r="BB314" s="18"/>
      <c r="BC314" s="18">
        <f t="shared" si="1128"/>
        <v>0</v>
      </c>
      <c r="BD314" s="18">
        <f t="shared" si="1128"/>
        <v>0</v>
      </c>
      <c r="BE314" s="18">
        <f t="shared" si="1128"/>
        <v>0</v>
      </c>
      <c r="BF314" s="18">
        <f t="shared" si="1128"/>
        <v>0</v>
      </c>
      <c r="BG314" s="18">
        <f t="shared" si="1128"/>
        <v>0</v>
      </c>
      <c r="BH314" s="18">
        <f t="shared" si="1128"/>
        <v>0</v>
      </c>
      <c r="BI314" s="18">
        <f t="shared" si="1128"/>
        <v>0</v>
      </c>
      <c r="BJ314" s="18">
        <f t="shared" si="1128"/>
        <v>0</v>
      </c>
      <c r="BK314" s="18">
        <f t="shared" si="1128"/>
        <v>0</v>
      </c>
      <c r="BL314" s="18">
        <f t="shared" si="1128"/>
        <v>0</v>
      </c>
      <c r="BM314" s="18">
        <f t="shared" si="1128"/>
        <v>0</v>
      </c>
      <c r="BN314" s="18">
        <f t="shared" si="1128"/>
        <v>0</v>
      </c>
      <c r="BO314" s="18">
        <f t="shared" si="1128"/>
        <v>0</v>
      </c>
      <c r="BP314" s="18">
        <f t="shared" si="1128"/>
        <v>0</v>
      </c>
      <c r="BQ314" s="18">
        <f t="shared" si="1128"/>
        <v>0</v>
      </c>
      <c r="BR314" s="18">
        <f t="shared" si="1128"/>
        <v>0</v>
      </c>
      <c r="BS314" s="18">
        <f t="shared" si="1128"/>
        <v>0</v>
      </c>
      <c r="BT314" s="18">
        <f t="shared" si="1128"/>
        <v>0</v>
      </c>
      <c r="BU314" s="18">
        <f t="shared" si="1128"/>
        <v>0</v>
      </c>
      <c r="BV314" s="18">
        <f t="shared" si="1128"/>
        <v>0</v>
      </c>
      <c r="BW314" s="18">
        <f t="shared" si="1128"/>
        <v>0</v>
      </c>
      <c r="BX314" s="18">
        <f t="shared" si="1128"/>
        <v>0</v>
      </c>
      <c r="BY314" s="18">
        <f t="shared" si="1128"/>
        <v>0</v>
      </c>
      <c r="BZ314" s="18">
        <f t="shared" si="1128"/>
        <v>0</v>
      </c>
      <c r="CA314" s="18">
        <f t="shared" si="1128"/>
        <v>0</v>
      </c>
      <c r="CB314" s="18">
        <f t="shared" si="1128"/>
        <v>0</v>
      </c>
      <c r="CC314" s="18">
        <f t="shared" si="1116"/>
        <v>107220237</v>
      </c>
      <c r="CD314" s="18">
        <f t="shared" si="1128"/>
        <v>96209994</v>
      </c>
      <c r="CE314" s="18">
        <f t="shared" si="1128"/>
        <v>0</v>
      </c>
      <c r="CF314" s="18">
        <f t="shared" si="1128"/>
        <v>0</v>
      </c>
      <c r="CG314" s="18">
        <f t="shared" si="1128"/>
        <v>0</v>
      </c>
      <c r="CH314" s="18">
        <f t="shared" si="1128"/>
        <v>48252679</v>
      </c>
      <c r="CI314" s="18">
        <f t="shared" si="1128"/>
        <v>0</v>
      </c>
      <c r="CJ314" s="18">
        <f t="shared" si="1128"/>
        <v>48252679</v>
      </c>
      <c r="CK314" s="18">
        <f t="shared" si="1128"/>
        <v>0</v>
      </c>
      <c r="CL314" s="18">
        <f t="shared" si="1128"/>
        <v>0</v>
      </c>
      <c r="CM314" s="18">
        <f t="shared" si="1128"/>
        <v>0</v>
      </c>
      <c r="CN314" s="18">
        <f t="shared" si="1128"/>
        <v>47957315</v>
      </c>
      <c r="CO314" s="18">
        <f t="shared" si="1128"/>
        <v>41900160</v>
      </c>
      <c r="CP314" s="18">
        <f t="shared" si="1128"/>
        <v>6057155</v>
      </c>
      <c r="CQ314" s="18">
        <f t="shared" si="1128"/>
        <v>0</v>
      </c>
      <c r="CR314" s="18"/>
      <c r="CS314" s="18"/>
      <c r="CT314" s="18"/>
      <c r="CU314" s="18">
        <f t="shared" si="1128"/>
        <v>11010243</v>
      </c>
      <c r="CV314" s="73"/>
      <c r="CW314" s="73"/>
      <c r="CX314" s="73"/>
      <c r="CY314" s="73"/>
      <c r="CZ314" s="18">
        <f t="shared" si="1128"/>
        <v>0</v>
      </c>
      <c r="DA314" s="18">
        <f t="shared" si="1128"/>
        <v>0</v>
      </c>
      <c r="DB314" s="18">
        <f t="shared" si="1128"/>
        <v>0</v>
      </c>
      <c r="DC314" s="46">
        <f t="shared" si="1128"/>
        <v>0</v>
      </c>
    </row>
    <row r="315" spans="1:108" s="57" customFormat="1" ht="15.6" x14ac:dyDescent="0.3">
      <c r="A315" s="94" t="s">
        <v>1</v>
      </c>
      <c r="B315" s="21" t="s">
        <v>310</v>
      </c>
      <c r="C315" s="22" t="s">
        <v>309</v>
      </c>
      <c r="D315" s="19">
        <f>SUM(E315+CC315+CZ315)</f>
        <v>111140846</v>
      </c>
      <c r="E315" s="19">
        <f>SUM(F315+BC315)</f>
        <v>3920609</v>
      </c>
      <c r="F315" s="19">
        <f>SUM(G315+H315+I315+P315+S315+T315+U315+AD315)</f>
        <v>3920609</v>
      </c>
      <c r="G315" s="19">
        <v>0</v>
      </c>
      <c r="H315" s="19">
        <v>0</v>
      </c>
      <c r="I315" s="19">
        <f t="shared" si="1112"/>
        <v>0</v>
      </c>
      <c r="J315" s="19">
        <f>3111047-3111047</f>
        <v>0</v>
      </c>
      <c r="K315" s="19"/>
      <c r="L315" s="19">
        <v>0</v>
      </c>
      <c r="M315" s="19">
        <v>0</v>
      </c>
      <c r="N315" s="19"/>
      <c r="O315" s="23"/>
      <c r="P315" s="19">
        <f t="shared" si="1113"/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f t="shared" ref="U315" si="1129">SUM(V315:AC315)</f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f>SUM(AE315:AY315)</f>
        <v>3920609</v>
      </c>
      <c r="AE315" s="19">
        <v>0</v>
      </c>
      <c r="AF315" s="19">
        <v>0</v>
      </c>
      <c r="AG315" s="51">
        <v>0</v>
      </c>
      <c r="AH315" s="19">
        <v>0</v>
      </c>
      <c r="AI315" s="19">
        <v>0</v>
      </c>
      <c r="AJ315" s="19">
        <v>0</v>
      </c>
      <c r="AK315" s="19">
        <v>0</v>
      </c>
      <c r="AL315" s="19">
        <v>0</v>
      </c>
      <c r="AM315" s="19">
        <v>0</v>
      </c>
      <c r="AN315" s="19">
        <v>0</v>
      </c>
      <c r="AO315" s="19">
        <v>0</v>
      </c>
      <c r="AP315" s="19">
        <v>0</v>
      </c>
      <c r="AQ315" s="19">
        <v>0</v>
      </c>
      <c r="AR315" s="19">
        <v>0</v>
      </c>
      <c r="AS315" s="19">
        <v>0</v>
      </c>
      <c r="AT315" s="19">
        <v>0</v>
      </c>
      <c r="AU315" s="23">
        <v>0</v>
      </c>
      <c r="AV315" s="19">
        <v>0</v>
      </c>
      <c r="AW315" s="19">
        <v>0</v>
      </c>
      <c r="AX315" s="19">
        <v>0</v>
      </c>
      <c r="AY315" s="19">
        <f>5300000-1491885+112494</f>
        <v>3920609</v>
      </c>
      <c r="AZ315" s="19"/>
      <c r="BA315" s="19"/>
      <c r="BB315" s="19"/>
      <c r="BC315" s="19">
        <f>SUM(BD315+BH315+BL315+BN315+BQ315)</f>
        <v>0</v>
      </c>
      <c r="BD315" s="19">
        <f>SUM(BE315:BG315)</f>
        <v>0</v>
      </c>
      <c r="BE315" s="19">
        <v>0</v>
      </c>
      <c r="BF315" s="19">
        <v>0</v>
      </c>
      <c r="BG315" s="19">
        <v>0</v>
      </c>
      <c r="BH315" s="19">
        <f>SUM(BK315:BK315)</f>
        <v>0</v>
      </c>
      <c r="BI315" s="19">
        <v>0</v>
      </c>
      <c r="BJ315" s="19">
        <v>0</v>
      </c>
      <c r="BK315" s="19">
        <v>0</v>
      </c>
      <c r="BL315" s="19">
        <v>0</v>
      </c>
      <c r="BM315" s="19">
        <v>0</v>
      </c>
      <c r="BN315" s="19">
        <f t="shared" si="1115"/>
        <v>0</v>
      </c>
      <c r="BO315" s="19">
        <v>0</v>
      </c>
      <c r="BP315" s="19">
        <v>0</v>
      </c>
      <c r="BQ315" s="19">
        <f>SUM(BR315:CB315)</f>
        <v>0</v>
      </c>
      <c r="BR315" s="19">
        <v>0</v>
      </c>
      <c r="BS315" s="19">
        <v>0</v>
      </c>
      <c r="BT315" s="19">
        <v>0</v>
      </c>
      <c r="BU315" s="19">
        <v>0</v>
      </c>
      <c r="BV315" s="19">
        <v>0</v>
      </c>
      <c r="BW315" s="19">
        <v>0</v>
      </c>
      <c r="BX315" s="19">
        <v>0</v>
      </c>
      <c r="BY315" s="23"/>
      <c r="BZ315" s="19">
        <v>0</v>
      </c>
      <c r="CA315" s="19">
        <v>0</v>
      </c>
      <c r="CB315" s="19">
        <v>0</v>
      </c>
      <c r="CC315" s="19">
        <f t="shared" si="1116"/>
        <v>107220237</v>
      </c>
      <c r="CD315" s="19">
        <f>SUM(CE315+CH315+CN315)</f>
        <v>96209994</v>
      </c>
      <c r="CE315" s="19">
        <f t="shared" si="1117"/>
        <v>0</v>
      </c>
      <c r="CF315" s="19"/>
      <c r="CG315" s="35"/>
      <c r="CH315" s="19">
        <f>SUM(CI315:CM315)</f>
        <v>48252679</v>
      </c>
      <c r="CI315" s="23">
        <f>98859686-98859686</f>
        <v>0</v>
      </c>
      <c r="CJ315" s="23">
        <f>34229795-6500000+11807285+19830599-11115000</f>
        <v>48252679</v>
      </c>
      <c r="CK315" s="24">
        <f>2000000-2000000</f>
        <v>0</v>
      </c>
      <c r="CL315" s="24"/>
      <c r="CM315" s="24"/>
      <c r="CN315" s="19">
        <f>SUM(CO315:CQ315)</f>
        <v>47957315</v>
      </c>
      <c r="CO315" s="24">
        <f>19923863+7991885+8015841+14241449-9272878+1000000</f>
        <v>41900160</v>
      </c>
      <c r="CP315" s="19">
        <f>13355872+2392810+3664345-13355872</f>
        <v>6057155</v>
      </c>
      <c r="CQ315" s="19"/>
      <c r="CR315" s="19"/>
      <c r="CS315" s="19"/>
      <c r="CT315" s="19"/>
      <c r="CU315" s="19">
        <f>0+1327965+10682278-1000000</f>
        <v>11010243</v>
      </c>
      <c r="CV315" s="74"/>
      <c r="CW315" s="74"/>
      <c r="CX315" s="74"/>
      <c r="CY315" s="74"/>
      <c r="CZ315" s="19">
        <f t="shared" si="1118"/>
        <v>0</v>
      </c>
      <c r="DA315" s="19">
        <f t="shared" si="1119"/>
        <v>0</v>
      </c>
      <c r="DB315" s="19">
        <v>0</v>
      </c>
      <c r="DC315" s="20">
        <v>0</v>
      </c>
    </row>
    <row r="316" spans="1:108" s="52" customFormat="1" ht="15.6" x14ac:dyDescent="0.3">
      <c r="A316" s="93" t="s">
        <v>311</v>
      </c>
      <c r="B316" s="16" t="s">
        <v>1</v>
      </c>
      <c r="C316" s="17" t="s">
        <v>312</v>
      </c>
      <c r="D316" s="18">
        <f t="shared" ref="D316:BT316" si="1130">SUM(D317)</f>
        <v>14511712</v>
      </c>
      <c r="E316" s="18">
        <f t="shared" si="1130"/>
        <v>14511712</v>
      </c>
      <c r="F316" s="18">
        <f t="shared" si="1130"/>
        <v>14511712</v>
      </c>
      <c r="G316" s="18">
        <f t="shared" si="1130"/>
        <v>0</v>
      </c>
      <c r="H316" s="18">
        <f t="shared" si="1130"/>
        <v>0</v>
      </c>
      <c r="I316" s="18">
        <f t="shared" si="1130"/>
        <v>0</v>
      </c>
      <c r="J316" s="18">
        <f t="shared" si="1130"/>
        <v>0</v>
      </c>
      <c r="K316" s="18">
        <f t="shared" si="1130"/>
        <v>0</v>
      </c>
      <c r="L316" s="18">
        <f t="shared" si="1130"/>
        <v>0</v>
      </c>
      <c r="M316" s="18">
        <f t="shared" si="1130"/>
        <v>0</v>
      </c>
      <c r="N316" s="18">
        <f t="shared" si="1130"/>
        <v>0</v>
      </c>
      <c r="O316" s="18">
        <f t="shared" si="1130"/>
        <v>0</v>
      </c>
      <c r="P316" s="18">
        <f t="shared" si="1130"/>
        <v>0</v>
      </c>
      <c r="Q316" s="18">
        <f t="shared" si="1130"/>
        <v>0</v>
      </c>
      <c r="R316" s="18">
        <f t="shared" si="1130"/>
        <v>0</v>
      </c>
      <c r="S316" s="18">
        <f t="shared" si="1130"/>
        <v>0</v>
      </c>
      <c r="T316" s="18">
        <f t="shared" si="1130"/>
        <v>0</v>
      </c>
      <c r="U316" s="18">
        <f t="shared" si="1130"/>
        <v>0</v>
      </c>
      <c r="V316" s="18">
        <f t="shared" si="1130"/>
        <v>0</v>
      </c>
      <c r="W316" s="18">
        <f t="shared" si="1130"/>
        <v>0</v>
      </c>
      <c r="X316" s="18">
        <f t="shared" si="1130"/>
        <v>0</v>
      </c>
      <c r="Y316" s="18">
        <f t="shared" si="1130"/>
        <v>0</v>
      </c>
      <c r="Z316" s="18">
        <f t="shared" si="1130"/>
        <v>0</v>
      </c>
      <c r="AA316" s="18">
        <f t="shared" si="1130"/>
        <v>0</v>
      </c>
      <c r="AB316" s="18">
        <f t="shared" si="1130"/>
        <v>0</v>
      </c>
      <c r="AC316" s="18">
        <f t="shared" si="1130"/>
        <v>0</v>
      </c>
      <c r="AD316" s="18">
        <f t="shared" si="1130"/>
        <v>14511712</v>
      </c>
      <c r="AE316" s="18">
        <f t="shared" si="1130"/>
        <v>0</v>
      </c>
      <c r="AF316" s="18">
        <f t="shared" si="1130"/>
        <v>0</v>
      </c>
      <c r="AG316" s="18">
        <f t="shared" si="1130"/>
        <v>0</v>
      </c>
      <c r="AH316" s="18">
        <f t="shared" si="1130"/>
        <v>0</v>
      </c>
      <c r="AI316" s="18">
        <f t="shared" si="1130"/>
        <v>0</v>
      </c>
      <c r="AJ316" s="18">
        <f t="shared" si="1130"/>
        <v>0</v>
      </c>
      <c r="AK316" s="18">
        <f t="shared" si="1130"/>
        <v>0</v>
      </c>
      <c r="AL316" s="18">
        <f t="shared" si="1130"/>
        <v>0</v>
      </c>
      <c r="AM316" s="18">
        <f t="shared" si="1130"/>
        <v>0</v>
      </c>
      <c r="AN316" s="18">
        <f t="shared" si="1130"/>
        <v>0</v>
      </c>
      <c r="AO316" s="18">
        <f t="shared" si="1130"/>
        <v>0</v>
      </c>
      <c r="AP316" s="18">
        <f t="shared" si="1130"/>
        <v>0</v>
      </c>
      <c r="AQ316" s="18">
        <f t="shared" si="1130"/>
        <v>0</v>
      </c>
      <c r="AR316" s="18">
        <f t="shared" si="1130"/>
        <v>0</v>
      </c>
      <c r="AS316" s="18">
        <f t="shared" si="1130"/>
        <v>0</v>
      </c>
      <c r="AT316" s="18">
        <f t="shared" si="1130"/>
        <v>0</v>
      </c>
      <c r="AU316" s="18">
        <f t="shared" si="1130"/>
        <v>0</v>
      </c>
      <c r="AV316" s="18">
        <f t="shared" si="1130"/>
        <v>0</v>
      </c>
      <c r="AW316" s="18">
        <f t="shared" si="1130"/>
        <v>0</v>
      </c>
      <c r="AX316" s="18"/>
      <c r="AY316" s="18">
        <f t="shared" si="1130"/>
        <v>14511712</v>
      </c>
      <c r="AZ316" s="18"/>
      <c r="BA316" s="18"/>
      <c r="BB316" s="18"/>
      <c r="BC316" s="18">
        <f t="shared" si="1130"/>
        <v>0</v>
      </c>
      <c r="BD316" s="18">
        <f t="shared" si="1130"/>
        <v>0</v>
      </c>
      <c r="BE316" s="18">
        <f t="shared" si="1130"/>
        <v>0</v>
      </c>
      <c r="BF316" s="18">
        <f t="shared" si="1130"/>
        <v>0</v>
      </c>
      <c r="BG316" s="18">
        <f t="shared" si="1130"/>
        <v>0</v>
      </c>
      <c r="BH316" s="18">
        <f t="shared" si="1130"/>
        <v>0</v>
      </c>
      <c r="BI316" s="18">
        <f t="shared" si="1130"/>
        <v>0</v>
      </c>
      <c r="BJ316" s="18">
        <f t="shared" si="1130"/>
        <v>0</v>
      </c>
      <c r="BK316" s="18">
        <f t="shared" si="1130"/>
        <v>0</v>
      </c>
      <c r="BL316" s="18">
        <f t="shared" si="1130"/>
        <v>0</v>
      </c>
      <c r="BM316" s="18">
        <f t="shared" si="1130"/>
        <v>0</v>
      </c>
      <c r="BN316" s="18">
        <f t="shared" si="1130"/>
        <v>0</v>
      </c>
      <c r="BO316" s="18">
        <f t="shared" si="1130"/>
        <v>0</v>
      </c>
      <c r="BP316" s="18">
        <f t="shared" si="1130"/>
        <v>0</v>
      </c>
      <c r="BQ316" s="18">
        <f t="shared" si="1130"/>
        <v>0</v>
      </c>
      <c r="BR316" s="18">
        <f t="shared" si="1130"/>
        <v>0</v>
      </c>
      <c r="BS316" s="18">
        <f t="shared" si="1130"/>
        <v>0</v>
      </c>
      <c r="BT316" s="18">
        <f t="shared" si="1130"/>
        <v>0</v>
      </c>
      <c r="BU316" s="18">
        <f t="shared" ref="BU316:DC316" si="1131">SUM(BU317)</f>
        <v>0</v>
      </c>
      <c r="BV316" s="18">
        <f t="shared" si="1131"/>
        <v>0</v>
      </c>
      <c r="BW316" s="18">
        <f t="shared" si="1131"/>
        <v>0</v>
      </c>
      <c r="BX316" s="18">
        <f t="shared" si="1131"/>
        <v>0</v>
      </c>
      <c r="BY316" s="18">
        <f t="shared" si="1131"/>
        <v>0</v>
      </c>
      <c r="BZ316" s="18">
        <f t="shared" si="1131"/>
        <v>0</v>
      </c>
      <c r="CA316" s="18">
        <f t="shared" si="1131"/>
        <v>0</v>
      </c>
      <c r="CB316" s="18">
        <f t="shared" si="1131"/>
        <v>0</v>
      </c>
      <c r="CC316" s="18">
        <f t="shared" si="1116"/>
        <v>0</v>
      </c>
      <c r="CD316" s="18">
        <f t="shared" si="1131"/>
        <v>0</v>
      </c>
      <c r="CE316" s="18">
        <f t="shared" si="1131"/>
        <v>0</v>
      </c>
      <c r="CF316" s="18">
        <f t="shared" si="1131"/>
        <v>0</v>
      </c>
      <c r="CG316" s="18">
        <f t="shared" si="1131"/>
        <v>0</v>
      </c>
      <c r="CH316" s="18">
        <f t="shared" si="1131"/>
        <v>0</v>
      </c>
      <c r="CI316" s="18">
        <f t="shared" si="1131"/>
        <v>0</v>
      </c>
      <c r="CJ316" s="18">
        <f t="shared" si="1131"/>
        <v>0</v>
      </c>
      <c r="CK316" s="18">
        <f t="shared" si="1131"/>
        <v>0</v>
      </c>
      <c r="CL316" s="18">
        <f t="shared" si="1131"/>
        <v>0</v>
      </c>
      <c r="CM316" s="18">
        <f t="shared" si="1131"/>
        <v>0</v>
      </c>
      <c r="CN316" s="18">
        <f t="shared" si="1131"/>
        <v>0</v>
      </c>
      <c r="CO316" s="18">
        <f t="shared" si="1131"/>
        <v>0</v>
      </c>
      <c r="CP316" s="18">
        <f t="shared" si="1131"/>
        <v>0</v>
      </c>
      <c r="CQ316" s="18"/>
      <c r="CR316" s="18"/>
      <c r="CS316" s="18"/>
      <c r="CT316" s="18"/>
      <c r="CU316" s="18">
        <f t="shared" si="1131"/>
        <v>0</v>
      </c>
      <c r="CV316" s="73"/>
      <c r="CW316" s="73"/>
      <c r="CX316" s="73"/>
      <c r="CY316" s="73"/>
      <c r="CZ316" s="18">
        <f t="shared" si="1131"/>
        <v>0</v>
      </c>
      <c r="DA316" s="18">
        <f t="shared" si="1131"/>
        <v>0</v>
      </c>
      <c r="DB316" s="18">
        <f t="shared" si="1131"/>
        <v>0</v>
      </c>
      <c r="DC316" s="46">
        <f t="shared" si="1131"/>
        <v>0</v>
      </c>
    </row>
    <row r="317" spans="1:108" s="58" customFormat="1" ht="15.6" x14ac:dyDescent="0.3">
      <c r="A317" s="94" t="s">
        <v>1</v>
      </c>
      <c r="B317" s="21" t="s">
        <v>266</v>
      </c>
      <c r="C317" s="22" t="s">
        <v>312</v>
      </c>
      <c r="D317" s="19">
        <f>SUM(E317+CC317+CZ317)</f>
        <v>14511712</v>
      </c>
      <c r="E317" s="19">
        <f>SUM(F317+BC317)</f>
        <v>14511712</v>
      </c>
      <c r="F317" s="19">
        <f>SUM(G317+H317+I317+P317+S317+T317+U317+AD317)</f>
        <v>14511712</v>
      </c>
      <c r="G317" s="19">
        <v>0</v>
      </c>
      <c r="H317" s="19">
        <v>0</v>
      </c>
      <c r="I317" s="19">
        <f t="shared" si="1112"/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f t="shared" si="1113"/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f t="shared" ref="U317" si="1132">SUM(V317:AC317)</f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0</v>
      </c>
      <c r="AD317" s="19">
        <f>SUM(AE317:AY317)</f>
        <v>14511712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0</v>
      </c>
      <c r="AN317" s="19">
        <v>0</v>
      </c>
      <c r="AO317" s="19">
        <v>0</v>
      </c>
      <c r="AP317" s="19">
        <v>0</v>
      </c>
      <c r="AQ317" s="19">
        <v>0</v>
      </c>
      <c r="AR317" s="19">
        <v>0</v>
      </c>
      <c r="AS317" s="19">
        <v>0</v>
      </c>
      <c r="AT317" s="19">
        <v>0</v>
      </c>
      <c r="AU317" s="19">
        <v>0</v>
      </c>
      <c r="AV317" s="19">
        <v>0</v>
      </c>
      <c r="AW317" s="19">
        <v>0</v>
      </c>
      <c r="AX317" s="19">
        <v>0</v>
      </c>
      <c r="AY317" s="23">
        <v>14511712</v>
      </c>
      <c r="AZ317" s="23"/>
      <c r="BA317" s="23"/>
      <c r="BB317" s="23"/>
      <c r="BC317" s="19">
        <f>SUM(BD317+BH317+BL317+BN317+BQ317)</f>
        <v>0</v>
      </c>
      <c r="BD317" s="19">
        <f>SUM(BE317:BG317)</f>
        <v>0</v>
      </c>
      <c r="BE317" s="19">
        <v>0</v>
      </c>
      <c r="BF317" s="19">
        <v>0</v>
      </c>
      <c r="BG317" s="19">
        <v>0</v>
      </c>
      <c r="BH317" s="19">
        <f>SUM(BK317:BK317)</f>
        <v>0</v>
      </c>
      <c r="BI317" s="19">
        <v>0</v>
      </c>
      <c r="BJ317" s="19">
        <v>0</v>
      </c>
      <c r="BK317" s="19">
        <v>0</v>
      </c>
      <c r="BL317" s="19">
        <v>0</v>
      </c>
      <c r="BM317" s="19">
        <v>0</v>
      </c>
      <c r="BN317" s="19">
        <f t="shared" si="1115"/>
        <v>0</v>
      </c>
      <c r="BO317" s="19">
        <v>0</v>
      </c>
      <c r="BP317" s="19">
        <v>0</v>
      </c>
      <c r="BQ317" s="19">
        <f>SUM(BR317:CB317)</f>
        <v>0</v>
      </c>
      <c r="BR317" s="19">
        <v>0</v>
      </c>
      <c r="BS317" s="19">
        <v>0</v>
      </c>
      <c r="BT317" s="19">
        <v>0</v>
      </c>
      <c r="BU317" s="19">
        <v>0</v>
      </c>
      <c r="BV317" s="19">
        <v>0</v>
      </c>
      <c r="BW317" s="19">
        <v>0</v>
      </c>
      <c r="BX317" s="19">
        <v>0</v>
      </c>
      <c r="BY317" s="19">
        <v>0</v>
      </c>
      <c r="BZ317" s="19">
        <v>0</v>
      </c>
      <c r="CA317" s="19">
        <v>0</v>
      </c>
      <c r="CB317" s="19">
        <v>0</v>
      </c>
      <c r="CC317" s="19">
        <f t="shared" si="1116"/>
        <v>0</v>
      </c>
      <c r="CD317" s="19">
        <f>SUM(CE317+CH317+CN317)</f>
        <v>0</v>
      </c>
      <c r="CE317" s="19">
        <f t="shared" si="1117"/>
        <v>0</v>
      </c>
      <c r="CF317" s="19">
        <v>0</v>
      </c>
      <c r="CG317" s="19">
        <v>0</v>
      </c>
      <c r="CH317" s="19">
        <f>SUM(CI317:CM317)</f>
        <v>0</v>
      </c>
      <c r="CI317" s="19">
        <v>0</v>
      </c>
      <c r="CJ317" s="19">
        <v>0</v>
      </c>
      <c r="CK317" s="19">
        <v>0</v>
      </c>
      <c r="CL317" s="19">
        <v>0</v>
      </c>
      <c r="CM317" s="19">
        <v>0</v>
      </c>
      <c r="CN317" s="19">
        <f>SUM(CO317:CQ317)</f>
        <v>0</v>
      </c>
      <c r="CO317" s="19">
        <v>0</v>
      </c>
      <c r="CP317" s="19">
        <v>0</v>
      </c>
      <c r="CQ317" s="19"/>
      <c r="CR317" s="19"/>
      <c r="CS317" s="19"/>
      <c r="CT317" s="19"/>
      <c r="CU317" s="19">
        <v>0</v>
      </c>
      <c r="CV317" s="74"/>
      <c r="CW317" s="74"/>
      <c r="CX317" s="74"/>
      <c r="CY317" s="74"/>
      <c r="CZ317" s="19">
        <f t="shared" si="1118"/>
        <v>0</v>
      </c>
      <c r="DA317" s="19">
        <f t="shared" si="1119"/>
        <v>0</v>
      </c>
      <c r="DB317" s="19">
        <v>0</v>
      </c>
      <c r="DC317" s="20">
        <v>0</v>
      </c>
      <c r="DD317" s="57"/>
    </row>
    <row r="318" spans="1:108" ht="15.6" x14ac:dyDescent="0.3">
      <c r="A318" s="93" t="s">
        <v>313</v>
      </c>
      <c r="B318" s="16" t="s">
        <v>1</v>
      </c>
      <c r="C318" s="17" t="s">
        <v>314</v>
      </c>
      <c r="D318" s="18">
        <f t="shared" ref="D318:AJ318" si="1133">SUM(D319)</f>
        <v>4682935</v>
      </c>
      <c r="E318" s="18">
        <f t="shared" si="1133"/>
        <v>4682935</v>
      </c>
      <c r="F318" s="18">
        <f t="shared" si="1133"/>
        <v>0</v>
      </c>
      <c r="G318" s="18">
        <f t="shared" si="1133"/>
        <v>0</v>
      </c>
      <c r="H318" s="18">
        <f t="shared" si="1133"/>
        <v>0</v>
      </c>
      <c r="I318" s="18">
        <f t="shared" si="1133"/>
        <v>0</v>
      </c>
      <c r="J318" s="18">
        <f t="shared" si="1133"/>
        <v>0</v>
      </c>
      <c r="K318" s="18">
        <f t="shared" si="1133"/>
        <v>0</v>
      </c>
      <c r="L318" s="18">
        <f t="shared" si="1133"/>
        <v>0</v>
      </c>
      <c r="M318" s="18">
        <f t="shared" si="1133"/>
        <v>0</v>
      </c>
      <c r="N318" s="18">
        <f t="shared" si="1133"/>
        <v>0</v>
      </c>
      <c r="O318" s="18">
        <f t="shared" si="1133"/>
        <v>0</v>
      </c>
      <c r="P318" s="18">
        <f t="shared" si="1133"/>
        <v>0</v>
      </c>
      <c r="Q318" s="18">
        <f t="shared" si="1133"/>
        <v>0</v>
      </c>
      <c r="R318" s="18">
        <f t="shared" si="1133"/>
        <v>0</v>
      </c>
      <c r="S318" s="18">
        <f t="shared" si="1133"/>
        <v>0</v>
      </c>
      <c r="T318" s="18">
        <f t="shared" si="1133"/>
        <v>0</v>
      </c>
      <c r="U318" s="18">
        <f t="shared" si="1133"/>
        <v>0</v>
      </c>
      <c r="V318" s="18">
        <f t="shared" si="1133"/>
        <v>0</v>
      </c>
      <c r="W318" s="18">
        <f t="shared" si="1133"/>
        <v>0</v>
      </c>
      <c r="X318" s="18">
        <f t="shared" si="1133"/>
        <v>0</v>
      </c>
      <c r="Y318" s="18">
        <f t="shared" si="1133"/>
        <v>0</v>
      </c>
      <c r="Z318" s="18">
        <f t="shared" si="1133"/>
        <v>0</v>
      </c>
      <c r="AA318" s="18">
        <f t="shared" si="1133"/>
        <v>0</v>
      </c>
      <c r="AB318" s="18">
        <f t="shared" si="1133"/>
        <v>0</v>
      </c>
      <c r="AC318" s="18">
        <f t="shared" si="1133"/>
        <v>0</v>
      </c>
      <c r="AD318" s="18">
        <f t="shared" si="1133"/>
        <v>0</v>
      </c>
      <c r="AE318" s="18">
        <f t="shared" si="1133"/>
        <v>0</v>
      </c>
      <c r="AF318" s="18">
        <f t="shared" si="1133"/>
        <v>0</v>
      </c>
      <c r="AG318" s="18">
        <f t="shared" si="1133"/>
        <v>0</v>
      </c>
      <c r="AH318" s="18">
        <f t="shared" si="1133"/>
        <v>0</v>
      </c>
      <c r="AI318" s="18">
        <f t="shared" si="1133"/>
        <v>0</v>
      </c>
      <c r="AJ318" s="18">
        <f t="shared" si="1133"/>
        <v>0</v>
      </c>
      <c r="AK318" s="18">
        <f t="shared" ref="AK318:DC318" si="1134">SUM(AK319)</f>
        <v>0</v>
      </c>
      <c r="AL318" s="18">
        <f t="shared" si="1134"/>
        <v>0</v>
      </c>
      <c r="AM318" s="18">
        <f t="shared" si="1134"/>
        <v>0</v>
      </c>
      <c r="AN318" s="18">
        <f t="shared" si="1134"/>
        <v>0</v>
      </c>
      <c r="AO318" s="18">
        <f t="shared" si="1134"/>
        <v>0</v>
      </c>
      <c r="AP318" s="18">
        <f t="shared" si="1134"/>
        <v>0</v>
      </c>
      <c r="AQ318" s="18">
        <f t="shared" si="1134"/>
        <v>0</v>
      </c>
      <c r="AR318" s="18">
        <f t="shared" si="1134"/>
        <v>0</v>
      </c>
      <c r="AS318" s="18">
        <f t="shared" si="1134"/>
        <v>0</v>
      </c>
      <c r="AT318" s="18">
        <f t="shared" si="1134"/>
        <v>0</v>
      </c>
      <c r="AU318" s="18">
        <f t="shared" si="1134"/>
        <v>0</v>
      </c>
      <c r="AV318" s="18">
        <f t="shared" si="1134"/>
        <v>0</v>
      </c>
      <c r="AW318" s="18">
        <f t="shared" si="1134"/>
        <v>0</v>
      </c>
      <c r="AX318" s="18"/>
      <c r="AY318" s="18">
        <f>SUM(AY319)</f>
        <v>0</v>
      </c>
      <c r="AZ318" s="18"/>
      <c r="BA318" s="18"/>
      <c r="BB318" s="18"/>
      <c r="BC318" s="18">
        <f t="shared" si="1134"/>
        <v>4682935</v>
      </c>
      <c r="BD318" s="18">
        <f t="shared" si="1134"/>
        <v>0</v>
      </c>
      <c r="BE318" s="18">
        <f t="shared" si="1134"/>
        <v>0</v>
      </c>
      <c r="BF318" s="18">
        <f t="shared" si="1134"/>
        <v>0</v>
      </c>
      <c r="BG318" s="18">
        <f t="shared" si="1134"/>
        <v>0</v>
      </c>
      <c r="BH318" s="18">
        <f t="shared" si="1134"/>
        <v>0</v>
      </c>
      <c r="BI318" s="18">
        <f t="shared" si="1134"/>
        <v>0</v>
      </c>
      <c r="BJ318" s="18">
        <f t="shared" si="1134"/>
        <v>0</v>
      </c>
      <c r="BK318" s="18">
        <f t="shared" si="1134"/>
        <v>0</v>
      </c>
      <c r="BL318" s="18">
        <f t="shared" si="1134"/>
        <v>0</v>
      </c>
      <c r="BM318" s="18">
        <f t="shared" si="1134"/>
        <v>0</v>
      </c>
      <c r="BN318" s="18">
        <f t="shared" si="1134"/>
        <v>0</v>
      </c>
      <c r="BO318" s="18">
        <f t="shared" si="1134"/>
        <v>0</v>
      </c>
      <c r="BP318" s="18">
        <f t="shared" si="1134"/>
        <v>0</v>
      </c>
      <c r="BQ318" s="18">
        <f t="shared" si="1134"/>
        <v>4682935</v>
      </c>
      <c r="BR318" s="18">
        <f t="shared" si="1134"/>
        <v>0</v>
      </c>
      <c r="BS318" s="18">
        <f t="shared" si="1134"/>
        <v>0</v>
      </c>
      <c r="BT318" s="18">
        <f t="shared" si="1134"/>
        <v>0</v>
      </c>
      <c r="BU318" s="18">
        <f t="shared" si="1134"/>
        <v>0</v>
      </c>
      <c r="BV318" s="18">
        <f t="shared" si="1134"/>
        <v>0</v>
      </c>
      <c r="BW318" s="18">
        <f t="shared" si="1134"/>
        <v>0</v>
      </c>
      <c r="BX318" s="18">
        <f t="shared" si="1134"/>
        <v>0</v>
      </c>
      <c r="BY318" s="18">
        <f t="shared" si="1134"/>
        <v>0</v>
      </c>
      <c r="BZ318" s="18">
        <f t="shared" si="1134"/>
        <v>0</v>
      </c>
      <c r="CA318" s="18">
        <f t="shared" si="1134"/>
        <v>0</v>
      </c>
      <c r="CB318" s="18">
        <f t="shared" si="1134"/>
        <v>4682935</v>
      </c>
      <c r="CC318" s="18">
        <f t="shared" si="1116"/>
        <v>0</v>
      </c>
      <c r="CD318" s="18">
        <f t="shared" si="1134"/>
        <v>0</v>
      </c>
      <c r="CE318" s="18">
        <f t="shared" si="1134"/>
        <v>0</v>
      </c>
      <c r="CF318" s="18">
        <f t="shared" si="1134"/>
        <v>0</v>
      </c>
      <c r="CG318" s="18">
        <f t="shared" si="1134"/>
        <v>0</v>
      </c>
      <c r="CH318" s="18">
        <f t="shared" si="1134"/>
        <v>0</v>
      </c>
      <c r="CI318" s="18">
        <f t="shared" si="1134"/>
        <v>0</v>
      </c>
      <c r="CJ318" s="18">
        <f t="shared" si="1134"/>
        <v>0</v>
      </c>
      <c r="CK318" s="18">
        <f t="shared" si="1134"/>
        <v>0</v>
      </c>
      <c r="CL318" s="18">
        <f t="shared" si="1134"/>
        <v>0</v>
      </c>
      <c r="CM318" s="18">
        <f t="shared" si="1134"/>
        <v>0</v>
      </c>
      <c r="CN318" s="18">
        <f t="shared" si="1134"/>
        <v>0</v>
      </c>
      <c r="CO318" s="18">
        <f t="shared" si="1134"/>
        <v>0</v>
      </c>
      <c r="CP318" s="18">
        <f t="shared" si="1134"/>
        <v>0</v>
      </c>
      <c r="CQ318" s="18"/>
      <c r="CR318" s="18"/>
      <c r="CS318" s="18"/>
      <c r="CT318" s="18"/>
      <c r="CU318" s="18">
        <f t="shared" si="1134"/>
        <v>0</v>
      </c>
      <c r="CV318" s="73"/>
      <c r="CW318" s="73"/>
      <c r="CX318" s="73"/>
      <c r="CY318" s="73"/>
      <c r="CZ318" s="18">
        <f t="shared" si="1134"/>
        <v>0</v>
      </c>
      <c r="DA318" s="18">
        <f t="shared" si="1134"/>
        <v>0</v>
      </c>
      <c r="DB318" s="18">
        <f t="shared" si="1134"/>
        <v>0</v>
      </c>
      <c r="DC318" s="46">
        <f t="shared" si="1134"/>
        <v>0</v>
      </c>
      <c r="DD318" s="52"/>
    </row>
    <row r="319" spans="1:108" s="58" customFormat="1" ht="15.6" x14ac:dyDescent="0.3">
      <c r="A319" s="94" t="s">
        <v>1</v>
      </c>
      <c r="B319" s="21" t="s">
        <v>266</v>
      </c>
      <c r="C319" s="22" t="s">
        <v>314</v>
      </c>
      <c r="D319" s="19">
        <f>SUM(E319+CC319+CZ319)</f>
        <v>4682935</v>
      </c>
      <c r="E319" s="19">
        <f>SUM(F319+BC319)</f>
        <v>4682935</v>
      </c>
      <c r="F319" s="19">
        <f>SUM(G319+H319+I319+P319+S319+T319+U319+AD319)</f>
        <v>0</v>
      </c>
      <c r="G319" s="19">
        <v>0</v>
      </c>
      <c r="H319" s="19">
        <v>0</v>
      </c>
      <c r="I319" s="19">
        <f t="shared" si="1112"/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f t="shared" si="1113"/>
        <v>0</v>
      </c>
      <c r="Q319" s="19">
        <v>0</v>
      </c>
      <c r="R319" s="19">
        <v>0</v>
      </c>
      <c r="S319" s="19">
        <v>0</v>
      </c>
      <c r="T319" s="19">
        <v>0</v>
      </c>
      <c r="U319" s="19">
        <f t="shared" ref="U319" si="1135">SUM(V319:AC319)</f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f>SUM(AE319:AY319)</f>
        <v>0</v>
      </c>
      <c r="AE319" s="19">
        <v>0</v>
      </c>
      <c r="AF319" s="19">
        <v>0</v>
      </c>
      <c r="AG319" s="19">
        <v>0</v>
      </c>
      <c r="AH319" s="19">
        <v>0</v>
      </c>
      <c r="AI319" s="19">
        <v>0</v>
      </c>
      <c r="AJ319" s="19">
        <v>0</v>
      </c>
      <c r="AK319" s="19">
        <v>0</v>
      </c>
      <c r="AL319" s="19">
        <v>0</v>
      </c>
      <c r="AM319" s="19">
        <v>0</v>
      </c>
      <c r="AN319" s="19">
        <v>0</v>
      </c>
      <c r="AO319" s="19">
        <v>0</v>
      </c>
      <c r="AP319" s="19">
        <v>0</v>
      </c>
      <c r="AQ319" s="19">
        <v>0</v>
      </c>
      <c r="AR319" s="19">
        <v>0</v>
      </c>
      <c r="AS319" s="19">
        <v>0</v>
      </c>
      <c r="AT319" s="19">
        <v>0</v>
      </c>
      <c r="AU319" s="19">
        <v>0</v>
      </c>
      <c r="AV319" s="19">
        <v>0</v>
      </c>
      <c r="AW319" s="19">
        <v>0</v>
      </c>
      <c r="AX319" s="19"/>
      <c r="AY319" s="19">
        <v>0</v>
      </c>
      <c r="AZ319" s="19"/>
      <c r="BA319" s="19"/>
      <c r="BB319" s="19"/>
      <c r="BC319" s="19">
        <f>SUM(BD319+BH319+BL319+BN319+BQ319)</f>
        <v>4682935</v>
      </c>
      <c r="BD319" s="19">
        <f>SUM(BE319:BG319)</f>
        <v>0</v>
      </c>
      <c r="BE319" s="19">
        <v>0</v>
      </c>
      <c r="BF319" s="19">
        <v>0</v>
      </c>
      <c r="BG319" s="19">
        <v>0</v>
      </c>
      <c r="BH319" s="19">
        <f>SUM(BK319:BK319)</f>
        <v>0</v>
      </c>
      <c r="BI319" s="19">
        <v>0</v>
      </c>
      <c r="BJ319" s="19">
        <v>0</v>
      </c>
      <c r="BK319" s="19">
        <v>0</v>
      </c>
      <c r="BL319" s="19">
        <v>0</v>
      </c>
      <c r="BM319" s="19">
        <v>0</v>
      </c>
      <c r="BN319" s="19">
        <f t="shared" si="1115"/>
        <v>0</v>
      </c>
      <c r="BO319" s="19">
        <v>0</v>
      </c>
      <c r="BP319" s="19">
        <v>0</v>
      </c>
      <c r="BQ319" s="19">
        <f>SUM(BR319:CB319)</f>
        <v>4682935</v>
      </c>
      <c r="BR319" s="19">
        <v>0</v>
      </c>
      <c r="BS319" s="19">
        <v>0</v>
      </c>
      <c r="BT319" s="19">
        <v>0</v>
      </c>
      <c r="BU319" s="19">
        <v>0</v>
      </c>
      <c r="BV319" s="19">
        <v>0</v>
      </c>
      <c r="BW319" s="19">
        <v>0</v>
      </c>
      <c r="BX319" s="19">
        <v>0</v>
      </c>
      <c r="BY319" s="19">
        <v>0</v>
      </c>
      <c r="BZ319" s="19">
        <v>0</v>
      </c>
      <c r="CA319" s="19">
        <v>0</v>
      </c>
      <c r="CB319" s="19">
        <v>4682935</v>
      </c>
      <c r="CC319" s="19">
        <f t="shared" si="1116"/>
        <v>0</v>
      </c>
      <c r="CD319" s="19">
        <f>SUM(CE319+CH319+CN319)</f>
        <v>0</v>
      </c>
      <c r="CE319" s="19">
        <f t="shared" si="1117"/>
        <v>0</v>
      </c>
      <c r="CF319" s="19">
        <v>0</v>
      </c>
      <c r="CG319" s="19">
        <v>0</v>
      </c>
      <c r="CH319" s="19">
        <f>SUM(CI319:CM319)</f>
        <v>0</v>
      </c>
      <c r="CI319" s="19">
        <v>0</v>
      </c>
      <c r="CJ319" s="19">
        <v>0</v>
      </c>
      <c r="CK319" s="19">
        <v>0</v>
      </c>
      <c r="CL319" s="19">
        <v>0</v>
      </c>
      <c r="CM319" s="19">
        <v>0</v>
      </c>
      <c r="CN319" s="19">
        <f>SUM(CO319:CQ319)</f>
        <v>0</v>
      </c>
      <c r="CO319" s="19">
        <v>0</v>
      </c>
      <c r="CP319" s="19">
        <v>0</v>
      </c>
      <c r="CQ319" s="19"/>
      <c r="CR319" s="19"/>
      <c r="CS319" s="19"/>
      <c r="CT319" s="19"/>
      <c r="CU319" s="19">
        <v>0</v>
      </c>
      <c r="CV319" s="74"/>
      <c r="CW319" s="74"/>
      <c r="CX319" s="74"/>
      <c r="CY319" s="74"/>
      <c r="CZ319" s="19">
        <f t="shared" si="1118"/>
        <v>0</v>
      </c>
      <c r="DA319" s="19">
        <f t="shared" si="1119"/>
        <v>0</v>
      </c>
      <c r="DB319" s="19">
        <v>0</v>
      </c>
      <c r="DC319" s="20">
        <v>0</v>
      </c>
      <c r="DD319" s="57"/>
    </row>
    <row r="320" spans="1:108" ht="31.5" customHeight="1" x14ac:dyDescent="0.3">
      <c r="A320" s="93" t="s">
        <v>315</v>
      </c>
      <c r="B320" s="16" t="s">
        <v>1</v>
      </c>
      <c r="C320" s="30" t="s">
        <v>316</v>
      </c>
      <c r="D320" s="18">
        <f t="shared" ref="D320:AJ320" si="1136">SUM(D321)</f>
        <v>57271428</v>
      </c>
      <c r="E320" s="18">
        <f t="shared" si="1136"/>
        <v>57271428</v>
      </c>
      <c r="F320" s="18">
        <f t="shared" si="1136"/>
        <v>7961359</v>
      </c>
      <c r="G320" s="18">
        <f t="shared" si="1136"/>
        <v>0</v>
      </c>
      <c r="H320" s="18">
        <f t="shared" si="1136"/>
        <v>0</v>
      </c>
      <c r="I320" s="18">
        <f t="shared" si="1136"/>
        <v>0</v>
      </c>
      <c r="J320" s="18">
        <f t="shared" si="1136"/>
        <v>0</v>
      </c>
      <c r="K320" s="18">
        <f t="shared" si="1136"/>
        <v>0</v>
      </c>
      <c r="L320" s="18">
        <f t="shared" si="1136"/>
        <v>0</v>
      </c>
      <c r="M320" s="18">
        <f t="shared" si="1136"/>
        <v>0</v>
      </c>
      <c r="N320" s="18">
        <f t="shared" si="1136"/>
        <v>0</v>
      </c>
      <c r="O320" s="18">
        <f t="shared" si="1136"/>
        <v>0</v>
      </c>
      <c r="P320" s="18">
        <f t="shared" si="1136"/>
        <v>0</v>
      </c>
      <c r="Q320" s="18">
        <f t="shared" si="1136"/>
        <v>0</v>
      </c>
      <c r="R320" s="18">
        <f t="shared" si="1136"/>
        <v>0</v>
      </c>
      <c r="S320" s="18">
        <f t="shared" si="1136"/>
        <v>0</v>
      </c>
      <c r="T320" s="18">
        <f t="shared" si="1136"/>
        <v>0</v>
      </c>
      <c r="U320" s="18">
        <f t="shared" si="1136"/>
        <v>0</v>
      </c>
      <c r="V320" s="18">
        <f t="shared" si="1136"/>
        <v>0</v>
      </c>
      <c r="W320" s="18">
        <f t="shared" si="1136"/>
        <v>0</v>
      </c>
      <c r="X320" s="18">
        <f t="shared" si="1136"/>
        <v>0</v>
      </c>
      <c r="Y320" s="18">
        <f t="shared" si="1136"/>
        <v>0</v>
      </c>
      <c r="Z320" s="18">
        <f t="shared" si="1136"/>
        <v>0</v>
      </c>
      <c r="AA320" s="18">
        <f t="shared" si="1136"/>
        <v>0</v>
      </c>
      <c r="AB320" s="18">
        <f t="shared" si="1136"/>
        <v>0</v>
      </c>
      <c r="AC320" s="18">
        <f t="shared" si="1136"/>
        <v>0</v>
      </c>
      <c r="AD320" s="18">
        <f t="shared" si="1136"/>
        <v>7961359</v>
      </c>
      <c r="AE320" s="18">
        <f t="shared" si="1136"/>
        <v>0</v>
      </c>
      <c r="AF320" s="18">
        <f t="shared" si="1136"/>
        <v>0</v>
      </c>
      <c r="AG320" s="18">
        <f t="shared" si="1136"/>
        <v>0</v>
      </c>
      <c r="AH320" s="18">
        <f t="shared" si="1136"/>
        <v>0</v>
      </c>
      <c r="AI320" s="18">
        <f t="shared" si="1136"/>
        <v>0</v>
      </c>
      <c r="AJ320" s="18">
        <f t="shared" si="1136"/>
        <v>0</v>
      </c>
      <c r="AK320" s="18">
        <f t="shared" ref="AK320:DC320" si="1137">SUM(AK321)</f>
        <v>0</v>
      </c>
      <c r="AL320" s="18">
        <f t="shared" si="1137"/>
        <v>0</v>
      </c>
      <c r="AM320" s="18">
        <f t="shared" si="1137"/>
        <v>0</v>
      </c>
      <c r="AN320" s="18">
        <f t="shared" si="1137"/>
        <v>0</v>
      </c>
      <c r="AO320" s="18">
        <f t="shared" si="1137"/>
        <v>0</v>
      </c>
      <c r="AP320" s="18">
        <f t="shared" si="1137"/>
        <v>0</v>
      </c>
      <c r="AQ320" s="18">
        <f t="shared" si="1137"/>
        <v>0</v>
      </c>
      <c r="AR320" s="18">
        <f t="shared" si="1137"/>
        <v>0</v>
      </c>
      <c r="AS320" s="18">
        <f t="shared" si="1137"/>
        <v>0</v>
      </c>
      <c r="AT320" s="18">
        <f t="shared" si="1137"/>
        <v>0</v>
      </c>
      <c r="AU320" s="18">
        <f t="shared" si="1137"/>
        <v>0</v>
      </c>
      <c r="AV320" s="18">
        <f t="shared" si="1137"/>
        <v>0</v>
      </c>
      <c r="AW320" s="18">
        <f t="shared" si="1137"/>
        <v>0</v>
      </c>
      <c r="AX320" s="18"/>
      <c r="AY320" s="18">
        <f>AY321</f>
        <v>7961359</v>
      </c>
      <c r="AZ320" s="18"/>
      <c r="BA320" s="18"/>
      <c r="BB320" s="18"/>
      <c r="BC320" s="18">
        <f t="shared" si="1137"/>
        <v>49310069</v>
      </c>
      <c r="BD320" s="18">
        <f t="shared" si="1137"/>
        <v>49310069</v>
      </c>
      <c r="BE320" s="18">
        <f t="shared" si="1137"/>
        <v>49310069</v>
      </c>
      <c r="BF320" s="18">
        <f t="shared" si="1137"/>
        <v>0</v>
      </c>
      <c r="BG320" s="18">
        <f t="shared" si="1137"/>
        <v>0</v>
      </c>
      <c r="BH320" s="18">
        <f t="shared" si="1137"/>
        <v>0</v>
      </c>
      <c r="BI320" s="18">
        <f t="shared" si="1137"/>
        <v>0</v>
      </c>
      <c r="BJ320" s="18">
        <f t="shared" si="1137"/>
        <v>0</v>
      </c>
      <c r="BK320" s="18">
        <f t="shared" si="1137"/>
        <v>0</v>
      </c>
      <c r="BL320" s="18">
        <f t="shared" si="1137"/>
        <v>0</v>
      </c>
      <c r="BM320" s="18">
        <f t="shared" si="1137"/>
        <v>0</v>
      </c>
      <c r="BN320" s="18">
        <f t="shared" si="1137"/>
        <v>0</v>
      </c>
      <c r="BO320" s="18">
        <f t="shared" si="1137"/>
        <v>0</v>
      </c>
      <c r="BP320" s="18">
        <f t="shared" si="1137"/>
        <v>0</v>
      </c>
      <c r="BQ320" s="18">
        <f t="shared" si="1137"/>
        <v>0</v>
      </c>
      <c r="BR320" s="18">
        <f t="shared" si="1137"/>
        <v>0</v>
      </c>
      <c r="BS320" s="18">
        <f t="shared" si="1137"/>
        <v>0</v>
      </c>
      <c r="BT320" s="18">
        <f t="shared" si="1137"/>
        <v>0</v>
      </c>
      <c r="BU320" s="18">
        <f t="shared" si="1137"/>
        <v>0</v>
      </c>
      <c r="BV320" s="18">
        <f t="shared" si="1137"/>
        <v>0</v>
      </c>
      <c r="BW320" s="18">
        <f t="shared" si="1137"/>
        <v>0</v>
      </c>
      <c r="BX320" s="18">
        <f t="shared" si="1137"/>
        <v>0</v>
      </c>
      <c r="BY320" s="18">
        <f t="shared" si="1137"/>
        <v>0</v>
      </c>
      <c r="BZ320" s="18">
        <f t="shared" si="1137"/>
        <v>0</v>
      </c>
      <c r="CA320" s="18">
        <f t="shared" si="1137"/>
        <v>0</v>
      </c>
      <c r="CB320" s="18">
        <f t="shared" si="1137"/>
        <v>0</v>
      </c>
      <c r="CC320" s="18">
        <f t="shared" si="1116"/>
        <v>0</v>
      </c>
      <c r="CD320" s="18">
        <f t="shared" si="1137"/>
        <v>0</v>
      </c>
      <c r="CE320" s="18">
        <f t="shared" si="1137"/>
        <v>0</v>
      </c>
      <c r="CF320" s="18">
        <f t="shared" si="1137"/>
        <v>0</v>
      </c>
      <c r="CG320" s="18">
        <f t="shared" si="1137"/>
        <v>0</v>
      </c>
      <c r="CH320" s="18">
        <f t="shared" si="1137"/>
        <v>0</v>
      </c>
      <c r="CI320" s="18">
        <f t="shared" si="1137"/>
        <v>0</v>
      </c>
      <c r="CJ320" s="18">
        <f t="shared" si="1137"/>
        <v>0</v>
      </c>
      <c r="CK320" s="18">
        <f t="shared" si="1137"/>
        <v>0</v>
      </c>
      <c r="CL320" s="18">
        <f t="shared" si="1137"/>
        <v>0</v>
      </c>
      <c r="CM320" s="18">
        <f t="shared" si="1137"/>
        <v>0</v>
      </c>
      <c r="CN320" s="18">
        <f t="shared" si="1137"/>
        <v>0</v>
      </c>
      <c r="CO320" s="18">
        <f t="shared" si="1137"/>
        <v>0</v>
      </c>
      <c r="CP320" s="18">
        <f t="shared" si="1137"/>
        <v>0</v>
      </c>
      <c r="CQ320" s="18"/>
      <c r="CR320" s="18"/>
      <c r="CS320" s="18"/>
      <c r="CT320" s="18"/>
      <c r="CU320" s="18">
        <f t="shared" si="1137"/>
        <v>0</v>
      </c>
      <c r="CV320" s="73"/>
      <c r="CW320" s="73"/>
      <c r="CX320" s="73"/>
      <c r="CY320" s="73"/>
      <c r="CZ320" s="18">
        <f t="shared" si="1137"/>
        <v>0</v>
      </c>
      <c r="DA320" s="18">
        <f t="shared" si="1137"/>
        <v>0</v>
      </c>
      <c r="DB320" s="18">
        <f t="shared" si="1137"/>
        <v>0</v>
      </c>
      <c r="DC320" s="46">
        <f t="shared" si="1137"/>
        <v>0</v>
      </c>
      <c r="DD320" s="52"/>
    </row>
    <row r="321" spans="1:108" ht="15.6" x14ac:dyDescent="0.3">
      <c r="A321" s="94" t="s">
        <v>1</v>
      </c>
      <c r="B321" s="21" t="s">
        <v>64</v>
      </c>
      <c r="C321" s="31" t="s">
        <v>316</v>
      </c>
      <c r="D321" s="19">
        <f>SUM(E321+CC321+CZ321)</f>
        <v>57271428</v>
      </c>
      <c r="E321" s="19">
        <f>SUM(F321+BC321)</f>
        <v>57271428</v>
      </c>
      <c r="F321" s="19">
        <f>SUM(G321+H321+I321+P321+S321+T321+U321+AD321)</f>
        <v>7961359</v>
      </c>
      <c r="G321" s="19">
        <v>0</v>
      </c>
      <c r="H321" s="19">
        <v>0</v>
      </c>
      <c r="I321" s="19">
        <f t="shared" si="1112"/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f t="shared" si="1113"/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f t="shared" ref="U321" si="1138">SUM(V321:AC321)</f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f>SUM(AE321:AY321)</f>
        <v>7961359</v>
      </c>
      <c r="AE321" s="19">
        <v>0</v>
      </c>
      <c r="AF321" s="19">
        <v>0</v>
      </c>
      <c r="AG321" s="19">
        <v>0</v>
      </c>
      <c r="AH321" s="19">
        <v>0</v>
      </c>
      <c r="AI321" s="19">
        <v>0</v>
      </c>
      <c r="AJ321" s="19">
        <v>0</v>
      </c>
      <c r="AK321" s="19">
        <v>0</v>
      </c>
      <c r="AL321" s="19">
        <v>0</v>
      </c>
      <c r="AM321" s="19">
        <v>0</v>
      </c>
      <c r="AN321" s="19">
        <v>0</v>
      </c>
      <c r="AO321" s="19">
        <v>0</v>
      </c>
      <c r="AP321" s="19">
        <v>0</v>
      </c>
      <c r="AQ321" s="19">
        <v>0</v>
      </c>
      <c r="AR321" s="19">
        <v>0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23">
        <f>12442857-478572-4002926</f>
        <v>7961359</v>
      </c>
      <c r="AZ321" s="23"/>
      <c r="BA321" s="23"/>
      <c r="BB321" s="23"/>
      <c r="BC321" s="19">
        <f>SUM(BD321+BH321+BL321+BN321+BQ321)</f>
        <v>49310069</v>
      </c>
      <c r="BD321" s="19">
        <f>BE321</f>
        <v>49310069</v>
      </c>
      <c r="BE321" s="23">
        <f>45307143+4002926</f>
        <v>49310069</v>
      </c>
      <c r="BF321" s="19">
        <v>0</v>
      </c>
      <c r="BG321" s="19">
        <v>0</v>
      </c>
      <c r="BH321" s="19">
        <f>SUM(BK321:BK321)</f>
        <v>0</v>
      </c>
      <c r="BI321" s="19">
        <v>0</v>
      </c>
      <c r="BJ321" s="19">
        <v>0</v>
      </c>
      <c r="BK321" s="19">
        <v>0</v>
      </c>
      <c r="BL321" s="19"/>
      <c r="BM321" s="19">
        <v>0</v>
      </c>
      <c r="BN321" s="19">
        <f t="shared" si="1115"/>
        <v>0</v>
      </c>
      <c r="BO321" s="19">
        <v>0</v>
      </c>
      <c r="BP321" s="19">
        <v>0</v>
      </c>
      <c r="BQ321" s="19">
        <f>SUM(BR321:CB321)</f>
        <v>0</v>
      </c>
      <c r="BR321" s="19">
        <v>0</v>
      </c>
      <c r="BS321" s="19">
        <v>0</v>
      </c>
      <c r="BT321" s="19">
        <v>0</v>
      </c>
      <c r="BU321" s="19">
        <v>0</v>
      </c>
      <c r="BV321" s="19">
        <v>0</v>
      </c>
      <c r="BW321" s="19">
        <v>0</v>
      </c>
      <c r="BX321" s="19">
        <v>0</v>
      </c>
      <c r="BY321" s="19">
        <v>0</v>
      </c>
      <c r="BZ321" s="19">
        <v>0</v>
      </c>
      <c r="CA321" s="19">
        <v>0</v>
      </c>
      <c r="CB321" s="19"/>
      <c r="CC321" s="19">
        <f t="shared" si="1116"/>
        <v>0</v>
      </c>
      <c r="CD321" s="19">
        <f>SUM(CE321+CH321+CN321)</f>
        <v>0</v>
      </c>
      <c r="CE321" s="19">
        <f t="shared" si="1117"/>
        <v>0</v>
      </c>
      <c r="CF321" s="19">
        <v>0</v>
      </c>
      <c r="CG321" s="19">
        <v>0</v>
      </c>
      <c r="CH321" s="19">
        <f>SUM(CI321:CM321)</f>
        <v>0</v>
      </c>
      <c r="CI321" s="19">
        <v>0</v>
      </c>
      <c r="CJ321" s="19">
        <v>0</v>
      </c>
      <c r="CK321" s="19">
        <v>0</v>
      </c>
      <c r="CL321" s="19">
        <v>0</v>
      </c>
      <c r="CM321" s="19">
        <v>0</v>
      </c>
      <c r="CN321" s="19">
        <f>SUM(CO321:CQ321)</f>
        <v>0</v>
      </c>
      <c r="CO321" s="19">
        <v>0</v>
      </c>
      <c r="CP321" s="19">
        <v>0</v>
      </c>
      <c r="CQ321" s="19"/>
      <c r="CR321" s="19"/>
      <c r="CS321" s="19"/>
      <c r="CT321" s="19"/>
      <c r="CU321" s="19">
        <v>0</v>
      </c>
      <c r="CV321" s="74"/>
      <c r="CW321" s="74"/>
      <c r="CX321" s="74"/>
      <c r="CY321" s="74"/>
      <c r="CZ321" s="19">
        <f t="shared" si="1118"/>
        <v>0</v>
      </c>
      <c r="DA321" s="19">
        <f t="shared" si="1119"/>
        <v>0</v>
      </c>
      <c r="DB321" s="19">
        <v>0</v>
      </c>
      <c r="DC321" s="20">
        <v>0</v>
      </c>
      <c r="DD321" s="57"/>
    </row>
    <row r="322" spans="1:108" ht="16.2" thickBot="1" x14ac:dyDescent="0.35">
      <c r="A322" s="99" t="s">
        <v>1</v>
      </c>
      <c r="B322" s="47" t="s">
        <v>1</v>
      </c>
      <c r="C322" s="48" t="s">
        <v>317</v>
      </c>
      <c r="D322" s="49">
        <f>D17+D49+D60+D63+D68+D86+D96+D101+D104+D111+D125+D146+D160+D169+D186+D224+D227+D293+D296+D221</f>
        <v>5522615832</v>
      </c>
      <c r="E322" s="49">
        <f t="shared" ref="E322:BP322" si="1139">E17+E49+E60+E63+E68+E86+E96+E101+E104+E111+E125+E146+E160+E169+E186+E224+E227+E293+E296+E221</f>
        <v>5096596556</v>
      </c>
      <c r="F322" s="49">
        <f t="shared" si="1139"/>
        <v>3428636711</v>
      </c>
      <c r="G322" s="49">
        <f t="shared" si="1139"/>
        <v>1941299533</v>
      </c>
      <c r="H322" s="49">
        <f t="shared" si="1139"/>
        <v>316214285</v>
      </c>
      <c r="I322" s="49">
        <f t="shared" si="1139"/>
        <v>397285461</v>
      </c>
      <c r="J322" s="49">
        <f t="shared" si="1139"/>
        <v>120120523</v>
      </c>
      <c r="K322" s="49">
        <f t="shared" si="1139"/>
        <v>37064514</v>
      </c>
      <c r="L322" s="49">
        <f t="shared" si="1139"/>
        <v>100151970</v>
      </c>
      <c r="M322" s="49">
        <f t="shared" si="1139"/>
        <v>8772805</v>
      </c>
      <c r="N322" s="49">
        <f t="shared" si="1139"/>
        <v>87737367</v>
      </c>
      <c r="O322" s="49">
        <f t="shared" si="1139"/>
        <v>43438282</v>
      </c>
      <c r="P322" s="49">
        <f t="shared" si="1139"/>
        <v>10816985</v>
      </c>
      <c r="Q322" s="49">
        <f t="shared" si="1139"/>
        <v>645631</v>
      </c>
      <c r="R322" s="49">
        <f t="shared" si="1139"/>
        <v>10171354</v>
      </c>
      <c r="S322" s="49">
        <f t="shared" si="1139"/>
        <v>139291</v>
      </c>
      <c r="T322" s="49">
        <f t="shared" si="1139"/>
        <v>14912253</v>
      </c>
      <c r="U322" s="49">
        <f t="shared" si="1139"/>
        <v>421875402</v>
      </c>
      <c r="V322" s="49">
        <f t="shared" si="1139"/>
        <v>9561030</v>
      </c>
      <c r="W322" s="49">
        <f t="shared" si="1139"/>
        <v>74324452</v>
      </c>
      <c r="X322" s="49">
        <f t="shared" si="1139"/>
        <v>82766353</v>
      </c>
      <c r="Y322" s="49">
        <f t="shared" si="1139"/>
        <v>23488206</v>
      </c>
      <c r="Z322" s="49">
        <f t="shared" si="1139"/>
        <v>2806373</v>
      </c>
      <c r="AA322" s="49">
        <f t="shared" si="1139"/>
        <v>1183149</v>
      </c>
      <c r="AB322" s="49">
        <f t="shared" si="1139"/>
        <v>220115786</v>
      </c>
      <c r="AC322" s="49">
        <f t="shared" si="1139"/>
        <v>7630053</v>
      </c>
      <c r="AD322" s="49">
        <f t="shared" si="1139"/>
        <v>326093501</v>
      </c>
      <c r="AE322" s="49">
        <f t="shared" si="1139"/>
        <v>50000</v>
      </c>
      <c r="AF322" s="49">
        <f t="shared" si="1139"/>
        <v>8330224</v>
      </c>
      <c r="AG322" s="49">
        <f t="shared" si="1139"/>
        <v>8218898</v>
      </c>
      <c r="AH322" s="49">
        <f t="shared" si="1139"/>
        <v>11950284</v>
      </c>
      <c r="AI322" s="49">
        <f t="shared" si="1139"/>
        <v>752884</v>
      </c>
      <c r="AJ322" s="49">
        <f t="shared" si="1139"/>
        <v>924438</v>
      </c>
      <c r="AK322" s="49">
        <f t="shared" si="1139"/>
        <v>1168252</v>
      </c>
      <c r="AL322" s="49">
        <f t="shared" si="1139"/>
        <v>689917</v>
      </c>
      <c r="AM322" s="49">
        <f t="shared" si="1139"/>
        <v>7879073</v>
      </c>
      <c r="AN322" s="49">
        <f t="shared" si="1139"/>
        <v>8508912</v>
      </c>
      <c r="AO322" s="49">
        <f t="shared" si="1139"/>
        <v>75493</v>
      </c>
      <c r="AP322" s="49">
        <f t="shared" si="1139"/>
        <v>17217219</v>
      </c>
      <c r="AQ322" s="49">
        <f t="shared" si="1139"/>
        <v>9807920</v>
      </c>
      <c r="AR322" s="49">
        <f t="shared" si="1139"/>
        <v>2270225</v>
      </c>
      <c r="AS322" s="49">
        <f t="shared" si="1139"/>
        <v>690000</v>
      </c>
      <c r="AT322" s="49">
        <f t="shared" si="1139"/>
        <v>1922587</v>
      </c>
      <c r="AU322" s="49">
        <f t="shared" si="1139"/>
        <v>24402580</v>
      </c>
      <c r="AV322" s="49">
        <f t="shared" si="1139"/>
        <v>48793148</v>
      </c>
      <c r="AW322" s="49">
        <f t="shared" si="1139"/>
        <v>3322606</v>
      </c>
      <c r="AX322" s="49">
        <f t="shared" si="1139"/>
        <v>29399487</v>
      </c>
      <c r="AY322" s="49">
        <f t="shared" si="1139"/>
        <v>139719354</v>
      </c>
      <c r="AZ322" s="49">
        <f t="shared" si="1139"/>
        <v>0</v>
      </c>
      <c r="BA322" s="49">
        <f t="shared" si="1139"/>
        <v>0</v>
      </c>
      <c r="BB322" s="49">
        <f t="shared" si="1139"/>
        <v>0</v>
      </c>
      <c r="BC322" s="49">
        <f t="shared" si="1139"/>
        <v>1667959845</v>
      </c>
      <c r="BD322" s="49">
        <f t="shared" si="1139"/>
        <v>230222586</v>
      </c>
      <c r="BE322" s="49">
        <f t="shared" si="1139"/>
        <v>169236195</v>
      </c>
      <c r="BF322" s="49">
        <f t="shared" si="1139"/>
        <v>42262289</v>
      </c>
      <c r="BG322" s="49">
        <f t="shared" si="1139"/>
        <v>18724102</v>
      </c>
      <c r="BH322" s="49">
        <f t="shared" si="1139"/>
        <v>34346436</v>
      </c>
      <c r="BI322" s="49">
        <f t="shared" si="1139"/>
        <v>26606500</v>
      </c>
      <c r="BJ322" s="49">
        <f t="shared" si="1139"/>
        <v>3524926</v>
      </c>
      <c r="BK322" s="49">
        <f t="shared" si="1139"/>
        <v>4215010</v>
      </c>
      <c r="BL322" s="49">
        <f t="shared" si="1139"/>
        <v>791648343</v>
      </c>
      <c r="BM322" s="49">
        <f t="shared" si="1139"/>
        <v>0</v>
      </c>
      <c r="BN322" s="49">
        <f t="shared" si="1139"/>
        <v>3412338</v>
      </c>
      <c r="BO322" s="49">
        <f t="shared" si="1139"/>
        <v>964150</v>
      </c>
      <c r="BP322" s="49">
        <f t="shared" si="1139"/>
        <v>2448188</v>
      </c>
      <c r="BQ322" s="49">
        <f t="shared" ref="BQ322:DC322" si="1140">BQ17+BQ49+BQ60+BQ63+BQ68+BQ86+BQ96+BQ101+BQ104+BQ111+BQ125+BQ146+BQ160+BQ169+BQ186+BQ224+BQ227+BQ293+BQ296+BQ221</f>
        <v>608330142</v>
      </c>
      <c r="BR322" s="49">
        <f t="shared" si="1140"/>
        <v>61568124</v>
      </c>
      <c r="BS322" s="49">
        <f t="shared" si="1140"/>
        <v>11052000</v>
      </c>
      <c r="BT322" s="49">
        <f t="shared" si="1140"/>
        <v>11947721</v>
      </c>
      <c r="BU322" s="49">
        <f t="shared" si="1140"/>
        <v>16500000</v>
      </c>
      <c r="BV322" s="49">
        <f t="shared" si="1140"/>
        <v>10000</v>
      </c>
      <c r="BW322" s="49">
        <f t="shared" si="1140"/>
        <v>0</v>
      </c>
      <c r="BX322" s="49">
        <f t="shared" si="1140"/>
        <v>177950591</v>
      </c>
      <c r="BY322" s="49">
        <f t="shared" si="1140"/>
        <v>2402500</v>
      </c>
      <c r="BZ322" s="49">
        <f t="shared" si="1140"/>
        <v>275772</v>
      </c>
      <c r="CA322" s="49">
        <f t="shared" si="1140"/>
        <v>213921849</v>
      </c>
      <c r="CB322" s="49">
        <f t="shared" si="1140"/>
        <v>112701585</v>
      </c>
      <c r="CC322" s="49">
        <f t="shared" si="1140"/>
        <v>226106003</v>
      </c>
      <c r="CD322" s="49">
        <f t="shared" si="1140"/>
        <v>127616013</v>
      </c>
      <c r="CE322" s="49">
        <f t="shared" si="1140"/>
        <v>20655951</v>
      </c>
      <c r="CF322" s="49">
        <f t="shared" si="1140"/>
        <v>104000</v>
      </c>
      <c r="CG322" s="49">
        <f t="shared" si="1140"/>
        <v>20551951</v>
      </c>
      <c r="CH322" s="49">
        <f t="shared" si="1140"/>
        <v>52100240</v>
      </c>
      <c r="CI322" s="49">
        <f t="shared" si="1140"/>
        <v>0</v>
      </c>
      <c r="CJ322" s="49">
        <f t="shared" si="1140"/>
        <v>48457972</v>
      </c>
      <c r="CK322" s="49">
        <f t="shared" si="1140"/>
        <v>180000</v>
      </c>
      <c r="CL322" s="49">
        <f t="shared" si="1140"/>
        <v>3462268</v>
      </c>
      <c r="CM322" s="49">
        <f t="shared" si="1140"/>
        <v>0</v>
      </c>
      <c r="CN322" s="49">
        <f t="shared" si="1140"/>
        <v>54859822</v>
      </c>
      <c r="CO322" s="49">
        <f t="shared" si="1140"/>
        <v>42225160</v>
      </c>
      <c r="CP322" s="49">
        <f t="shared" si="1140"/>
        <v>12634662</v>
      </c>
      <c r="CQ322" s="49">
        <f t="shared" si="1140"/>
        <v>0</v>
      </c>
      <c r="CR322" s="49">
        <f t="shared" si="1140"/>
        <v>0</v>
      </c>
      <c r="CS322" s="49">
        <f t="shared" si="1140"/>
        <v>0</v>
      </c>
      <c r="CT322" s="49">
        <f t="shared" si="1140"/>
        <v>0</v>
      </c>
      <c r="CU322" s="49">
        <f t="shared" si="1140"/>
        <v>98489990</v>
      </c>
      <c r="CV322" s="49">
        <f t="shared" si="1140"/>
        <v>94244819</v>
      </c>
      <c r="CW322" s="49">
        <f t="shared" si="1140"/>
        <v>94244819</v>
      </c>
      <c r="CX322" s="49">
        <f t="shared" si="1140"/>
        <v>10914626</v>
      </c>
      <c r="CY322" s="49">
        <f t="shared" ref="CY322" si="1141">CY17+CY49+CY60+CY63+CY68+CY86+CY96+CY101+CY104+CY111+CY125+CY146+CY160+CY169+CY186+CY224+CY227+CY293+CY296+CY221</f>
        <v>83330193</v>
      </c>
      <c r="CZ322" s="49">
        <f t="shared" si="1140"/>
        <v>105668454</v>
      </c>
      <c r="DA322" s="49">
        <f t="shared" si="1140"/>
        <v>105668454</v>
      </c>
      <c r="DB322" s="49">
        <f t="shared" si="1140"/>
        <v>56713</v>
      </c>
      <c r="DC322" s="70">
        <f t="shared" si="1140"/>
        <v>105611741</v>
      </c>
      <c r="DD322" s="52"/>
    </row>
    <row r="323" spans="1:108" s="79" customFormat="1" x14ac:dyDescent="0.3">
      <c r="A323" s="50"/>
      <c r="B323" s="50"/>
      <c r="C323" s="50"/>
      <c r="D323" s="61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78"/>
      <c r="CX323" s="78"/>
      <c r="CY323" s="78"/>
      <c r="CZ323" s="78"/>
      <c r="DA323" s="50"/>
      <c r="DB323" s="50"/>
      <c r="DC323" s="50"/>
      <c r="DD323" s="57"/>
    </row>
    <row r="324" spans="1:108" x14ac:dyDescent="0.3">
      <c r="D324" s="105">
        <v>5522615832</v>
      </c>
      <c r="DD324" s="52"/>
    </row>
    <row r="325" spans="1:108" x14ac:dyDescent="0.3">
      <c r="D325" s="105">
        <f>D324-D322</f>
        <v>0</v>
      </c>
      <c r="CX325" s="50"/>
      <c r="CY325" s="50"/>
      <c r="DB325" s="78"/>
    </row>
  </sheetData>
  <mergeCells count="116">
    <mergeCell ref="CY13:CY14"/>
    <mergeCell ref="BU13:BU14"/>
    <mergeCell ref="BV13:BV14"/>
    <mergeCell ref="BY13:BY14"/>
    <mergeCell ref="BX13:BX14"/>
    <mergeCell ref="E13:E14"/>
    <mergeCell ref="T13:T14"/>
    <mergeCell ref="U13:U14"/>
    <mergeCell ref="I13:I14"/>
    <mergeCell ref="P13:P14"/>
    <mergeCell ref="Q13:Q14"/>
    <mergeCell ref="R13:R14"/>
    <mergeCell ref="O13:O14"/>
    <mergeCell ref="J13:J14"/>
    <mergeCell ref="K13:K14"/>
    <mergeCell ref="L13:L14"/>
    <mergeCell ref="M13:M14"/>
    <mergeCell ref="N13:N14"/>
    <mergeCell ref="F13:F14"/>
    <mergeCell ref="G13:G14"/>
    <mergeCell ref="BL13:BL14"/>
    <mergeCell ref="BP13:BP14"/>
    <mergeCell ref="AE13:AE14"/>
    <mergeCell ref="AF13:AF14"/>
    <mergeCell ref="AY13:AY14"/>
    <mergeCell ref="BC13:BC14"/>
    <mergeCell ref="AX13:AX14"/>
    <mergeCell ref="BI13:BI14"/>
    <mergeCell ref="BK13:BK14"/>
    <mergeCell ref="BJ13:BJ14"/>
    <mergeCell ref="AZ13:AZ14"/>
    <mergeCell ref="BA13:BA14"/>
    <mergeCell ref="BB13:BB14"/>
    <mergeCell ref="BG13:BG14"/>
    <mergeCell ref="BH13:BH14"/>
    <mergeCell ref="DC13:DC14"/>
    <mergeCell ref="CE13:CE14"/>
    <mergeCell ref="CF13:CF14"/>
    <mergeCell ref="CG13:CG14"/>
    <mergeCell ref="CH13:CH14"/>
    <mergeCell ref="CO13:CO14"/>
    <mergeCell ref="CM13:CM14"/>
    <mergeCell ref="CJ13:CJ14"/>
    <mergeCell ref="DB13:DB14"/>
    <mergeCell ref="CV13:CV14"/>
    <mergeCell ref="CW13:CW14"/>
    <mergeCell ref="CX13:CX14"/>
    <mergeCell ref="CK13:CK14"/>
    <mergeCell ref="CU13:CU14"/>
    <mergeCell ref="CZ13:CZ14"/>
    <mergeCell ref="DA13:DA14"/>
    <mergeCell ref="CP13:CP14"/>
    <mergeCell ref="CQ13:CQ14"/>
    <mergeCell ref="CI13:CI14"/>
    <mergeCell ref="CL13:CL14"/>
    <mergeCell ref="CN13:CN14"/>
    <mergeCell ref="CR13:CR14"/>
    <mergeCell ref="CS13:CS14"/>
    <mergeCell ref="CT13:CT14"/>
    <mergeCell ref="A14:A15"/>
    <mergeCell ref="S13:S14"/>
    <mergeCell ref="Z13:Z14"/>
    <mergeCell ref="V13:V14"/>
    <mergeCell ref="W13:W14"/>
    <mergeCell ref="AP13:AP14"/>
    <mergeCell ref="AJ13:AJ14"/>
    <mergeCell ref="AK13:AK14"/>
    <mergeCell ref="AL13:AL14"/>
    <mergeCell ref="AH13:AH14"/>
    <mergeCell ref="AG13:AG14"/>
    <mergeCell ref="AI13:AI14"/>
    <mergeCell ref="AO13:AO14"/>
    <mergeCell ref="X13:X14"/>
    <mergeCell ref="Y13:Y14"/>
    <mergeCell ref="AC13:AC14"/>
    <mergeCell ref="B13:B15"/>
    <mergeCell ref="C13:C15"/>
    <mergeCell ref="AM13:AM14"/>
    <mergeCell ref="AN13:AN14"/>
    <mergeCell ref="H13:H14"/>
    <mergeCell ref="AA13:AA14"/>
    <mergeCell ref="AB13:AB14"/>
    <mergeCell ref="AD13:AD14"/>
    <mergeCell ref="D13:D15"/>
    <mergeCell ref="CD13:CD14"/>
    <mergeCell ref="BO13:BO14"/>
    <mergeCell ref="AU13:AU14"/>
    <mergeCell ref="AW13:AW14"/>
    <mergeCell ref="AV13:AV14"/>
    <mergeCell ref="BD13:BD14"/>
    <mergeCell ref="BZ13:BZ14"/>
    <mergeCell ref="CA13:CA14"/>
    <mergeCell ref="CB13:CB14"/>
    <mergeCell ref="CC13:CC14"/>
    <mergeCell ref="BF13:BF14"/>
    <mergeCell ref="BQ13:BQ14"/>
    <mergeCell ref="BR13:BR14"/>
    <mergeCell ref="BS13:BS14"/>
    <mergeCell ref="BE13:BE14"/>
    <mergeCell ref="AR13:AR14"/>
    <mergeCell ref="BW13:BW14"/>
    <mergeCell ref="AS13:AS14"/>
    <mergeCell ref="AT13:AT14"/>
    <mergeCell ref="BN13:BN14"/>
    <mergeCell ref="BM13:BM14"/>
    <mergeCell ref="AQ13:AQ14"/>
    <mergeCell ref="BT13:BT14"/>
    <mergeCell ref="M7:O7"/>
    <mergeCell ref="J8:O8"/>
    <mergeCell ref="J9:O9"/>
    <mergeCell ref="N12:O12"/>
    <mergeCell ref="M1:O1"/>
    <mergeCell ref="I2:O2"/>
    <mergeCell ref="I3:O3"/>
    <mergeCell ref="I4:O4"/>
    <mergeCell ref="I5:O5"/>
  </mergeCells>
  <pageMargins left="0.39370078740157483" right="0.39370078740157483" top="0.39370078740157483" bottom="0.39370078740157483" header="0.19685039370078741" footer="0.19685039370078741"/>
  <pageSetup paperSize="9" scale="75" firstPageNumber="16" fitToHeight="15" orientation="landscape" useFirstPageNumber="1" r:id="rId1"/>
  <headerFooter>
    <oddHeader>&amp;C&amp;"Times New Roman,обычный"&amp;P</oddHeader>
  </headerFooter>
  <rowBreaks count="2" manualBreakCount="2">
    <brk id="120" max="106" man="1"/>
    <brk id="149" max="106" man="1"/>
  </rowBreaks>
  <colBreaks count="1" manualBreakCount="1">
    <brk id="15" max="3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после папки 117</vt:lpstr>
      <vt:lpstr>'после папки 117'!Заголовки_для_печати</vt:lpstr>
      <vt:lpstr>'после папки 117'!Область_печати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2026-05-22T12:04:27Z</dcterms:modified>
</cp:coreProperties>
</file>